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J01111_Brit_Hotel/"/>
    </mc:Choice>
  </mc:AlternateContent>
  <xr:revisionPtr revIDLastSave="21" documentId="13_ncr:1_{945F1443-228D-40A4-BAE3-51AD1CB526AB}" xr6:coauthVersionLast="47" xr6:coauthVersionMax="47" xr10:uidLastSave="{397D5D69-8EC0-41DA-910C-7F7D91C213AF}"/>
  <bookViews>
    <workbookView xWindow="-108" yWindow="-108" windowWidth="23256" windowHeight="12456" tabRatio="933" activeTab="5" xr2:uid="{00000000-000D-0000-FFFF-FFFF00000000}"/>
  </bookViews>
  <sheets>
    <sheet name="Notes" sheetId="10" r:id="rId1"/>
    <sheet name="LSZH_Conduit" sheetId="43" r:id="rId2"/>
    <sheet name="Material_List" sheetId="45" r:id="rId3"/>
    <sheet name="HDG_Tray_Brackets" sheetId="42" r:id="rId4"/>
    <sheet name="Elec_Rates" sheetId="11" r:id="rId5"/>
    <sheet name="Elec_Est" sheetId="8" r:id="rId6"/>
    <sheet name="ML_Sum" sheetId="1" r:id="rId7"/>
    <sheet name="Quote" sheetId="18" r:id="rId8"/>
    <sheet name="Preliminaries" sheetId="32" r:id="rId9"/>
    <sheet name="Electrical" sheetId="33" r:id="rId10"/>
    <sheet name="Emergency Standby Generator" sheetId="34" r:id="rId11"/>
    <sheet name="FIRE STOPPING" sheetId="35" r:id="rId12"/>
    <sheet name="Fire Detection" sheetId="36" r:id="rId13"/>
    <sheet name="CCTV" sheetId="37" r:id="rId14"/>
    <sheet name="Structured Cabling" sheetId="38" r:id="rId15"/>
    <sheet name="Access Control" sheetId="39" r:id="rId16"/>
    <sheet name="AC cut-out switches" sheetId="40" r:id="rId17"/>
    <sheet name="COMMISSIONING" sheetId="41" r:id="rId18"/>
    <sheet name="SUMMARY PG" sheetId="31" r:id="rId19"/>
  </sheets>
  <externalReferences>
    <externalReference r:id="rId20"/>
    <externalReference r:id="rId21"/>
    <externalReference r:id="rId22"/>
    <externalReference r:id="rId23"/>
    <externalReference r:id="rId24"/>
    <externalReference r:id="rId25"/>
  </externalReferences>
  <definedNames>
    <definedName name="_xlnm._FilterDatabase" localSheetId="5" hidden="1">Elec_Est!$H$1:$H$5602</definedName>
    <definedName name="_xlnm._FilterDatabase" localSheetId="4" hidden="1">Elec_Rates!$H$1:$H$597</definedName>
    <definedName name="_xlnm._FilterDatabase" localSheetId="9" hidden="1">Electrical!$B$1:$B$1788</definedName>
    <definedName name="_Key1" hidden="1">#REF!</definedName>
    <definedName name="_N" localSheetId="3">#REF!</definedName>
    <definedName name="_N">#REF!</definedName>
    <definedName name="_Order1" hidden="1">255</definedName>
    <definedName name="_Sort" localSheetId="3" hidden="1">'[1]Estimate Sheet.'!#REF!</definedName>
    <definedName name="_Sort" hidden="1">'[1]Estimate Sheet.'!#REF!</definedName>
    <definedName name="A" localSheetId="3">#REF!</definedName>
    <definedName name="A">#REF!</definedName>
    <definedName name="Access_BMS" localSheetId="3">[2]BMS_Estimate!#REF!</definedName>
    <definedName name="Access_BMS">[2]BMS_Estimate!#REF!</definedName>
    <definedName name="Access_Control" localSheetId="3">[3]Elec_Est!#REF!</definedName>
    <definedName name="Access_Control">[4]Elec_Est!#REF!</definedName>
    <definedName name="Access_Supply" localSheetId="3">[2]BMS_Estimate!#REF!</definedName>
    <definedName name="Access_Supply">[2]BMS_Estimate!#REF!</definedName>
    <definedName name="Access_Wiring" localSheetId="3">[2]BMS_Estimate!#REF!</definedName>
    <definedName name="Access_Wiring">[2]BMS_Estimate!#REF!</definedName>
    <definedName name="ANS" localSheetId="3">#REF!</definedName>
    <definedName name="ANS">#REF!</definedName>
    <definedName name="AREAS" localSheetId="3">#REF!</definedName>
    <definedName name="AREAS" localSheetId="7">[4]ML_Sum!$X$1:$AD$16</definedName>
    <definedName name="AREAS">ML_Sum!$X$1:$AD$16</definedName>
    <definedName name="C_" localSheetId="3">#REF!</definedName>
    <definedName name="C_">#REF!</definedName>
    <definedName name="CCTV" localSheetId="3">[3]Elec_Est!#REF!</definedName>
    <definedName name="CCTV">[4]Elec_Est!#REF!</definedName>
    <definedName name="Data" localSheetId="3">[3]Elec_Est!#REF!</definedName>
    <definedName name="Data">[4]Elec_Est!#REF!</definedName>
    <definedName name="DATA_SYSTEM">#REF!</definedName>
    <definedName name="DD_Head_Foot">[5]!T_HeadFoot[Head-Foot]</definedName>
    <definedName name="FIRE_ALARM" localSheetId="3">#REF!</definedName>
    <definedName name="Fire_Alarm">[4]Elec_Est!#REF!</definedName>
    <definedName name="FO" localSheetId="3">[3]Elec_Est!#REF!</definedName>
    <definedName name="FO">[4]Elec_Est!#REF!</definedName>
    <definedName name="Guard" localSheetId="3">[3]Elec_Est!#REF!</definedName>
    <definedName name="Guard">[4]Elec_Est!#REF!</definedName>
    <definedName name="Intercom" localSheetId="3">[3]Elec_Est!#REF!</definedName>
    <definedName name="Intercom">[4]Elec_Est!#REF!</definedName>
    <definedName name="Intruder_Alarm" localSheetId="3">[3]Elec_Est!#REF!</definedName>
    <definedName name="Intruder_Alarm">[4]Elec_Est!#REF!</definedName>
    <definedName name="LIGHTNING_PROTECTION">#REF!</definedName>
    <definedName name="Persons" localSheetId="3">[6]Estimate!#REF!</definedName>
    <definedName name="Persons">[6]Estimate!#REF!</definedName>
    <definedName name="_xlnm.Print_Area" localSheetId="5">Elec_Est!$A$1:$T$13</definedName>
    <definedName name="RAMON">#REF!</definedName>
    <definedName name="T" localSheetId="3">#REF!</definedName>
    <definedName name="T">#REF!</definedName>
    <definedName name="Traffic_Barriers" localSheetId="3">[2]BMS_Estimate!#REF!</definedName>
    <definedName name="Traffic_Barriers">[2]BMS_Estimate!#REF!</definedName>
    <definedName name="Z" localSheetId="3">#REF!</definedName>
    <definedName name="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21" i="45" l="1"/>
  <c r="A819" i="45"/>
  <c r="A817" i="45"/>
  <c r="A812" i="45"/>
  <c r="A810" i="45"/>
  <c r="A808" i="45"/>
  <c r="A806" i="45"/>
  <c r="A804" i="45"/>
  <c r="A802" i="45"/>
  <c r="A790" i="45"/>
  <c r="A776" i="45"/>
  <c r="A764" i="45"/>
  <c r="A718" i="45"/>
  <c r="A672" i="45"/>
  <c r="A669" i="45"/>
  <c r="A664" i="45"/>
  <c r="A662" i="45"/>
  <c r="A648" i="45"/>
  <c r="A616" i="45"/>
  <c r="A601" i="45"/>
  <c r="A598" i="45"/>
  <c r="A594" i="45"/>
  <c r="A591" i="45"/>
  <c r="A589" i="45"/>
  <c r="A587" i="45"/>
  <c r="A585" i="45"/>
  <c r="A583" i="45"/>
  <c r="A581" i="45"/>
  <c r="A579" i="45"/>
  <c r="A577" i="45"/>
  <c r="A575" i="45"/>
  <c r="A572" i="45"/>
  <c r="A570" i="45"/>
  <c r="A567" i="45"/>
  <c r="A559" i="45"/>
  <c r="A555" i="45"/>
  <c r="A553" i="45"/>
  <c r="A551" i="45"/>
  <c r="A543" i="45"/>
  <c r="A541" i="45"/>
  <c r="A539" i="45"/>
  <c r="A537" i="45"/>
  <c r="A535" i="45"/>
  <c r="A533" i="45"/>
  <c r="A531" i="45"/>
  <c r="A529" i="45"/>
  <c r="A527" i="45"/>
  <c r="A525" i="45"/>
  <c r="A523" i="45"/>
  <c r="A521" i="45"/>
  <c r="A519" i="45"/>
  <c r="A517" i="45"/>
  <c r="A515" i="45"/>
  <c r="A513" i="45"/>
  <c r="A511" i="45"/>
  <c r="A509" i="45"/>
  <c r="A501" i="45"/>
  <c r="A498" i="45"/>
  <c r="A490" i="45"/>
  <c r="A484" i="45"/>
  <c r="A476" i="45"/>
  <c r="A474" i="45"/>
  <c r="A471" i="45"/>
  <c r="A463" i="45"/>
  <c r="A455" i="45"/>
  <c r="A447" i="45"/>
  <c r="A444" i="45"/>
  <c r="A438" i="45"/>
  <c r="A436" i="45"/>
  <c r="A434" i="45"/>
  <c r="A432" i="45"/>
  <c r="A430" i="45"/>
  <c r="A428" i="45"/>
  <c r="A426" i="45"/>
  <c r="A421" i="45"/>
  <c r="A419" i="45"/>
  <c r="A417" i="45"/>
  <c r="A411" i="45"/>
  <c r="A409" i="45"/>
  <c r="A403" i="45"/>
  <c r="A397" i="45"/>
  <c r="A395" i="45"/>
  <c r="A393" i="45"/>
  <c r="A391" i="45"/>
  <c r="A386" i="45"/>
  <c r="A380" i="45"/>
  <c r="A378" i="45"/>
  <c r="A376" i="45"/>
  <c r="A371" i="45"/>
  <c r="A368" i="45"/>
  <c r="A366" i="45"/>
  <c r="A363" i="45"/>
  <c r="A355" i="45"/>
  <c r="A346" i="45"/>
  <c r="A343" i="45"/>
  <c r="A338" i="45"/>
  <c r="A330" i="45"/>
  <c r="A322" i="45"/>
  <c r="A318" i="45"/>
  <c r="A316" i="45"/>
  <c r="A313" i="45"/>
  <c r="A280" i="45"/>
  <c r="A275" i="45"/>
  <c r="A272" i="45"/>
  <c r="A270" i="45"/>
  <c r="A268" i="45"/>
  <c r="A266" i="45"/>
  <c r="A264" i="45"/>
  <c r="A262" i="45"/>
  <c r="A260" i="45"/>
  <c r="A258" i="45"/>
  <c r="A256" i="45"/>
  <c r="A254" i="45"/>
  <c r="A248" i="45"/>
  <c r="A242" i="45"/>
  <c r="A237" i="45"/>
  <c r="A235" i="45"/>
  <c r="A233" i="45"/>
  <c r="A231" i="45"/>
  <c r="A229" i="45"/>
  <c r="A227" i="45"/>
  <c r="A225" i="45"/>
  <c r="A222" i="45"/>
  <c r="A220" i="45"/>
  <c r="A217" i="45"/>
  <c r="A214" i="45"/>
  <c r="A211" i="45"/>
  <c r="A208" i="45"/>
  <c r="A206" i="45"/>
  <c r="A191" i="45"/>
  <c r="A187" i="45"/>
  <c r="A185" i="45"/>
  <c r="A183" i="45"/>
  <c r="A180" i="45"/>
  <c r="A176" i="45"/>
  <c r="A173" i="45"/>
  <c r="A170" i="45"/>
  <c r="A168" i="45"/>
  <c r="A166" i="45"/>
  <c r="A164" i="45"/>
  <c r="A162" i="45"/>
  <c r="A160" i="45"/>
  <c r="A158" i="45"/>
  <c r="A156" i="45"/>
  <c r="A154" i="45"/>
  <c r="A152" i="45"/>
  <c r="A150" i="45"/>
  <c r="A148" i="45"/>
  <c r="A146" i="45"/>
  <c r="A137" i="45"/>
  <c r="A135" i="45"/>
  <c r="A133" i="45"/>
  <c r="A131" i="45"/>
  <c r="A129" i="45"/>
  <c r="A127" i="45"/>
  <c r="A125" i="45"/>
  <c r="A123" i="45"/>
  <c r="A121" i="45"/>
  <c r="A118" i="45"/>
  <c r="A116" i="45"/>
  <c r="A114" i="45"/>
  <c r="A112" i="45"/>
  <c r="A109" i="45"/>
  <c r="A107" i="45"/>
  <c r="A105" i="45"/>
  <c r="A100" i="45"/>
  <c r="A98" i="45"/>
  <c r="A96" i="45"/>
  <c r="A94" i="45"/>
  <c r="A92" i="45"/>
  <c r="A90" i="45"/>
  <c r="A88" i="45"/>
  <c r="A86" i="45"/>
  <c r="A84" i="45"/>
  <c r="A82" i="45"/>
  <c r="A80" i="45"/>
  <c r="A78" i="45"/>
  <c r="A76" i="45"/>
  <c r="A74" i="45"/>
  <c r="A72" i="45"/>
  <c r="A70" i="45"/>
  <c r="A68" i="45"/>
  <c r="A66" i="45"/>
  <c r="A64" i="45"/>
  <c r="A62" i="45"/>
  <c r="A60" i="45"/>
  <c r="A58" i="45"/>
  <c r="A56" i="45"/>
  <c r="A54" i="45"/>
  <c r="A52" i="45"/>
  <c r="A50" i="45"/>
  <c r="A48" i="45"/>
  <c r="A46" i="45"/>
  <c r="A44" i="45"/>
  <c r="A42" i="45"/>
  <c r="A40" i="45"/>
  <c r="A37" i="45"/>
  <c r="A34" i="45"/>
  <c r="A32" i="45"/>
  <c r="A29" i="45"/>
  <c r="A27" i="45"/>
  <c r="A25" i="45"/>
  <c r="A23" i="45"/>
  <c r="A21" i="45"/>
  <c r="A19" i="45"/>
  <c r="A17" i="45"/>
  <c r="A15" i="45"/>
  <c r="A13" i="45"/>
  <c r="A11" i="45"/>
  <c r="A9" i="45"/>
  <c r="A7" i="45"/>
  <c r="A5" i="45"/>
  <c r="A3" i="45"/>
  <c r="E26" i="32"/>
  <c r="E14" i="32"/>
  <c r="A127" i="8"/>
  <c r="A107" i="8"/>
  <c r="Q5362" i="8"/>
  <c r="A5362" i="8"/>
  <c r="U10" i="1"/>
  <c r="U6" i="1"/>
  <c r="U5" i="1"/>
  <c r="R4205" i="8" l="1"/>
  <c r="R4204" i="8"/>
  <c r="R4203" i="8"/>
  <c r="R4202" i="8"/>
  <c r="R3597" i="8"/>
  <c r="R3086" i="8"/>
  <c r="R3085" i="8"/>
  <c r="R3068" i="8"/>
  <c r="R2553" i="8"/>
  <c r="R2552" i="8"/>
  <c r="R2535" i="8"/>
  <c r="R1976" i="8"/>
  <c r="R1975" i="8"/>
  <c r="R1958" i="8"/>
  <c r="R1449" i="8"/>
  <c r="R990" i="8"/>
  <c r="D11" i="1"/>
  <c r="T3" i="1" s="1"/>
  <c r="R4201" i="8"/>
  <c r="T4" i="1"/>
  <c r="R4196" i="8"/>
  <c r="R4206" i="8"/>
  <c r="R4200" i="8"/>
  <c r="R4197" i="8"/>
  <c r="R4195" i="8"/>
  <c r="S10" i="1"/>
  <c r="R4207" i="8" l="1"/>
  <c r="R4198" i="8"/>
  <c r="R4209" i="8"/>
  <c r="R3598" i="8"/>
  <c r="R3596" i="8"/>
  <c r="R3593" i="8"/>
  <c r="R3592" i="8"/>
  <c r="D3591" i="8"/>
  <c r="C3591" i="8"/>
  <c r="R3589" i="8"/>
  <c r="R3087" i="8"/>
  <c r="R3084" i="8"/>
  <c r="R3081" i="8"/>
  <c r="D3080" i="8"/>
  <c r="C3080" i="8"/>
  <c r="R3078" i="8"/>
  <c r="R3069" i="8"/>
  <c r="R3067" i="8"/>
  <c r="R3064" i="8"/>
  <c r="R3063" i="8"/>
  <c r="D3062" i="8"/>
  <c r="C3062" i="8"/>
  <c r="R3060" i="8"/>
  <c r="R2554" i="8"/>
  <c r="R2551" i="8"/>
  <c r="R2548" i="8"/>
  <c r="D2547" i="8"/>
  <c r="C2547" i="8"/>
  <c r="R2545" i="8"/>
  <c r="R2536" i="8"/>
  <c r="R2534" i="8"/>
  <c r="R2531" i="8"/>
  <c r="R2530" i="8"/>
  <c r="D2529" i="8"/>
  <c r="C2529" i="8"/>
  <c r="R2527" i="8"/>
  <c r="R1977" i="8"/>
  <c r="R1974" i="8"/>
  <c r="R1971" i="8"/>
  <c r="D1970" i="8"/>
  <c r="C1970" i="8"/>
  <c r="R1968" i="8"/>
  <c r="R1959" i="8"/>
  <c r="R1957" i="8"/>
  <c r="R1954" i="8"/>
  <c r="R1953" i="8"/>
  <c r="D1952" i="8"/>
  <c r="C1952" i="8"/>
  <c r="R1950" i="8"/>
  <c r="R1448" i="8"/>
  <c r="R1450" i="8"/>
  <c r="R1447" i="8"/>
  <c r="R1444" i="8"/>
  <c r="D1443" i="8"/>
  <c r="C1443" i="8"/>
  <c r="R1441" i="8"/>
  <c r="R1431" i="8"/>
  <c r="R1426" i="8"/>
  <c r="D1425" i="8"/>
  <c r="C1425" i="8"/>
  <c r="R1432" i="8"/>
  <c r="R1430" i="8"/>
  <c r="R1427" i="8"/>
  <c r="R1423" i="8"/>
  <c r="R989" i="8"/>
  <c r="D984" i="8"/>
  <c r="C984" i="8"/>
  <c r="R991" i="8"/>
  <c r="R988" i="8"/>
  <c r="R985" i="8"/>
  <c r="R982" i="8"/>
  <c r="E69" i="32"/>
  <c r="R136" i="8"/>
  <c r="R134" i="8"/>
  <c r="R135" i="8"/>
  <c r="E54" i="32"/>
  <c r="R100" i="8"/>
  <c r="R80" i="8"/>
  <c r="R74" i="8"/>
  <c r="E29" i="32"/>
  <c r="R68" i="8"/>
  <c r="R61" i="8"/>
  <c r="E23" i="32"/>
  <c r="R21" i="8"/>
  <c r="D3061" i="8"/>
  <c r="D2528" i="8"/>
  <c r="D1951" i="8"/>
  <c r="D3079" i="8"/>
  <c r="D1442" i="8"/>
  <c r="D1969" i="8"/>
  <c r="D2546" i="8"/>
  <c r="D983" i="8"/>
  <c r="D1424" i="8"/>
  <c r="D3590" i="8"/>
  <c r="R3599" i="8" l="1"/>
  <c r="AM4191" i="8"/>
  <c r="R3070" i="8"/>
  <c r="R3088" i="8"/>
  <c r="R2537" i="8"/>
  <c r="R2555" i="8"/>
  <c r="R1960" i="8"/>
  <c r="R1978" i="8"/>
  <c r="R1451" i="8"/>
  <c r="R1433" i="8"/>
  <c r="R992" i="8"/>
  <c r="D5600" i="8"/>
  <c r="D5599" i="8"/>
  <c r="D5598" i="8"/>
  <c r="D5597" i="8"/>
  <c r="D5596" i="8"/>
  <c r="D5595" i="8"/>
  <c r="D5594" i="8"/>
  <c r="D5593" i="8"/>
  <c r="D5592" i="8"/>
  <c r="D5591" i="8"/>
  <c r="D5590" i="8"/>
  <c r="D5589" i="8"/>
  <c r="D5588" i="8"/>
  <c r="D5587" i="8"/>
  <c r="D5586" i="8"/>
  <c r="D5585" i="8"/>
  <c r="D5584" i="8"/>
  <c r="D5583" i="8"/>
  <c r="D5582" i="8"/>
  <c r="D5581" i="8"/>
  <c r="D5580" i="8"/>
  <c r="D5579" i="8"/>
  <c r="D5578" i="8"/>
  <c r="D5577" i="8"/>
  <c r="D5576" i="8"/>
  <c r="D5575" i="8"/>
  <c r="D5574" i="8"/>
  <c r="D5573" i="8"/>
  <c r="D5572" i="8"/>
  <c r="D5571" i="8"/>
  <c r="D5570" i="8"/>
  <c r="D5569" i="8"/>
  <c r="D5568" i="8"/>
  <c r="D5567" i="8"/>
  <c r="D5566" i="8"/>
  <c r="D5565" i="8"/>
  <c r="D5564" i="8"/>
  <c r="D5563" i="8"/>
  <c r="D5562" i="8"/>
  <c r="D5561" i="8"/>
  <c r="D5560" i="8"/>
  <c r="D5559" i="8"/>
  <c r="D5558" i="8"/>
  <c r="D5557" i="8"/>
  <c r="D5556" i="8"/>
  <c r="D5555" i="8"/>
  <c r="D5554" i="8"/>
  <c r="D5553" i="8"/>
  <c r="D5552" i="8"/>
  <c r="D5551" i="8"/>
  <c r="D5550" i="8"/>
  <c r="D5549" i="8"/>
  <c r="D5548" i="8"/>
  <c r="D5547" i="8"/>
  <c r="D5546" i="8"/>
  <c r="D5545" i="8"/>
  <c r="D5544" i="8"/>
  <c r="D5543" i="8"/>
  <c r="D5542" i="8"/>
  <c r="D5541" i="8"/>
  <c r="D5540" i="8"/>
  <c r="D5539" i="8"/>
  <c r="AE200" i="11" l="1"/>
  <c r="AE203" i="11"/>
  <c r="AE202" i="11"/>
  <c r="AC203" i="11"/>
  <c r="R5349" i="8" l="1"/>
  <c r="R5355" i="8"/>
  <c r="A5354" i="8"/>
  <c r="R5354" i="8" s="1"/>
  <c r="R5353" i="8"/>
  <c r="R5350" i="8"/>
  <c r="R5348" i="8"/>
  <c r="A5338" i="8"/>
  <c r="R5339" i="8"/>
  <c r="R5337" i="8"/>
  <c r="R5334" i="8"/>
  <c r="R5333" i="8"/>
  <c r="R5332" i="8"/>
  <c r="A5322" i="8"/>
  <c r="R5317" i="8"/>
  <c r="R5323" i="8"/>
  <c r="R5321" i="8"/>
  <c r="R5318" i="8"/>
  <c r="R5316" i="8"/>
  <c r="A5270" i="8"/>
  <c r="R5270" i="8" s="1"/>
  <c r="R5271" i="8"/>
  <c r="R5269" i="8"/>
  <c r="R5266" i="8"/>
  <c r="R5265" i="8"/>
  <c r="R5264" i="8"/>
  <c r="R5245" i="8"/>
  <c r="A5244" i="8"/>
  <c r="R5244" i="8" s="1"/>
  <c r="R5243" i="8"/>
  <c r="R5240" i="8"/>
  <c r="R5239" i="8"/>
  <c r="R5238" i="8"/>
  <c r="R5219" i="8"/>
  <c r="A5218" i="8"/>
  <c r="R5218" i="8" s="1"/>
  <c r="R5217" i="8"/>
  <c r="R5214" i="8"/>
  <c r="R5213" i="8"/>
  <c r="R5212" i="8"/>
  <c r="A5192" i="8"/>
  <c r="R5192" i="8" s="1"/>
  <c r="A5176" i="8"/>
  <c r="R5176" i="8" s="1"/>
  <c r="R5193" i="8"/>
  <c r="R5191" i="8"/>
  <c r="R5188" i="8"/>
  <c r="R5187" i="8"/>
  <c r="R5186" i="8"/>
  <c r="R5177" i="8"/>
  <c r="R5175" i="8"/>
  <c r="R5172" i="8"/>
  <c r="R5171" i="8"/>
  <c r="R5170" i="8"/>
  <c r="A5150" i="8"/>
  <c r="R5150" i="8" s="1"/>
  <c r="R5151" i="8"/>
  <c r="R5149" i="8"/>
  <c r="R5146" i="8"/>
  <c r="R5145" i="8"/>
  <c r="R5144" i="8"/>
  <c r="A5118" i="8"/>
  <c r="R5118" i="8" s="1"/>
  <c r="A5102" i="8"/>
  <c r="R5102" i="8" s="1"/>
  <c r="R5119" i="8"/>
  <c r="R5117" i="8"/>
  <c r="R5114" i="8"/>
  <c r="R5113" i="8"/>
  <c r="R5112" i="8"/>
  <c r="R5103" i="8"/>
  <c r="R5101" i="8"/>
  <c r="R5098" i="8"/>
  <c r="R5097" i="8"/>
  <c r="R5096" i="8"/>
  <c r="A5052" i="8"/>
  <c r="R5047" i="8"/>
  <c r="R5053" i="8"/>
  <c r="R5051" i="8"/>
  <c r="R5048" i="8"/>
  <c r="R5046" i="8"/>
  <c r="A5036" i="8"/>
  <c r="R5031" i="8"/>
  <c r="R5037" i="8"/>
  <c r="R5035" i="8"/>
  <c r="R5032" i="8"/>
  <c r="R5030" i="8"/>
  <c r="R5356" i="8" l="1"/>
  <c r="R5215" i="8"/>
  <c r="R5319" i="8"/>
  <c r="R5351" i="8"/>
  <c r="R5335" i="8"/>
  <c r="R5267" i="8"/>
  <c r="R5099" i="8"/>
  <c r="R5272" i="8"/>
  <c r="R5274" i="8" s="1"/>
  <c r="R5322" i="8"/>
  <c r="R5324" i="8" s="1"/>
  <c r="R5338" i="8"/>
  <c r="R5340" i="8" s="1"/>
  <c r="R5246" i="8"/>
  <c r="R5248" i="8" s="1"/>
  <c r="R5178" i="8"/>
  <c r="R5241" i="8"/>
  <c r="R5194" i="8"/>
  <c r="R5220" i="8"/>
  <c r="R5049" i="8"/>
  <c r="R5189" i="8"/>
  <c r="R5173" i="8"/>
  <c r="R5152" i="8"/>
  <c r="R5147" i="8"/>
  <c r="R5115" i="8"/>
  <c r="R5104" i="8"/>
  <c r="R5120" i="8"/>
  <c r="R5033" i="8"/>
  <c r="R5052" i="8"/>
  <c r="R5054" i="8" s="1"/>
  <c r="R5036" i="8"/>
  <c r="R5038" i="8" s="1"/>
  <c r="R5342" i="8" l="1"/>
  <c r="AM5328" i="8" s="1"/>
  <c r="R5106" i="8"/>
  <c r="AM5092" i="8" s="1"/>
  <c r="R5326" i="8"/>
  <c r="AM5312" i="8" s="1"/>
  <c r="R5222" i="8"/>
  <c r="AM5208" i="8" s="1"/>
  <c r="R5154" i="8"/>
  <c r="AM5140" i="8" s="1"/>
  <c r="R5358" i="8"/>
  <c r="AM5344" i="8" s="1"/>
  <c r="R5122" i="8"/>
  <c r="AM5108" i="8" s="1"/>
  <c r="R5196" i="8"/>
  <c r="AM5182" i="8" s="1"/>
  <c r="R5180" i="8"/>
  <c r="AM5166" i="8" s="1"/>
  <c r="R5040" i="8"/>
  <c r="AM5026" i="8" s="1"/>
  <c r="AM5260" i="8"/>
  <c r="AM5234" i="8"/>
  <c r="R5056" i="8"/>
  <c r="A4916" i="8"/>
  <c r="R4911" i="8"/>
  <c r="R4917" i="8"/>
  <c r="R4915" i="8"/>
  <c r="R4912" i="8"/>
  <c r="R4910" i="8"/>
  <c r="A4884" i="8"/>
  <c r="R4884" i="8" s="1"/>
  <c r="R4885" i="8"/>
  <c r="R4883" i="8"/>
  <c r="R4880" i="8"/>
  <c r="R4879" i="8"/>
  <c r="R4878" i="8"/>
  <c r="R4863" i="8"/>
  <c r="A4862" i="8"/>
  <c r="R4862" i="8" s="1"/>
  <c r="R4861" i="8"/>
  <c r="R4858" i="8"/>
  <c r="R4857" i="8"/>
  <c r="R4856" i="8"/>
  <c r="R4819" i="8"/>
  <c r="A4818" i="8"/>
  <c r="R4818" i="8" s="1"/>
  <c r="R4817" i="8"/>
  <c r="R4814" i="8"/>
  <c r="R4813" i="8"/>
  <c r="R4812" i="8"/>
  <c r="R4797" i="8"/>
  <c r="A4796" i="8"/>
  <c r="R4796" i="8" s="1"/>
  <c r="R4795" i="8"/>
  <c r="R4792" i="8"/>
  <c r="R4791" i="8"/>
  <c r="R4790" i="8"/>
  <c r="R4781" i="8"/>
  <c r="A4780" i="8"/>
  <c r="R4780" i="8" s="1"/>
  <c r="R4779" i="8"/>
  <c r="R4776" i="8"/>
  <c r="R4775" i="8"/>
  <c r="R4774" i="8"/>
  <c r="R4743" i="8"/>
  <c r="A4742" i="8"/>
  <c r="R4742" i="8" s="1"/>
  <c r="R4741" i="8"/>
  <c r="R4738" i="8"/>
  <c r="R4737" i="8"/>
  <c r="R4736" i="8"/>
  <c r="A4698" i="8"/>
  <c r="R4698" i="8" s="1"/>
  <c r="R4715" i="8"/>
  <c r="A4714" i="8"/>
  <c r="R4714" i="8" s="1"/>
  <c r="R4713" i="8"/>
  <c r="R4710" i="8"/>
  <c r="R4709" i="8"/>
  <c r="R4708" i="8"/>
  <c r="R4699" i="8"/>
  <c r="R4697" i="8"/>
  <c r="R4694" i="8"/>
  <c r="R4693" i="8"/>
  <c r="R4692" i="8"/>
  <c r="A4660" i="8"/>
  <c r="R4660" i="8" s="1"/>
  <c r="R4661" i="8"/>
  <c r="R4659" i="8"/>
  <c r="R4656" i="8"/>
  <c r="R4655" i="8"/>
  <c r="R4654" i="8"/>
  <c r="A4638" i="8"/>
  <c r="R4638" i="8" s="1"/>
  <c r="A4622" i="8"/>
  <c r="R4622" i="8" s="1"/>
  <c r="R4639" i="8"/>
  <c r="R4637" i="8"/>
  <c r="R4634" i="8"/>
  <c r="R4633" i="8"/>
  <c r="R4632" i="8"/>
  <c r="R4623" i="8"/>
  <c r="R4621" i="8"/>
  <c r="R4618" i="8"/>
  <c r="R4617" i="8"/>
  <c r="R4616" i="8"/>
  <c r="R4579" i="8"/>
  <c r="A4578" i="8"/>
  <c r="R4578" i="8" s="1"/>
  <c r="R4577" i="8"/>
  <c r="R4574" i="8"/>
  <c r="R4573" i="8"/>
  <c r="R4572" i="8"/>
  <c r="A4556" i="8"/>
  <c r="R4556" i="8" s="1"/>
  <c r="A4540" i="8"/>
  <c r="R4540" i="8" s="1"/>
  <c r="R4557" i="8"/>
  <c r="R4555" i="8"/>
  <c r="R4552" i="8"/>
  <c r="R4551" i="8"/>
  <c r="R4550" i="8"/>
  <c r="R4541" i="8"/>
  <c r="R4539" i="8"/>
  <c r="R4536" i="8"/>
  <c r="R4535" i="8"/>
  <c r="R4534" i="8"/>
  <c r="R4913" i="8" l="1"/>
  <c r="AM5042" i="8"/>
  <c r="R4881" i="8"/>
  <c r="R4859" i="8"/>
  <c r="R4815" i="8"/>
  <c r="R4886" i="8"/>
  <c r="R4793" i="8"/>
  <c r="R4864" i="8"/>
  <c r="R4916" i="8"/>
  <c r="R4918" i="8" s="1"/>
  <c r="R4820" i="8"/>
  <c r="R4777" i="8"/>
  <c r="R4739" i="8"/>
  <c r="R4782" i="8"/>
  <c r="R4798" i="8"/>
  <c r="R4575" i="8"/>
  <c r="R4695" i="8"/>
  <c r="R4744" i="8"/>
  <c r="R4662" i="8"/>
  <c r="R4716" i="8"/>
  <c r="R4657" i="8"/>
  <c r="R4700" i="8"/>
  <c r="R4711" i="8"/>
  <c r="R4553" i="8"/>
  <c r="R4640" i="8"/>
  <c r="R4624" i="8"/>
  <c r="R4635" i="8"/>
  <c r="R4619" i="8"/>
  <c r="R4537" i="8"/>
  <c r="R4580" i="8"/>
  <c r="R4542" i="8"/>
  <c r="R4558" i="8"/>
  <c r="R4560" i="8" s="1"/>
  <c r="R4822" i="8" l="1"/>
  <c r="AM4808" i="8" s="1"/>
  <c r="R4888" i="8"/>
  <c r="AM4874" i="8" s="1"/>
  <c r="R4702" i="8"/>
  <c r="AM4688" i="8" s="1"/>
  <c r="R4800" i="8"/>
  <c r="AM4786" i="8" s="1"/>
  <c r="R4866" i="8"/>
  <c r="AM4852" i="8" s="1"/>
  <c r="R4544" i="8"/>
  <c r="AM4530" i="8" s="1"/>
  <c r="R4784" i="8"/>
  <c r="AM4770" i="8" s="1"/>
  <c r="R4642" i="8"/>
  <c r="AM4628" i="8" s="1"/>
  <c r="R4920" i="8"/>
  <c r="R4582" i="8"/>
  <c r="AM4568" i="8" s="1"/>
  <c r="R4718" i="8"/>
  <c r="AM4704" i="8" s="1"/>
  <c r="R4626" i="8"/>
  <c r="AM4612" i="8" s="1"/>
  <c r="R4746" i="8"/>
  <c r="AM4732" i="8" s="1"/>
  <c r="R4664" i="8"/>
  <c r="AM4650" i="8" s="1"/>
  <c r="AM4546" i="8"/>
  <c r="AM4906" i="8" l="1"/>
  <c r="A4496" i="8" l="1"/>
  <c r="R4491" i="8"/>
  <c r="R4497" i="8"/>
  <c r="R4495" i="8"/>
  <c r="R4492" i="8"/>
  <c r="R4490" i="8"/>
  <c r="A4474" i="8"/>
  <c r="R4474" i="8" s="1"/>
  <c r="A4458" i="8"/>
  <c r="R4458" i="8" s="1"/>
  <c r="R4475" i="8"/>
  <c r="R4473" i="8"/>
  <c r="R4470" i="8"/>
  <c r="R4469" i="8"/>
  <c r="R4468" i="8"/>
  <c r="R4459" i="8"/>
  <c r="R4457" i="8"/>
  <c r="R4454" i="8"/>
  <c r="R4453" i="8"/>
  <c r="R4452" i="8"/>
  <c r="A4418" i="8"/>
  <c r="R4418" i="8" s="1"/>
  <c r="R4413" i="8"/>
  <c r="R4419" i="8"/>
  <c r="R4417" i="8"/>
  <c r="R4414" i="8"/>
  <c r="R4412" i="8"/>
  <c r="R4381" i="8"/>
  <c r="A4386" i="8"/>
  <c r="R4386" i="8" s="1"/>
  <c r="R4387" i="8"/>
  <c r="R4385" i="8"/>
  <c r="R4382" i="8"/>
  <c r="R4380" i="8"/>
  <c r="A4370" i="8"/>
  <c r="R4370" i="8" s="1"/>
  <c r="R4365" i="8"/>
  <c r="R4371" i="8"/>
  <c r="R4369" i="8"/>
  <c r="R4366" i="8"/>
  <c r="R4364" i="8"/>
  <c r="R4455" i="8" l="1"/>
  <c r="R4471" i="8"/>
  <c r="R4493" i="8"/>
  <c r="R4388" i="8"/>
  <c r="R4415" i="8"/>
  <c r="R4476" i="8"/>
  <c r="R4460" i="8"/>
  <c r="R4496" i="8"/>
  <c r="R4498" i="8" s="1"/>
  <c r="R4383" i="8"/>
  <c r="R4420" i="8"/>
  <c r="R4367" i="8"/>
  <c r="R4372" i="8"/>
  <c r="R4374" i="8"/>
  <c r="R4462" i="8" l="1"/>
  <c r="AM4448" i="8" s="1"/>
  <c r="R4478" i="8"/>
  <c r="AM4464" i="8" s="1"/>
  <c r="R4390" i="8"/>
  <c r="AM4376" i="8" s="1"/>
  <c r="R4500" i="8"/>
  <c r="R4422" i="8"/>
  <c r="AM4360" i="8"/>
  <c r="Q4300" i="8"/>
  <c r="Q4299" i="8"/>
  <c r="Q4298" i="8"/>
  <c r="Q4297" i="8"/>
  <c r="Q4296" i="8"/>
  <c r="AM4486" i="8" l="1"/>
  <c r="AM4408" i="8"/>
  <c r="R4302" i="8" l="1"/>
  <c r="R4301" i="8"/>
  <c r="R4300" i="8"/>
  <c r="R4299" i="8"/>
  <c r="R4298" i="8"/>
  <c r="R4297" i="8"/>
  <c r="R4296" i="8"/>
  <c r="E14" i="41"/>
  <c r="E11" i="41"/>
  <c r="E8" i="41"/>
  <c r="R5368" i="8"/>
  <c r="R5362" i="8"/>
  <c r="R5308" i="8"/>
  <c r="R5278" i="8"/>
  <c r="R5252" i="8"/>
  <c r="R5226" i="8"/>
  <c r="R5200" i="8"/>
  <c r="R5158" i="8"/>
  <c r="R5126" i="8"/>
  <c r="R5088" i="8"/>
  <c r="R5082" i="8"/>
  <c r="R5076" i="8"/>
  <c r="R5070" i="8"/>
  <c r="R5060" i="8"/>
  <c r="R4994" i="8"/>
  <c r="R4984" i="8"/>
  <c r="R4974" i="8"/>
  <c r="R4968" i="8"/>
  <c r="R4962" i="8"/>
  <c r="R4952" i="8"/>
  <c r="R4258" i="8" l="1"/>
  <c r="R4898" i="8" l="1"/>
  <c r="R4892" i="8"/>
  <c r="R4848" i="8"/>
  <c r="R4842" i="8"/>
  <c r="R4836" i="8"/>
  <c r="R4830" i="8"/>
  <c r="R4804" i="8"/>
  <c r="R4766" i="8"/>
  <c r="R4760" i="8"/>
  <c r="R4754" i="8"/>
  <c r="R4728" i="8"/>
  <c r="R4684" i="8"/>
  <c r="R4678" i="8"/>
  <c r="R4672" i="8"/>
  <c r="R4646" i="8"/>
  <c r="R4608" i="8"/>
  <c r="R4602" i="8"/>
  <c r="R4596" i="8"/>
  <c r="R4564" i="8"/>
  <c r="R4526" i="8"/>
  <c r="R4520" i="8"/>
  <c r="R4514" i="8"/>
  <c r="R4508" i="8"/>
  <c r="R4482" i="8"/>
  <c r="R4444" i="8"/>
  <c r="R4438" i="8"/>
  <c r="R4426" i="8"/>
  <c r="R4400" i="8"/>
  <c r="R4394" i="8"/>
  <c r="R4356" i="8"/>
  <c r="R4350" i="8"/>
  <c r="R4344" i="8"/>
  <c r="R4338" i="8"/>
  <c r="R4332" i="8"/>
  <c r="A5401" i="8"/>
  <c r="A5400" i="8"/>
  <c r="R5400" i="8" s="1"/>
  <c r="R5394" i="8"/>
  <c r="Q4273" i="8"/>
  <c r="R4273" i="8" s="1"/>
  <c r="Q4272" i="8"/>
  <c r="R4272" i="8" s="1"/>
  <c r="S4271" i="8"/>
  <c r="Q4271" i="8"/>
  <c r="R4271" i="8" s="1"/>
  <c r="R4270" i="8"/>
  <c r="R4264" i="8"/>
  <c r="D4257" i="8"/>
  <c r="C4257" i="8"/>
  <c r="R4255" i="8"/>
  <c r="R4254" i="8"/>
  <c r="R4253" i="8"/>
  <c r="R4246" i="8"/>
  <c r="R4247" i="8"/>
  <c r="R4245" i="8"/>
  <c r="Q3845" i="8"/>
  <c r="Q3311" i="8"/>
  <c r="Q3305" i="8"/>
  <c r="Q3299" i="8"/>
  <c r="Q2783" i="8"/>
  <c r="Q2777" i="8"/>
  <c r="Q2771" i="8"/>
  <c r="Q2268" i="8"/>
  <c r="Q2262" i="8"/>
  <c r="Q2256" i="8"/>
  <c r="Q1685" i="8"/>
  <c r="Q1679" i="8"/>
  <c r="Q1673" i="8"/>
  <c r="E63" i="32"/>
  <c r="E60" i="32"/>
  <c r="E51" i="32"/>
  <c r="E20" i="32"/>
  <c r="E17" i="32"/>
  <c r="E11" i="32"/>
  <c r="D4256" i="8"/>
  <c r="R5401" i="8" l="1"/>
  <c r="R128" i="8"/>
  <c r="Q127" i="8"/>
  <c r="R127" i="8" s="1"/>
  <c r="R106" i="8"/>
  <c r="R107" i="8"/>
  <c r="R4223" i="8"/>
  <c r="R4222" i="8"/>
  <c r="R4221" i="8"/>
  <c r="R4220" i="8"/>
  <c r="A4219" i="8"/>
  <c r="R4219" i="8" s="1"/>
  <c r="R34" i="8"/>
  <c r="R4163" i="8" l="1"/>
  <c r="R4162" i="8"/>
  <c r="R4161" i="8"/>
  <c r="R4160" i="8"/>
  <c r="R4158" i="8"/>
  <c r="E1755" i="33" l="1"/>
  <c r="E1751" i="33"/>
  <c r="R4213" i="8"/>
  <c r="T10" i="1"/>
  <c r="D4142" i="8"/>
  <c r="C4142" i="8"/>
  <c r="D4135" i="8"/>
  <c r="C4135" i="8"/>
  <c r="R313" i="11"/>
  <c r="D4128" i="8"/>
  <c r="C4128" i="8"/>
  <c r="R420" i="11"/>
  <c r="D4117" i="8"/>
  <c r="C4117" i="8"/>
  <c r="D4106" i="8"/>
  <c r="C4106" i="8"/>
  <c r="D4099" i="8"/>
  <c r="C4099" i="8"/>
  <c r="D4097" i="8"/>
  <c r="C4097" i="8"/>
  <c r="D4090" i="8"/>
  <c r="C4090" i="8"/>
  <c r="D4088" i="8"/>
  <c r="C4088" i="8"/>
  <c r="D4063" i="8"/>
  <c r="C4063" i="8"/>
  <c r="D4056" i="8"/>
  <c r="C4056" i="8"/>
  <c r="D4049" i="8"/>
  <c r="C4049" i="8"/>
  <c r="D4042" i="8"/>
  <c r="C4042" i="8"/>
  <c r="D4029" i="8"/>
  <c r="C4029" i="8"/>
  <c r="D4022" i="8"/>
  <c r="C4022" i="8"/>
  <c r="R4007" i="8"/>
  <c r="R4006" i="8"/>
  <c r="R4005" i="8"/>
  <c r="R4004" i="8"/>
  <c r="R3998" i="8"/>
  <c r="R3997" i="8"/>
  <c r="S3996" i="8"/>
  <c r="Q3996" i="8"/>
  <c r="R3996" i="8" s="1"/>
  <c r="R3995" i="8"/>
  <c r="R3989" i="8"/>
  <c r="R3988" i="8"/>
  <c r="S3987" i="8"/>
  <c r="Q3987" i="8"/>
  <c r="R3987" i="8" s="1"/>
  <c r="R3986" i="8"/>
  <c r="R3980" i="8"/>
  <c r="R3979" i="8"/>
  <c r="R3978" i="8"/>
  <c r="R3977" i="8"/>
  <c r="R3971" i="8"/>
  <c r="R3970" i="8"/>
  <c r="R3969" i="8"/>
  <c r="R3968" i="8"/>
  <c r="R3962" i="8"/>
  <c r="R3961" i="8"/>
  <c r="R3960" i="8"/>
  <c r="R3959" i="8"/>
  <c r="R3953" i="8"/>
  <c r="R3952" i="8"/>
  <c r="R3951" i="8"/>
  <c r="R3950" i="8"/>
  <c r="R3944" i="8"/>
  <c r="R3943" i="8"/>
  <c r="R3942" i="8"/>
  <c r="R3941" i="8"/>
  <c r="R3935" i="8"/>
  <c r="R3934" i="8"/>
  <c r="Q3933" i="8"/>
  <c r="R3933" i="8" s="1"/>
  <c r="S3932" i="8"/>
  <c r="Q3932" i="8"/>
  <c r="R3932" i="8" s="1"/>
  <c r="S3931" i="8"/>
  <c r="R3931" i="8"/>
  <c r="S3922" i="8"/>
  <c r="Q3925" i="8"/>
  <c r="R3925" i="8" s="1"/>
  <c r="Q3924" i="8"/>
  <c r="R3924" i="8" s="1"/>
  <c r="S3923" i="8"/>
  <c r="Q3923" i="8"/>
  <c r="R3923" i="8" s="1"/>
  <c r="R3922" i="8"/>
  <c r="S3913" i="8"/>
  <c r="Q3916" i="8"/>
  <c r="R3916" i="8" s="1"/>
  <c r="Q3915" i="8"/>
  <c r="R3915" i="8" s="1"/>
  <c r="S3914" i="8"/>
  <c r="Q3914" i="8"/>
  <c r="R3914" i="8" s="1"/>
  <c r="R3913" i="8"/>
  <c r="R3903" i="8"/>
  <c r="R3897" i="8"/>
  <c r="R3896" i="8"/>
  <c r="R3895" i="8"/>
  <c r="R3889" i="8"/>
  <c r="R3888" i="8"/>
  <c r="R3887" i="8"/>
  <c r="R3881" i="8"/>
  <c r="R3869" i="8"/>
  <c r="R3863" i="8"/>
  <c r="R3857" i="8"/>
  <c r="R3851" i="8"/>
  <c r="R3845" i="8"/>
  <c r="R3839" i="8"/>
  <c r="R3833" i="8"/>
  <c r="R3819" i="8"/>
  <c r="D3818" i="8"/>
  <c r="C3818" i="8"/>
  <c r="R3811" i="8"/>
  <c r="D3810" i="8"/>
  <c r="C3810" i="8"/>
  <c r="R3803" i="8"/>
  <c r="D3802" i="8"/>
  <c r="C3802" i="8"/>
  <c r="R3795" i="8"/>
  <c r="D3794" i="8"/>
  <c r="C3794" i="8"/>
  <c r="R3787" i="8"/>
  <c r="D3786" i="8"/>
  <c r="C3786" i="8"/>
  <c r="R3779" i="8"/>
  <c r="D3778" i="8"/>
  <c r="C3778" i="8"/>
  <c r="R3771" i="8"/>
  <c r="D3770" i="8"/>
  <c r="C3770" i="8"/>
  <c r="R3763" i="8"/>
  <c r="D3762" i="8"/>
  <c r="C3762" i="8"/>
  <c r="R3755" i="8"/>
  <c r="D3754" i="8"/>
  <c r="C3754" i="8"/>
  <c r="D3739" i="8"/>
  <c r="C3739" i="8"/>
  <c r="D3732" i="8"/>
  <c r="C3732" i="8"/>
  <c r="D3725" i="8"/>
  <c r="C3725" i="8"/>
  <c r="D3705" i="8"/>
  <c r="C3705" i="8"/>
  <c r="D3610" i="8"/>
  <c r="C3610" i="8"/>
  <c r="R267" i="11"/>
  <c r="R237" i="11"/>
  <c r="D4141" i="8"/>
  <c r="D4105" i="8"/>
  <c r="D3738" i="8"/>
  <c r="D4048" i="8"/>
  <c r="D4134" i="8"/>
  <c r="D3809" i="8"/>
  <c r="D3793" i="8"/>
  <c r="D4021" i="8"/>
  <c r="D3801" i="8"/>
  <c r="D3704" i="8"/>
  <c r="D4055" i="8"/>
  <c r="D3777" i="8"/>
  <c r="D4041" i="8"/>
  <c r="D3724" i="8"/>
  <c r="D3817" i="8"/>
  <c r="D4089" i="8"/>
  <c r="D3609" i="8"/>
  <c r="D3769" i="8"/>
  <c r="D3785" i="8"/>
  <c r="D3761" i="8"/>
  <c r="D4062" i="8"/>
  <c r="D4096" i="8"/>
  <c r="D4127" i="8"/>
  <c r="D3731" i="8"/>
  <c r="D3753" i="8"/>
  <c r="D4087" i="8"/>
  <c r="D4098" i="8"/>
  <c r="D4116" i="8"/>
  <c r="D4028" i="8"/>
  <c r="D3698" i="8" l="1"/>
  <c r="C3698" i="8"/>
  <c r="D3691" i="8"/>
  <c r="C3691" i="8"/>
  <c r="D3697" i="8"/>
  <c r="D3690" i="8"/>
  <c r="R350" i="11" l="1"/>
  <c r="D3684" i="8"/>
  <c r="C3684" i="8"/>
  <c r="D3677" i="8"/>
  <c r="C3677" i="8"/>
  <c r="D3670" i="8"/>
  <c r="C3670" i="8"/>
  <c r="R282" i="11"/>
  <c r="D3663" i="8"/>
  <c r="C3663" i="8"/>
  <c r="D3656" i="8"/>
  <c r="C3656" i="8"/>
  <c r="D3649" i="8"/>
  <c r="C3649" i="8"/>
  <c r="Q439" i="11"/>
  <c r="R441" i="11"/>
  <c r="D3642" i="8"/>
  <c r="C3642" i="8"/>
  <c r="D3635" i="8"/>
  <c r="C3635" i="8"/>
  <c r="D3624" i="8"/>
  <c r="C3624" i="8"/>
  <c r="D3577" i="8"/>
  <c r="C3577" i="8"/>
  <c r="D3575" i="8"/>
  <c r="C3575" i="8"/>
  <c r="D3558" i="8"/>
  <c r="C3558" i="8"/>
  <c r="D3551" i="8"/>
  <c r="C3551" i="8"/>
  <c r="D3544" i="8"/>
  <c r="C3544" i="8"/>
  <c r="D3537" i="8"/>
  <c r="C3537" i="8"/>
  <c r="R3530" i="8"/>
  <c r="D3529" i="8"/>
  <c r="C3529" i="8"/>
  <c r="D3522" i="8"/>
  <c r="C3522" i="8"/>
  <c r="D3520" i="8"/>
  <c r="C3520" i="8"/>
  <c r="D3518" i="8"/>
  <c r="C3518" i="8"/>
  <c r="D3511" i="8"/>
  <c r="C3511" i="8"/>
  <c r="D3509" i="8"/>
  <c r="C3509" i="8"/>
  <c r="D3502" i="8"/>
  <c r="C3502" i="8"/>
  <c r="D3500" i="8"/>
  <c r="C3500" i="8"/>
  <c r="D3493" i="8"/>
  <c r="C3493" i="8"/>
  <c r="D3486" i="8"/>
  <c r="C3486" i="8"/>
  <c r="R3479" i="8"/>
  <c r="D3478" i="8"/>
  <c r="C3478" i="8"/>
  <c r="D3471" i="8"/>
  <c r="C3471" i="8"/>
  <c r="D3464" i="8"/>
  <c r="C3464" i="8"/>
  <c r="D3457" i="8"/>
  <c r="C3457" i="8"/>
  <c r="D3450" i="8"/>
  <c r="C3450" i="8"/>
  <c r="D3443" i="8"/>
  <c r="C3443" i="8"/>
  <c r="D3436" i="8"/>
  <c r="C3436" i="8"/>
  <c r="D3429" i="8"/>
  <c r="C3429" i="8"/>
  <c r="R3369" i="8"/>
  <c r="R3368" i="8"/>
  <c r="R3367" i="8"/>
  <c r="R3366" i="8"/>
  <c r="R3360" i="8"/>
  <c r="R3359" i="8"/>
  <c r="Q3358" i="8"/>
  <c r="R3358" i="8" s="1"/>
  <c r="S3357" i="8"/>
  <c r="Q3357" i="8"/>
  <c r="R3357" i="8" s="1"/>
  <c r="S3356" i="8"/>
  <c r="R3356" i="8"/>
  <c r="R3350" i="8"/>
  <c r="R3349" i="8"/>
  <c r="Q3348" i="8"/>
  <c r="R3348" i="8" s="1"/>
  <c r="S3347" i="8"/>
  <c r="Q3347" i="8"/>
  <c r="R3347" i="8" s="1"/>
  <c r="S3346" i="8"/>
  <c r="R3346" i="8"/>
  <c r="R3340" i="8"/>
  <c r="R3339" i="8"/>
  <c r="Q3338" i="8"/>
  <c r="R3338" i="8" s="1"/>
  <c r="S3337" i="8"/>
  <c r="Q3337" i="8"/>
  <c r="R3337" i="8" s="1"/>
  <c r="S3336" i="8"/>
  <c r="R3336" i="8"/>
  <c r="S3327" i="8"/>
  <c r="Q3330" i="8"/>
  <c r="R3330" i="8" s="1"/>
  <c r="Q3329" i="8"/>
  <c r="R3329" i="8" s="1"/>
  <c r="S3328" i="8"/>
  <c r="Q3328" i="8"/>
  <c r="R3328" i="8" s="1"/>
  <c r="R3327" i="8"/>
  <c r="R3317" i="8"/>
  <c r="R3311" i="8"/>
  <c r="R3305" i="8"/>
  <c r="R3299" i="8"/>
  <c r="R3293" i="8"/>
  <c r="R3279" i="8"/>
  <c r="D3278" i="8"/>
  <c r="C3278" i="8"/>
  <c r="R3271" i="8"/>
  <c r="D3270" i="8"/>
  <c r="C3270" i="8"/>
  <c r="R3263" i="8"/>
  <c r="D3262" i="8"/>
  <c r="C3262" i="8"/>
  <c r="R3255" i="8"/>
  <c r="D3254" i="8"/>
  <c r="C3254" i="8"/>
  <c r="R3247" i="8"/>
  <c r="D3246" i="8"/>
  <c r="C3246" i="8"/>
  <c r="R3239" i="8"/>
  <c r="D3238" i="8"/>
  <c r="C3238" i="8"/>
  <c r="R3231" i="8"/>
  <c r="D3230" i="8"/>
  <c r="C3230" i="8"/>
  <c r="R3223" i="8"/>
  <c r="D3222" i="8"/>
  <c r="C3222" i="8"/>
  <c r="D3201" i="8"/>
  <c r="C3201" i="8"/>
  <c r="D3194" i="8"/>
  <c r="C3194" i="8"/>
  <c r="D3187" i="8"/>
  <c r="C3187" i="8"/>
  <c r="D3173" i="8"/>
  <c r="C3173" i="8"/>
  <c r="D3166" i="8"/>
  <c r="C3166" i="8"/>
  <c r="D3159" i="8"/>
  <c r="C3159" i="8"/>
  <c r="D3152" i="8"/>
  <c r="C3152" i="8"/>
  <c r="D3145" i="8"/>
  <c r="C3145" i="8"/>
  <c r="D3138" i="8"/>
  <c r="C3138" i="8"/>
  <c r="D3131" i="8"/>
  <c r="C3131" i="8"/>
  <c r="D3124" i="8"/>
  <c r="C3124" i="8"/>
  <c r="D3117" i="8"/>
  <c r="C3117" i="8"/>
  <c r="D3106" i="8"/>
  <c r="C3106" i="8"/>
  <c r="D3042" i="8"/>
  <c r="C3042" i="8"/>
  <c r="D3040" i="8"/>
  <c r="C3040" i="8"/>
  <c r="D3033" i="8"/>
  <c r="C3033" i="8"/>
  <c r="D3031" i="8"/>
  <c r="C3031" i="8"/>
  <c r="D3020" i="8"/>
  <c r="C3020" i="8"/>
  <c r="D3013" i="8"/>
  <c r="C3013" i="8"/>
  <c r="D3011" i="8"/>
  <c r="C3011" i="8"/>
  <c r="D3004" i="8"/>
  <c r="C3004" i="8"/>
  <c r="D2997" i="8"/>
  <c r="C2997" i="8"/>
  <c r="D2990" i="8"/>
  <c r="C2990" i="8"/>
  <c r="D2983" i="8"/>
  <c r="C2983" i="8"/>
  <c r="R2976" i="8"/>
  <c r="D2975" i="8"/>
  <c r="C2975" i="8"/>
  <c r="D2968" i="8"/>
  <c r="C2968" i="8"/>
  <c r="D2966" i="8"/>
  <c r="C2966" i="8"/>
  <c r="D2964" i="8"/>
  <c r="C2964" i="8"/>
  <c r="D2957" i="8"/>
  <c r="C2957" i="8"/>
  <c r="D2950" i="8"/>
  <c r="C2950" i="8"/>
  <c r="D2943" i="8"/>
  <c r="C2943" i="8"/>
  <c r="D2936" i="8"/>
  <c r="C2936" i="8"/>
  <c r="D2929" i="8"/>
  <c r="C2929" i="8"/>
  <c r="D2922" i="8"/>
  <c r="C2922" i="8"/>
  <c r="D2915" i="8"/>
  <c r="C2915" i="8"/>
  <c r="D2908" i="8"/>
  <c r="C2908" i="8"/>
  <c r="D2901" i="8"/>
  <c r="C2901" i="8"/>
  <c r="R2847" i="8"/>
  <c r="R2846" i="8"/>
  <c r="R2845" i="8"/>
  <c r="R2844" i="8"/>
  <c r="R2789" i="8"/>
  <c r="R2838" i="8"/>
  <c r="R2837" i="8"/>
  <c r="Q2836" i="8"/>
  <c r="R2836" i="8" s="1"/>
  <c r="S2835" i="8"/>
  <c r="Q2835" i="8"/>
  <c r="R2835" i="8" s="1"/>
  <c r="S2834" i="8"/>
  <c r="R2834" i="8"/>
  <c r="R2828" i="8"/>
  <c r="R2827" i="8"/>
  <c r="Q2826" i="8"/>
  <c r="R2826" i="8" s="1"/>
  <c r="S2825" i="8"/>
  <c r="Q2825" i="8"/>
  <c r="R2825" i="8" s="1"/>
  <c r="S2824" i="8"/>
  <c r="R2824" i="8"/>
  <c r="R2818" i="8"/>
  <c r="R2817" i="8"/>
  <c r="Q2816" i="8"/>
  <c r="R2816" i="8" s="1"/>
  <c r="S2815" i="8"/>
  <c r="Q2815" i="8"/>
  <c r="R2815" i="8" s="1"/>
  <c r="S2814" i="8"/>
  <c r="R2814" i="8"/>
  <c r="S2805" i="8"/>
  <c r="Q2808" i="8"/>
  <c r="R2808" i="8" s="1"/>
  <c r="Q2807" i="8"/>
  <c r="R2807" i="8" s="1"/>
  <c r="S2806" i="8"/>
  <c r="Q2806" i="8"/>
  <c r="R2806" i="8" s="1"/>
  <c r="R2805" i="8"/>
  <c r="R2783" i="8"/>
  <c r="R2777" i="8"/>
  <c r="R2771" i="8"/>
  <c r="R2765" i="8"/>
  <c r="R2751" i="8"/>
  <c r="D2750" i="8"/>
  <c r="C2750" i="8"/>
  <c r="R2743" i="8"/>
  <c r="D2742" i="8"/>
  <c r="C2742" i="8"/>
  <c r="R2735" i="8"/>
  <c r="D2734" i="8"/>
  <c r="C2734" i="8"/>
  <c r="R2727" i="8"/>
  <c r="D2726" i="8"/>
  <c r="C2726" i="8"/>
  <c r="R2719" i="8"/>
  <c r="D2718" i="8"/>
  <c r="C2718" i="8"/>
  <c r="R2711" i="8"/>
  <c r="D2710" i="8"/>
  <c r="C2710" i="8"/>
  <c r="R2703" i="8"/>
  <c r="D2702" i="8"/>
  <c r="C2702" i="8"/>
  <c r="R2695" i="8"/>
  <c r="D2694" i="8"/>
  <c r="C2694" i="8"/>
  <c r="D2679" i="8"/>
  <c r="C2679" i="8"/>
  <c r="D2672" i="8"/>
  <c r="C2672" i="8"/>
  <c r="D2665" i="8"/>
  <c r="C2665" i="8"/>
  <c r="D2646" i="8"/>
  <c r="C2646" i="8"/>
  <c r="D2639" i="8"/>
  <c r="C2639" i="8"/>
  <c r="D2632" i="8"/>
  <c r="C2632" i="8"/>
  <c r="D2625" i="8"/>
  <c r="C2625" i="8"/>
  <c r="D2618" i="8"/>
  <c r="C2618" i="8"/>
  <c r="D2611" i="8"/>
  <c r="C2611" i="8"/>
  <c r="D2604" i="8"/>
  <c r="C2604" i="8"/>
  <c r="D2597" i="8"/>
  <c r="C2597" i="8"/>
  <c r="D2590" i="8"/>
  <c r="C2590" i="8"/>
  <c r="D2583" i="8"/>
  <c r="C2583" i="8"/>
  <c r="D2572" i="8"/>
  <c r="C2572" i="8"/>
  <c r="E1503" i="33"/>
  <c r="E1474" i="33"/>
  <c r="E1264" i="33"/>
  <c r="E1239" i="33"/>
  <c r="E1048" i="33"/>
  <c r="E1021" i="33"/>
  <c r="E845" i="33"/>
  <c r="E795" i="33"/>
  <c r="E602" i="33"/>
  <c r="D2631" i="8"/>
  <c r="D3485" i="8"/>
  <c r="D3499" i="8"/>
  <c r="D3519" i="8"/>
  <c r="D3261" i="8"/>
  <c r="D2582" i="8"/>
  <c r="D3662" i="8"/>
  <c r="D2907" i="8"/>
  <c r="D3030" i="8"/>
  <c r="D2617" i="8"/>
  <c r="D3574" i="8"/>
  <c r="D3151" i="8"/>
  <c r="D2956" i="8"/>
  <c r="D3550" i="8"/>
  <c r="D3123" i="8"/>
  <c r="D3536" i="8"/>
  <c r="D3501" i="8"/>
  <c r="D3012" i="8"/>
  <c r="D2928" i="8"/>
  <c r="D3193" i="8"/>
  <c r="D2989" i="8"/>
  <c r="D3449" i="8"/>
  <c r="D3221" i="8"/>
  <c r="D2967" i="8"/>
  <c r="D3229" i="8"/>
  <c r="D3623" i="8"/>
  <c r="D3137" i="8"/>
  <c r="D3435" i="8"/>
  <c r="D3245" i="8"/>
  <c r="D3683" i="8"/>
  <c r="D3641" i="8"/>
  <c r="D3517" i="8"/>
  <c r="D2949" i="8"/>
  <c r="D2921" i="8"/>
  <c r="D2693" i="8"/>
  <c r="D3237" i="8"/>
  <c r="D2974" i="8"/>
  <c r="D2624" i="8"/>
  <c r="D2914" i="8"/>
  <c r="D3158" i="8"/>
  <c r="D2638" i="8"/>
  <c r="D2701" i="8"/>
  <c r="D3032" i="8"/>
  <c r="D3172" i="8"/>
  <c r="D3269" i="8"/>
  <c r="D3655" i="8"/>
  <c r="D3428" i="8"/>
  <c r="D2589" i="8"/>
  <c r="D3130" i="8"/>
  <c r="D3186" i="8"/>
  <c r="D3105" i="8"/>
  <c r="D2965" i="8"/>
  <c r="D3253" i="8"/>
  <c r="D3528" i="8"/>
  <c r="D3576" i="8"/>
  <c r="D2596" i="8"/>
  <c r="D3648" i="8"/>
  <c r="D3508" i="8"/>
  <c r="D3463" i="8"/>
  <c r="D2982" i="8"/>
  <c r="D3477" i="8"/>
  <c r="D3116" i="8"/>
  <c r="D2610" i="8"/>
  <c r="D3543" i="8"/>
  <c r="D3470" i="8"/>
  <c r="D3277" i="8"/>
  <c r="D2733" i="8"/>
  <c r="D3144" i="8"/>
  <c r="D2645" i="8"/>
  <c r="D2725" i="8"/>
  <c r="D3019" i="8"/>
  <c r="D3039" i="8"/>
  <c r="D3510" i="8"/>
  <c r="D3442" i="8"/>
  <c r="D3010" i="8"/>
  <c r="D2749" i="8"/>
  <c r="D2664" i="8"/>
  <c r="D2709" i="8"/>
  <c r="D2942" i="8"/>
  <c r="D2935" i="8"/>
  <c r="D2963" i="8"/>
  <c r="D2741" i="8"/>
  <c r="D2900" i="8"/>
  <c r="D3456" i="8"/>
  <c r="D3003" i="8"/>
  <c r="D2996" i="8"/>
  <c r="D3634" i="8"/>
  <c r="D3492" i="8"/>
  <c r="D3676" i="8"/>
  <c r="D3669" i="8"/>
  <c r="D3521" i="8"/>
  <c r="D3041" i="8"/>
  <c r="D3200" i="8"/>
  <c r="D2603" i="8"/>
  <c r="D2678" i="8"/>
  <c r="D2571" i="8"/>
  <c r="D2717" i="8"/>
  <c r="D3557" i="8"/>
  <c r="D2671" i="8"/>
  <c r="D3165" i="8"/>
  <c r="E571" i="33" l="1"/>
  <c r="R2652" i="8"/>
  <c r="R2565" i="8"/>
  <c r="D2515" i="8"/>
  <c r="C2515" i="8"/>
  <c r="D2513" i="8"/>
  <c r="C2513" i="8"/>
  <c r="D2506" i="8"/>
  <c r="C2506" i="8"/>
  <c r="D2504" i="8"/>
  <c r="C2504" i="8"/>
  <c r="D2487" i="8"/>
  <c r="C2487" i="8"/>
  <c r="D2480" i="8"/>
  <c r="C2480" i="8"/>
  <c r="D2473" i="8"/>
  <c r="C2473" i="8"/>
  <c r="D2466" i="8"/>
  <c r="C2466" i="8"/>
  <c r="D2459" i="8"/>
  <c r="C2459" i="8"/>
  <c r="R2452" i="8"/>
  <c r="D2451" i="8"/>
  <c r="C2451" i="8"/>
  <c r="D2444" i="8"/>
  <c r="C2444" i="8"/>
  <c r="D2442" i="8"/>
  <c r="C2442" i="8"/>
  <c r="D2435" i="8"/>
  <c r="C2435" i="8"/>
  <c r="D2433" i="8"/>
  <c r="C2433" i="8"/>
  <c r="D2431" i="8"/>
  <c r="C2431" i="8"/>
  <c r="D2424" i="8"/>
  <c r="C2424" i="8"/>
  <c r="D2422" i="8"/>
  <c r="C2422" i="8"/>
  <c r="D2420" i="8"/>
  <c r="C2420" i="8"/>
  <c r="D2413" i="8"/>
  <c r="C2413" i="8"/>
  <c r="D2406" i="8"/>
  <c r="C2406" i="8"/>
  <c r="D2399" i="8"/>
  <c r="C2399" i="8"/>
  <c r="D2392" i="8"/>
  <c r="C2392" i="8"/>
  <c r="D2385" i="8"/>
  <c r="C2385" i="8"/>
  <c r="D2378" i="8"/>
  <c r="C2378" i="8"/>
  <c r="D2371" i="8"/>
  <c r="C2371" i="8"/>
  <c r="D2364" i="8"/>
  <c r="C2364" i="8"/>
  <c r="R2311" i="8"/>
  <c r="R2310" i="8"/>
  <c r="Q2309" i="8"/>
  <c r="R2309" i="8" s="1"/>
  <c r="S2308" i="8"/>
  <c r="Q2308" i="8"/>
  <c r="R2308" i="8" s="1"/>
  <c r="S2307" i="8"/>
  <c r="R2307" i="8"/>
  <c r="R2301" i="8"/>
  <c r="R2300" i="8"/>
  <c r="Q2299" i="8"/>
  <c r="R2299" i="8" s="1"/>
  <c r="S2298" i="8"/>
  <c r="Q2298" i="8"/>
  <c r="R2298" i="8" s="1"/>
  <c r="S2297" i="8"/>
  <c r="R2297" i="8"/>
  <c r="R2291" i="8"/>
  <c r="R2290" i="8"/>
  <c r="Q2289" i="8"/>
  <c r="R2289" i="8" s="1"/>
  <c r="S2288" i="8"/>
  <c r="Q2288" i="8"/>
  <c r="R2288" i="8" s="1"/>
  <c r="S2287" i="8"/>
  <c r="R2287" i="8"/>
  <c r="Q2281" i="8"/>
  <c r="R2281" i="8" s="1"/>
  <c r="Q2280" i="8"/>
  <c r="R2280" i="8" s="1"/>
  <c r="S2279" i="8"/>
  <c r="Q2279" i="8"/>
  <c r="R2279" i="8" s="1"/>
  <c r="S2278" i="8"/>
  <c r="R2278" i="8"/>
  <c r="R2268" i="8"/>
  <c r="R2262" i="8"/>
  <c r="R2256" i="8"/>
  <c r="R2250" i="8"/>
  <c r="R2230" i="8"/>
  <c r="D2229" i="8"/>
  <c r="C2229" i="8"/>
  <c r="R2222" i="8"/>
  <c r="D2221" i="8"/>
  <c r="C2221" i="8"/>
  <c r="R2214" i="8"/>
  <c r="D2213" i="8"/>
  <c r="C2213" i="8"/>
  <c r="R2206" i="8"/>
  <c r="D2205" i="8"/>
  <c r="C2205" i="8"/>
  <c r="R2198" i="8"/>
  <c r="D2197" i="8"/>
  <c r="C2197" i="8"/>
  <c r="R2190" i="8"/>
  <c r="D2189" i="8"/>
  <c r="C2189" i="8"/>
  <c r="R2182" i="8"/>
  <c r="D2181" i="8"/>
  <c r="C2181" i="8"/>
  <c r="R2174" i="8"/>
  <c r="D2173" i="8"/>
  <c r="C2173" i="8"/>
  <c r="D2158" i="8"/>
  <c r="C2158" i="8"/>
  <c r="D2144" i="8"/>
  <c r="C2144" i="8"/>
  <c r="D2151" i="8"/>
  <c r="C2151" i="8"/>
  <c r="D2137" i="8"/>
  <c r="C2137" i="8"/>
  <c r="R2130" i="8"/>
  <c r="D2124" i="8"/>
  <c r="C2124" i="8"/>
  <c r="D2117" i="8"/>
  <c r="C2117" i="8"/>
  <c r="D2110" i="8"/>
  <c r="C2110" i="8"/>
  <c r="D2097" i="8"/>
  <c r="C2097" i="8"/>
  <c r="D2090" i="8"/>
  <c r="C2090" i="8"/>
  <c r="R342" i="11"/>
  <c r="D2083" i="8"/>
  <c r="C2083" i="8"/>
  <c r="R305" i="11"/>
  <c r="D2076" i="8"/>
  <c r="C2076" i="8"/>
  <c r="D2069" i="8"/>
  <c r="C2069" i="8"/>
  <c r="D2062" i="8"/>
  <c r="C2062" i="8"/>
  <c r="D2055" i="8"/>
  <c r="C2055" i="8"/>
  <c r="D2048" i="8"/>
  <c r="C2048" i="8"/>
  <c r="D2041" i="8"/>
  <c r="C2041" i="8"/>
  <c r="D2034" i="8"/>
  <c r="C2034" i="8"/>
  <c r="D2027" i="8"/>
  <c r="C2027" i="8"/>
  <c r="D2020" i="8"/>
  <c r="C2020" i="8"/>
  <c r="D2013" i="8"/>
  <c r="C2013" i="8"/>
  <c r="D2002" i="8"/>
  <c r="C2002" i="8"/>
  <c r="D1995" i="8"/>
  <c r="C1995" i="8"/>
  <c r="R1988" i="8"/>
  <c r="D1932" i="8"/>
  <c r="C1932" i="8"/>
  <c r="D1930" i="8"/>
  <c r="C1930" i="8"/>
  <c r="D1923" i="8"/>
  <c r="C1923" i="8"/>
  <c r="D1921" i="8"/>
  <c r="C1921" i="8"/>
  <c r="D1910" i="8"/>
  <c r="C1910" i="8"/>
  <c r="D1903" i="8"/>
  <c r="C1903" i="8"/>
  <c r="D1901" i="8"/>
  <c r="C1901" i="8"/>
  <c r="D1894" i="8"/>
  <c r="C1894" i="8"/>
  <c r="D1887" i="8"/>
  <c r="C1887" i="8"/>
  <c r="D1880" i="8"/>
  <c r="C1880" i="8"/>
  <c r="D1873" i="8"/>
  <c r="C1873" i="8"/>
  <c r="R1866" i="8"/>
  <c r="D1865" i="8"/>
  <c r="C1865" i="8"/>
  <c r="D1858" i="8"/>
  <c r="C1858" i="8"/>
  <c r="D1851" i="8"/>
  <c r="C1851" i="8"/>
  <c r="D1844" i="8"/>
  <c r="C1844" i="8"/>
  <c r="D1837" i="8"/>
  <c r="C1837" i="8"/>
  <c r="D1835" i="8"/>
  <c r="C1835" i="8"/>
  <c r="D1833" i="8"/>
  <c r="C1833" i="8"/>
  <c r="D1826" i="8"/>
  <c r="C1826" i="8"/>
  <c r="D1819" i="8"/>
  <c r="C1819" i="8"/>
  <c r="D1812" i="8"/>
  <c r="C1812" i="8"/>
  <c r="D1805" i="8"/>
  <c r="C1805" i="8"/>
  <c r="D1780" i="8"/>
  <c r="C1780" i="8"/>
  <c r="D1778" i="8"/>
  <c r="C1778" i="8"/>
  <c r="R1728" i="8"/>
  <c r="R1727" i="8"/>
  <c r="Q1726" i="8"/>
  <c r="R1726" i="8" s="1"/>
  <c r="S1725" i="8"/>
  <c r="Q1725" i="8"/>
  <c r="R1725" i="8" s="1"/>
  <c r="S1724" i="8"/>
  <c r="R1724" i="8"/>
  <c r="R1718" i="8"/>
  <c r="R1717" i="8"/>
  <c r="Q1716" i="8"/>
  <c r="R1716" i="8" s="1"/>
  <c r="S1715" i="8"/>
  <c r="Q1715" i="8"/>
  <c r="R1715" i="8" s="1"/>
  <c r="S1714" i="8"/>
  <c r="R1714" i="8"/>
  <c r="R1708" i="8"/>
  <c r="R1707" i="8"/>
  <c r="Q1706" i="8"/>
  <c r="R1706" i="8" s="1"/>
  <c r="S1705" i="8"/>
  <c r="Q1705" i="8"/>
  <c r="R1705" i="8" s="1"/>
  <c r="S1704" i="8"/>
  <c r="R1704" i="8"/>
  <c r="R1685" i="8"/>
  <c r="R1679" i="8"/>
  <c r="R1673" i="8"/>
  <c r="S1695" i="8"/>
  <c r="Q1698" i="8"/>
  <c r="R1698" i="8" s="1"/>
  <c r="Q1697" i="8"/>
  <c r="R1697" i="8" s="1"/>
  <c r="S1696" i="8"/>
  <c r="Q1696" i="8"/>
  <c r="R1696" i="8" s="1"/>
  <c r="R1695" i="8"/>
  <c r="R1667" i="8"/>
  <c r="R1653" i="8"/>
  <c r="D1652" i="8"/>
  <c r="C1652" i="8"/>
  <c r="R1645" i="8"/>
  <c r="D1644" i="8"/>
  <c r="C1644" i="8"/>
  <c r="R1637" i="8"/>
  <c r="D1636" i="8"/>
  <c r="C1636" i="8"/>
  <c r="R1629" i="8"/>
  <c r="D1628" i="8"/>
  <c r="C1628" i="8"/>
  <c r="R1621" i="8"/>
  <c r="D1620" i="8"/>
  <c r="C1620" i="8"/>
  <c r="R1613" i="8"/>
  <c r="D1612" i="8"/>
  <c r="C1612" i="8"/>
  <c r="R1605" i="8"/>
  <c r="D1604" i="8"/>
  <c r="C1604" i="8"/>
  <c r="D1583" i="8"/>
  <c r="C1583" i="8"/>
  <c r="R483" i="11"/>
  <c r="D1576" i="8"/>
  <c r="C1576" i="8"/>
  <c r="D1569" i="8"/>
  <c r="C1569" i="8"/>
  <c r="R1562" i="8"/>
  <c r="D1556" i="8"/>
  <c r="C1556" i="8"/>
  <c r="D1549" i="8"/>
  <c r="C1549" i="8"/>
  <c r="R335" i="11"/>
  <c r="R358" i="11"/>
  <c r="D1542" i="8"/>
  <c r="C1542" i="8"/>
  <c r="D1535" i="8"/>
  <c r="C1535" i="8"/>
  <c r="D1528" i="8"/>
  <c r="C1528" i="8"/>
  <c r="R455" i="11"/>
  <c r="D1521" i="8"/>
  <c r="C1521" i="8"/>
  <c r="D1514" i="8"/>
  <c r="C1514" i="8"/>
  <c r="R426" i="11"/>
  <c r="D1507" i="8"/>
  <c r="C1507" i="8"/>
  <c r="D1500" i="8"/>
  <c r="C1500" i="8"/>
  <c r="R412" i="11"/>
  <c r="R404" i="11"/>
  <c r="D1493" i="8"/>
  <c r="C1493" i="8"/>
  <c r="D1486" i="8"/>
  <c r="C1486" i="8"/>
  <c r="D1479" i="8"/>
  <c r="C1479" i="8"/>
  <c r="R373" i="11"/>
  <c r="D1468" i="8"/>
  <c r="C1468" i="8"/>
  <c r="R1461" i="8"/>
  <c r="D1405" i="8"/>
  <c r="C1405" i="8"/>
  <c r="D1403" i="8"/>
  <c r="C1403" i="8"/>
  <c r="D1396" i="8"/>
  <c r="C1396" i="8"/>
  <c r="D1394" i="8"/>
  <c r="C1394" i="8"/>
  <c r="D1383" i="8"/>
  <c r="C1383" i="8"/>
  <c r="D1376" i="8"/>
  <c r="C1376" i="8"/>
  <c r="R527" i="11"/>
  <c r="D1374" i="8"/>
  <c r="C1374" i="8"/>
  <c r="D1372" i="8"/>
  <c r="C1372" i="8"/>
  <c r="D1365" i="8"/>
  <c r="C1365" i="8"/>
  <c r="D1358" i="8"/>
  <c r="C1358" i="8"/>
  <c r="D1351" i="8"/>
  <c r="C1351" i="8"/>
  <c r="D1344" i="8"/>
  <c r="C1344" i="8"/>
  <c r="R1337" i="8"/>
  <c r="D1336" i="8"/>
  <c r="C1336" i="8"/>
  <c r="D1329" i="8"/>
  <c r="C1329" i="8"/>
  <c r="D1327" i="8"/>
  <c r="C1327" i="8"/>
  <c r="D1320" i="8"/>
  <c r="C1320" i="8"/>
  <c r="D1313" i="8"/>
  <c r="C1313" i="8"/>
  <c r="D1306" i="8"/>
  <c r="C1306" i="8"/>
  <c r="D1299" i="8"/>
  <c r="C1299" i="8"/>
  <c r="D1292" i="8"/>
  <c r="C1292" i="8"/>
  <c r="D1285" i="8"/>
  <c r="C1285" i="8"/>
  <c r="R1260" i="8"/>
  <c r="R1259" i="8"/>
  <c r="R1231" i="8"/>
  <c r="R1230" i="8"/>
  <c r="S1250" i="8"/>
  <c r="Q1253" i="8"/>
  <c r="R1253" i="8" s="1"/>
  <c r="Q1252" i="8"/>
  <c r="R1252" i="8" s="1"/>
  <c r="S1251" i="8"/>
  <c r="Q1251" i="8"/>
  <c r="R1251" i="8" s="1"/>
  <c r="R1250" i="8"/>
  <c r="R1224" i="8"/>
  <c r="Q1244" i="8"/>
  <c r="R1244" i="8" s="1"/>
  <c r="Q1243" i="8"/>
  <c r="R1243" i="8" s="1"/>
  <c r="S1242" i="8"/>
  <c r="Q1242" i="8"/>
  <c r="R1242" i="8" s="1"/>
  <c r="S1241" i="8"/>
  <c r="R1241" i="8"/>
  <c r="R1218" i="8"/>
  <c r="R1198" i="8"/>
  <c r="D1197" i="8"/>
  <c r="C1197" i="8"/>
  <c r="R1190" i="8"/>
  <c r="D1189" i="8"/>
  <c r="C1189" i="8"/>
  <c r="R1182" i="8"/>
  <c r="D1181" i="8"/>
  <c r="C1181" i="8"/>
  <c r="R1174" i="8"/>
  <c r="D1173" i="8"/>
  <c r="C1173" i="8"/>
  <c r="R1166" i="8"/>
  <c r="D1165" i="8"/>
  <c r="C1165" i="8"/>
  <c r="R1158" i="8"/>
  <c r="D1157" i="8"/>
  <c r="C1157" i="8"/>
  <c r="R1150" i="8"/>
  <c r="D1149" i="8"/>
  <c r="C1149" i="8"/>
  <c r="R1142" i="8"/>
  <c r="D1141" i="8"/>
  <c r="C1141" i="8"/>
  <c r="R1134" i="8"/>
  <c r="D1133" i="8"/>
  <c r="C1133" i="8"/>
  <c r="D1118" i="8"/>
  <c r="C1118" i="8"/>
  <c r="D1111" i="8"/>
  <c r="C1111" i="8"/>
  <c r="D1104" i="8"/>
  <c r="C1104" i="8"/>
  <c r="R1097" i="8"/>
  <c r="D1096" i="8"/>
  <c r="C1096" i="8"/>
  <c r="D1089" i="8"/>
  <c r="C1089" i="8"/>
  <c r="D1082" i="8"/>
  <c r="C1082" i="8"/>
  <c r="D1075" i="8"/>
  <c r="C1075" i="8"/>
  <c r="D1068" i="8"/>
  <c r="C1068" i="8"/>
  <c r="D1061" i="8"/>
  <c r="C1061" i="8"/>
  <c r="D1054" i="8"/>
  <c r="C1054" i="8"/>
  <c r="D1041" i="8"/>
  <c r="C1041" i="8"/>
  <c r="D1034" i="8"/>
  <c r="C1034" i="8"/>
  <c r="D1027" i="8"/>
  <c r="C1027" i="8"/>
  <c r="R396" i="11"/>
  <c r="D1016" i="8"/>
  <c r="C1016" i="8"/>
  <c r="D1009" i="8"/>
  <c r="C1009" i="8"/>
  <c r="R1002" i="8"/>
  <c r="D970" i="8"/>
  <c r="C970" i="8"/>
  <c r="D968" i="8"/>
  <c r="C968" i="8"/>
  <c r="D961" i="8"/>
  <c r="C961" i="8"/>
  <c r="R521" i="11"/>
  <c r="D959" i="8"/>
  <c r="C959" i="8"/>
  <c r="D948" i="8"/>
  <c r="C948" i="8"/>
  <c r="D941" i="8"/>
  <c r="C941" i="8"/>
  <c r="D934" i="8"/>
  <c r="C934" i="8"/>
  <c r="D909" i="8"/>
  <c r="C909" i="8"/>
  <c r="D900" i="8"/>
  <c r="C900" i="8"/>
  <c r="D907" i="8"/>
  <c r="C907" i="8"/>
  <c r="D898" i="8"/>
  <c r="C898" i="8"/>
  <c r="Q513" i="11"/>
  <c r="Q512" i="11"/>
  <c r="Q511" i="11"/>
  <c r="Q510" i="11"/>
  <c r="Q509" i="11"/>
  <c r="Q508" i="11"/>
  <c r="R514" i="11"/>
  <c r="Q502" i="11"/>
  <c r="Q501" i="11"/>
  <c r="Q500" i="11"/>
  <c r="Q499" i="11"/>
  <c r="Q498" i="11"/>
  <c r="Q497" i="11"/>
  <c r="D1922" i="8"/>
  <c r="D1520" i="8"/>
  <c r="D1188" i="8"/>
  <c r="D2047" i="8"/>
  <c r="D1305" i="8"/>
  <c r="D1994" i="8"/>
  <c r="D1095" i="8"/>
  <c r="D958" i="8"/>
  <c r="D1872" i="8"/>
  <c r="D1886" i="8"/>
  <c r="D1485" i="8"/>
  <c r="D2143" i="8"/>
  <c r="D1393" i="8"/>
  <c r="D2384" i="8"/>
  <c r="D1779" i="8"/>
  <c r="D1575" i="8"/>
  <c r="D1196" i="8"/>
  <c r="D2434" i="8"/>
  <c r="D1467" i="8"/>
  <c r="D1843" i="8"/>
  <c r="D1343" i="8"/>
  <c r="D906" i="8"/>
  <c r="D2026" i="8"/>
  <c r="D1555" i="8"/>
  <c r="D2228" i="8"/>
  <c r="D1284" i="8"/>
  <c r="D897" i="8"/>
  <c r="D2212" i="8"/>
  <c r="D969" i="8"/>
  <c r="D1900" i="8"/>
  <c r="D2012" i="8"/>
  <c r="D1364" i="8"/>
  <c r="D2419" i="8"/>
  <c r="D2450" i="8"/>
  <c r="D1920" i="8"/>
  <c r="D2180" i="8"/>
  <c r="D1404" i="8"/>
  <c r="D1627" i="8"/>
  <c r="D1506" i="8"/>
  <c r="D1619" i="8"/>
  <c r="D2363" i="8"/>
  <c r="D1081" i="8"/>
  <c r="D1291" i="8"/>
  <c r="D1611" i="8"/>
  <c r="D2430" i="8"/>
  <c r="D2061" i="8"/>
  <c r="D1033" i="8"/>
  <c r="D2443" i="8"/>
  <c r="D1931" i="8"/>
  <c r="D1818" i="8"/>
  <c r="D1893" i="8"/>
  <c r="D933" i="8"/>
  <c r="D899" i="8"/>
  <c r="D2054" i="8"/>
  <c r="D2405" i="8"/>
  <c r="D1832" i="8"/>
  <c r="D1319" i="8"/>
  <c r="D2157" i="8"/>
  <c r="D1067" i="8"/>
  <c r="D1026" i="8"/>
  <c r="D1357" i="8"/>
  <c r="D2188" i="8"/>
  <c r="D1117" i="8"/>
  <c r="D2116" i="8"/>
  <c r="D1651" i="8"/>
  <c r="D1008" i="8"/>
  <c r="D1088" i="8"/>
  <c r="D1140" i="8"/>
  <c r="D1811" i="8"/>
  <c r="D2377" i="8"/>
  <c r="D1527" i="8"/>
  <c r="D1350" i="8"/>
  <c r="D1568" i="8"/>
  <c r="D1777" i="8"/>
  <c r="D1382" i="8"/>
  <c r="D1513" i="8"/>
  <c r="D2421" i="8"/>
  <c r="D1582" i="8"/>
  <c r="D1603" i="8"/>
  <c r="D2196" i="8"/>
  <c r="D2412" i="8"/>
  <c r="D1834" i="8"/>
  <c r="D1312" i="8"/>
  <c r="D2370" i="8"/>
  <c r="D2136" i="8"/>
  <c r="D2075" i="8"/>
  <c r="D1103" i="8"/>
  <c r="D1180" i="8"/>
  <c r="D1172" i="8"/>
  <c r="D2505" i="8"/>
  <c r="D908" i="8"/>
  <c r="D2089" i="8"/>
  <c r="D1148" i="8"/>
  <c r="D1060" i="8"/>
  <c r="D2503" i="8"/>
  <c r="D1375" i="8"/>
  <c r="D2398" i="8"/>
  <c r="D1156" i="8"/>
  <c r="D1879" i="8"/>
  <c r="D2123" i="8"/>
  <c r="D1534" i="8"/>
  <c r="D2220" i="8"/>
  <c r="D1074" i="8"/>
  <c r="D1902" i="8"/>
  <c r="D2512" i="8"/>
  <c r="D1492" i="8"/>
  <c r="D1132" i="8"/>
  <c r="D2068" i="8"/>
  <c r="D2441" i="8"/>
  <c r="D1499" i="8"/>
  <c r="D1395" i="8"/>
  <c r="D2033" i="8"/>
  <c r="D1371" i="8"/>
  <c r="D2001" i="8"/>
  <c r="D2465" i="8"/>
  <c r="D2423" i="8"/>
  <c r="D2486" i="8"/>
  <c r="D1864" i="8"/>
  <c r="D2082" i="8"/>
  <c r="D2019" i="8"/>
  <c r="D1402" i="8"/>
  <c r="D1164" i="8"/>
  <c r="D2391" i="8"/>
  <c r="D1643" i="8"/>
  <c r="D1110" i="8"/>
  <c r="D1850" i="8"/>
  <c r="D1326" i="8"/>
  <c r="D2432" i="8"/>
  <c r="D1804" i="8"/>
  <c r="D2514" i="8"/>
  <c r="D2458" i="8"/>
  <c r="D967" i="8"/>
  <c r="D1857" i="8"/>
  <c r="D1298" i="8"/>
  <c r="D2204" i="8"/>
  <c r="D2472" i="8"/>
  <c r="D2109" i="8"/>
  <c r="D2172" i="8"/>
  <c r="D1478" i="8"/>
  <c r="D1335" i="8"/>
  <c r="D1015" i="8"/>
  <c r="D960" i="8"/>
  <c r="D1929" i="8"/>
  <c r="D1328" i="8"/>
  <c r="D2150" i="8"/>
  <c r="D2040" i="8"/>
  <c r="D1373" i="8"/>
  <c r="D947" i="8"/>
  <c r="D940" i="8"/>
  <c r="D1635" i="8"/>
  <c r="D1053" i="8"/>
  <c r="D1548" i="8"/>
  <c r="D2479" i="8"/>
  <c r="D1909" i="8"/>
  <c r="D1541" i="8"/>
  <c r="D1040" i="8"/>
  <c r="D1836" i="8"/>
  <c r="D2096" i="8"/>
  <c r="D1825" i="8"/>
  <c r="D883" i="8" l="1"/>
  <c r="C883" i="8"/>
  <c r="D876" i="8"/>
  <c r="C876" i="8"/>
  <c r="R861" i="8"/>
  <c r="R855" i="8"/>
  <c r="R849" i="8"/>
  <c r="R848" i="8"/>
  <c r="R847" i="8"/>
  <c r="R846" i="8"/>
  <c r="R840" i="8"/>
  <c r="R839" i="8"/>
  <c r="R838" i="8"/>
  <c r="R837" i="8"/>
  <c r="R831" i="8"/>
  <c r="R830" i="8"/>
  <c r="R829" i="8"/>
  <c r="R828" i="8"/>
  <c r="Q822" i="8"/>
  <c r="R822" i="8" s="1"/>
  <c r="Q821" i="8"/>
  <c r="R821" i="8" s="1"/>
  <c r="S820" i="8"/>
  <c r="Q820" i="8"/>
  <c r="R820" i="8" s="1"/>
  <c r="S819" i="8"/>
  <c r="R819" i="8"/>
  <c r="Q813" i="8"/>
  <c r="R813" i="8" s="1"/>
  <c r="Q812" i="8"/>
  <c r="R812" i="8" s="1"/>
  <c r="S811" i="8"/>
  <c r="Q811" i="8"/>
  <c r="R811" i="8" s="1"/>
  <c r="S810" i="8"/>
  <c r="R810" i="8"/>
  <c r="R800" i="8"/>
  <c r="R794" i="8"/>
  <c r="R788" i="8"/>
  <c r="R776" i="8"/>
  <c r="R503" i="11"/>
  <c r="R770" i="8"/>
  <c r="R764" i="8"/>
  <c r="R758" i="8"/>
  <c r="D882" i="8"/>
  <c r="D875" i="8"/>
  <c r="R744" i="8" l="1"/>
  <c r="D743" i="8"/>
  <c r="C743" i="8"/>
  <c r="R736" i="8"/>
  <c r="D735" i="8"/>
  <c r="C735" i="8"/>
  <c r="R728" i="8"/>
  <c r="D727" i="8"/>
  <c r="C727" i="8"/>
  <c r="R720" i="8"/>
  <c r="D719" i="8"/>
  <c r="C719" i="8"/>
  <c r="R712" i="8"/>
  <c r="D711" i="8"/>
  <c r="C711" i="8"/>
  <c r="R704" i="8"/>
  <c r="D703" i="8"/>
  <c r="C703" i="8"/>
  <c r="R492" i="11"/>
  <c r="D726" i="8"/>
  <c r="D710" i="8"/>
  <c r="D702" i="8"/>
  <c r="D742" i="8"/>
  <c r="D734" i="8"/>
  <c r="D718" i="8"/>
  <c r="D660" i="8" l="1"/>
  <c r="C660" i="8"/>
  <c r="D653" i="8"/>
  <c r="C653" i="8"/>
  <c r="Q447" i="11"/>
  <c r="D646" i="8"/>
  <c r="C646" i="8"/>
  <c r="D633" i="8"/>
  <c r="C633" i="8"/>
  <c r="D626" i="8"/>
  <c r="C626" i="8"/>
  <c r="D619" i="8"/>
  <c r="C619" i="8"/>
  <c r="R475" i="11"/>
  <c r="R468" i="11"/>
  <c r="R461" i="11"/>
  <c r="R449" i="11"/>
  <c r="R433" i="11"/>
  <c r="R388" i="11"/>
  <c r="R380" i="11"/>
  <c r="R327" i="11"/>
  <c r="R319" i="11"/>
  <c r="R298" i="11"/>
  <c r="R366" i="11"/>
  <c r="R290" i="11"/>
  <c r="D688" i="8"/>
  <c r="C688" i="8"/>
  <c r="D681" i="8"/>
  <c r="C681" i="8"/>
  <c r="D674" i="8"/>
  <c r="C674" i="8"/>
  <c r="D667" i="8"/>
  <c r="C667" i="8"/>
  <c r="R274" i="11"/>
  <c r="E211" i="33"/>
  <c r="D601" i="8"/>
  <c r="C601" i="8"/>
  <c r="D594" i="8"/>
  <c r="C594" i="8"/>
  <c r="D587" i="8"/>
  <c r="C587" i="8"/>
  <c r="R225" i="11"/>
  <c r="R219" i="11"/>
  <c r="R244" i="11"/>
  <c r="R231" i="11"/>
  <c r="R259" i="11"/>
  <c r="R252" i="11"/>
  <c r="D576" i="8"/>
  <c r="C576" i="8"/>
  <c r="D569" i="8"/>
  <c r="C569" i="8"/>
  <c r="D567" i="8"/>
  <c r="C567" i="8"/>
  <c r="D560" i="8"/>
  <c r="C560" i="8"/>
  <c r="D558" i="8"/>
  <c r="C558" i="8"/>
  <c r="D551" i="8"/>
  <c r="C551" i="8"/>
  <c r="D549" i="8"/>
  <c r="C549" i="8"/>
  <c r="D542" i="8"/>
  <c r="C542" i="8"/>
  <c r="R213" i="11"/>
  <c r="D540" i="8"/>
  <c r="C540" i="8"/>
  <c r="D533" i="8"/>
  <c r="C533" i="8"/>
  <c r="D526" i="8"/>
  <c r="C526" i="8"/>
  <c r="D519" i="8"/>
  <c r="C519" i="8"/>
  <c r="D512" i="8"/>
  <c r="C512" i="8"/>
  <c r="D505" i="8"/>
  <c r="C505" i="8"/>
  <c r="D666" i="8"/>
  <c r="D525" i="8"/>
  <c r="D687" i="8"/>
  <c r="D541" i="8"/>
  <c r="D518" i="8"/>
  <c r="D568" i="8"/>
  <c r="D632" i="8"/>
  <c r="D539" i="8"/>
  <c r="D504" i="8"/>
  <c r="D557" i="8"/>
  <c r="D586" i="8"/>
  <c r="D550" i="8"/>
  <c r="D652" i="8"/>
  <c r="D659" i="8"/>
  <c r="D559" i="8"/>
  <c r="D593" i="8"/>
  <c r="D645" i="8"/>
  <c r="D575" i="8"/>
  <c r="D566" i="8"/>
  <c r="D600" i="8"/>
  <c r="D618" i="8"/>
  <c r="D625" i="8"/>
  <c r="D680" i="8"/>
  <c r="D548" i="8"/>
  <c r="D532" i="8"/>
  <c r="D673" i="8"/>
  <c r="D511" i="8"/>
  <c r="D33" i="43" l="1"/>
  <c r="G32" i="43"/>
  <c r="G33" i="43" s="1"/>
  <c r="G35" i="43" s="1"/>
  <c r="E26" i="43"/>
  <c r="E25" i="43"/>
  <c r="F18" i="43"/>
  <c r="G18" i="43" s="1"/>
  <c r="D28" i="43" s="1"/>
  <c r="F28" i="43" s="1"/>
  <c r="G28" i="43" s="1"/>
  <c r="F17" i="43"/>
  <c r="G17" i="43" s="1"/>
  <c r="D27" i="43" s="1"/>
  <c r="F27" i="43" s="1"/>
  <c r="F16" i="43"/>
  <c r="G16" i="43" s="1"/>
  <c r="F15" i="43"/>
  <c r="G15" i="43" s="1"/>
  <c r="F14" i="43"/>
  <c r="G14" i="43" s="1"/>
  <c r="F13" i="43"/>
  <c r="G13" i="43" s="1"/>
  <c r="F12" i="43"/>
  <c r="G12" i="43" s="1"/>
  <c r="E11" i="43"/>
  <c r="F11" i="43" s="1"/>
  <c r="G11" i="43" s="1"/>
  <c r="F10" i="43"/>
  <c r="G10" i="43" s="1"/>
  <c r="F9" i="43"/>
  <c r="G9" i="43" s="1"/>
  <c r="F8" i="43"/>
  <c r="G8" i="43" s="1"/>
  <c r="F7" i="43"/>
  <c r="G7" i="43" s="1"/>
  <c r="F6" i="43"/>
  <c r="G6" i="43" s="1"/>
  <c r="E5" i="43"/>
  <c r="F5" i="43" s="1"/>
  <c r="G5" i="43" s="1"/>
  <c r="G27" i="43" l="1"/>
  <c r="D26" i="43"/>
  <c r="F26" i="43" s="1"/>
  <c r="G26" i="43" s="1"/>
  <c r="D25" i="43"/>
  <c r="F25" i="43" s="1"/>
  <c r="G25" i="43" s="1"/>
  <c r="G20" i="43"/>
  <c r="R207" i="11" l="1"/>
  <c r="D480" i="8"/>
  <c r="C480" i="8"/>
  <c r="D471" i="8"/>
  <c r="C471" i="8"/>
  <c r="D462" i="8"/>
  <c r="C462" i="8"/>
  <c r="D453" i="8"/>
  <c r="C453" i="8"/>
  <c r="D444" i="8"/>
  <c r="C444" i="8"/>
  <c r="C68" i="42"/>
  <c r="F61" i="42"/>
  <c r="L61" i="42" s="1"/>
  <c r="F60" i="42"/>
  <c r="F65" i="42" s="1"/>
  <c r="F59" i="42"/>
  <c r="L59" i="42" s="1"/>
  <c r="F57" i="42"/>
  <c r="L57" i="42" s="1"/>
  <c r="F56" i="42"/>
  <c r="L56" i="42" s="1"/>
  <c r="L53" i="42"/>
  <c r="F53" i="42"/>
  <c r="F52" i="42"/>
  <c r="L52" i="42" s="1"/>
  <c r="F51" i="42"/>
  <c r="L51" i="42" s="1"/>
  <c r="F50" i="42"/>
  <c r="L50" i="42" s="1"/>
  <c r="S40" i="42"/>
  <c r="P40" i="42"/>
  <c r="J40" i="42"/>
  <c r="G40" i="42"/>
  <c r="D40" i="42"/>
  <c r="S38" i="42"/>
  <c r="P38" i="42"/>
  <c r="J38" i="42"/>
  <c r="G38" i="42"/>
  <c r="D38" i="42"/>
  <c r="S36" i="42"/>
  <c r="P36" i="42"/>
  <c r="J36" i="42"/>
  <c r="G36" i="42"/>
  <c r="D36" i="42"/>
  <c r="S34" i="42"/>
  <c r="P34" i="42"/>
  <c r="J34" i="42"/>
  <c r="G34" i="42"/>
  <c r="D34" i="42"/>
  <c r="S32" i="42"/>
  <c r="P32" i="42"/>
  <c r="J32" i="42"/>
  <c r="G32" i="42"/>
  <c r="F49" i="42" s="1"/>
  <c r="L49" i="42" s="1"/>
  <c r="D32" i="42"/>
  <c r="S30" i="42"/>
  <c r="P30" i="42"/>
  <c r="J30" i="42"/>
  <c r="G30" i="42"/>
  <c r="D30" i="42"/>
  <c r="S28" i="42"/>
  <c r="P28" i="42"/>
  <c r="J28" i="42"/>
  <c r="G28" i="42"/>
  <c r="D28" i="42"/>
  <c r="S26" i="42"/>
  <c r="P26" i="42"/>
  <c r="J26" i="42"/>
  <c r="F48" i="42" s="1"/>
  <c r="L48" i="42" s="1"/>
  <c r="G26" i="42"/>
  <c r="D26" i="42"/>
  <c r="S24" i="42"/>
  <c r="P24" i="42"/>
  <c r="J24" i="42"/>
  <c r="G24" i="42"/>
  <c r="D24" i="42"/>
  <c r="D13" i="42"/>
  <c r="F54" i="42" s="1"/>
  <c r="D452" i="8"/>
  <c r="D461" i="8"/>
  <c r="D443" i="8"/>
  <c r="D479" i="8"/>
  <c r="D470" i="8"/>
  <c r="S42" i="42" l="1"/>
  <c r="F58" i="42"/>
  <c r="L58" i="42" s="1"/>
  <c r="P42" i="42"/>
  <c r="F66" i="42"/>
  <c r="L66" i="42" s="1"/>
  <c r="L65" i="42"/>
  <c r="F55" i="42"/>
  <c r="L55" i="42" s="1"/>
  <c r="L54" i="42"/>
  <c r="F62" i="42"/>
  <c r="L60" i="42"/>
  <c r="F63" i="42" l="1"/>
  <c r="L62" i="42"/>
  <c r="L63" i="42" l="1"/>
  <c r="F64" i="42"/>
  <c r="L64" i="42" s="1"/>
  <c r="L68" i="42" l="1"/>
  <c r="R197" i="11" l="1"/>
  <c r="D478" i="8"/>
  <c r="C478" i="8"/>
  <c r="D469" i="8"/>
  <c r="C469" i="8"/>
  <c r="D460" i="8"/>
  <c r="C460" i="8"/>
  <c r="D451" i="8"/>
  <c r="C451" i="8"/>
  <c r="D442" i="8"/>
  <c r="C442" i="8"/>
  <c r="Q174" i="11"/>
  <c r="Q173" i="11"/>
  <c r="Q165" i="11"/>
  <c r="Q164" i="11"/>
  <c r="R177" i="11"/>
  <c r="Q176" i="11"/>
  <c r="Q175" i="11"/>
  <c r="R168" i="11"/>
  <c r="Q167" i="11"/>
  <c r="Q166" i="11"/>
  <c r="Q156" i="11"/>
  <c r="Q155" i="11"/>
  <c r="Q158" i="11"/>
  <c r="Q157" i="11"/>
  <c r="Q147" i="11"/>
  <c r="Q146" i="11"/>
  <c r="Q149" i="11"/>
  <c r="Q148" i="11"/>
  <c r="Q140" i="11"/>
  <c r="Q139" i="11"/>
  <c r="Q138" i="11"/>
  <c r="Q137" i="11"/>
  <c r="R159" i="11"/>
  <c r="R150" i="11"/>
  <c r="R141" i="11"/>
  <c r="Q127" i="11"/>
  <c r="Q117" i="11"/>
  <c r="D420" i="8"/>
  <c r="C420" i="8"/>
  <c r="D413" i="8"/>
  <c r="C413" i="8"/>
  <c r="D406" i="8"/>
  <c r="C406" i="8"/>
  <c r="R132" i="11"/>
  <c r="D427" i="8"/>
  <c r="C427" i="8"/>
  <c r="D330" i="8"/>
  <c r="C330" i="8"/>
  <c r="D323" i="8"/>
  <c r="C323" i="8"/>
  <c r="D316" i="8"/>
  <c r="C316" i="8"/>
  <c r="R122" i="11"/>
  <c r="D3404" i="8"/>
  <c r="C3404" i="8"/>
  <c r="D3397" i="8"/>
  <c r="C3397" i="8"/>
  <c r="D3390" i="8"/>
  <c r="C3390" i="8"/>
  <c r="D2876" i="8"/>
  <c r="C2876" i="8"/>
  <c r="D2869" i="8"/>
  <c r="C2869" i="8"/>
  <c r="D2862" i="8"/>
  <c r="C2862" i="8"/>
  <c r="D2339" i="8"/>
  <c r="C2339" i="8"/>
  <c r="D2332" i="8"/>
  <c r="C2332" i="8"/>
  <c r="D2325" i="8"/>
  <c r="C2325" i="8"/>
  <c r="D1763" i="8"/>
  <c r="C1763" i="8"/>
  <c r="D1756" i="8"/>
  <c r="C1756" i="8"/>
  <c r="D1749" i="8"/>
  <c r="C1749" i="8"/>
  <c r="R102" i="11"/>
  <c r="D399" i="8"/>
  <c r="C399" i="8"/>
  <c r="D392" i="8"/>
  <c r="C392" i="8"/>
  <c r="D385" i="8"/>
  <c r="C385" i="8"/>
  <c r="D378" i="8"/>
  <c r="C378" i="8"/>
  <c r="D365" i="8"/>
  <c r="C365" i="8"/>
  <c r="D358" i="8"/>
  <c r="C358" i="8"/>
  <c r="D351" i="8"/>
  <c r="C351" i="8"/>
  <c r="D344" i="8"/>
  <c r="C344" i="8"/>
  <c r="D337" i="8"/>
  <c r="C337" i="8"/>
  <c r="D309" i="8"/>
  <c r="C309" i="8"/>
  <c r="D302" i="8"/>
  <c r="C302" i="8"/>
  <c r="D295" i="8"/>
  <c r="C295" i="8"/>
  <c r="D288" i="8"/>
  <c r="C288" i="8"/>
  <c r="A281" i="8"/>
  <c r="C281" i="8" s="1"/>
  <c r="D281" i="8"/>
  <c r="D2861" i="8"/>
  <c r="D426" i="8"/>
  <c r="D459" i="8"/>
  <c r="D301" i="8"/>
  <c r="D287" i="8"/>
  <c r="D1762" i="8"/>
  <c r="D468" i="8"/>
  <c r="D308" i="8"/>
  <c r="D2868" i="8"/>
  <c r="D412" i="8"/>
  <c r="D391" i="8"/>
  <c r="D364" i="8"/>
  <c r="D1755" i="8"/>
  <c r="D3389" i="8"/>
  <c r="D377" i="8"/>
  <c r="D450" i="8"/>
  <c r="D343" i="8"/>
  <c r="D322" i="8"/>
  <c r="D1748" i="8"/>
  <c r="D398" i="8"/>
  <c r="D441" i="8"/>
  <c r="D2331" i="8"/>
  <c r="D405" i="8"/>
  <c r="D336" i="8"/>
  <c r="D419" i="8"/>
  <c r="D477" i="8"/>
  <c r="D3396" i="8"/>
  <c r="D315" i="8"/>
  <c r="D2875" i="8"/>
  <c r="D280" i="8"/>
  <c r="D2324" i="8"/>
  <c r="D384" i="8"/>
  <c r="D3403" i="8"/>
  <c r="D2338" i="8"/>
  <c r="D357" i="8"/>
  <c r="D350" i="8"/>
  <c r="D329" i="8"/>
  <c r="D294" i="8"/>
  <c r="R112" i="11" l="1"/>
  <c r="R92" i="11"/>
  <c r="R82" i="11"/>
  <c r="R72" i="11"/>
  <c r="R62" i="11"/>
  <c r="R52" i="11"/>
  <c r="R42" i="11"/>
  <c r="R32" i="11"/>
  <c r="D274" i="8"/>
  <c r="C274" i="8"/>
  <c r="R253" i="8"/>
  <c r="R252" i="8"/>
  <c r="R251" i="8"/>
  <c r="R250" i="8"/>
  <c r="R196" i="8"/>
  <c r="R242" i="8"/>
  <c r="R230" i="8"/>
  <c r="R217" i="8"/>
  <c r="R207" i="8"/>
  <c r="R244" i="8"/>
  <c r="R243" i="8"/>
  <c r="R241" i="8"/>
  <c r="R190" i="8"/>
  <c r="R235" i="8"/>
  <c r="R234" i="8"/>
  <c r="R233" i="8"/>
  <c r="R232" i="8"/>
  <c r="R231" i="8"/>
  <c r="R229" i="8"/>
  <c r="S228" i="8"/>
  <c r="R228" i="8"/>
  <c r="R222" i="8"/>
  <c r="R221" i="8"/>
  <c r="R220" i="8"/>
  <c r="R219" i="8"/>
  <c r="R218" i="8"/>
  <c r="R216" i="8"/>
  <c r="S215" i="8"/>
  <c r="R215" i="8"/>
  <c r="R208" i="8"/>
  <c r="R209" i="8"/>
  <c r="R206" i="8"/>
  <c r="R184" i="8"/>
  <c r="R183" i="8"/>
  <c r="R177" i="8"/>
  <c r="R176" i="8"/>
  <c r="R170" i="8"/>
  <c r="D273" i="8"/>
  <c r="T5" i="1" l="1"/>
  <c r="I26" i="1" s="1"/>
  <c r="T6" i="1"/>
  <c r="I27" i="1" s="1"/>
  <c r="H24" i="1"/>
  <c r="I24" i="1"/>
  <c r="J24" i="1"/>
  <c r="H25" i="1"/>
  <c r="I25" i="1"/>
  <c r="J25" i="1"/>
  <c r="H26" i="1"/>
  <c r="J26" i="1"/>
  <c r="H27" i="1"/>
  <c r="J27" i="1"/>
  <c r="H28" i="1"/>
  <c r="I28" i="1"/>
  <c r="J28" i="1"/>
  <c r="H29" i="1"/>
  <c r="I29" i="1"/>
  <c r="J29" i="1"/>
  <c r="H30" i="1"/>
  <c r="I30" i="1"/>
  <c r="J30" i="1"/>
  <c r="H31" i="1"/>
  <c r="I31" i="1"/>
  <c r="J31" i="1"/>
  <c r="H32" i="1"/>
  <c r="I32" i="1"/>
  <c r="J32" i="1"/>
  <c r="R5439" i="8"/>
  <c r="R5438" i="8"/>
  <c r="R5437" i="8"/>
  <c r="R5432" i="8"/>
  <c r="R5431" i="8"/>
  <c r="R5430" i="8"/>
  <c r="R5425" i="8"/>
  <c r="R5424" i="8"/>
  <c r="R5423" i="8"/>
  <c r="R5402" i="8"/>
  <c r="R5395" i="8"/>
  <c r="R5369" i="8"/>
  <c r="R5363" i="8"/>
  <c r="R5309" i="8"/>
  <c r="R5279" i="8"/>
  <c r="R5253" i="8"/>
  <c r="R5227" i="8"/>
  <c r="R5201" i="8"/>
  <c r="R5159" i="8"/>
  <c r="R5127" i="8"/>
  <c r="R5089" i="8"/>
  <c r="R5083" i="8"/>
  <c r="R5077" i="8"/>
  <c r="R5071" i="8"/>
  <c r="R5061" i="8"/>
  <c r="R4995" i="8"/>
  <c r="R4985" i="8"/>
  <c r="R4975" i="8"/>
  <c r="R4969" i="8"/>
  <c r="R4963" i="8"/>
  <c r="R4953" i="8"/>
  <c r="R4899" i="8"/>
  <c r="R4893" i="8"/>
  <c r="R4849" i="8"/>
  <c r="R4843" i="8"/>
  <c r="R4837" i="8"/>
  <c r="R4831" i="8"/>
  <c r="R4805" i="8"/>
  <c r="R4767" i="8"/>
  <c r="R4761" i="8"/>
  <c r="R4755" i="8"/>
  <c r="R4729" i="8"/>
  <c r="R4685" i="8"/>
  <c r="R4679" i="8"/>
  <c r="R4673" i="8"/>
  <c r="R4647" i="8"/>
  <c r="R4609" i="8"/>
  <c r="R4603" i="8"/>
  <c r="R4597" i="8"/>
  <c r="R4565" i="8"/>
  <c r="R4527" i="8"/>
  <c r="R4521" i="8"/>
  <c r="R4515" i="8"/>
  <c r="R4509" i="8"/>
  <c r="R4483" i="8"/>
  <c r="R4445" i="8"/>
  <c r="R4439" i="8"/>
  <c r="R4427" i="8"/>
  <c r="R4401" i="8"/>
  <c r="R4395" i="8"/>
  <c r="R4357" i="8"/>
  <c r="R4351" i="8"/>
  <c r="R4345" i="8"/>
  <c r="R4339" i="8"/>
  <c r="R4333" i="8"/>
  <c r="R4303" i="8"/>
  <c r="R4295" i="8"/>
  <c r="R4274" i="8"/>
  <c r="R4265" i="8"/>
  <c r="R4259" i="8"/>
  <c r="R4248" i="8"/>
  <c r="R137" i="8"/>
  <c r="R129" i="8"/>
  <c r="R122" i="8"/>
  <c r="R121" i="8"/>
  <c r="R120" i="8"/>
  <c r="R115" i="8"/>
  <c r="R114" i="8"/>
  <c r="R113" i="8"/>
  <c r="R108" i="8"/>
  <c r="R101" i="8"/>
  <c r="R99" i="8"/>
  <c r="R94" i="8"/>
  <c r="R93" i="8"/>
  <c r="R92" i="8"/>
  <c r="R81" i="8"/>
  <c r="R75" i="8"/>
  <c r="R69" i="8"/>
  <c r="R67" i="8"/>
  <c r="R62" i="8"/>
  <c r="R56" i="8"/>
  <c r="R55" i="8"/>
  <c r="R54" i="8"/>
  <c r="R49" i="8"/>
  <c r="R48" i="8"/>
  <c r="R47" i="8"/>
  <c r="R42" i="8"/>
  <c r="R41" i="8"/>
  <c r="R40" i="8"/>
  <c r="R35" i="8"/>
  <c r="R29" i="8"/>
  <c r="R28" i="8"/>
  <c r="R27" i="8"/>
  <c r="R22" i="8"/>
  <c r="R4224" i="8"/>
  <c r="R4214" i="8"/>
  <c r="R4184" i="8"/>
  <c r="R4183" i="8"/>
  <c r="R4182" i="8"/>
  <c r="R4177" i="8"/>
  <c r="R4176" i="8"/>
  <c r="R4175" i="8"/>
  <c r="R4170" i="8"/>
  <c r="R4169" i="8"/>
  <c r="R4164" i="8"/>
  <c r="R4159" i="8"/>
  <c r="R4143" i="8"/>
  <c r="R4136" i="8"/>
  <c r="R4129" i="8"/>
  <c r="R4118" i="8"/>
  <c r="R4107" i="8"/>
  <c r="R4100" i="8"/>
  <c r="R4091" i="8"/>
  <c r="R4064" i="8"/>
  <c r="R4057" i="8"/>
  <c r="R4050" i="8"/>
  <c r="R4043" i="8"/>
  <c r="R4030" i="8"/>
  <c r="R4023" i="8"/>
  <c r="R4008" i="8"/>
  <c r="R3999" i="8"/>
  <c r="R3990" i="8"/>
  <c r="R3981" i="8"/>
  <c r="R3972" i="8"/>
  <c r="R3963" i="8"/>
  <c r="R3954" i="8"/>
  <c r="R3945" i="8"/>
  <c r="R3936" i="8"/>
  <c r="R3926" i="8"/>
  <c r="R3917" i="8"/>
  <c r="R3904" i="8"/>
  <c r="R3898" i="8"/>
  <c r="R3890" i="8"/>
  <c r="R3882" i="8"/>
  <c r="R3870" i="8"/>
  <c r="R3864" i="8"/>
  <c r="R3858" i="8"/>
  <c r="R3852" i="8"/>
  <c r="R3846" i="8"/>
  <c r="R3840" i="8"/>
  <c r="R3834" i="8"/>
  <c r="R3820" i="8"/>
  <c r="R3812" i="8"/>
  <c r="R3804" i="8"/>
  <c r="R3796" i="8"/>
  <c r="R3788" i="8"/>
  <c r="R3780" i="8"/>
  <c r="R3772" i="8"/>
  <c r="R3764" i="8"/>
  <c r="R3756" i="8"/>
  <c r="R3740" i="8"/>
  <c r="R3733" i="8"/>
  <c r="R3726" i="8"/>
  <c r="R3713" i="8"/>
  <c r="R3712" i="8"/>
  <c r="R3711" i="8"/>
  <c r="R3706" i="8"/>
  <c r="R3699" i="8"/>
  <c r="R3692" i="8"/>
  <c r="R3685" i="8"/>
  <c r="R3678" i="8"/>
  <c r="R3671" i="8"/>
  <c r="R3664" i="8"/>
  <c r="R3657" i="8"/>
  <c r="R3650" i="8"/>
  <c r="R3643" i="8"/>
  <c r="R3636" i="8"/>
  <c r="R3625" i="8"/>
  <c r="R3618" i="8"/>
  <c r="R3617" i="8"/>
  <c r="R3616" i="8"/>
  <c r="R3611" i="8"/>
  <c r="R3578" i="8"/>
  <c r="R3559" i="8"/>
  <c r="R3552" i="8"/>
  <c r="R3545" i="8"/>
  <c r="R3538" i="8"/>
  <c r="R3531" i="8"/>
  <c r="R3523" i="8"/>
  <c r="R3512" i="8"/>
  <c r="R3503" i="8"/>
  <c r="R3494" i="8"/>
  <c r="R3487" i="8"/>
  <c r="R3480" i="8"/>
  <c r="R3472" i="8"/>
  <c r="R3465" i="8"/>
  <c r="R3458" i="8"/>
  <c r="R3451" i="8"/>
  <c r="R3444" i="8"/>
  <c r="R3437" i="8"/>
  <c r="R3430" i="8"/>
  <c r="R3405" i="8"/>
  <c r="R3398" i="8"/>
  <c r="R3391" i="8"/>
  <c r="R3370" i="8"/>
  <c r="R3361" i="8"/>
  <c r="R3351" i="8"/>
  <c r="R3341" i="8"/>
  <c r="R3331" i="8"/>
  <c r="R3318" i="8"/>
  <c r="R3312" i="8"/>
  <c r="R3306" i="8"/>
  <c r="R3300" i="8"/>
  <c r="R3294" i="8"/>
  <c r="R3280" i="8"/>
  <c r="R3272" i="8"/>
  <c r="R3264" i="8"/>
  <c r="R3256" i="8"/>
  <c r="R3248" i="8"/>
  <c r="R3240" i="8"/>
  <c r="R3232" i="8"/>
  <c r="R3224" i="8"/>
  <c r="R3202" i="8"/>
  <c r="R3195" i="8"/>
  <c r="R3188" i="8"/>
  <c r="R3181" i="8"/>
  <c r="R3180" i="8"/>
  <c r="R3179" i="8"/>
  <c r="R3174" i="8"/>
  <c r="R3167" i="8"/>
  <c r="R3160" i="8"/>
  <c r="R3153" i="8"/>
  <c r="R3146" i="8"/>
  <c r="R3139" i="8"/>
  <c r="R3132" i="8"/>
  <c r="R3125" i="8"/>
  <c r="R3118" i="8"/>
  <c r="R3107" i="8"/>
  <c r="R3100" i="8"/>
  <c r="R3099" i="8"/>
  <c r="R3098" i="8"/>
  <c r="R3043" i="8"/>
  <c r="R3034" i="8"/>
  <c r="R3021" i="8"/>
  <c r="R3014" i="8"/>
  <c r="R3005" i="8"/>
  <c r="R2998" i="8"/>
  <c r="R2991" i="8"/>
  <c r="R2984" i="8"/>
  <c r="R2977" i="8"/>
  <c r="R2969" i="8"/>
  <c r="R2958" i="8"/>
  <c r="R2951" i="8"/>
  <c r="R2944" i="8"/>
  <c r="R2937" i="8"/>
  <c r="R2930" i="8"/>
  <c r="R2923" i="8"/>
  <c r="R2916" i="8"/>
  <c r="R2909" i="8"/>
  <c r="R2902" i="8"/>
  <c r="R2877" i="8"/>
  <c r="R2870" i="8"/>
  <c r="R2863" i="8"/>
  <c r="R2848" i="8"/>
  <c r="R2839" i="8"/>
  <c r="R2829" i="8"/>
  <c r="R2819" i="8"/>
  <c r="R2809" i="8"/>
  <c r="R2790" i="8"/>
  <c r="R2784" i="8"/>
  <c r="R2778" i="8"/>
  <c r="R2772" i="8"/>
  <c r="R2766" i="8"/>
  <c r="R2752" i="8"/>
  <c r="R2744" i="8"/>
  <c r="R2736" i="8"/>
  <c r="R2728" i="8"/>
  <c r="R2720" i="8"/>
  <c r="R2712" i="8"/>
  <c r="R2704" i="8"/>
  <c r="R2696" i="8"/>
  <c r="R2680" i="8"/>
  <c r="R2673" i="8"/>
  <c r="R2666" i="8"/>
  <c r="R2653" i="8"/>
  <c r="R2647" i="8"/>
  <c r="R2640" i="8"/>
  <c r="R2633" i="8"/>
  <c r="R2626" i="8"/>
  <c r="R2619" i="8"/>
  <c r="R2612" i="8"/>
  <c r="R2605" i="8"/>
  <c r="R2598" i="8"/>
  <c r="R2591" i="8"/>
  <c r="R2584" i="8"/>
  <c r="R2573" i="8"/>
  <c r="R2566" i="8"/>
  <c r="R2516" i="8"/>
  <c r="R2507" i="8"/>
  <c r="R2488" i="8"/>
  <c r="R2481" i="8"/>
  <c r="R2474" i="8"/>
  <c r="R2467" i="8"/>
  <c r="R2460" i="8"/>
  <c r="R2453" i="8"/>
  <c r="R2445" i="8"/>
  <c r="R2436" i="8"/>
  <c r="R2425" i="8"/>
  <c r="R2414" i="8"/>
  <c r="R2407" i="8"/>
  <c r="R2400" i="8"/>
  <c r="R2393" i="8"/>
  <c r="R2386" i="8"/>
  <c r="R2379" i="8"/>
  <c r="R2372" i="8"/>
  <c r="R2365" i="8"/>
  <c r="R2340" i="8"/>
  <c r="R2333" i="8"/>
  <c r="R2326" i="8"/>
  <c r="R2312" i="8"/>
  <c r="R2302" i="8"/>
  <c r="R2292" i="8"/>
  <c r="R2282" i="8"/>
  <c r="R2269" i="8"/>
  <c r="R2263" i="8"/>
  <c r="R2257" i="8"/>
  <c r="R2251" i="8"/>
  <c r="R2231" i="8"/>
  <c r="R2223" i="8"/>
  <c r="R2215" i="8"/>
  <c r="R2207" i="8"/>
  <c r="R2199" i="8"/>
  <c r="R2191" i="8"/>
  <c r="R2183" i="8"/>
  <c r="R2175" i="8"/>
  <c r="R2159" i="8"/>
  <c r="R2152" i="8"/>
  <c r="R2145" i="8"/>
  <c r="R2138" i="8"/>
  <c r="R2131" i="8"/>
  <c r="R2125" i="8"/>
  <c r="R2118" i="8"/>
  <c r="R2111" i="8"/>
  <c r="R2098" i="8"/>
  <c r="R2091" i="8"/>
  <c r="R2084" i="8"/>
  <c r="R2077" i="8"/>
  <c r="R2070" i="8"/>
  <c r="R2063" i="8"/>
  <c r="R2056" i="8"/>
  <c r="R2049" i="8"/>
  <c r="R2042" i="8"/>
  <c r="R2035" i="8"/>
  <c r="R2028" i="8"/>
  <c r="R2021" i="8"/>
  <c r="R2014" i="8"/>
  <c r="R2003" i="8"/>
  <c r="R1996" i="8"/>
  <c r="R1989" i="8"/>
  <c r="R1933" i="8"/>
  <c r="R1924" i="8"/>
  <c r="R1911" i="8"/>
  <c r="R1904" i="8"/>
  <c r="R1895" i="8"/>
  <c r="R1888" i="8"/>
  <c r="R1881" i="8"/>
  <c r="R1874" i="8"/>
  <c r="R1867" i="8"/>
  <c r="R1859" i="8"/>
  <c r="R1852" i="8"/>
  <c r="R1845" i="8"/>
  <c r="R1838" i="8"/>
  <c r="R1827" i="8"/>
  <c r="R1820" i="8"/>
  <c r="R1813" i="8"/>
  <c r="R1806" i="8"/>
  <c r="R1781" i="8"/>
  <c r="R1764" i="8"/>
  <c r="R1757" i="8"/>
  <c r="R1750" i="8"/>
  <c r="R1729" i="8"/>
  <c r="R1719" i="8"/>
  <c r="R1709" i="8"/>
  <c r="R1699" i="8"/>
  <c r="R1686" i="8"/>
  <c r="R1680" i="8"/>
  <c r="R1674" i="8"/>
  <c r="R1668" i="8"/>
  <c r="R1654" i="8"/>
  <c r="R1646" i="8"/>
  <c r="R1638" i="8"/>
  <c r="R1630" i="8"/>
  <c r="R1622" i="8"/>
  <c r="R1614" i="8"/>
  <c r="R1606" i="8"/>
  <c r="R1584" i="8"/>
  <c r="R1577" i="8"/>
  <c r="R1570" i="8"/>
  <c r="R1563" i="8"/>
  <c r="R1557" i="8"/>
  <c r="R1550" i="8"/>
  <c r="R1543" i="8"/>
  <c r="R1536" i="8"/>
  <c r="R1529" i="8"/>
  <c r="R1522" i="8"/>
  <c r="R1515" i="8"/>
  <c r="R1508" i="8"/>
  <c r="R1501" i="8"/>
  <c r="R1494" i="8"/>
  <c r="R1487" i="8"/>
  <c r="R1480" i="8"/>
  <c r="R1469" i="8"/>
  <c r="R1462" i="8"/>
  <c r="R1406" i="8"/>
  <c r="R1397" i="8"/>
  <c r="R1384" i="8"/>
  <c r="R1377" i="8"/>
  <c r="R1366" i="8"/>
  <c r="R1359" i="8"/>
  <c r="R1352" i="8"/>
  <c r="R1345" i="8"/>
  <c r="R1338" i="8"/>
  <c r="R1330" i="8"/>
  <c r="R1321" i="8"/>
  <c r="R1314" i="8"/>
  <c r="R1307" i="8"/>
  <c r="R1300" i="8"/>
  <c r="R1293" i="8"/>
  <c r="R1286" i="8"/>
  <c r="R1261" i="8"/>
  <c r="R1254" i="8"/>
  <c r="R1245" i="8"/>
  <c r="R1232" i="8"/>
  <c r="R1225" i="8"/>
  <c r="R1219" i="8"/>
  <c r="R1199" i="8"/>
  <c r="R1191" i="8"/>
  <c r="R1183" i="8"/>
  <c r="R1175" i="8"/>
  <c r="R1167" i="8"/>
  <c r="R1159" i="8"/>
  <c r="R1151" i="8"/>
  <c r="R1143" i="8"/>
  <c r="R1135" i="8"/>
  <c r="R1119" i="8"/>
  <c r="R1112" i="8"/>
  <c r="R1105" i="8"/>
  <c r="R1098" i="8"/>
  <c r="R1090" i="8"/>
  <c r="R1083" i="8"/>
  <c r="R1076" i="8"/>
  <c r="R1069" i="8"/>
  <c r="R1062" i="8"/>
  <c r="R1055" i="8"/>
  <c r="R1042" i="8"/>
  <c r="R1035" i="8"/>
  <c r="R1028" i="8"/>
  <c r="R1017" i="8"/>
  <c r="R1010" i="8"/>
  <c r="R1003" i="8"/>
  <c r="R971" i="8"/>
  <c r="R962" i="8"/>
  <c r="R949" i="8"/>
  <c r="R942" i="8"/>
  <c r="R935" i="8"/>
  <c r="R910" i="8"/>
  <c r="R901" i="8"/>
  <c r="R884" i="8"/>
  <c r="R877" i="8"/>
  <c r="R862" i="8"/>
  <c r="R856" i="8"/>
  <c r="R850" i="8"/>
  <c r="R841" i="8"/>
  <c r="R832" i="8"/>
  <c r="R823" i="8"/>
  <c r="R814" i="8"/>
  <c r="R801" i="8"/>
  <c r="R795" i="8"/>
  <c r="R789" i="8"/>
  <c r="R777" i="8"/>
  <c r="R771" i="8"/>
  <c r="R765" i="8"/>
  <c r="R759" i="8"/>
  <c r="R745" i="8"/>
  <c r="R737" i="8"/>
  <c r="R729" i="8"/>
  <c r="R721" i="8"/>
  <c r="R713" i="8"/>
  <c r="R705" i="8"/>
  <c r="R689" i="8"/>
  <c r="R682" i="8"/>
  <c r="R675" i="8"/>
  <c r="R668" i="8"/>
  <c r="R661" i="8"/>
  <c r="R654" i="8"/>
  <c r="R647" i="8"/>
  <c r="R634" i="8"/>
  <c r="R627" i="8"/>
  <c r="R620" i="8"/>
  <c r="R609" i="8"/>
  <c r="R608" i="8"/>
  <c r="R607" i="8"/>
  <c r="R602" i="8"/>
  <c r="R595" i="8"/>
  <c r="R588" i="8"/>
  <c r="R577" i="8"/>
  <c r="R570" i="8"/>
  <c r="R561" i="8"/>
  <c r="R552" i="8"/>
  <c r="R543" i="8"/>
  <c r="R534" i="8"/>
  <c r="R527" i="8"/>
  <c r="R520" i="8"/>
  <c r="R513" i="8"/>
  <c r="R506" i="8"/>
  <c r="R481" i="8"/>
  <c r="R472" i="8"/>
  <c r="R463" i="8"/>
  <c r="R454" i="8"/>
  <c r="R445" i="8"/>
  <c r="R428" i="8"/>
  <c r="R421" i="8"/>
  <c r="R414" i="8"/>
  <c r="R407" i="8"/>
  <c r="R400" i="8"/>
  <c r="R393" i="8"/>
  <c r="R386" i="8"/>
  <c r="R379" i="8"/>
  <c r="R366" i="8"/>
  <c r="R359" i="8"/>
  <c r="R352" i="8"/>
  <c r="R345" i="8"/>
  <c r="R338" i="8"/>
  <c r="R331" i="8"/>
  <c r="R324" i="8"/>
  <c r="R317" i="8"/>
  <c r="R310" i="8"/>
  <c r="R303" i="8"/>
  <c r="R296" i="8"/>
  <c r="R289" i="8"/>
  <c r="R282" i="8"/>
  <c r="R275" i="8"/>
  <c r="R254" i="8"/>
  <c r="R245" i="8"/>
  <c r="R236" i="8"/>
  <c r="R223" i="8"/>
  <c r="R210" i="8"/>
  <c r="R197" i="8"/>
  <c r="R191" i="8"/>
  <c r="R185" i="8"/>
  <c r="R178" i="8"/>
  <c r="R171" i="8"/>
  <c r="R5440" i="8" l="1"/>
  <c r="AM5435" i="8" s="1"/>
  <c r="R4806" i="8"/>
  <c r="AM4802" i="8" s="1"/>
  <c r="R4516" i="8"/>
  <c r="R5364" i="8"/>
  <c r="R5426" i="8"/>
  <c r="R4674" i="8"/>
  <c r="AM4670" i="8" s="1"/>
  <c r="R4996" i="8"/>
  <c r="R5396" i="8"/>
  <c r="AM5392" i="8" s="1"/>
  <c r="R5403" i="8"/>
  <c r="R4522" i="8"/>
  <c r="AM4518" i="8" s="1"/>
  <c r="R5370" i="8"/>
  <c r="R5433" i="8"/>
  <c r="AM5428" i="8" s="1"/>
  <c r="R4604" i="8"/>
  <c r="R4756" i="8"/>
  <c r="R4954" i="8"/>
  <c r="R57" i="8"/>
  <c r="AM52" i="8" s="1"/>
  <c r="R70" i="8"/>
  <c r="AM65" i="8" s="1"/>
  <c r="R102" i="8"/>
  <c r="AM97" i="8" s="1"/>
  <c r="R4680" i="8"/>
  <c r="AM4676" i="8" s="1"/>
  <c r="R4838" i="8"/>
  <c r="R5062" i="8"/>
  <c r="R5084" i="8"/>
  <c r="AM5080" i="8" s="1"/>
  <c r="R5310" i="8"/>
  <c r="R4396" i="8"/>
  <c r="R4730" i="8"/>
  <c r="R4598" i="8"/>
  <c r="AM4594" i="8" s="1"/>
  <c r="R4610" i="8"/>
  <c r="R5280" i="8"/>
  <c r="AM5276" i="8" s="1"/>
  <c r="R4686" i="8"/>
  <c r="AM4682" i="8" s="1"/>
  <c r="R36" i="8"/>
  <c r="AM32" i="8" s="1"/>
  <c r="R50" i="8"/>
  <c r="AM45" i="8" s="1"/>
  <c r="R30" i="8"/>
  <c r="AM25" i="8" s="1"/>
  <c r="R3955" i="8"/>
  <c r="AM3948" i="8" s="1"/>
  <c r="R3973" i="8"/>
  <c r="AM3966" i="8" s="1"/>
  <c r="R4832" i="8"/>
  <c r="AM4828" i="8" s="1"/>
  <c r="R2293" i="8"/>
  <c r="AM2285" i="8" s="1"/>
  <c r="R123" i="8"/>
  <c r="AM118" i="8" s="1"/>
  <c r="R4334" i="8"/>
  <c r="R4440" i="8"/>
  <c r="R4484" i="8"/>
  <c r="R4970" i="8"/>
  <c r="R130" i="8"/>
  <c r="AM125" i="8" s="1"/>
  <c r="R4566" i="8"/>
  <c r="R5160" i="8"/>
  <c r="R4428" i="8"/>
  <c r="R4648" i="8"/>
  <c r="AM4644" i="8" s="1"/>
  <c r="R4358" i="8"/>
  <c r="AM4354" i="8" s="1"/>
  <c r="R4768" i="8"/>
  <c r="R4844" i="8"/>
  <c r="R4894" i="8"/>
  <c r="R4900" i="8"/>
  <c r="R778" i="8"/>
  <c r="AM774" i="8" s="1"/>
  <c r="R4249" i="8"/>
  <c r="AM4243" i="8" s="1"/>
  <c r="R4266" i="8"/>
  <c r="AM4262" i="8" s="1"/>
  <c r="R4304" i="8"/>
  <c r="R4307" i="8" s="1"/>
  <c r="R4313" i="8" s="1"/>
  <c r="R4446" i="8"/>
  <c r="R4528" i="8"/>
  <c r="AM4524" i="8" s="1"/>
  <c r="R5202" i="8"/>
  <c r="R4850" i="8"/>
  <c r="R4964" i="8"/>
  <c r="R5254" i="8"/>
  <c r="R4762" i="8"/>
  <c r="R4976" i="8"/>
  <c r="R4986" i="8"/>
  <c r="R5078" i="8"/>
  <c r="R5228" i="8"/>
  <c r="R5090" i="8"/>
  <c r="R5072" i="8"/>
  <c r="R5128" i="8"/>
  <c r="R4340" i="8"/>
  <c r="R4346" i="8"/>
  <c r="R4402" i="8"/>
  <c r="R4510" i="8"/>
  <c r="R4352" i="8"/>
  <c r="R1233" i="8"/>
  <c r="AM1228" i="8" s="1"/>
  <c r="R3301" i="8"/>
  <c r="AM3297" i="8" s="1"/>
  <c r="R2785" i="8"/>
  <c r="AM2781" i="8" s="1"/>
  <c r="R23" i="8"/>
  <c r="R43" i="8"/>
  <c r="R4275" i="8"/>
  <c r="R3352" i="8"/>
  <c r="AM3344" i="8" s="1"/>
  <c r="R138" i="8"/>
  <c r="R179" i="8"/>
  <c r="AM174" i="8" s="1"/>
  <c r="R2779" i="8"/>
  <c r="AM2775" i="8" s="1"/>
  <c r="R3841" i="8"/>
  <c r="AM3837" i="8" s="1"/>
  <c r="R4171" i="8"/>
  <c r="AM4167" i="8" s="1"/>
  <c r="R63" i="8"/>
  <c r="R76" i="8"/>
  <c r="R95" i="8"/>
  <c r="R109" i="8"/>
  <c r="R116" i="8"/>
  <c r="R82" i="8"/>
  <c r="R2252" i="8"/>
  <c r="R2767" i="8"/>
  <c r="AM2763" i="8" s="1"/>
  <c r="R2773" i="8"/>
  <c r="AM2769" i="8" s="1"/>
  <c r="R3182" i="8"/>
  <c r="AM3177" i="8" s="1"/>
  <c r="R3313" i="8"/>
  <c r="AM3309" i="8" s="1"/>
  <c r="R3332" i="8"/>
  <c r="AM3325" i="8" s="1"/>
  <c r="R1246" i="8"/>
  <c r="AM1239" i="8" s="1"/>
  <c r="R2820" i="8"/>
  <c r="AM2812" i="8" s="1"/>
  <c r="R2830" i="8"/>
  <c r="AM2822" i="8" s="1"/>
  <c r="R3847" i="8"/>
  <c r="AM3843" i="8" s="1"/>
  <c r="R3853" i="8"/>
  <c r="AM3849" i="8" s="1"/>
  <c r="R3871" i="8"/>
  <c r="R772" i="8"/>
  <c r="AM768" i="8" s="1"/>
  <c r="R1220" i="8"/>
  <c r="R172" i="8"/>
  <c r="AM168" i="8" s="1"/>
  <c r="R186" i="8"/>
  <c r="AM181" i="8" s="1"/>
  <c r="R224" i="8"/>
  <c r="AM213" i="8" s="1"/>
  <c r="R2270" i="8"/>
  <c r="AM2266" i="8" s="1"/>
  <c r="R3905" i="8"/>
  <c r="AM3901" i="8" s="1"/>
  <c r="R3918" i="8"/>
  <c r="AM3911" i="8" s="1"/>
  <c r="R4009" i="8"/>
  <c r="AM4002" i="8" s="1"/>
  <c r="R198" i="8"/>
  <c r="AM194" i="8" s="1"/>
  <c r="R237" i="8"/>
  <c r="AM226" i="8" s="1"/>
  <c r="R760" i="8"/>
  <c r="AM756" i="8" s="1"/>
  <c r="R1687" i="8"/>
  <c r="AM1683" i="8" s="1"/>
  <c r="R2303" i="8"/>
  <c r="AM2295" i="8" s="1"/>
  <c r="R3835" i="8"/>
  <c r="AM3831" i="8" s="1"/>
  <c r="R796" i="8"/>
  <c r="AM792" i="8" s="1"/>
  <c r="R833" i="8"/>
  <c r="AM826" i="8" s="1"/>
  <c r="R851" i="8"/>
  <c r="AM844" i="8" s="1"/>
  <c r="R1675" i="8"/>
  <c r="AM1671" i="8" s="1"/>
  <c r="R1700" i="8"/>
  <c r="AM1693" i="8" s="1"/>
  <c r="R1730" i="8"/>
  <c r="AM1722" i="8" s="1"/>
  <c r="R2132" i="8"/>
  <c r="AM2128" i="8" s="1"/>
  <c r="R4165" i="8"/>
  <c r="R790" i="8"/>
  <c r="R815" i="8"/>
  <c r="AM808" i="8" s="1"/>
  <c r="R842" i="8"/>
  <c r="AM835" i="8" s="1"/>
  <c r="R1004" i="8"/>
  <c r="AM1000" i="8" s="1"/>
  <c r="R2258" i="8"/>
  <c r="AM2254" i="8" s="1"/>
  <c r="R2840" i="8"/>
  <c r="AM2832" i="8" s="1"/>
  <c r="R4178" i="8"/>
  <c r="AM4173" i="8" s="1"/>
  <c r="R4225" i="8"/>
  <c r="AM4217" i="8" s="1"/>
  <c r="R610" i="8"/>
  <c r="AM605" i="8" s="1"/>
  <c r="R1990" i="8"/>
  <c r="AM1986" i="8" s="1"/>
  <c r="R2264" i="8"/>
  <c r="AM2260" i="8" s="1"/>
  <c r="R2313" i="8"/>
  <c r="AM2305" i="8" s="1"/>
  <c r="R2849" i="8"/>
  <c r="AM2842" i="8" s="1"/>
  <c r="R246" i="8"/>
  <c r="R255" i="8"/>
  <c r="R192" i="8"/>
  <c r="R211" i="8"/>
  <c r="R863" i="8"/>
  <c r="R1463" i="8"/>
  <c r="R1255" i="8"/>
  <c r="R802" i="8"/>
  <c r="R1710" i="8"/>
  <c r="R766" i="8"/>
  <c r="R1226" i="8"/>
  <c r="R1262" i="8"/>
  <c r="R824" i="8"/>
  <c r="R857" i="8"/>
  <c r="R1669" i="8"/>
  <c r="R1681" i="8"/>
  <c r="R1720" i="8"/>
  <c r="R2283" i="8"/>
  <c r="R3371" i="8"/>
  <c r="R2567" i="8"/>
  <c r="R2791" i="8"/>
  <c r="R3319" i="8"/>
  <c r="R2810" i="8"/>
  <c r="R2654" i="8"/>
  <c r="R3101" i="8"/>
  <c r="R3295" i="8"/>
  <c r="R3307" i="8"/>
  <c r="R3342" i="8"/>
  <c r="R3362" i="8"/>
  <c r="R3619" i="8"/>
  <c r="R3865" i="8"/>
  <c r="R4215" i="8"/>
  <c r="R3714" i="8"/>
  <c r="R3891" i="8"/>
  <c r="R4000" i="8"/>
  <c r="R3859" i="8"/>
  <c r="R3883" i="8"/>
  <c r="R3964" i="8"/>
  <c r="R3946" i="8"/>
  <c r="R3927" i="8"/>
  <c r="R3991" i="8"/>
  <c r="R3899" i="8"/>
  <c r="R3982" i="8"/>
  <c r="R3937" i="8"/>
  <c r="R4185" i="8"/>
  <c r="A16" i="38"/>
  <c r="A19" i="38" s="1"/>
  <c r="A25" i="38" s="1"/>
  <c r="A28" i="38" s="1"/>
  <c r="A31" i="38" s="1"/>
  <c r="A34" i="38" s="1"/>
  <c r="A37" i="38" s="1"/>
  <c r="A40" i="38" s="1"/>
  <c r="A43" i="38" s="1"/>
  <c r="A67" i="38" s="1"/>
  <c r="A70" i="38" s="1"/>
  <c r="A75" i="38" s="1"/>
  <c r="A78" i="38" s="1"/>
  <c r="A81" i="38" s="1"/>
  <c r="A86" i="38" s="1"/>
  <c r="A89" i="38" s="1"/>
  <c r="A94" i="38" s="1"/>
  <c r="A97" i="38" s="1"/>
  <c r="A102" i="38" s="1"/>
  <c r="A105" i="38" s="1"/>
  <c r="A19" i="37"/>
  <c r="A22" i="37" s="1"/>
  <c r="A25" i="37" s="1"/>
  <c r="A31" i="37" s="1"/>
  <c r="A37" i="37" s="1"/>
  <c r="AM5366" i="8" l="1"/>
  <c r="AM4950" i="8"/>
  <c r="R5406" i="8"/>
  <c r="R5412" i="8" s="1"/>
  <c r="R5443" i="8"/>
  <c r="R5449" i="8" s="1"/>
  <c r="AM5421" i="8"/>
  <c r="AM4896" i="8"/>
  <c r="AM4600" i="8"/>
  <c r="AM5360" i="8"/>
  <c r="AM4972" i="8"/>
  <c r="AM4890" i="8"/>
  <c r="AM4606" i="8"/>
  <c r="AM4392" i="8"/>
  <c r="AM4512" i="8"/>
  <c r="AM4982" i="8"/>
  <c r="AM4960" i="8"/>
  <c r="AM4840" i="8"/>
  <c r="AM4424" i="8"/>
  <c r="AM4436" i="8"/>
  <c r="AM4758" i="8"/>
  <c r="AM4442" i="8"/>
  <c r="AM4764" i="8"/>
  <c r="AM4562" i="8"/>
  <c r="AM5058" i="8"/>
  <c r="AM4992" i="8"/>
  <c r="AM4966" i="8"/>
  <c r="AM4834" i="8"/>
  <c r="AM4752" i="8"/>
  <c r="AM5074" i="8"/>
  <c r="AM5250" i="8"/>
  <c r="AM5198" i="8"/>
  <c r="AM4726" i="8"/>
  <c r="R5283" i="8"/>
  <c r="AM5398" i="8"/>
  <c r="R5003" i="8"/>
  <c r="R5009" i="8" s="1"/>
  <c r="R5373" i="8"/>
  <c r="R5379" i="8" s="1"/>
  <c r="AM5306" i="8"/>
  <c r="AM4330" i="8"/>
  <c r="R5131" i="8"/>
  <c r="R4721" i="8"/>
  <c r="AM4480" i="8"/>
  <c r="R4923" i="8"/>
  <c r="R4585" i="8"/>
  <c r="R4431" i="8"/>
  <c r="AM4846" i="8"/>
  <c r="R4869" i="8"/>
  <c r="AM2248" i="8"/>
  <c r="AM786" i="8"/>
  <c r="AM1216" i="8"/>
  <c r="R1265" i="8"/>
  <c r="AM4293" i="8"/>
  <c r="AM5156" i="8"/>
  <c r="AM5086" i="8"/>
  <c r="AM5124" i="8"/>
  <c r="AM5224" i="8"/>
  <c r="AM5068" i="8"/>
  <c r="AM4506" i="8"/>
  <c r="AM4398" i="8"/>
  <c r="AM4336" i="8"/>
  <c r="AM4342" i="8"/>
  <c r="AM4348" i="8"/>
  <c r="R85" i="8"/>
  <c r="AM4156" i="8"/>
  <c r="R4228" i="8"/>
  <c r="R258" i="8"/>
  <c r="R141" i="8"/>
  <c r="AM111" i="8"/>
  <c r="AM132" i="8"/>
  <c r="AM72" i="8"/>
  <c r="AM4268" i="8"/>
  <c r="AM3867" i="8"/>
  <c r="AM104" i="8"/>
  <c r="AM59" i="8"/>
  <c r="AM38" i="8"/>
  <c r="AM78" i="8"/>
  <c r="AM90" i="8"/>
  <c r="AM19" i="8"/>
  <c r="AM3893" i="8"/>
  <c r="AM3303" i="8"/>
  <c r="AM1677" i="8"/>
  <c r="AM1257" i="8"/>
  <c r="AM248" i="8"/>
  <c r="AM3929" i="8"/>
  <c r="AM3920" i="8"/>
  <c r="AM3939" i="8"/>
  <c r="AM3291" i="8"/>
  <c r="AM3096" i="8"/>
  <c r="AM1665" i="8"/>
  <c r="AM1222" i="8"/>
  <c r="AM762" i="8"/>
  <c r="AM859" i="8"/>
  <c r="AM4180" i="8"/>
  <c r="AM4211" i="8"/>
  <c r="AM3334" i="8"/>
  <c r="AM2787" i="8"/>
  <c r="AM239" i="8"/>
  <c r="AM3984" i="8"/>
  <c r="AM3709" i="8"/>
  <c r="AM3957" i="8"/>
  <c r="AM2650" i="8"/>
  <c r="AM817" i="8"/>
  <c r="AM798" i="8"/>
  <c r="AM1248" i="8"/>
  <c r="AM204" i="8"/>
  <c r="AM3861" i="8"/>
  <c r="AM1712" i="8"/>
  <c r="AM1459" i="8"/>
  <c r="AM3975" i="8"/>
  <c r="AM3315" i="8"/>
  <c r="AM853" i="8"/>
  <c r="AM3855" i="8"/>
  <c r="AM3885" i="8"/>
  <c r="AM3614" i="8"/>
  <c r="AM3879" i="8"/>
  <c r="AM3993" i="8"/>
  <c r="AM3354" i="8"/>
  <c r="AM2803" i="8"/>
  <c r="AM2563" i="8"/>
  <c r="AM3364" i="8"/>
  <c r="AM2276" i="8"/>
  <c r="AM1702" i="8"/>
  <c r="AM188" i="8"/>
  <c r="A16" i="36"/>
  <c r="A19" i="36" s="1"/>
  <c r="A22" i="36" s="1"/>
  <c r="A25" i="36" s="1"/>
  <c r="A28" i="36" s="1"/>
  <c r="A31" i="36" s="1"/>
  <c r="A34" i="36" s="1"/>
  <c r="A37" i="36" s="1"/>
  <c r="A42" i="36" s="1"/>
  <c r="A45" i="36" s="1"/>
  <c r="A64" i="36" s="1"/>
  <c r="A67" i="36" s="1"/>
  <c r="A70" i="36" s="1"/>
  <c r="A73" i="36" s="1"/>
  <c r="A76" i="36" s="1"/>
  <c r="A79" i="36" s="1"/>
  <c r="A85" i="36" s="1"/>
  <c r="A88" i="36" s="1"/>
  <c r="A91" i="36" s="1"/>
  <c r="A94" i="36" s="1"/>
  <c r="A97" i="36" s="1"/>
  <c r="A100" i="36" s="1"/>
  <c r="A103" i="36" s="1"/>
  <c r="A106" i="36" s="1"/>
  <c r="A124" i="36" s="1"/>
  <c r="A127" i="36" s="1"/>
  <c r="A130" i="36" s="1"/>
  <c r="A133" i="36" s="1"/>
  <c r="A136" i="36" s="1"/>
  <c r="A139" i="36" s="1"/>
  <c r="A142" i="36" s="1"/>
  <c r="A147" i="36" s="1"/>
  <c r="A150" i="36" s="1"/>
  <c r="A153" i="36" s="1"/>
  <c r="A156" i="36" s="1"/>
  <c r="A159" i="36" s="1"/>
  <c r="A180" i="36" s="1"/>
  <c r="A183" i="36" s="1"/>
  <c r="A189" i="36" s="1"/>
  <c r="A192" i="36" s="1"/>
  <c r="A195" i="36" s="1"/>
  <c r="A198" i="36" s="1"/>
  <c r="A201" i="36" s="1"/>
  <c r="A204" i="36" s="1"/>
  <c r="A207" i="36" s="1"/>
  <c r="A213" i="36" s="1"/>
  <c r="A216" i="36" s="1"/>
  <c r="A219" i="36" s="1"/>
  <c r="A222" i="36" s="1"/>
  <c r="A225" i="36" s="1"/>
  <c r="A238" i="36" s="1"/>
  <c r="A241" i="36" s="1"/>
  <c r="A244" i="36" s="1"/>
  <c r="R5289" i="8" l="1"/>
  <c r="R4929" i="8"/>
  <c r="R147" i="8"/>
  <c r="H183" i="31" l="1"/>
  <c r="H176" i="31"/>
  <c r="H138" i="31" l="1"/>
  <c r="F22" i="18" l="1"/>
  <c r="D7" i="18" l="1"/>
  <c r="D8" i="18"/>
  <c r="D9" i="18"/>
  <c r="D10" i="18"/>
  <c r="D6" i="18"/>
  <c r="A1" i="18" l="1"/>
  <c r="A2" i="18" l="1"/>
  <c r="D5" i="18" s="1"/>
  <c r="S5" i="18"/>
  <c r="T1" i="8" l="1"/>
  <c r="T2" i="1"/>
  <c r="T2" i="8" s="1"/>
  <c r="J23" i="1"/>
  <c r="H23" i="1"/>
  <c r="S2" i="8"/>
  <c r="S12" i="11"/>
  <c r="T12" i="11"/>
  <c r="F1" i="11"/>
  <c r="S12" i="8"/>
  <c r="T12" i="8"/>
  <c r="F1" i="8"/>
  <c r="O6" i="1"/>
  <c r="B18" i="1"/>
  <c r="Q1" i="1"/>
  <c r="E36" i="1" s="1"/>
  <c r="C11" i="1"/>
  <c r="G32" i="1" s="1"/>
  <c r="S1" i="1"/>
  <c r="S1" i="11" s="1"/>
  <c r="C2" i="1"/>
  <c r="T13" i="1"/>
  <c r="T1" i="11"/>
  <c r="R22" i="11"/>
  <c r="S2" i="11"/>
  <c r="F78" i="1"/>
  <c r="T537" i="11"/>
  <c r="T538" i="11"/>
  <c r="T539" i="11"/>
  <c r="T540" i="11"/>
  <c r="T5479" i="8" s="1"/>
  <c r="T114" i="1" s="1"/>
  <c r="S114" i="1" s="1"/>
  <c r="T541" i="11"/>
  <c r="T542" i="11"/>
  <c r="T543" i="11"/>
  <c r="T547" i="11"/>
  <c r="T550" i="11"/>
  <c r="T5489" i="8" s="1"/>
  <c r="T124" i="1" s="1"/>
  <c r="S124" i="1" s="1"/>
  <c r="T551" i="11"/>
  <c r="T552" i="11"/>
  <c r="T554" i="11"/>
  <c r="T555" i="11"/>
  <c r="T556" i="11"/>
  <c r="T557" i="11"/>
  <c r="T5496" i="8" s="1"/>
  <c r="T131" i="1" s="1"/>
  <c r="S131" i="1" s="1"/>
  <c r="T560" i="11"/>
  <c r="T561" i="11"/>
  <c r="T562" i="11"/>
  <c r="T563" i="11"/>
  <c r="T564" i="11"/>
  <c r="T565" i="11"/>
  <c r="T566" i="11"/>
  <c r="T567" i="11"/>
  <c r="T568" i="11"/>
  <c r="T569" i="11"/>
  <c r="T570" i="11"/>
  <c r="T571" i="11"/>
  <c r="T572" i="11"/>
  <c r="T573" i="11"/>
  <c r="T575" i="11"/>
  <c r="T576" i="11"/>
  <c r="T577" i="11"/>
  <c r="T578" i="11"/>
  <c r="T579" i="11"/>
  <c r="T580" i="11"/>
  <c r="T581" i="11"/>
  <c r="T5520" i="8" s="1"/>
  <c r="T155" i="1" s="1"/>
  <c r="S155" i="1" s="1"/>
  <c r="T583" i="11"/>
  <c r="T584" i="11"/>
  <c r="T585" i="11"/>
  <c r="T586" i="11"/>
  <c r="T587" i="11"/>
  <c r="T588" i="11"/>
  <c r="T589" i="11"/>
  <c r="T590" i="11"/>
  <c r="T591" i="11"/>
  <c r="R537" i="11"/>
  <c r="R538" i="11"/>
  <c r="R5477" i="8" s="1"/>
  <c r="R112" i="1" s="1"/>
  <c r="R539" i="11"/>
  <c r="R540" i="11"/>
  <c r="R541" i="11"/>
  <c r="R542" i="11"/>
  <c r="R543" i="11"/>
  <c r="R547" i="11"/>
  <c r="R550" i="11"/>
  <c r="R5489" i="8" s="1"/>
  <c r="R124" i="1" s="1"/>
  <c r="R551" i="11"/>
  <c r="R552" i="11"/>
  <c r="R554" i="11"/>
  <c r="R555" i="11"/>
  <c r="R5494" i="8" s="1"/>
  <c r="R129" i="1" s="1"/>
  <c r="R556" i="11"/>
  <c r="R557" i="11"/>
  <c r="R560" i="11"/>
  <c r="R561" i="11"/>
  <c r="R562" i="11"/>
  <c r="R5501" i="8" s="1"/>
  <c r="R136" i="1" s="1"/>
  <c r="R563" i="11"/>
  <c r="R564" i="11"/>
  <c r="R565" i="11"/>
  <c r="R566" i="11"/>
  <c r="R567" i="11"/>
  <c r="R568" i="11"/>
  <c r="R569" i="11"/>
  <c r="R570" i="11"/>
  <c r="R571" i="11"/>
  <c r="R572" i="11"/>
  <c r="R573" i="11"/>
  <c r="R575" i="11"/>
  <c r="R576" i="11"/>
  <c r="R577" i="11"/>
  <c r="R578" i="11"/>
  <c r="R579" i="11"/>
  <c r="R580" i="11"/>
  <c r="R581" i="11"/>
  <c r="R583" i="11"/>
  <c r="R584" i="11"/>
  <c r="R585" i="11"/>
  <c r="R586" i="11"/>
  <c r="R587" i="11"/>
  <c r="R5526" i="8" s="1"/>
  <c r="R161" i="1" s="1"/>
  <c r="R588" i="11"/>
  <c r="R589" i="11"/>
  <c r="R5528" i="8" s="1"/>
  <c r="R163" i="1" s="1"/>
  <c r="R590" i="11"/>
  <c r="R591" i="11"/>
  <c r="C3" i="1"/>
  <c r="C4" i="1"/>
  <c r="G25" i="1" s="1"/>
  <c r="C5" i="1"/>
  <c r="G26" i="1" s="1"/>
  <c r="C6" i="1"/>
  <c r="G27" i="1" s="1"/>
  <c r="C7" i="1"/>
  <c r="G28" i="1" s="1"/>
  <c r="C8" i="1"/>
  <c r="G29" i="1" s="1"/>
  <c r="C9" i="1"/>
  <c r="G30" i="1" s="1"/>
  <c r="C10" i="1"/>
  <c r="G31" i="1" s="1"/>
  <c r="C12" i="1"/>
  <c r="C12" i="8" s="1"/>
  <c r="F22" i="1"/>
  <c r="Q12" i="11"/>
  <c r="F12" i="11"/>
  <c r="T11" i="11"/>
  <c r="S11" i="11"/>
  <c r="Q11" i="11"/>
  <c r="F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8" s="1"/>
  <c r="L3" i="1"/>
  <c r="L3" i="11" s="1"/>
  <c r="K3" i="1"/>
  <c r="K3" i="11" s="1"/>
  <c r="J3" i="1"/>
  <c r="J3" i="11" s="1"/>
  <c r="F3" i="11"/>
  <c r="D3" i="11"/>
  <c r="Q2" i="11"/>
  <c r="O2" i="1"/>
  <c r="O2" i="11" s="1"/>
  <c r="N2" i="1"/>
  <c r="N2" i="11" s="1"/>
  <c r="M2" i="1"/>
  <c r="M2" i="8" s="1"/>
  <c r="L2" i="1"/>
  <c r="L2" i="11" s="1"/>
  <c r="K2" i="1"/>
  <c r="K2" i="11" s="1"/>
  <c r="J2" i="1"/>
  <c r="J2" i="11" s="1"/>
  <c r="F2" i="11"/>
  <c r="D2" i="11"/>
  <c r="U1" i="11"/>
  <c r="O1" i="1"/>
  <c r="O1" i="11" s="1"/>
  <c r="N1" i="1"/>
  <c r="N1" i="11" s="1"/>
  <c r="M1" i="1"/>
  <c r="M1" i="11" s="1"/>
  <c r="L1" i="1"/>
  <c r="L1" i="11" s="1"/>
  <c r="K1" i="1"/>
  <c r="K1" i="11" s="1"/>
  <c r="J1" i="1"/>
  <c r="J1" i="8" s="1"/>
  <c r="D1" i="11"/>
  <c r="C1" i="11"/>
  <c r="B16" i="1"/>
  <c r="S3" i="8"/>
  <c r="T3" i="8"/>
  <c r="B14" i="1"/>
  <c r="D96" i="1"/>
  <c r="D176" i="1" s="1"/>
  <c r="S11" i="8"/>
  <c r="T11" i="8"/>
  <c r="S10" i="8"/>
  <c r="T10" i="8"/>
  <c r="S9" i="8"/>
  <c r="T9" i="8"/>
  <c r="S8" i="8"/>
  <c r="T8" i="8"/>
  <c r="S7" i="8"/>
  <c r="T7" i="8"/>
  <c r="S6" i="8"/>
  <c r="T6" i="8"/>
  <c r="S5" i="8"/>
  <c r="T5" i="8"/>
  <c r="S4" i="8"/>
  <c r="AG4207" i="8" s="1"/>
  <c r="T4" i="8"/>
  <c r="F11" i="8"/>
  <c r="F10" i="8"/>
  <c r="F9" i="8"/>
  <c r="E5461" i="8" s="1"/>
  <c r="F8" i="8"/>
  <c r="E5460" i="8" s="1"/>
  <c r="F7" i="8"/>
  <c r="E5459" i="8" s="1"/>
  <c r="F6" i="8"/>
  <c r="D5263" i="8" s="1"/>
  <c r="F5" i="8"/>
  <c r="F4" i="8"/>
  <c r="D24" i="1"/>
  <c r="D25" i="1"/>
  <c r="D26" i="1"/>
  <c r="D27" i="1"/>
  <c r="D28" i="1"/>
  <c r="D29" i="1"/>
  <c r="D30" i="1"/>
  <c r="D31" i="1"/>
  <c r="D32" i="1"/>
  <c r="D23" i="1"/>
  <c r="F3" i="8"/>
  <c r="F2" i="8"/>
  <c r="D4194" i="8" s="1"/>
  <c r="R11" i="1"/>
  <c r="R10" i="1"/>
  <c r="R9" i="1"/>
  <c r="R8" i="1"/>
  <c r="R7" i="1"/>
  <c r="R6" i="1"/>
  <c r="R5" i="1"/>
  <c r="R4" i="1"/>
  <c r="R3" i="1"/>
  <c r="U1" i="8"/>
  <c r="Q2" i="8"/>
  <c r="Q3" i="8"/>
  <c r="Q4" i="8"/>
  <c r="Q5" i="8"/>
  <c r="Q6" i="8"/>
  <c r="Q7" i="8"/>
  <c r="Q8" i="8"/>
  <c r="Q9" i="8"/>
  <c r="Q10" i="8"/>
  <c r="Q11" i="8"/>
  <c r="Q12" i="8"/>
  <c r="D8" i="8"/>
  <c r="D9" i="8"/>
  <c r="D6" i="8"/>
  <c r="D4" i="8"/>
  <c r="D2" i="8"/>
  <c r="F12" i="8"/>
  <c r="C1" i="8"/>
  <c r="Q1" i="8"/>
  <c r="D1" i="8"/>
  <c r="O2" i="8"/>
  <c r="O6" i="8"/>
  <c r="O7" i="8"/>
  <c r="O8" i="8"/>
  <c r="O9" i="8"/>
  <c r="K10" i="8"/>
  <c r="S108" i="1"/>
  <c r="D56" i="1"/>
  <c r="D5" i="8"/>
  <c r="V1" i="1" a="1"/>
  <c r="V1" i="1" s="1"/>
  <c r="E65" i="1"/>
  <c r="E104" i="1" s="1"/>
  <c r="D3" i="8"/>
  <c r="A36" i="1"/>
  <c r="E64" i="1"/>
  <c r="E62" i="1"/>
  <c r="E102" i="1" s="1"/>
  <c r="E63" i="1"/>
  <c r="E103" i="1" s="1"/>
  <c r="E61" i="1"/>
  <c r="D52" i="1"/>
  <c r="R2" i="1" l="1"/>
  <c r="M9" i="8"/>
  <c r="S1" i="8"/>
  <c r="C6" i="11"/>
  <c r="K6" i="8"/>
  <c r="L10" i="8"/>
  <c r="O5" i="8"/>
  <c r="T4204" i="8"/>
  <c r="T4203" i="8"/>
  <c r="T4202" i="8"/>
  <c r="T4205" i="8"/>
  <c r="N1" i="8"/>
  <c r="C6" i="8"/>
  <c r="C11" i="11"/>
  <c r="C3" i="8"/>
  <c r="G24" i="1"/>
  <c r="J10" i="8"/>
  <c r="N5" i="8"/>
  <c r="L4" i="8"/>
  <c r="C11" i="8"/>
  <c r="T3597" i="8"/>
  <c r="T2553" i="8"/>
  <c r="T1975" i="8"/>
  <c r="T3086" i="8"/>
  <c r="T2552" i="8"/>
  <c r="T1958" i="8"/>
  <c r="T2535" i="8"/>
  <c r="T3085" i="8"/>
  <c r="T3068" i="8"/>
  <c r="T1976" i="8"/>
  <c r="T1449" i="8"/>
  <c r="T990" i="8"/>
  <c r="E5456" i="8"/>
  <c r="D4199" i="8"/>
  <c r="T4201" i="8"/>
  <c r="T4196" i="8"/>
  <c r="AG4198" i="8"/>
  <c r="AG4191" i="8" s="1"/>
  <c r="AH4191" i="8" s="1"/>
  <c r="D3595" i="8"/>
  <c r="T4200" i="8"/>
  <c r="T4197" i="8"/>
  <c r="B4198" i="8" s="1"/>
  <c r="T4195" i="8"/>
  <c r="T4206" i="8"/>
  <c r="B4207" i="8" s="1"/>
  <c r="M1" i="8"/>
  <c r="J2" i="8"/>
  <c r="M7" i="11"/>
  <c r="D3077" i="8"/>
  <c r="D3588" i="8"/>
  <c r="AG3599" i="8"/>
  <c r="T3596" i="8"/>
  <c r="T3593" i="8"/>
  <c r="B3594" i="8" s="1"/>
  <c r="T3592" i="8"/>
  <c r="T3598" i="8"/>
  <c r="B3599" i="8" s="1"/>
  <c r="T3589" i="8"/>
  <c r="D3066" i="8"/>
  <c r="D3083" i="8"/>
  <c r="AG3088" i="8"/>
  <c r="T3084" i="8"/>
  <c r="T3081" i="8"/>
  <c r="B3082" i="8" s="1"/>
  <c r="T3078" i="8"/>
  <c r="T3087" i="8"/>
  <c r="B3088" i="8" s="1"/>
  <c r="D2544" i="8"/>
  <c r="D3059" i="8"/>
  <c r="AG3070" i="8"/>
  <c r="T3067" i="8"/>
  <c r="T3064" i="8"/>
  <c r="B3065" i="8" s="1"/>
  <c r="T3063" i="8"/>
  <c r="T3069" i="8"/>
  <c r="B3070" i="8" s="1"/>
  <c r="T3060" i="8"/>
  <c r="D2533" i="8"/>
  <c r="D2550" i="8"/>
  <c r="AG2555" i="8"/>
  <c r="T2551" i="8"/>
  <c r="T2548" i="8"/>
  <c r="B2549" i="8" s="1"/>
  <c r="T2545" i="8"/>
  <c r="T2554" i="8"/>
  <c r="B2555" i="8" s="1"/>
  <c r="AG2537" i="8"/>
  <c r="D1967" i="8"/>
  <c r="D2526" i="8"/>
  <c r="T2534" i="8"/>
  <c r="T2536" i="8"/>
  <c r="B2537" i="8" s="1"/>
  <c r="T2527" i="8"/>
  <c r="T2531" i="8"/>
  <c r="B2532" i="8" s="1"/>
  <c r="T2530" i="8"/>
  <c r="D1956" i="8"/>
  <c r="D1973" i="8"/>
  <c r="AG1978" i="8"/>
  <c r="T1974" i="8"/>
  <c r="T1971" i="8"/>
  <c r="B1972" i="8" s="1"/>
  <c r="T1968" i="8"/>
  <c r="T1977" i="8"/>
  <c r="B1978" i="8" s="1"/>
  <c r="D1440" i="8"/>
  <c r="D1949" i="8"/>
  <c r="AG1960" i="8"/>
  <c r="T1957" i="8"/>
  <c r="T1954" i="8"/>
  <c r="B1955" i="8" s="1"/>
  <c r="T1448" i="8"/>
  <c r="T1953" i="8"/>
  <c r="T1959" i="8"/>
  <c r="B1960" i="8" s="1"/>
  <c r="T1950" i="8"/>
  <c r="D1429" i="8"/>
  <c r="D1446" i="8"/>
  <c r="AG1451" i="8"/>
  <c r="T1447" i="8"/>
  <c r="T1444" i="8"/>
  <c r="B1445" i="8" s="1"/>
  <c r="T1441" i="8"/>
  <c r="T1450" i="8"/>
  <c r="B1451" i="8" s="1"/>
  <c r="T1431" i="8"/>
  <c r="T1426" i="8"/>
  <c r="AG1433" i="8"/>
  <c r="D981" i="8"/>
  <c r="D1422" i="8"/>
  <c r="T1430" i="8"/>
  <c r="T1427" i="8"/>
  <c r="B1428" i="8" s="1"/>
  <c r="T1432" i="8"/>
  <c r="B1433" i="8" s="1"/>
  <c r="T1423" i="8"/>
  <c r="E5455" i="8"/>
  <c r="D987" i="8"/>
  <c r="AG992" i="8"/>
  <c r="T100" i="8"/>
  <c r="T989" i="8"/>
  <c r="T136" i="8"/>
  <c r="T988" i="8"/>
  <c r="T985" i="8"/>
  <c r="B986" i="8" s="1"/>
  <c r="T134" i="8"/>
  <c r="T991" i="8"/>
  <c r="B992" i="8" s="1"/>
  <c r="T135" i="8"/>
  <c r="T982" i="8"/>
  <c r="T80" i="8"/>
  <c r="T74" i="8"/>
  <c r="T21" i="8"/>
  <c r="T68" i="8"/>
  <c r="T61" i="8"/>
  <c r="D4909" i="8"/>
  <c r="D5315" i="8"/>
  <c r="D5347" i="8"/>
  <c r="D5331" i="8"/>
  <c r="AG5319" i="8"/>
  <c r="AG5351" i="8"/>
  <c r="AG5335" i="8"/>
  <c r="AG5356" i="8"/>
  <c r="AG5340" i="8"/>
  <c r="AG5324" i="8"/>
  <c r="D5268" i="8"/>
  <c r="D5336" i="8"/>
  <c r="D5320" i="8"/>
  <c r="D5352" i="8"/>
  <c r="T5349" i="8"/>
  <c r="T5355" i="8"/>
  <c r="B5356" i="8" s="1"/>
  <c r="T5348" i="8"/>
  <c r="T5339" i="8"/>
  <c r="B5340" i="8" s="1"/>
  <c r="T5332" i="8"/>
  <c r="T5354" i="8"/>
  <c r="T5323" i="8"/>
  <c r="B5324" i="8" s="1"/>
  <c r="T5318" i="8"/>
  <c r="B5319" i="8" s="1"/>
  <c r="T5337" i="8"/>
  <c r="T5350" i="8"/>
  <c r="B5351" i="8" s="1"/>
  <c r="T5353" i="8"/>
  <c r="T5334" i="8"/>
  <c r="B5335" i="8" s="1"/>
  <c r="T5317" i="8"/>
  <c r="T5321" i="8"/>
  <c r="T5316" i="8"/>
  <c r="T5333" i="8"/>
  <c r="T5338" i="8"/>
  <c r="T5322" i="8"/>
  <c r="AG5272" i="8"/>
  <c r="AG5267" i="8"/>
  <c r="T5264" i="8"/>
  <c r="T5270" i="8"/>
  <c r="T5269" i="8"/>
  <c r="T5265" i="8"/>
  <c r="T5271" i="8"/>
  <c r="B5272" i="8" s="1"/>
  <c r="T5266" i="8"/>
  <c r="B5267" i="8" s="1"/>
  <c r="D5211" i="8"/>
  <c r="D5237" i="8"/>
  <c r="AG5246" i="8"/>
  <c r="D5216" i="8"/>
  <c r="D5242" i="8"/>
  <c r="AG5241" i="8"/>
  <c r="T5243" i="8"/>
  <c r="T5244" i="8"/>
  <c r="T5238" i="8"/>
  <c r="T5240" i="8"/>
  <c r="B5241" i="8" s="1"/>
  <c r="T5245" i="8"/>
  <c r="B5246" i="8" s="1"/>
  <c r="T5239" i="8"/>
  <c r="AG5220" i="8"/>
  <c r="AG5215" i="8"/>
  <c r="T5218" i="8"/>
  <c r="T5212" i="8"/>
  <c r="T5219" i="8"/>
  <c r="B5220" i="8" s="1"/>
  <c r="T5217" i="8"/>
  <c r="T5213" i="8"/>
  <c r="T5214" i="8"/>
  <c r="B5215" i="8" s="1"/>
  <c r="D5143" i="8"/>
  <c r="D5185" i="8"/>
  <c r="D5169" i="8"/>
  <c r="AG5178" i="8"/>
  <c r="AG5194" i="8"/>
  <c r="D5148" i="8"/>
  <c r="D5190" i="8"/>
  <c r="D5174" i="8"/>
  <c r="AG5189" i="8"/>
  <c r="AG5173" i="8"/>
  <c r="T5193" i="8"/>
  <c r="B5194" i="8" s="1"/>
  <c r="T5177" i="8"/>
  <c r="B5178" i="8" s="1"/>
  <c r="T5170" i="8"/>
  <c r="T5176" i="8"/>
  <c r="T5186" i="8"/>
  <c r="T5192" i="8"/>
  <c r="T5171" i="8"/>
  <c r="T5191" i="8"/>
  <c r="T5175" i="8"/>
  <c r="T5188" i="8"/>
  <c r="B5189" i="8" s="1"/>
  <c r="T5172" i="8"/>
  <c r="B5173" i="8" s="1"/>
  <c r="T5187" i="8"/>
  <c r="AG5152" i="8"/>
  <c r="AG5147" i="8"/>
  <c r="T5144" i="8"/>
  <c r="T5150" i="8"/>
  <c r="T5149" i="8"/>
  <c r="T5145" i="8"/>
  <c r="T5146" i="8"/>
  <c r="B5147" i="8" s="1"/>
  <c r="T5151" i="8"/>
  <c r="B5152" i="8" s="1"/>
  <c r="D5045" i="8"/>
  <c r="D5111" i="8"/>
  <c r="D5095" i="8"/>
  <c r="AG5120" i="8"/>
  <c r="AG5104" i="8"/>
  <c r="AG5115" i="8"/>
  <c r="AG5099" i="8"/>
  <c r="D5050" i="8"/>
  <c r="D5116" i="8"/>
  <c r="D5100" i="8"/>
  <c r="T5112" i="8"/>
  <c r="T5117" i="8"/>
  <c r="T5101" i="8"/>
  <c r="T5118" i="8"/>
  <c r="T5114" i="8"/>
  <c r="B5115" i="8" s="1"/>
  <c r="T5098" i="8"/>
  <c r="B5099" i="8" s="1"/>
  <c r="T5113" i="8"/>
  <c r="T5097" i="8"/>
  <c r="T5119" i="8"/>
  <c r="B5120" i="8" s="1"/>
  <c r="T5103" i="8"/>
  <c r="B5104" i="8" s="1"/>
  <c r="T5096" i="8"/>
  <c r="T5102" i="8"/>
  <c r="AG5054" i="8"/>
  <c r="AG5049" i="8"/>
  <c r="T5047" i="8"/>
  <c r="T5053" i="8"/>
  <c r="B5054" i="8" s="1"/>
  <c r="T5051" i="8"/>
  <c r="T5048" i="8"/>
  <c r="B5049" i="8" s="1"/>
  <c r="T5046" i="8"/>
  <c r="T5052" i="8"/>
  <c r="E5458" i="8"/>
  <c r="D5029" i="8"/>
  <c r="AG5038" i="8"/>
  <c r="D4914" i="8"/>
  <c r="D5034" i="8"/>
  <c r="AG5033" i="8"/>
  <c r="T5037" i="8"/>
  <c r="B5038" i="8" s="1"/>
  <c r="T5032" i="8"/>
  <c r="B5033" i="8" s="1"/>
  <c r="T5031" i="8"/>
  <c r="T5035" i="8"/>
  <c r="T5030" i="8"/>
  <c r="T5036" i="8"/>
  <c r="AG4913" i="8"/>
  <c r="AG4918" i="8"/>
  <c r="T4917" i="8"/>
  <c r="B4918" i="8" s="1"/>
  <c r="T4912" i="8"/>
  <c r="B4913" i="8" s="1"/>
  <c r="T4911" i="8"/>
  <c r="T5518" i="8" s="1"/>
  <c r="T153" i="1" s="1"/>
  <c r="S153" i="1" s="1"/>
  <c r="T4915" i="8"/>
  <c r="T4910" i="8"/>
  <c r="T4916" i="8"/>
  <c r="D4811" i="8"/>
  <c r="D4877" i="8"/>
  <c r="D4855" i="8"/>
  <c r="AG4881" i="8"/>
  <c r="AG4859" i="8"/>
  <c r="AG4864" i="8"/>
  <c r="AG4886" i="8"/>
  <c r="D4816" i="8"/>
  <c r="D4882" i="8"/>
  <c r="D4860" i="8"/>
  <c r="T4878" i="8"/>
  <c r="T4884" i="8"/>
  <c r="T4856" i="8"/>
  <c r="T4883" i="8"/>
  <c r="T4862" i="8"/>
  <c r="T4880" i="8"/>
  <c r="B4881" i="8" s="1"/>
  <c r="T4861" i="8"/>
  <c r="T4863" i="8"/>
  <c r="B4864" i="8" s="1"/>
  <c r="T4858" i="8"/>
  <c r="B4859" i="8" s="1"/>
  <c r="T4879" i="8"/>
  <c r="T4885" i="8"/>
  <c r="B4886" i="8" s="1"/>
  <c r="T4857" i="8"/>
  <c r="AG4815" i="8"/>
  <c r="AG4820" i="8"/>
  <c r="T4818" i="8"/>
  <c r="T4812" i="8"/>
  <c r="T4817" i="8"/>
  <c r="T4813" i="8"/>
  <c r="T4814" i="8"/>
  <c r="B4815" i="8" s="1"/>
  <c r="T4819" i="8"/>
  <c r="B4820" i="8" s="1"/>
  <c r="D4735" i="8"/>
  <c r="D4773" i="8"/>
  <c r="D4789" i="8"/>
  <c r="AG4782" i="8"/>
  <c r="AG4798" i="8"/>
  <c r="AG4777" i="8"/>
  <c r="AG4793" i="8"/>
  <c r="D4740" i="8"/>
  <c r="D4794" i="8"/>
  <c r="D4778" i="8"/>
  <c r="T4796" i="8"/>
  <c r="T4790" i="8"/>
  <c r="T4795" i="8"/>
  <c r="T4792" i="8"/>
  <c r="B4793" i="8" s="1"/>
  <c r="T4779" i="8"/>
  <c r="T4776" i="8"/>
  <c r="B4777" i="8" s="1"/>
  <c r="T4797" i="8"/>
  <c r="B4798" i="8" s="1"/>
  <c r="T4791" i="8"/>
  <c r="T4781" i="8"/>
  <c r="B4782" i="8" s="1"/>
  <c r="T4775" i="8"/>
  <c r="T4780" i="8"/>
  <c r="T4774" i="8"/>
  <c r="AG4739" i="8"/>
  <c r="AG4744" i="8"/>
  <c r="T4742" i="8"/>
  <c r="T4736" i="8"/>
  <c r="T4738" i="8"/>
  <c r="B4739" i="8" s="1"/>
  <c r="T4741" i="8"/>
  <c r="T4743" i="8"/>
  <c r="B4744" i="8" s="1"/>
  <c r="T4737" i="8"/>
  <c r="D4653" i="8"/>
  <c r="D4707" i="8"/>
  <c r="D4691" i="8"/>
  <c r="AG4711" i="8"/>
  <c r="AG4695" i="8"/>
  <c r="AG4716" i="8"/>
  <c r="AG4700" i="8"/>
  <c r="D4658" i="8"/>
  <c r="D4712" i="8"/>
  <c r="D4696" i="8"/>
  <c r="T4699" i="8"/>
  <c r="B4700" i="8" s="1"/>
  <c r="T4708" i="8"/>
  <c r="T4692" i="8"/>
  <c r="T4714" i="8"/>
  <c r="T4698" i="8"/>
  <c r="T4713" i="8"/>
  <c r="T4697" i="8"/>
  <c r="T4693" i="8"/>
  <c r="T4710" i="8"/>
  <c r="B4711" i="8" s="1"/>
  <c r="T4694" i="8"/>
  <c r="B4695" i="8" s="1"/>
  <c r="T4715" i="8"/>
  <c r="B4716" i="8" s="1"/>
  <c r="T4709" i="8"/>
  <c r="AG4657" i="8"/>
  <c r="AG4662" i="8"/>
  <c r="T4654" i="8"/>
  <c r="T4659" i="8"/>
  <c r="T4656" i="8"/>
  <c r="B4657" i="8" s="1"/>
  <c r="T4660" i="8"/>
  <c r="T4655" i="8"/>
  <c r="T4661" i="8"/>
  <c r="B4662" i="8" s="1"/>
  <c r="D4571" i="8"/>
  <c r="D4631" i="8"/>
  <c r="D4615" i="8"/>
  <c r="AG4635" i="8"/>
  <c r="AG4619" i="8"/>
  <c r="AG4640" i="8"/>
  <c r="AG4624" i="8"/>
  <c r="D4576" i="8"/>
  <c r="D4636" i="8"/>
  <c r="D4620" i="8"/>
  <c r="T4639" i="8"/>
  <c r="B4640" i="8" s="1"/>
  <c r="T4622" i="8"/>
  <c r="T4637" i="8"/>
  <c r="T4621" i="8"/>
  <c r="T4633" i="8"/>
  <c r="T4623" i="8"/>
  <c r="B4624" i="8" s="1"/>
  <c r="T4616" i="8"/>
  <c r="T4634" i="8"/>
  <c r="B4635" i="8" s="1"/>
  <c r="T4618" i="8"/>
  <c r="B4619" i="8" s="1"/>
  <c r="T4617" i="8"/>
  <c r="T4632" i="8"/>
  <c r="T4638" i="8"/>
  <c r="AG4575" i="8"/>
  <c r="AG4580" i="8"/>
  <c r="T4577" i="8"/>
  <c r="T4574" i="8"/>
  <c r="B4575" i="8" s="1"/>
  <c r="T4578" i="8"/>
  <c r="T4572" i="8"/>
  <c r="T4579" i="8"/>
  <c r="B4580" i="8" s="1"/>
  <c r="T4573" i="8"/>
  <c r="D4489" i="8"/>
  <c r="D4549" i="8"/>
  <c r="D4533" i="8"/>
  <c r="AG4537" i="8"/>
  <c r="AG4553" i="8"/>
  <c r="AG4542" i="8"/>
  <c r="AG4558" i="8"/>
  <c r="D4494" i="8"/>
  <c r="D4554" i="8"/>
  <c r="D4538" i="8"/>
  <c r="T4557" i="8"/>
  <c r="B4558" i="8" s="1"/>
  <c r="T4556" i="8"/>
  <c r="T4540" i="8"/>
  <c r="T4555" i="8"/>
  <c r="T4539" i="8"/>
  <c r="T4552" i="8"/>
  <c r="B4553" i="8" s="1"/>
  <c r="T4551" i="8"/>
  <c r="T4535" i="8"/>
  <c r="T4541" i="8"/>
  <c r="B4542" i="8" s="1"/>
  <c r="T4550" i="8"/>
  <c r="T4534" i="8"/>
  <c r="T4536" i="8"/>
  <c r="B4537" i="8" s="1"/>
  <c r="AG4493" i="8"/>
  <c r="AG4498" i="8"/>
  <c r="T4497" i="8"/>
  <c r="B4498" i="8" s="1"/>
  <c r="T4492" i="8"/>
  <c r="B4493" i="8" s="1"/>
  <c r="T4491" i="8"/>
  <c r="T4495" i="8"/>
  <c r="T4490" i="8"/>
  <c r="T4496" i="8"/>
  <c r="D4467" i="8"/>
  <c r="D4451" i="8"/>
  <c r="AG4476" i="8"/>
  <c r="AG4460" i="8"/>
  <c r="AG4471" i="8"/>
  <c r="AG4455" i="8"/>
  <c r="D4472" i="8"/>
  <c r="D4456" i="8"/>
  <c r="T4475" i="8"/>
  <c r="B4476" i="8" s="1"/>
  <c r="T4459" i="8"/>
  <c r="B4460" i="8" s="1"/>
  <c r="T4468" i="8"/>
  <c r="T4473" i="8"/>
  <c r="T4457" i="8"/>
  <c r="T4469" i="8"/>
  <c r="T4470" i="8"/>
  <c r="B4471" i="8" s="1"/>
  <c r="T4454" i="8"/>
  <c r="B4455" i="8" s="1"/>
  <c r="T4452" i="8"/>
  <c r="T4453" i="8"/>
  <c r="T4474" i="8"/>
  <c r="T4458" i="8"/>
  <c r="D4379" i="8"/>
  <c r="D4411" i="8"/>
  <c r="AG4415" i="8"/>
  <c r="AG4420" i="8"/>
  <c r="D4384" i="8"/>
  <c r="D4416" i="8"/>
  <c r="T4418" i="8"/>
  <c r="T4419" i="8"/>
  <c r="B4420" i="8" s="1"/>
  <c r="T4414" i="8"/>
  <c r="B4415" i="8" s="1"/>
  <c r="T4413" i="8"/>
  <c r="T4417" i="8"/>
  <c r="T4412" i="8"/>
  <c r="AG4383" i="8"/>
  <c r="AG4388" i="8"/>
  <c r="T4381" i="8"/>
  <c r="T4387" i="8"/>
  <c r="B4388" i="8" s="1"/>
  <c r="T4382" i="8"/>
  <c r="B4383" i="8" s="1"/>
  <c r="T4386" i="8"/>
  <c r="T4385" i="8"/>
  <c r="T4380" i="8"/>
  <c r="E5457" i="8"/>
  <c r="D4363" i="8"/>
  <c r="AG4367" i="8"/>
  <c r="AG4372" i="8"/>
  <c r="E5454" i="8"/>
  <c r="D4368" i="8"/>
  <c r="T4365" i="8"/>
  <c r="T4369" i="8"/>
  <c r="T4364" i="8"/>
  <c r="T4370" i="8"/>
  <c r="T4371" i="8"/>
  <c r="B4372" i="8" s="1"/>
  <c r="T4366" i="8"/>
  <c r="B4367" i="8" s="1"/>
  <c r="T4302" i="8"/>
  <c r="T4297" i="8"/>
  <c r="T4301" i="8"/>
  <c r="T4300" i="8"/>
  <c r="T4296" i="8"/>
  <c r="T4299" i="8"/>
  <c r="T4298" i="8"/>
  <c r="T5368" i="8"/>
  <c r="T5362" i="8"/>
  <c r="T5308" i="8"/>
  <c r="T5278" i="8"/>
  <c r="T5226" i="8"/>
  <c r="T5076" i="8"/>
  <c r="T4968" i="8"/>
  <c r="T5158" i="8"/>
  <c r="T5070" i="8"/>
  <c r="T4994" i="8"/>
  <c r="T4962" i="8"/>
  <c r="T5252" i="8"/>
  <c r="T5200" i="8"/>
  <c r="T5088" i="8"/>
  <c r="T5060" i="8"/>
  <c r="T4984" i="8"/>
  <c r="T4952" i="8"/>
  <c r="T5126" i="8"/>
  <c r="T5082" i="8"/>
  <c r="T4974" i="8"/>
  <c r="T4258" i="8"/>
  <c r="T4754" i="8"/>
  <c r="T4898" i="8"/>
  <c r="T4842" i="8"/>
  <c r="T4804" i="8"/>
  <c r="T4760" i="8"/>
  <c r="T4892" i="8"/>
  <c r="T4830" i="8"/>
  <c r="T4848" i="8"/>
  <c r="T4836" i="8"/>
  <c r="T4766" i="8"/>
  <c r="T4684" i="8"/>
  <c r="T4728" i="8"/>
  <c r="T4678" i="8"/>
  <c r="T4672" i="8"/>
  <c r="T4646" i="8"/>
  <c r="T4602" i="8"/>
  <c r="T4514" i="8"/>
  <c r="T4426" i="8"/>
  <c r="T4564" i="8"/>
  <c r="T4596" i="8"/>
  <c r="T4520" i="8"/>
  <c r="T4438" i="8"/>
  <c r="T4508" i="8"/>
  <c r="T4526" i="8"/>
  <c r="T4444" i="8"/>
  <c r="T4608" i="8"/>
  <c r="T4482" i="8"/>
  <c r="T4400" i="8"/>
  <c r="T4394" i="8"/>
  <c r="T4350" i="8"/>
  <c r="T4332" i="8"/>
  <c r="T4344" i="8"/>
  <c r="T4338" i="8"/>
  <c r="T4356" i="8"/>
  <c r="T5394" i="8"/>
  <c r="T5400" i="8"/>
  <c r="T5401" i="8"/>
  <c r="T4273" i="8"/>
  <c r="T4270" i="8"/>
  <c r="T4264" i="8"/>
  <c r="T4272" i="8"/>
  <c r="T4271" i="8"/>
  <c r="T4255" i="8"/>
  <c r="T4245" i="8"/>
  <c r="T4254" i="8"/>
  <c r="T4247" i="8"/>
  <c r="T4253" i="8"/>
  <c r="T4246" i="8"/>
  <c r="K128" i="8"/>
  <c r="K107" i="8"/>
  <c r="K106" i="8"/>
  <c r="K127" i="8"/>
  <c r="T128" i="8"/>
  <c r="T107" i="8"/>
  <c r="T106" i="8"/>
  <c r="T127" i="8"/>
  <c r="T34" i="8"/>
  <c r="T4223" i="8"/>
  <c r="T5524" i="8" s="1"/>
  <c r="T159" i="1" s="1"/>
  <c r="S159" i="1" s="1"/>
  <c r="T4222" i="8"/>
  <c r="T4220" i="8"/>
  <c r="T4221" i="8"/>
  <c r="T4219" i="8"/>
  <c r="T4163" i="8"/>
  <c r="T4158" i="8"/>
  <c r="T4160" i="8"/>
  <c r="T4162" i="8"/>
  <c r="T4161" i="8"/>
  <c r="T4213" i="8"/>
  <c r="T5528" i="8" s="1"/>
  <c r="T163" i="1" s="1"/>
  <c r="S163" i="1" s="1"/>
  <c r="T420" i="11"/>
  <c r="B421" i="11" s="1"/>
  <c r="T313" i="11"/>
  <c r="B314" i="11" s="1"/>
  <c r="T4007" i="8"/>
  <c r="T3998" i="8"/>
  <c r="T3995" i="8"/>
  <c r="T3978" i="8"/>
  <c r="T3969" i="8"/>
  <c r="T3960" i="8"/>
  <c r="T3951" i="8"/>
  <c r="T3942" i="8"/>
  <c r="T3933" i="8"/>
  <c r="T3916" i="8"/>
  <c r="T4006" i="8"/>
  <c r="T3997" i="8"/>
  <c r="T3989" i="8"/>
  <c r="T3986" i="8"/>
  <c r="T3977" i="8"/>
  <c r="T3968" i="8"/>
  <c r="T3959" i="8"/>
  <c r="T3950" i="8"/>
  <c r="T3941" i="8"/>
  <c r="T3915" i="8"/>
  <c r="T3925" i="8"/>
  <c r="T4005" i="8"/>
  <c r="T3988" i="8"/>
  <c r="T3980" i="8"/>
  <c r="T3971" i="8"/>
  <c r="T3962" i="8"/>
  <c r="T3953" i="8"/>
  <c r="T3944" i="8"/>
  <c r="T3935" i="8"/>
  <c r="T3931" i="8"/>
  <c r="T3922" i="8"/>
  <c r="T4004" i="8"/>
  <c r="T3979" i="8"/>
  <c r="T3970" i="8"/>
  <c r="T3961" i="8"/>
  <c r="T3952" i="8"/>
  <c r="T3943" i="8"/>
  <c r="T3934" i="8"/>
  <c r="T3924" i="8"/>
  <c r="T3987" i="8"/>
  <c r="T3996" i="8"/>
  <c r="T3914" i="8"/>
  <c r="T3913" i="8"/>
  <c r="T3923" i="8"/>
  <c r="T3932" i="8"/>
  <c r="T3903" i="8"/>
  <c r="T3889" i="8"/>
  <c r="T3869" i="8"/>
  <c r="T3845" i="8"/>
  <c r="T3803" i="8"/>
  <c r="T3887" i="8"/>
  <c r="T3795" i="8"/>
  <c r="T3857" i="8"/>
  <c r="T3833" i="8"/>
  <c r="T3897" i="8"/>
  <c r="T3888" i="8"/>
  <c r="T3863" i="8"/>
  <c r="T3839" i="8"/>
  <c r="T3787" i="8"/>
  <c r="T3779" i="8"/>
  <c r="T3771" i="8"/>
  <c r="T3896" i="8"/>
  <c r="T3763" i="8"/>
  <c r="T3895" i="8"/>
  <c r="T3881" i="8"/>
  <c r="T3851" i="8"/>
  <c r="T3819" i="8"/>
  <c r="T3755" i="8"/>
  <c r="T3811" i="8"/>
  <c r="T267" i="11"/>
  <c r="B268" i="11" s="1"/>
  <c r="T237" i="11"/>
  <c r="B238" i="11" s="1"/>
  <c r="T282" i="11"/>
  <c r="B283" i="11" s="1"/>
  <c r="T350" i="11"/>
  <c r="B351" i="11" s="1"/>
  <c r="T441" i="11"/>
  <c r="B442" i="11" s="1"/>
  <c r="T3479" i="8"/>
  <c r="T3530" i="8"/>
  <c r="T3311" i="8"/>
  <c r="T3366" i="8"/>
  <c r="T3368" i="8"/>
  <c r="T3359" i="8"/>
  <c r="T3348" i="8"/>
  <c r="T3339" i="8"/>
  <c r="T3356" i="8"/>
  <c r="T3337" i="8"/>
  <c r="T3330" i="8"/>
  <c r="T3305" i="8"/>
  <c r="T3329" i="8"/>
  <c r="T3293" i="8"/>
  <c r="T3360" i="8"/>
  <c r="T3367" i="8"/>
  <c r="T3358" i="8"/>
  <c r="T3340" i="8"/>
  <c r="T3317" i="8"/>
  <c r="T3369" i="8"/>
  <c r="T3338" i="8"/>
  <c r="T3299" i="8"/>
  <c r="T3350" i="8"/>
  <c r="T3349" i="8"/>
  <c r="T3357" i="8"/>
  <c r="T3347" i="8"/>
  <c r="T3328" i="8"/>
  <c r="T3336" i="8"/>
  <c r="T3327" i="8"/>
  <c r="T3346" i="8"/>
  <c r="T2976" i="8"/>
  <c r="T3279" i="8"/>
  <c r="T3271" i="8"/>
  <c r="T3223" i="8"/>
  <c r="T3263" i="8"/>
  <c r="T3255" i="8"/>
  <c r="T3247" i="8"/>
  <c r="T3239" i="8"/>
  <c r="T3231" i="8"/>
  <c r="T2847" i="8"/>
  <c r="T2789" i="8"/>
  <c r="T2846" i="8"/>
  <c r="T2845" i="8"/>
  <c r="T2844" i="8"/>
  <c r="T2838" i="8"/>
  <c r="T2827" i="8"/>
  <c r="T2816" i="8"/>
  <c r="T2806" i="8"/>
  <c r="T2777" i="8"/>
  <c r="T2815" i="8"/>
  <c r="T2808" i="8"/>
  <c r="T2837" i="8"/>
  <c r="T2826" i="8"/>
  <c r="T2834" i="8"/>
  <c r="T2771" i="8"/>
  <c r="T2836" i="8"/>
  <c r="T2818" i="8"/>
  <c r="T2835" i="8"/>
  <c r="T2783" i="8"/>
  <c r="T2805" i="8"/>
  <c r="T2814" i="8"/>
  <c r="T2828" i="8"/>
  <c r="T2817" i="8"/>
  <c r="T2807" i="8"/>
  <c r="T2824" i="8"/>
  <c r="T2825" i="8"/>
  <c r="T2765" i="8"/>
  <c r="T2703" i="8"/>
  <c r="T2735" i="8"/>
  <c r="T2711" i="8"/>
  <c r="T2695" i="8"/>
  <c r="T2751" i="8"/>
  <c r="T2743" i="8"/>
  <c r="T2727" i="8"/>
  <c r="T2719" i="8"/>
  <c r="T2452" i="8"/>
  <c r="T2565" i="8"/>
  <c r="T2652" i="8"/>
  <c r="T2311" i="8"/>
  <c r="T2300" i="8"/>
  <c r="T2289" i="8"/>
  <c r="T2301" i="8"/>
  <c r="T2262" i="8"/>
  <c r="T2310" i="8"/>
  <c r="T2299" i="8"/>
  <c r="T2281" i="8"/>
  <c r="T2256" i="8"/>
  <c r="T2309" i="8"/>
  <c r="T2291" i="8"/>
  <c r="T2308" i="8"/>
  <c r="T2287" i="8"/>
  <c r="T2268" i="8"/>
  <c r="T2280" i="8"/>
  <c r="T2250" i="8"/>
  <c r="T2290" i="8"/>
  <c r="T2297" i="8"/>
  <c r="T2278" i="8"/>
  <c r="T2288" i="8"/>
  <c r="T2279" i="8"/>
  <c r="T2298" i="8"/>
  <c r="T2307" i="8"/>
  <c r="T1988" i="8"/>
  <c r="T2230" i="8"/>
  <c r="T2130" i="8"/>
  <c r="T2222" i="8"/>
  <c r="T2214" i="8"/>
  <c r="T2198" i="8"/>
  <c r="T2206" i="8"/>
  <c r="T2190" i="8"/>
  <c r="T2174" i="8"/>
  <c r="T2182" i="8"/>
  <c r="T342" i="11"/>
  <c r="B343" i="11" s="1"/>
  <c r="T305" i="11"/>
  <c r="B306" i="11" s="1"/>
  <c r="T1717" i="8"/>
  <c r="T1728" i="8"/>
  <c r="T1716" i="8"/>
  <c r="T1727" i="8"/>
  <c r="T1866" i="8"/>
  <c r="T1726" i="8"/>
  <c r="T1725" i="8"/>
  <c r="T1718" i="8"/>
  <c r="T1714" i="8"/>
  <c r="T1715" i="8"/>
  <c r="T1724" i="8"/>
  <c r="T1708" i="8"/>
  <c r="T1679" i="8"/>
  <c r="T1704" i="8"/>
  <c r="T1707" i="8"/>
  <c r="T1673" i="8"/>
  <c r="T1706" i="8"/>
  <c r="T1685" i="8"/>
  <c r="T1705" i="8"/>
  <c r="T1698" i="8"/>
  <c r="T1695" i="8"/>
  <c r="T1697" i="8"/>
  <c r="T1667" i="8"/>
  <c r="T1696" i="8"/>
  <c r="T1562" i="8"/>
  <c r="T1653" i="8"/>
  <c r="T1645" i="8"/>
  <c r="T1637" i="8"/>
  <c r="T1629" i="8"/>
  <c r="T1621" i="8"/>
  <c r="T1613" i="8"/>
  <c r="T1605" i="8"/>
  <c r="T483" i="11"/>
  <c r="B484" i="11" s="1"/>
  <c r="T335" i="11"/>
  <c r="B336" i="11" s="1"/>
  <c r="T358" i="11"/>
  <c r="B359" i="11" s="1"/>
  <c r="T404" i="11"/>
  <c r="B405" i="11" s="1"/>
  <c r="T412" i="11"/>
  <c r="B413" i="11" s="1"/>
  <c r="T426" i="11"/>
  <c r="B427" i="11" s="1"/>
  <c r="T455" i="11"/>
  <c r="B456" i="11" s="1"/>
  <c r="T373" i="11"/>
  <c r="B374" i="11" s="1"/>
  <c r="T1337" i="8"/>
  <c r="T1461" i="8"/>
  <c r="T527" i="11"/>
  <c r="B528" i="11" s="1"/>
  <c r="T1260" i="8"/>
  <c r="T1253" i="8"/>
  <c r="T1241" i="8"/>
  <c r="T1259" i="8"/>
  <c r="T1243" i="8"/>
  <c r="T1250" i="8"/>
  <c r="T1231" i="8"/>
  <c r="T1252" i="8"/>
  <c r="T1218" i="8"/>
  <c r="T1224" i="8"/>
  <c r="T1230" i="8"/>
  <c r="T1244" i="8"/>
  <c r="T1251" i="8"/>
  <c r="T1242" i="8"/>
  <c r="T1198" i="8"/>
  <c r="T1190" i="8"/>
  <c r="T1182" i="8"/>
  <c r="T1174" i="8"/>
  <c r="T1166" i="8"/>
  <c r="T1158" i="8"/>
  <c r="T1150" i="8"/>
  <c r="T1142" i="8"/>
  <c r="T1134" i="8"/>
  <c r="T1002" i="8"/>
  <c r="T1097" i="8"/>
  <c r="T396" i="11"/>
  <c r="B397" i="11" s="1"/>
  <c r="T521" i="11"/>
  <c r="B522" i="11" s="1"/>
  <c r="T514" i="11"/>
  <c r="B515" i="11" s="1"/>
  <c r="T861" i="8"/>
  <c r="T847" i="8"/>
  <c r="T838" i="8"/>
  <c r="T829" i="8"/>
  <c r="T830" i="8"/>
  <c r="T855" i="8"/>
  <c r="T846" i="8"/>
  <c r="T837" i="8"/>
  <c r="T828" i="8"/>
  <c r="T819" i="8"/>
  <c r="T848" i="8"/>
  <c r="T849" i="8"/>
  <c r="T840" i="8"/>
  <c r="T831" i="8"/>
  <c r="T822" i="8"/>
  <c r="T839" i="8"/>
  <c r="T821" i="8"/>
  <c r="T820" i="8"/>
  <c r="T813" i="8"/>
  <c r="T812" i="8"/>
  <c r="T811" i="8"/>
  <c r="T810" i="8"/>
  <c r="T794" i="8"/>
  <c r="T788" i="8"/>
  <c r="T800" i="8"/>
  <c r="T770" i="8"/>
  <c r="T776" i="8"/>
  <c r="T503" i="11"/>
  <c r="B504" i="11" s="1"/>
  <c r="T764" i="8"/>
  <c r="T758" i="8"/>
  <c r="T704" i="8"/>
  <c r="T744" i="8"/>
  <c r="T720" i="8"/>
  <c r="T728" i="8"/>
  <c r="T712" i="8"/>
  <c r="T736" i="8"/>
  <c r="T492" i="11"/>
  <c r="B493" i="11" s="1"/>
  <c r="T449" i="11"/>
  <c r="B450" i="11" s="1"/>
  <c r="T475" i="11"/>
  <c r="B476" i="11" s="1"/>
  <c r="T380" i="11"/>
  <c r="B381" i="11" s="1"/>
  <c r="T388" i="11"/>
  <c r="B389" i="11" s="1"/>
  <c r="T461" i="11"/>
  <c r="B462" i="11" s="1"/>
  <c r="T433" i="11"/>
  <c r="B434" i="11" s="1"/>
  <c r="T468" i="11"/>
  <c r="B469" i="11" s="1"/>
  <c r="T290" i="11"/>
  <c r="B291" i="11" s="1"/>
  <c r="T319" i="11"/>
  <c r="B320" i="11" s="1"/>
  <c r="T366" i="11"/>
  <c r="B367" i="11" s="1"/>
  <c r="T327" i="11"/>
  <c r="B328" i="11" s="1"/>
  <c r="T298" i="11"/>
  <c r="B299" i="11" s="1"/>
  <c r="T274" i="11"/>
  <c r="B275" i="11" s="1"/>
  <c r="T244" i="11"/>
  <c r="B245" i="11" s="1"/>
  <c r="T259" i="11"/>
  <c r="B260" i="11" s="1"/>
  <c r="T231" i="11"/>
  <c r="B232" i="11" s="1"/>
  <c r="T225" i="11"/>
  <c r="B226" i="11" s="1"/>
  <c r="T219" i="11"/>
  <c r="B220" i="11" s="1"/>
  <c r="T252" i="11"/>
  <c r="B253" i="11" s="1"/>
  <c r="T213" i="11"/>
  <c r="B214" i="11" s="1"/>
  <c r="T207" i="11"/>
  <c r="B208" i="11" s="1"/>
  <c r="T197" i="11"/>
  <c r="B198" i="11" s="1"/>
  <c r="T168" i="11"/>
  <c r="B169" i="11" s="1"/>
  <c r="T177" i="11"/>
  <c r="B178" i="11" s="1"/>
  <c r="T159" i="11"/>
  <c r="B160" i="11" s="1"/>
  <c r="T150" i="11"/>
  <c r="B151" i="11" s="1"/>
  <c r="T141" i="11"/>
  <c r="B142" i="11" s="1"/>
  <c r="T132" i="11"/>
  <c r="B133" i="11" s="1"/>
  <c r="T122" i="11"/>
  <c r="B123" i="11" s="1"/>
  <c r="T102" i="11"/>
  <c r="B103" i="11" s="1"/>
  <c r="T596" i="11"/>
  <c r="T82" i="11"/>
  <c r="B83" i="11" s="1"/>
  <c r="T32" i="11"/>
  <c r="B33" i="11" s="1"/>
  <c r="T72" i="11"/>
  <c r="B73" i="11" s="1"/>
  <c r="T62" i="11"/>
  <c r="B63" i="11" s="1"/>
  <c r="T92" i="11"/>
  <c r="B93" i="11" s="1"/>
  <c r="T42" i="11"/>
  <c r="B43" i="11" s="1"/>
  <c r="T112" i="11"/>
  <c r="B113" i="11" s="1"/>
  <c r="T52" i="11"/>
  <c r="B53" i="11" s="1"/>
  <c r="T253" i="8"/>
  <c r="T196" i="8"/>
  <c r="T252" i="8"/>
  <c r="T251" i="8"/>
  <c r="T250" i="8"/>
  <c r="T242" i="8"/>
  <c r="T244" i="8"/>
  <c r="T230" i="8"/>
  <c r="T243" i="8"/>
  <c r="T241" i="8"/>
  <c r="T217" i="8"/>
  <c r="T207" i="8"/>
  <c r="T190" i="8"/>
  <c r="T235" i="8"/>
  <c r="T231" i="8"/>
  <c r="T234" i="8"/>
  <c r="T229" i="8"/>
  <c r="T233" i="8"/>
  <c r="T232" i="8"/>
  <c r="T228" i="8"/>
  <c r="E5462" i="8"/>
  <c r="E5463" i="8"/>
  <c r="T221" i="8"/>
  <c r="T216" i="8"/>
  <c r="T209" i="8"/>
  <c r="T177" i="8"/>
  <c r="T218" i="8"/>
  <c r="T206" i="8"/>
  <c r="T170" i="8"/>
  <c r="T222" i="8"/>
  <c r="T208" i="8"/>
  <c r="T184" i="8"/>
  <c r="T220" i="8"/>
  <c r="T219" i="8"/>
  <c r="T215" i="8"/>
  <c r="T183" i="8"/>
  <c r="T176" i="8"/>
  <c r="R5527" i="8"/>
  <c r="R162" i="1" s="1"/>
  <c r="R5520" i="8"/>
  <c r="R155" i="1" s="1"/>
  <c r="R5512" i="8"/>
  <c r="R147" i="1" s="1"/>
  <c r="R5504" i="8"/>
  <c r="R139" i="1" s="1"/>
  <c r="R5496" i="8"/>
  <c r="R131" i="1" s="1"/>
  <c r="R5481" i="8"/>
  <c r="R116" i="1" s="1"/>
  <c r="T5506" i="8"/>
  <c r="T141" i="1" s="1"/>
  <c r="S141" i="1" s="1"/>
  <c r="T5490" i="8"/>
  <c r="T125" i="1" s="1"/>
  <c r="S125" i="1" s="1"/>
  <c r="R5495" i="8"/>
  <c r="R130" i="1" s="1"/>
  <c r="R5480" i="8"/>
  <c r="R115" i="1" s="1"/>
  <c r="T5482" i="8"/>
  <c r="R5518" i="8"/>
  <c r="R153" i="1" s="1"/>
  <c r="R5502" i="8"/>
  <c r="R137" i="1" s="1"/>
  <c r="T5504" i="8"/>
  <c r="T139" i="1" s="1"/>
  <c r="S139" i="1" s="1"/>
  <c r="T5481" i="8"/>
  <c r="T116" i="1" s="1"/>
  <c r="S116" i="1" s="1"/>
  <c r="R5519" i="8"/>
  <c r="R154" i="1" s="1"/>
  <c r="R5525" i="8"/>
  <c r="R160" i="1" s="1"/>
  <c r="R5517" i="8"/>
  <c r="R152" i="1" s="1"/>
  <c r="R5509" i="8"/>
  <c r="R144" i="1" s="1"/>
  <c r="R5486" i="8"/>
  <c r="R121" i="1" s="1"/>
  <c r="R5478" i="8"/>
  <c r="T5511" i="8"/>
  <c r="T146" i="1" s="1"/>
  <c r="S146" i="1" s="1"/>
  <c r="T5495" i="8"/>
  <c r="T130" i="1" s="1"/>
  <c r="S130" i="1" s="1"/>
  <c r="T5480" i="8"/>
  <c r="T115" i="1" s="1"/>
  <c r="S115" i="1" s="1"/>
  <c r="R5479" i="8"/>
  <c r="R114" i="1" s="1"/>
  <c r="T5494" i="8"/>
  <c r="T129" i="1" s="1"/>
  <c r="S129" i="1" s="1"/>
  <c r="R5511" i="8"/>
  <c r="R146" i="1" s="1"/>
  <c r="T5505" i="8"/>
  <c r="T140" i="1" s="1"/>
  <c r="S140" i="1" s="1"/>
  <c r="R5510" i="8"/>
  <c r="R145" i="1" s="1"/>
  <c r="R5530" i="8"/>
  <c r="R165" i="1" s="1"/>
  <c r="R5524" i="8"/>
  <c r="R159" i="1" s="1"/>
  <c r="R5516" i="8"/>
  <c r="R151" i="1" s="1"/>
  <c r="R5508" i="8"/>
  <c r="R143" i="1" s="1"/>
  <c r="R5500" i="8"/>
  <c r="R135" i="1" s="1"/>
  <c r="R5493" i="8"/>
  <c r="R128" i="1" s="1"/>
  <c r="T5510" i="8"/>
  <c r="T145" i="1" s="1"/>
  <c r="S145" i="1" s="1"/>
  <c r="T5502" i="8"/>
  <c r="T137" i="1" s="1"/>
  <c r="S137" i="1" s="1"/>
  <c r="R5529" i="8"/>
  <c r="R164" i="1" s="1"/>
  <c r="R5523" i="8"/>
  <c r="R158" i="1" s="1"/>
  <c r="R5515" i="8"/>
  <c r="R150" i="1" s="1"/>
  <c r="R5507" i="8"/>
  <c r="R142" i="1" s="1"/>
  <c r="R5499" i="8"/>
  <c r="R5476" i="8"/>
  <c r="R111" i="1" s="1"/>
  <c r="T5525" i="8"/>
  <c r="T160" i="1" s="1"/>
  <c r="S160" i="1" s="1"/>
  <c r="T5517" i="8"/>
  <c r="T152" i="1" s="1"/>
  <c r="S152" i="1" s="1"/>
  <c r="T5493" i="8"/>
  <c r="T128" i="1" s="1"/>
  <c r="S128" i="1" s="1"/>
  <c r="T5486" i="8"/>
  <c r="T121" i="1" s="1"/>
  <c r="S121" i="1" s="1"/>
  <c r="T5478" i="8"/>
  <c r="T113" i="1" s="1"/>
  <c r="S113" i="1" s="1"/>
  <c r="R5503" i="8"/>
  <c r="R138" i="1" s="1"/>
  <c r="T5516" i="8"/>
  <c r="T151" i="1" s="1"/>
  <c r="S151" i="1" s="1"/>
  <c r="T5508" i="8"/>
  <c r="T143" i="1" s="1"/>
  <c r="S143" i="1" s="1"/>
  <c r="R5522" i="8"/>
  <c r="R157" i="1" s="1"/>
  <c r="R5514" i="8"/>
  <c r="R149" i="1" s="1"/>
  <c r="R5506" i="8"/>
  <c r="R141" i="1" s="1"/>
  <c r="R5491" i="8"/>
  <c r="R126" i="1" s="1"/>
  <c r="R5505" i="8"/>
  <c r="R140" i="1" s="1"/>
  <c r="R5490" i="8"/>
  <c r="R125" i="1" s="1"/>
  <c r="R5482" i="8"/>
  <c r="R117" i="1" s="1"/>
  <c r="T5523" i="8"/>
  <c r="T158" i="1" s="1"/>
  <c r="S158" i="1" s="1"/>
  <c r="T5515" i="8"/>
  <c r="T150" i="1" s="1"/>
  <c r="S150" i="1" s="1"/>
  <c r="T5507" i="8"/>
  <c r="T142" i="1" s="1"/>
  <c r="S142" i="1" s="1"/>
  <c r="T5491" i="8"/>
  <c r="T126" i="1" s="1"/>
  <c r="S126" i="1" s="1"/>
  <c r="T5476" i="8"/>
  <c r="M5" i="8"/>
  <c r="J1" i="11"/>
  <c r="M3" i="11"/>
  <c r="C10" i="11"/>
  <c r="C12" i="11"/>
  <c r="J4" i="8"/>
  <c r="K1" i="8"/>
  <c r="J3" i="8"/>
  <c r="T5438" i="8"/>
  <c r="T5431" i="8"/>
  <c r="T5424" i="8"/>
  <c r="T5439" i="8"/>
  <c r="B5440" i="8" s="1"/>
  <c r="T5425" i="8"/>
  <c r="B5426" i="8" s="1"/>
  <c r="T5437" i="8"/>
  <c r="T5430" i="8"/>
  <c r="T5423" i="8"/>
  <c r="T5432" i="8"/>
  <c r="B5433" i="8" s="1"/>
  <c r="T5402" i="8"/>
  <c r="B5403" i="8" s="1"/>
  <c r="T5395" i="8"/>
  <c r="B5396" i="8" s="1"/>
  <c r="T5369" i="8"/>
  <c r="B5370" i="8" s="1"/>
  <c r="T5363" i="8"/>
  <c r="B5364" i="8" s="1"/>
  <c r="T5309" i="8"/>
  <c r="B5310" i="8" s="1"/>
  <c r="T5127" i="8"/>
  <c r="B5128" i="8" s="1"/>
  <c r="T4995" i="8"/>
  <c r="B4996" i="8" s="1"/>
  <c r="T4805" i="8"/>
  <c r="B4806" i="8" s="1"/>
  <c r="T4729" i="8"/>
  <c r="B4730" i="8" s="1"/>
  <c r="T5253" i="8"/>
  <c r="B5254" i="8" s="1"/>
  <c r="T5083" i="8"/>
  <c r="B5084" i="8" s="1"/>
  <c r="T5077" i="8"/>
  <c r="B5078" i="8" s="1"/>
  <c r="T5071" i="8"/>
  <c r="B5072" i="8" s="1"/>
  <c r="T5061" i="8"/>
  <c r="B5062" i="8" s="1"/>
  <c r="T4963" i="8"/>
  <c r="B4964" i="8" s="1"/>
  <c r="T4953" i="8"/>
  <c r="B4954" i="8" s="1"/>
  <c r="T4893" i="8"/>
  <c r="B4894" i="8" s="1"/>
  <c r="T4831" i="8"/>
  <c r="B4832" i="8" s="1"/>
  <c r="T4849" i="8"/>
  <c r="B4850" i="8" s="1"/>
  <c r="T4515" i="8"/>
  <c r="B4516" i="8" s="1"/>
  <c r="T5279" i="8"/>
  <c r="B5280" i="8" s="1"/>
  <c r="T5089" i="8"/>
  <c r="B5090" i="8" s="1"/>
  <c r="T4837" i="8"/>
  <c r="B4838" i="8" s="1"/>
  <c r="T4603" i="8"/>
  <c r="B4604" i="8" s="1"/>
  <c r="T4527" i="8"/>
  <c r="B4528" i="8" s="1"/>
  <c r="T5227" i="8"/>
  <c r="B5228" i="8" s="1"/>
  <c r="T5201" i="8"/>
  <c r="B5202" i="8" s="1"/>
  <c r="T4975" i="8"/>
  <c r="B4976" i="8" s="1"/>
  <c r="T4843" i="8"/>
  <c r="B4844" i="8" s="1"/>
  <c r="T4673" i="8"/>
  <c r="B4674" i="8" s="1"/>
  <c r="T4509" i="8"/>
  <c r="B4510" i="8" s="1"/>
  <c r="T4395" i="8"/>
  <c r="B4396" i="8" s="1"/>
  <c r="T4339" i="8"/>
  <c r="B4340" i="8" s="1"/>
  <c r="T4597" i="8"/>
  <c r="B4598" i="8" s="1"/>
  <c r="T4483" i="8"/>
  <c r="B4484" i="8" s="1"/>
  <c r="T4439" i="8"/>
  <c r="B4440" i="8" s="1"/>
  <c r="T4427" i="8"/>
  <c r="B4428" i="8" s="1"/>
  <c r="T4333" i="8"/>
  <c r="B4334" i="8" s="1"/>
  <c r="T5159" i="8"/>
  <c r="B5160" i="8" s="1"/>
  <c r="T4899" i="8"/>
  <c r="B4900" i="8" s="1"/>
  <c r="T4761" i="8"/>
  <c r="B4762" i="8" s="1"/>
  <c r="T4685" i="8"/>
  <c r="B4686" i="8" s="1"/>
  <c r="T4647" i="8"/>
  <c r="B4648" i="8" s="1"/>
  <c r="T4357" i="8"/>
  <c r="B4358" i="8" s="1"/>
  <c r="T4679" i="8"/>
  <c r="B4680" i="8" s="1"/>
  <c r="T4445" i="8"/>
  <c r="B4446" i="8" s="1"/>
  <c r="T4401" i="8"/>
  <c r="B4402" i="8" s="1"/>
  <c r="T4985" i="8"/>
  <c r="B4986" i="8" s="1"/>
  <c r="T4755" i="8"/>
  <c r="B4756" i="8" s="1"/>
  <c r="T4969" i="8"/>
  <c r="B4970" i="8" s="1"/>
  <c r="T4767" i="8"/>
  <c r="B4768" i="8" s="1"/>
  <c r="T4565" i="8"/>
  <c r="B4566" i="8" s="1"/>
  <c r="T4609" i="8"/>
  <c r="B4610" i="8" s="1"/>
  <c r="T4521" i="8"/>
  <c r="B4522" i="8" s="1"/>
  <c r="T4303" i="8"/>
  <c r="B4304" i="8" s="1"/>
  <c r="T4351" i="8"/>
  <c r="B4352" i="8" s="1"/>
  <c r="T4295" i="8"/>
  <c r="T4345" i="8"/>
  <c r="B4346" i="8" s="1"/>
  <c r="T122" i="8"/>
  <c r="B123" i="8" s="1"/>
  <c r="T113" i="8"/>
  <c r="T101" i="8"/>
  <c r="B102" i="8" s="1"/>
  <c r="T92" i="8"/>
  <c r="T69" i="8"/>
  <c r="B70" i="8" s="1"/>
  <c r="T55" i="8"/>
  <c r="T49" i="8"/>
  <c r="B50" i="8" s="1"/>
  <c r="T40" i="8"/>
  <c r="T29" i="8"/>
  <c r="B30" i="8" s="1"/>
  <c r="T4265" i="8"/>
  <c r="B4266" i="8" s="1"/>
  <c r="T115" i="8"/>
  <c r="B116" i="8" s="1"/>
  <c r="T47" i="8"/>
  <c r="T41" i="8"/>
  <c r="T35" i="8"/>
  <c r="B36" i="8" s="1"/>
  <c r="T129" i="8"/>
  <c r="B130" i="8" s="1"/>
  <c r="T81" i="8"/>
  <c r="B82" i="8" s="1"/>
  <c r="T22" i="8"/>
  <c r="B23" i="8" s="1"/>
  <c r="T137" i="8"/>
  <c r="B138" i="8" s="1"/>
  <c r="T108" i="8"/>
  <c r="B109" i="8" s="1"/>
  <c r="T62" i="8"/>
  <c r="B63" i="8" s="1"/>
  <c r="T48" i="8"/>
  <c r="T4259" i="8"/>
  <c r="B4260" i="8" s="1"/>
  <c r="T120" i="8"/>
  <c r="T75" i="8"/>
  <c r="B76" i="8" s="1"/>
  <c r="T67" i="8"/>
  <c r="T54" i="8"/>
  <c r="T4274" i="8"/>
  <c r="B4275" i="8" s="1"/>
  <c r="T121" i="8"/>
  <c r="T114" i="8"/>
  <c r="T93" i="8"/>
  <c r="T27" i="8"/>
  <c r="T99" i="8"/>
  <c r="T94" i="8"/>
  <c r="B95" i="8" s="1"/>
  <c r="T56" i="8"/>
  <c r="B57" i="8" s="1"/>
  <c r="T4248" i="8"/>
  <c r="B4249" i="8" s="1"/>
  <c r="T42" i="8"/>
  <c r="B43" i="8" s="1"/>
  <c r="T28" i="8"/>
  <c r="T4182" i="8"/>
  <c r="T4176" i="8"/>
  <c r="T4170" i="8"/>
  <c r="B4171" i="8" s="1"/>
  <c r="T4129" i="8"/>
  <c r="B4130" i="8" s="1"/>
  <c r="T4100" i="8"/>
  <c r="B4101" i="8" s="1"/>
  <c r="T4050" i="8"/>
  <c r="B4051" i="8" s="1"/>
  <c r="T4214" i="8"/>
  <c r="B4215" i="8" s="1"/>
  <c r="T4175" i="8"/>
  <c r="T4164" i="8"/>
  <c r="B4165" i="8" s="1"/>
  <c r="T4136" i="8"/>
  <c r="B4137" i="8" s="1"/>
  <c r="T4091" i="8"/>
  <c r="B4092" i="8" s="1"/>
  <c r="T4057" i="8"/>
  <c r="B4058" i="8" s="1"/>
  <c r="T4030" i="8"/>
  <c r="B4031" i="8" s="1"/>
  <c r="T3999" i="8"/>
  <c r="B4000" i="8" s="1"/>
  <c r="T3972" i="8"/>
  <c r="B3973" i="8" s="1"/>
  <c r="T3945" i="8"/>
  <c r="B3946" i="8" s="1"/>
  <c r="T4043" i="8"/>
  <c r="B4044" i="8" s="1"/>
  <c r="T3990" i="8"/>
  <c r="B3991" i="8" s="1"/>
  <c r="T3954" i="8"/>
  <c r="B3955" i="8" s="1"/>
  <c r="T3904" i="8"/>
  <c r="B3905" i="8" s="1"/>
  <c r="T3882" i="8"/>
  <c r="B3883" i="8" s="1"/>
  <c r="T3870" i="8"/>
  <c r="B3871" i="8" s="1"/>
  <c r="T4159" i="8"/>
  <c r="T4118" i="8"/>
  <c r="B4119" i="8" s="1"/>
  <c r="T4023" i="8"/>
  <c r="B4024" i="8" s="1"/>
  <c r="T3981" i="8"/>
  <c r="B3982" i="8" s="1"/>
  <c r="T3936" i="8"/>
  <c r="B3937" i="8" s="1"/>
  <c r="T3926" i="8"/>
  <c r="B3927" i="8" s="1"/>
  <c r="T3898" i="8"/>
  <c r="B3899" i="8" s="1"/>
  <c r="T4184" i="8"/>
  <c r="B4185" i="8" s="1"/>
  <c r="T4183" i="8"/>
  <c r="T4169" i="8"/>
  <c r="T4143" i="8"/>
  <c r="B4144" i="8" s="1"/>
  <c r="T4107" i="8"/>
  <c r="B4108" i="8" s="1"/>
  <c r="T3917" i="8"/>
  <c r="B3918" i="8" s="1"/>
  <c r="T4224" i="8"/>
  <c r="B4225" i="8" s="1"/>
  <c r="T4064" i="8"/>
  <c r="B4065" i="8" s="1"/>
  <c r="T3963" i="8"/>
  <c r="B3964" i="8" s="1"/>
  <c r="T3840" i="8"/>
  <c r="B3841" i="8" s="1"/>
  <c r="T3820" i="8"/>
  <c r="B3821" i="8" s="1"/>
  <c r="T3764" i="8"/>
  <c r="B3765" i="8" s="1"/>
  <c r="T3733" i="8"/>
  <c r="B3734" i="8" s="1"/>
  <c r="T3711" i="8"/>
  <c r="T3699" i="8"/>
  <c r="B3700" i="8" s="1"/>
  <c r="T3678" i="8"/>
  <c r="B3679" i="8" s="1"/>
  <c r="T3657" i="8"/>
  <c r="B3658" i="8" s="1"/>
  <c r="T3636" i="8"/>
  <c r="B3637" i="8" s="1"/>
  <c r="T3617" i="8"/>
  <c r="T3611" i="8"/>
  <c r="B3612" i="8" s="1"/>
  <c r="T3858" i="8"/>
  <c r="B3859" i="8" s="1"/>
  <c r="T3846" i="8"/>
  <c r="B3847" i="8" s="1"/>
  <c r="T3788" i="8"/>
  <c r="B3789" i="8" s="1"/>
  <c r="T3756" i="8"/>
  <c r="B3757" i="8" s="1"/>
  <c r="T3726" i="8"/>
  <c r="B3727" i="8" s="1"/>
  <c r="T3713" i="8"/>
  <c r="B3714" i="8" s="1"/>
  <c r="T3692" i="8"/>
  <c r="B3693" i="8" s="1"/>
  <c r="T3671" i="8"/>
  <c r="B3672" i="8" s="1"/>
  <c r="T3650" i="8"/>
  <c r="B3651" i="8" s="1"/>
  <c r="T3625" i="8"/>
  <c r="B3626" i="8" s="1"/>
  <c r="T3616" i="8"/>
  <c r="T3834" i="8"/>
  <c r="B3835" i="8" s="1"/>
  <c r="T4008" i="8"/>
  <c r="B4009" i="8" s="1"/>
  <c r="T3812" i="8"/>
  <c r="B3813" i="8" s="1"/>
  <c r="T3559" i="8"/>
  <c r="B3560" i="8" s="1"/>
  <c r="T3538" i="8"/>
  <c r="B3539" i="8" s="1"/>
  <c r="T3512" i="8"/>
  <c r="B3513" i="8" s="1"/>
  <c r="T3487" i="8"/>
  <c r="B3488" i="8" s="1"/>
  <c r="T3465" i="8"/>
  <c r="B3466" i="8" s="1"/>
  <c r="T3444" i="8"/>
  <c r="B3445" i="8" s="1"/>
  <c r="T3398" i="8"/>
  <c r="B3399" i="8" s="1"/>
  <c r="T3890" i="8"/>
  <c r="B3891" i="8" s="1"/>
  <c r="T3804" i="8"/>
  <c r="B3805" i="8" s="1"/>
  <c r="T3685" i="8"/>
  <c r="B3686" i="8" s="1"/>
  <c r="T3618" i="8"/>
  <c r="B3619" i="8" s="1"/>
  <c r="T3772" i="8"/>
  <c r="B3773" i="8" s="1"/>
  <c r="T3552" i="8"/>
  <c r="B3553" i="8" s="1"/>
  <c r="T3531" i="8"/>
  <c r="B3532" i="8" s="1"/>
  <c r="T3503" i="8"/>
  <c r="B3504" i="8" s="1"/>
  <c r="T3480" i="8"/>
  <c r="B3481" i="8" s="1"/>
  <c r="T3458" i="8"/>
  <c r="B3459" i="8" s="1"/>
  <c r="T3437" i="8"/>
  <c r="B3438" i="8" s="1"/>
  <c r="T3391" i="8"/>
  <c r="B3392" i="8" s="1"/>
  <c r="T3852" i="8"/>
  <c r="B3853" i="8" s="1"/>
  <c r="T3523" i="8"/>
  <c r="B3524" i="8" s="1"/>
  <c r="T3472" i="8"/>
  <c r="B3473" i="8" s="1"/>
  <c r="T3430" i="8"/>
  <c r="B3431" i="8" s="1"/>
  <c r="T3351" i="8"/>
  <c r="B3352" i="8" s="1"/>
  <c r="T3318" i="8"/>
  <c r="B3319" i="8" s="1"/>
  <c r="T3300" i="8"/>
  <c r="B3301" i="8" s="1"/>
  <c r="T3272" i="8"/>
  <c r="B3273" i="8" s="1"/>
  <c r="T3248" i="8"/>
  <c r="B3249" i="8" s="1"/>
  <c r="T3224" i="8"/>
  <c r="B3225" i="8" s="1"/>
  <c r="T3202" i="8"/>
  <c r="B3203" i="8" s="1"/>
  <c r="T3181" i="8"/>
  <c r="B3182" i="8" s="1"/>
  <c r="T3160" i="8"/>
  <c r="B3161" i="8" s="1"/>
  <c r="T3139" i="8"/>
  <c r="B3140" i="8" s="1"/>
  <c r="T3118" i="8"/>
  <c r="B3119" i="8" s="1"/>
  <c r="T3099" i="8"/>
  <c r="T3021" i="8"/>
  <c r="B3022" i="8" s="1"/>
  <c r="T3370" i="8"/>
  <c r="B3371" i="8" s="1"/>
  <c r="T3341" i="8"/>
  <c r="B3342" i="8" s="1"/>
  <c r="T3312" i="8"/>
  <c r="B3313" i="8" s="1"/>
  <c r="T3294" i="8"/>
  <c r="B3295" i="8" s="1"/>
  <c r="T3264" i="8"/>
  <c r="B3265" i="8" s="1"/>
  <c r="T3240" i="8"/>
  <c r="B3241" i="8" s="1"/>
  <c r="T3195" i="8"/>
  <c r="B3196" i="8" s="1"/>
  <c r="T3180" i="8"/>
  <c r="T3174" i="8"/>
  <c r="B3175" i="8" s="1"/>
  <c r="T3153" i="8"/>
  <c r="B3154" i="8" s="1"/>
  <c r="T3132" i="8"/>
  <c r="B3133" i="8" s="1"/>
  <c r="T3107" i="8"/>
  <c r="B3108" i="8" s="1"/>
  <c r="T3098" i="8"/>
  <c r="T3043" i="8"/>
  <c r="B3044" i="8" s="1"/>
  <c r="T3014" i="8"/>
  <c r="B3015" i="8" s="1"/>
  <c r="T3780" i="8"/>
  <c r="B3781" i="8" s="1"/>
  <c r="T3405" i="8"/>
  <c r="B3406" i="8" s="1"/>
  <c r="T3864" i="8"/>
  <c r="B3865" i="8" s="1"/>
  <c r="T3706" i="8"/>
  <c r="B3707" i="8" s="1"/>
  <c r="T3494" i="8"/>
  <c r="B3495" i="8" s="1"/>
  <c r="T3361" i="8"/>
  <c r="B3362" i="8" s="1"/>
  <c r="T3306" i="8"/>
  <c r="B3307" i="8" s="1"/>
  <c r="T3256" i="8"/>
  <c r="B3257" i="8" s="1"/>
  <c r="T3188" i="8"/>
  <c r="B3189" i="8" s="1"/>
  <c r="T3146" i="8"/>
  <c r="B3147" i="8" s="1"/>
  <c r="T3100" i="8"/>
  <c r="B3101" i="8" s="1"/>
  <c r="T2998" i="8"/>
  <c r="B2999" i="8" s="1"/>
  <c r="T2977" i="8"/>
  <c r="B2978" i="8" s="1"/>
  <c r="T2951" i="8"/>
  <c r="B2952" i="8" s="1"/>
  <c r="T2930" i="8"/>
  <c r="B2931" i="8" s="1"/>
  <c r="T2909" i="8"/>
  <c r="B2910" i="8" s="1"/>
  <c r="T2877" i="8"/>
  <c r="B2878" i="8" s="1"/>
  <c r="T2848" i="8"/>
  <c r="B2849" i="8" s="1"/>
  <c r="T2819" i="8"/>
  <c r="B2820" i="8" s="1"/>
  <c r="T2778" i="8"/>
  <c r="B2779" i="8" s="1"/>
  <c r="T2752" i="8"/>
  <c r="B2753" i="8" s="1"/>
  <c r="T2728" i="8"/>
  <c r="B2729" i="8" s="1"/>
  <c r="T2704" i="8"/>
  <c r="B2705" i="8" s="1"/>
  <c r="T2673" i="8"/>
  <c r="B2674" i="8" s="1"/>
  <c r="T2640" i="8"/>
  <c r="B2641" i="8" s="1"/>
  <c r="T2619" i="8"/>
  <c r="B2620" i="8" s="1"/>
  <c r="T2598" i="8"/>
  <c r="B2599" i="8" s="1"/>
  <c r="T2573" i="8"/>
  <c r="B2574" i="8" s="1"/>
  <c r="T4177" i="8"/>
  <c r="B4178" i="8" s="1"/>
  <c r="T3796" i="8"/>
  <c r="B3797" i="8" s="1"/>
  <c r="T3578" i="8"/>
  <c r="B3579" i="8" s="1"/>
  <c r="T3664" i="8"/>
  <c r="B3665" i="8" s="1"/>
  <c r="T2633" i="8"/>
  <c r="B2634" i="8" s="1"/>
  <c r="T2626" i="8"/>
  <c r="B2627" i="8" s="1"/>
  <c r="T2591" i="8"/>
  <c r="B2592" i="8" s="1"/>
  <c r="T2584" i="8"/>
  <c r="B2585" i="8" s="1"/>
  <c r="T3280" i="8"/>
  <c r="B3281" i="8" s="1"/>
  <c r="T3167" i="8"/>
  <c r="B3168" i="8" s="1"/>
  <c r="T3034" i="8"/>
  <c r="B3035" i="8" s="1"/>
  <c r="T2991" i="8"/>
  <c r="B2992" i="8" s="1"/>
  <c r="T2984" i="8"/>
  <c r="B2985" i="8" s="1"/>
  <c r="T2944" i="8"/>
  <c r="B2945" i="8" s="1"/>
  <c r="T2937" i="8"/>
  <c r="B2938" i="8" s="1"/>
  <c r="T2902" i="8"/>
  <c r="B2903" i="8" s="1"/>
  <c r="T2839" i="8"/>
  <c r="B2840" i="8" s="1"/>
  <c r="T2829" i="8"/>
  <c r="B2830" i="8" s="1"/>
  <c r="T2481" i="8"/>
  <c r="B2482" i="8" s="1"/>
  <c r="T2460" i="8"/>
  <c r="B2461" i="8" s="1"/>
  <c r="T2436" i="8"/>
  <c r="B2437" i="8" s="1"/>
  <c r="T2407" i="8"/>
  <c r="B2408" i="8" s="1"/>
  <c r="T2386" i="8"/>
  <c r="B2387" i="8" s="1"/>
  <c r="T2365" i="8"/>
  <c r="B2366" i="8" s="1"/>
  <c r="T2340" i="8"/>
  <c r="B2341" i="8" s="1"/>
  <c r="T2292" i="8"/>
  <c r="B2293" i="8" s="1"/>
  <c r="T2263" i="8"/>
  <c r="B2264" i="8" s="1"/>
  <c r="T2223" i="8"/>
  <c r="B2224" i="8" s="1"/>
  <c r="T2199" i="8"/>
  <c r="B2200" i="8" s="1"/>
  <c r="T2175" i="8"/>
  <c r="B2176" i="8" s="1"/>
  <c r="T2145" i="8"/>
  <c r="B2146" i="8" s="1"/>
  <c r="T2125" i="8"/>
  <c r="B2126" i="8" s="1"/>
  <c r="T2098" i="8"/>
  <c r="B2099" i="8" s="1"/>
  <c r="T2077" i="8"/>
  <c r="B2078" i="8" s="1"/>
  <c r="T2056" i="8"/>
  <c r="B2057" i="8" s="1"/>
  <c r="T2035" i="8"/>
  <c r="B2036" i="8" s="1"/>
  <c r="T2014" i="8"/>
  <c r="B2015" i="8" s="1"/>
  <c r="T1989" i="8"/>
  <c r="B1990" i="8" s="1"/>
  <c r="T1924" i="8"/>
  <c r="B1925" i="8" s="1"/>
  <c r="T1895" i="8"/>
  <c r="B1896" i="8" s="1"/>
  <c r="T1874" i="8"/>
  <c r="B1875" i="8" s="1"/>
  <c r="T3712" i="8"/>
  <c r="T2772" i="8"/>
  <c r="B2773" i="8" s="1"/>
  <c r="T2766" i="8"/>
  <c r="B2767" i="8" s="1"/>
  <c r="T2720" i="8"/>
  <c r="B2721" i="8" s="1"/>
  <c r="T2712" i="8"/>
  <c r="B2713" i="8" s="1"/>
  <c r="T2666" i="8"/>
  <c r="B2667" i="8" s="1"/>
  <c r="T2744" i="8"/>
  <c r="B2745" i="8" s="1"/>
  <c r="T2612" i="8"/>
  <c r="B2613" i="8" s="1"/>
  <c r="T2605" i="8"/>
  <c r="B2606" i="8" s="1"/>
  <c r="T2516" i="8"/>
  <c r="B2517" i="8" s="1"/>
  <c r="T2507" i="8"/>
  <c r="B2508" i="8" s="1"/>
  <c r="T3232" i="8"/>
  <c r="B3233" i="8" s="1"/>
  <c r="T2923" i="8"/>
  <c r="B2924" i="8" s="1"/>
  <c r="T2809" i="8"/>
  <c r="B2810" i="8" s="1"/>
  <c r="T2736" i="8"/>
  <c r="B2737" i="8" s="1"/>
  <c r="T3643" i="8"/>
  <c r="B3644" i="8" s="1"/>
  <c r="T3125" i="8"/>
  <c r="B3126" i="8" s="1"/>
  <c r="T2790" i="8"/>
  <c r="B2791" i="8" s="1"/>
  <c r="T2696" i="8"/>
  <c r="B2697" i="8" s="1"/>
  <c r="T2653" i="8"/>
  <c r="B2654" i="8" s="1"/>
  <c r="T2647" i="8"/>
  <c r="B2648" i="8" s="1"/>
  <c r="T2566" i="8"/>
  <c r="B2567" i="8" s="1"/>
  <c r="T3005" i="8"/>
  <c r="B3006" i="8" s="1"/>
  <c r="T2312" i="8"/>
  <c r="B2313" i="8" s="1"/>
  <c r="T2302" i="8"/>
  <c r="B2303" i="8" s="1"/>
  <c r="T2257" i="8"/>
  <c r="B2258" i="8" s="1"/>
  <c r="T2251" i="8"/>
  <c r="B2252" i="8" s="1"/>
  <c r="T1911" i="8"/>
  <c r="B1912" i="8" s="1"/>
  <c r="T1904" i="8"/>
  <c r="B1905" i="8" s="1"/>
  <c r="T1867" i="8"/>
  <c r="B1868" i="8" s="1"/>
  <c r="T2863" i="8"/>
  <c r="B2864" i="8" s="1"/>
  <c r="T2680" i="8"/>
  <c r="B2681" i="8" s="1"/>
  <c r="T2488" i="8"/>
  <c r="B2489" i="8" s="1"/>
  <c r="T2474" i="8"/>
  <c r="B2475" i="8" s="1"/>
  <c r="T2400" i="8"/>
  <c r="B2401" i="8" s="1"/>
  <c r="T2393" i="8"/>
  <c r="B2394" i="8" s="1"/>
  <c r="T2070" i="8"/>
  <c r="B2071" i="8" s="1"/>
  <c r="T2063" i="8"/>
  <c r="B2064" i="8" s="1"/>
  <c r="T2028" i="8"/>
  <c r="B2029" i="8" s="1"/>
  <c r="T2021" i="8"/>
  <c r="B2022" i="8" s="1"/>
  <c r="T3740" i="8"/>
  <c r="B3741" i="8" s="1"/>
  <c r="T3545" i="8"/>
  <c r="B3546" i="8" s="1"/>
  <c r="T2916" i="8"/>
  <c r="B2917" i="8" s="1"/>
  <c r="T2445" i="8"/>
  <c r="B2446" i="8" s="1"/>
  <c r="T2333" i="8"/>
  <c r="B2334" i="8" s="1"/>
  <c r="T2326" i="8"/>
  <c r="B2327" i="8" s="1"/>
  <c r="T2282" i="8"/>
  <c r="B2283" i="8" s="1"/>
  <c r="T2269" i="8"/>
  <c r="B2270" i="8" s="1"/>
  <c r="T2958" i="8"/>
  <c r="B2959" i="8" s="1"/>
  <c r="T2467" i="8"/>
  <c r="B2468" i="8" s="1"/>
  <c r="T2215" i="8"/>
  <c r="B2216" i="8" s="1"/>
  <c r="T2207" i="8"/>
  <c r="B2208" i="8" s="1"/>
  <c r="T2118" i="8"/>
  <c r="B2119" i="8" s="1"/>
  <c r="T2111" i="8"/>
  <c r="B2112" i="8" s="1"/>
  <c r="T2091" i="8"/>
  <c r="B2092" i="8" s="1"/>
  <c r="T2084" i="8"/>
  <c r="B2085" i="8" s="1"/>
  <c r="T2049" i="8"/>
  <c r="B2050" i="8" s="1"/>
  <c r="T2042" i="8"/>
  <c r="B2043" i="8" s="1"/>
  <c r="T2003" i="8"/>
  <c r="B2004" i="8" s="1"/>
  <c r="T1996" i="8"/>
  <c r="B1997" i="8" s="1"/>
  <c r="T2231" i="8"/>
  <c r="B2232" i="8" s="1"/>
  <c r="T2131" i="8"/>
  <c r="B2132" i="8" s="1"/>
  <c r="T1845" i="8"/>
  <c r="B1846" i="8" s="1"/>
  <c r="T1820" i="8"/>
  <c r="B1821" i="8" s="1"/>
  <c r="T1764" i="8"/>
  <c r="B1765" i="8" s="1"/>
  <c r="T1729" i="8"/>
  <c r="B1730" i="8" s="1"/>
  <c r="T1699" i="8"/>
  <c r="B1700" i="8" s="1"/>
  <c r="T1674" i="8"/>
  <c r="B1675" i="8" s="1"/>
  <c r="T1646" i="8"/>
  <c r="B1647" i="8" s="1"/>
  <c r="T1622" i="8"/>
  <c r="B1623" i="8" s="1"/>
  <c r="T1570" i="8"/>
  <c r="B1571" i="8" s="1"/>
  <c r="T1550" i="8"/>
  <c r="B1551" i="8" s="1"/>
  <c r="T1529" i="8"/>
  <c r="B1530" i="8" s="1"/>
  <c r="T1508" i="8"/>
  <c r="B1509" i="8" s="1"/>
  <c r="T1487" i="8"/>
  <c r="B1488" i="8" s="1"/>
  <c r="T1462" i="8"/>
  <c r="B1463" i="8" s="1"/>
  <c r="T1406" i="8"/>
  <c r="B1407" i="8" s="1"/>
  <c r="T1377" i="8"/>
  <c r="B1378" i="8" s="1"/>
  <c r="T2969" i="8"/>
  <c r="B2970" i="8" s="1"/>
  <c r="T2784" i="8"/>
  <c r="B2785" i="8" s="1"/>
  <c r="T2453" i="8"/>
  <c r="B2454" i="8" s="1"/>
  <c r="T2159" i="8"/>
  <c r="B2160" i="8" s="1"/>
  <c r="T2152" i="8"/>
  <c r="B2153" i="8" s="1"/>
  <c r="T1859" i="8"/>
  <c r="B1860" i="8" s="1"/>
  <c r="T1838" i="8"/>
  <c r="B1839" i="8" s="1"/>
  <c r="T1813" i="8"/>
  <c r="B1814" i="8" s="1"/>
  <c r="T1757" i="8"/>
  <c r="B1758" i="8" s="1"/>
  <c r="T1719" i="8"/>
  <c r="B1720" i="8" s="1"/>
  <c r="T1686" i="8"/>
  <c r="B1687" i="8" s="1"/>
  <c r="T1668" i="8"/>
  <c r="B1669" i="8" s="1"/>
  <c r="T1638" i="8"/>
  <c r="B1639" i="8" s="1"/>
  <c r="T1614" i="8"/>
  <c r="B1615" i="8" s="1"/>
  <c r="T1584" i="8"/>
  <c r="B1585" i="8" s="1"/>
  <c r="T1563" i="8"/>
  <c r="B1564" i="8" s="1"/>
  <c r="T1543" i="8"/>
  <c r="B1544" i="8" s="1"/>
  <c r="T1522" i="8"/>
  <c r="B1523" i="8" s="1"/>
  <c r="T1501" i="8"/>
  <c r="B1502" i="8" s="1"/>
  <c r="T1480" i="8"/>
  <c r="B1481" i="8" s="1"/>
  <c r="T1397" i="8"/>
  <c r="B1398" i="8" s="1"/>
  <c r="T2372" i="8"/>
  <c r="B2373" i="8" s="1"/>
  <c r="T2191" i="8"/>
  <c r="B2192" i="8" s="1"/>
  <c r="T1888" i="8"/>
  <c r="B1889" i="8" s="1"/>
  <c r="T1680" i="8"/>
  <c r="B1681" i="8" s="1"/>
  <c r="T1630" i="8"/>
  <c r="B1631" i="8" s="1"/>
  <c r="T1577" i="8"/>
  <c r="B1578" i="8" s="1"/>
  <c r="T1536" i="8"/>
  <c r="B1537" i="8" s="1"/>
  <c r="T1494" i="8"/>
  <c r="B1495" i="8" s="1"/>
  <c r="T3451" i="8"/>
  <c r="B3452" i="8" s="1"/>
  <c r="T3331" i="8"/>
  <c r="B3332" i="8" s="1"/>
  <c r="T1827" i="8"/>
  <c r="B1828" i="8" s="1"/>
  <c r="T1750" i="8"/>
  <c r="B1751" i="8" s="1"/>
  <c r="T1359" i="8"/>
  <c r="B1360" i="8" s="1"/>
  <c r="T1338" i="8"/>
  <c r="B1339" i="8" s="1"/>
  <c r="T1314" i="8"/>
  <c r="B1315" i="8" s="1"/>
  <c r="T1293" i="8"/>
  <c r="B1294" i="8" s="1"/>
  <c r="T1245" i="8"/>
  <c r="B1246" i="8" s="1"/>
  <c r="T1219" i="8"/>
  <c r="B1220" i="8" s="1"/>
  <c r="T1199" i="8"/>
  <c r="B1200" i="8" s="1"/>
  <c r="T1175" i="8"/>
  <c r="B1176" i="8" s="1"/>
  <c r="T1151" i="8"/>
  <c r="B1152" i="8" s="1"/>
  <c r="T1119" i="8"/>
  <c r="B1120" i="8" s="1"/>
  <c r="T1098" i="8"/>
  <c r="B1099" i="8" s="1"/>
  <c r="T1076" i="8"/>
  <c r="B1077" i="8" s="1"/>
  <c r="T1055" i="8"/>
  <c r="B1056" i="8" s="1"/>
  <c r="T1042" i="8"/>
  <c r="B1043" i="8" s="1"/>
  <c r="T1017" i="8"/>
  <c r="B1018" i="8" s="1"/>
  <c r="T949" i="8"/>
  <c r="B950" i="8" s="1"/>
  <c r="T901" i="8"/>
  <c r="B902" i="8" s="1"/>
  <c r="T862" i="8"/>
  <c r="B863" i="8" s="1"/>
  <c r="T841" i="8"/>
  <c r="B842" i="8" s="1"/>
  <c r="T814" i="8"/>
  <c r="B815" i="8" s="1"/>
  <c r="T789" i="8"/>
  <c r="B790" i="8" s="1"/>
  <c r="T777" i="8"/>
  <c r="B778" i="8" s="1"/>
  <c r="T759" i="8"/>
  <c r="B760" i="8" s="1"/>
  <c r="T737" i="8"/>
  <c r="B738" i="8" s="1"/>
  <c r="T713" i="8"/>
  <c r="B714" i="8" s="1"/>
  <c r="T682" i="8"/>
  <c r="B683" i="8" s="1"/>
  <c r="T661" i="8"/>
  <c r="B662" i="8" s="1"/>
  <c r="T1709" i="8"/>
  <c r="B1710" i="8" s="1"/>
  <c r="T1654" i="8"/>
  <c r="B1655" i="8" s="1"/>
  <c r="T1606" i="8"/>
  <c r="B1607" i="8" s="1"/>
  <c r="T1557" i="8"/>
  <c r="B1558" i="8" s="1"/>
  <c r="T1515" i="8"/>
  <c r="B1516" i="8" s="1"/>
  <c r="T1469" i="8"/>
  <c r="B1470" i="8" s="1"/>
  <c r="T1352" i="8"/>
  <c r="B1353" i="8" s="1"/>
  <c r="T1330" i="8"/>
  <c r="B1331" i="8" s="1"/>
  <c r="T1307" i="8"/>
  <c r="B1308" i="8" s="1"/>
  <c r="T1286" i="8"/>
  <c r="B1287" i="8" s="1"/>
  <c r="T1261" i="8"/>
  <c r="B1262" i="8" s="1"/>
  <c r="T1232" i="8"/>
  <c r="B1233" i="8" s="1"/>
  <c r="T1191" i="8"/>
  <c r="B1192" i="8" s="1"/>
  <c r="T1167" i="8"/>
  <c r="B1168" i="8" s="1"/>
  <c r="T1143" i="8"/>
  <c r="B1144" i="8" s="1"/>
  <c r="T1112" i="8"/>
  <c r="B1113" i="8" s="1"/>
  <c r="T1090" i="8"/>
  <c r="B1091" i="8" s="1"/>
  <c r="T1069" i="8"/>
  <c r="B1070" i="8" s="1"/>
  <c r="T1035" i="8"/>
  <c r="B1036" i="8" s="1"/>
  <c r="T1010" i="8"/>
  <c r="B1011" i="8" s="1"/>
  <c r="T971" i="8"/>
  <c r="B972" i="8" s="1"/>
  <c r="T942" i="8"/>
  <c r="B943" i="8" s="1"/>
  <c r="T884" i="8"/>
  <c r="B885" i="8" s="1"/>
  <c r="T856" i="8"/>
  <c r="B857" i="8" s="1"/>
  <c r="T832" i="8"/>
  <c r="B833" i="8" s="1"/>
  <c r="T801" i="8"/>
  <c r="B802" i="8" s="1"/>
  <c r="T771" i="8"/>
  <c r="B772" i="8" s="1"/>
  <c r="T729" i="8"/>
  <c r="B730" i="8" s="1"/>
  <c r="T705" i="8"/>
  <c r="B706" i="8" s="1"/>
  <c r="T675" i="8"/>
  <c r="B676" i="8" s="1"/>
  <c r="T654" i="8"/>
  <c r="B655" i="8" s="1"/>
  <c r="T2183" i="8"/>
  <c r="B2184" i="8" s="1"/>
  <c r="T1852" i="8"/>
  <c r="B1853" i="8" s="1"/>
  <c r="T1806" i="8"/>
  <c r="B1807" i="8" s="1"/>
  <c r="T1225" i="8"/>
  <c r="B1226" i="8" s="1"/>
  <c r="T765" i="8"/>
  <c r="B766" i="8" s="1"/>
  <c r="T721" i="8"/>
  <c r="B722" i="8" s="1"/>
  <c r="T668" i="8"/>
  <c r="B669" i="8" s="1"/>
  <c r="T1384" i="8"/>
  <c r="B1385" i="8" s="1"/>
  <c r="T1183" i="8"/>
  <c r="B1184" i="8" s="1"/>
  <c r="T2138" i="8"/>
  <c r="B2139" i="8" s="1"/>
  <c r="T1933" i="8"/>
  <c r="B1934" i="8" s="1"/>
  <c r="T1781" i="8"/>
  <c r="B1782" i="8" s="1"/>
  <c r="T1345" i="8"/>
  <c r="B1346" i="8" s="1"/>
  <c r="T1300" i="8"/>
  <c r="B1301" i="8" s="1"/>
  <c r="T1028" i="8"/>
  <c r="B1029" i="8" s="1"/>
  <c r="T962" i="8"/>
  <c r="B963" i="8" s="1"/>
  <c r="T877" i="8"/>
  <c r="B878" i="8" s="1"/>
  <c r="T823" i="8"/>
  <c r="B824" i="8" s="1"/>
  <c r="T627" i="8"/>
  <c r="B628" i="8" s="1"/>
  <c r="T608" i="8"/>
  <c r="T602" i="8"/>
  <c r="B603" i="8" s="1"/>
  <c r="T577" i="8"/>
  <c r="B578" i="8" s="1"/>
  <c r="T552" i="8"/>
  <c r="B553" i="8" s="1"/>
  <c r="T527" i="8"/>
  <c r="B528" i="8" s="1"/>
  <c r="T506" i="8"/>
  <c r="B507" i="8" s="1"/>
  <c r="T481" i="8"/>
  <c r="B482" i="8" s="1"/>
  <c r="T454" i="8"/>
  <c r="B455" i="8" s="1"/>
  <c r="T421" i="8"/>
  <c r="B422" i="8" s="1"/>
  <c r="T400" i="8"/>
  <c r="B401" i="8" s="1"/>
  <c r="T379" i="8"/>
  <c r="B380" i="8" s="1"/>
  <c r="T366" i="8"/>
  <c r="B367" i="8" s="1"/>
  <c r="T345" i="8"/>
  <c r="B346" i="8" s="1"/>
  <c r="T324" i="8"/>
  <c r="B325" i="8" s="1"/>
  <c r="T303" i="8"/>
  <c r="B304" i="8" s="1"/>
  <c r="T282" i="8"/>
  <c r="B283" i="8" s="1"/>
  <c r="T236" i="8"/>
  <c r="B237" i="8" s="1"/>
  <c r="T197" i="8"/>
  <c r="B198" i="8" s="1"/>
  <c r="T178" i="8"/>
  <c r="B179" i="8" s="1"/>
  <c r="T3179" i="8"/>
  <c r="T1135" i="8"/>
  <c r="B1136" i="8" s="1"/>
  <c r="T1083" i="8"/>
  <c r="B1084" i="8" s="1"/>
  <c r="T2870" i="8"/>
  <c r="B2871" i="8" s="1"/>
  <c r="T2425" i="8"/>
  <c r="B2426" i="8" s="1"/>
  <c r="T1254" i="8"/>
  <c r="B1255" i="8" s="1"/>
  <c r="T745" i="8"/>
  <c r="B746" i="8" s="1"/>
  <c r="T689" i="8"/>
  <c r="B690" i="8" s="1"/>
  <c r="T647" i="8"/>
  <c r="B648" i="8" s="1"/>
  <c r="T620" i="8"/>
  <c r="B621" i="8" s="1"/>
  <c r="T607" i="8"/>
  <c r="T595" i="8"/>
  <c r="B596" i="8" s="1"/>
  <c r="T570" i="8"/>
  <c r="B571" i="8" s="1"/>
  <c r="T543" i="8"/>
  <c r="B544" i="8" s="1"/>
  <c r="T520" i="8"/>
  <c r="B521" i="8" s="1"/>
  <c r="T472" i="8"/>
  <c r="B473" i="8" s="1"/>
  <c r="T445" i="8"/>
  <c r="B446" i="8" s="1"/>
  <c r="T414" i="8"/>
  <c r="B415" i="8" s="1"/>
  <c r="T393" i="8"/>
  <c r="B394" i="8" s="1"/>
  <c r="T359" i="8"/>
  <c r="B360" i="8" s="1"/>
  <c r="T338" i="8"/>
  <c r="B339" i="8" s="1"/>
  <c r="T317" i="8"/>
  <c r="B318" i="8" s="1"/>
  <c r="T296" i="8"/>
  <c r="B297" i="8" s="1"/>
  <c r="T275" i="8"/>
  <c r="B276" i="8" s="1"/>
  <c r="T254" i="8"/>
  <c r="B255" i="8" s="1"/>
  <c r="T223" i="8"/>
  <c r="B224" i="8" s="1"/>
  <c r="T191" i="8"/>
  <c r="B192" i="8" s="1"/>
  <c r="T171" i="8"/>
  <c r="B172" i="8" s="1"/>
  <c r="T2414" i="8"/>
  <c r="B2415" i="8" s="1"/>
  <c r="T1366" i="8"/>
  <c r="B1367" i="8" s="1"/>
  <c r="T1321" i="8"/>
  <c r="B1322" i="8" s="1"/>
  <c r="T1003" i="8"/>
  <c r="B1004" i="8" s="1"/>
  <c r="T935" i="8"/>
  <c r="B936" i="8" s="1"/>
  <c r="T910" i="8"/>
  <c r="B911" i="8" s="1"/>
  <c r="T850" i="8"/>
  <c r="B851" i="8" s="1"/>
  <c r="T795" i="8"/>
  <c r="B796" i="8" s="1"/>
  <c r="T2379" i="8"/>
  <c r="B2380" i="8" s="1"/>
  <c r="T1062" i="8"/>
  <c r="B1063" i="8" s="1"/>
  <c r="T588" i="8"/>
  <c r="B589" i="8" s="1"/>
  <c r="T513" i="8"/>
  <c r="B514" i="8" s="1"/>
  <c r="T331" i="8"/>
  <c r="B332" i="8" s="1"/>
  <c r="T210" i="8"/>
  <c r="B211" i="8" s="1"/>
  <c r="T1159" i="8"/>
  <c r="B1160" i="8" s="1"/>
  <c r="T561" i="8"/>
  <c r="B562" i="8" s="1"/>
  <c r="T310" i="8"/>
  <c r="B311" i="8" s="1"/>
  <c r="T245" i="8"/>
  <c r="B246" i="8" s="1"/>
  <c r="T185" i="8"/>
  <c r="B186" i="8" s="1"/>
  <c r="T463" i="8"/>
  <c r="B464" i="8" s="1"/>
  <c r="T428" i="8"/>
  <c r="B429" i="8" s="1"/>
  <c r="T289" i="8"/>
  <c r="B290" i="8" s="1"/>
  <c r="T407" i="8"/>
  <c r="B408" i="8" s="1"/>
  <c r="T1881" i="8"/>
  <c r="B1882" i="8" s="1"/>
  <c r="T1105" i="8"/>
  <c r="B1106" i="8" s="1"/>
  <c r="T634" i="8"/>
  <c r="B635" i="8" s="1"/>
  <c r="T609" i="8"/>
  <c r="B610" i="8" s="1"/>
  <c r="T534" i="8"/>
  <c r="B535" i="8" s="1"/>
  <c r="T352" i="8"/>
  <c r="B353" i="8" s="1"/>
  <c r="T386" i="8"/>
  <c r="B387" i="8" s="1"/>
  <c r="K7" i="8"/>
  <c r="J5" i="8"/>
  <c r="O1" i="8"/>
  <c r="J7" i="8"/>
  <c r="N4" i="8"/>
  <c r="C10" i="8"/>
  <c r="L9" i="8"/>
  <c r="M6" i="8"/>
  <c r="O10" i="8"/>
  <c r="J9" i="8"/>
  <c r="N10" i="8"/>
  <c r="K3" i="8"/>
  <c r="R596" i="11"/>
  <c r="K9" i="8"/>
  <c r="O4" i="8"/>
  <c r="O3" i="8"/>
  <c r="C8" i="8"/>
  <c r="N9" i="8"/>
  <c r="L7" i="8"/>
  <c r="N2" i="8"/>
  <c r="L6" i="8"/>
  <c r="K2" i="8"/>
  <c r="M10" i="8"/>
  <c r="J6" i="8"/>
  <c r="L3" i="8"/>
  <c r="M2" i="11"/>
  <c r="C4" i="11"/>
  <c r="L5" i="11"/>
  <c r="M4" i="8"/>
  <c r="N3" i="11"/>
  <c r="E22" i="1"/>
  <c r="M8" i="8"/>
  <c r="K4" i="8"/>
  <c r="L8" i="8"/>
  <c r="N6" i="8"/>
  <c r="C7" i="11"/>
  <c r="C8" i="11"/>
  <c r="K5" i="8"/>
  <c r="C4" i="8"/>
  <c r="N7" i="8"/>
  <c r="L2" i="8"/>
  <c r="L1" i="8"/>
  <c r="Q1" i="11"/>
  <c r="I23" i="1"/>
  <c r="T2" i="11"/>
  <c r="J8" i="11"/>
  <c r="J8" i="8"/>
  <c r="N8" i="11"/>
  <c r="N8" i="8"/>
  <c r="C9" i="8"/>
  <c r="C9" i="11"/>
  <c r="C5" i="8"/>
  <c r="C5" i="11"/>
  <c r="K8" i="8"/>
  <c r="C3" i="11"/>
  <c r="T22" i="11"/>
  <c r="C7" i="8"/>
  <c r="G23" i="1"/>
  <c r="C2" i="8"/>
  <c r="C2" i="11"/>
  <c r="T4198" i="8" l="1"/>
  <c r="E4194" i="8" s="1"/>
  <c r="T4207" i="8"/>
  <c r="E4199" i="8" s="1"/>
  <c r="T3599" i="8"/>
  <c r="E3595" i="8" s="1"/>
  <c r="T5499" i="8"/>
  <c r="T134" i="1" s="1"/>
  <c r="S134" i="1" s="1"/>
  <c r="T3088" i="8"/>
  <c r="E3083" i="8" s="1"/>
  <c r="T3070" i="8"/>
  <c r="E3066" i="8" s="1"/>
  <c r="T2537" i="8"/>
  <c r="E2533" i="8" s="1"/>
  <c r="T2555" i="8"/>
  <c r="E2550" i="8" s="1"/>
  <c r="T1978" i="8"/>
  <c r="E1973" i="8" s="1"/>
  <c r="T1960" i="8"/>
  <c r="E1956" i="8" s="1"/>
  <c r="T1451" i="8"/>
  <c r="E1446" i="8" s="1"/>
  <c r="T992" i="8"/>
  <c r="E987" i="8" s="1"/>
  <c r="T1433" i="8"/>
  <c r="E1429" i="8" s="1"/>
  <c r="T5319" i="8"/>
  <c r="E5315" i="8" s="1"/>
  <c r="B5599" i="8"/>
  <c r="B517" i="11" s="1"/>
  <c r="B5600" i="8"/>
  <c r="B524" i="11" s="1"/>
  <c r="AG5344" i="8"/>
  <c r="AH5344" i="8" s="1"/>
  <c r="B5595" i="8"/>
  <c r="B478" i="11" s="1"/>
  <c r="B5586" i="8"/>
  <c r="B415" i="11" s="1"/>
  <c r="B5579" i="8"/>
  <c r="B361" i="11" s="1"/>
  <c r="B5564" i="8"/>
  <c r="B247" i="11" s="1"/>
  <c r="B5552" i="8"/>
  <c r="B144" i="11" s="1"/>
  <c r="B5553" i="8"/>
  <c r="B153" i="11" s="1"/>
  <c r="B5594" i="8"/>
  <c r="B471" i="11" s="1"/>
  <c r="B5587" i="8"/>
  <c r="B423" i="11" s="1"/>
  <c r="B5572" i="8"/>
  <c r="B308" i="11" s="1"/>
  <c r="B5584" i="8"/>
  <c r="B399" i="11" s="1"/>
  <c r="B5585" i="8"/>
  <c r="B407" i="11" s="1"/>
  <c r="B5591" i="8"/>
  <c r="B452" i="11" s="1"/>
  <c r="B5575" i="8"/>
  <c r="B330" i="11" s="1"/>
  <c r="B5580" i="8"/>
  <c r="B369" i="11" s="1"/>
  <c r="B5577" i="8"/>
  <c r="B345" i="11" s="1"/>
  <c r="B5582" i="8"/>
  <c r="B383" i="11" s="1"/>
  <c r="B5550" i="8"/>
  <c r="B125" i="11" s="1"/>
  <c r="B5596" i="8"/>
  <c r="B486" i="11" s="1"/>
  <c r="B5561" i="8"/>
  <c r="B228" i="11" s="1"/>
  <c r="B5560" i="8"/>
  <c r="B222" i="11" s="1"/>
  <c r="B5588" i="8"/>
  <c r="B429" i="11" s="1"/>
  <c r="B5549" i="8"/>
  <c r="B115" i="11" s="1"/>
  <c r="B5559" i="8"/>
  <c r="B216" i="11" s="1"/>
  <c r="B5583" i="8"/>
  <c r="B391" i="11" s="1"/>
  <c r="B5554" i="8"/>
  <c r="B162" i="11" s="1"/>
  <c r="B5597" i="8"/>
  <c r="B495" i="11" s="1"/>
  <c r="B5576" i="8"/>
  <c r="B338" i="11" s="1"/>
  <c r="B5558" i="8"/>
  <c r="B210" i="11" s="1"/>
  <c r="B5557" i="8"/>
  <c r="B200" i="11" s="1"/>
  <c r="B5562" i="8"/>
  <c r="B234" i="11" s="1"/>
  <c r="B5555" i="8"/>
  <c r="B171" i="11" s="1"/>
  <c r="B5569" i="8"/>
  <c r="B285" i="11" s="1"/>
  <c r="B5574" i="8"/>
  <c r="B322" i="11" s="1"/>
  <c r="B5565" i="8"/>
  <c r="B255" i="11" s="1"/>
  <c r="B5568" i="8"/>
  <c r="B277" i="11" s="1"/>
  <c r="B5551" i="8"/>
  <c r="B135" i="11" s="1"/>
  <c r="B5570" i="8"/>
  <c r="B293" i="11" s="1"/>
  <c r="B5563" i="8"/>
  <c r="B240" i="11" s="1"/>
  <c r="B5598" i="8"/>
  <c r="B506" i="11" s="1"/>
  <c r="B5590" i="8"/>
  <c r="B444" i="11" s="1"/>
  <c r="B5573" i="8"/>
  <c r="B316" i="11" s="1"/>
  <c r="B5592" i="8"/>
  <c r="B458" i="11" s="1"/>
  <c r="B5566" i="8"/>
  <c r="B262" i="11" s="1"/>
  <c r="B5578" i="8"/>
  <c r="B353" i="11" s="1"/>
  <c r="B5571" i="8"/>
  <c r="B301" i="11" s="1"/>
  <c r="B5556" i="8"/>
  <c r="B180" i="11" s="1"/>
  <c r="B5567" i="8"/>
  <c r="B270" i="11" s="1"/>
  <c r="B5581" i="8"/>
  <c r="B376" i="11" s="1"/>
  <c r="B5593" i="8"/>
  <c r="B464" i="11" s="1"/>
  <c r="B5589" i="8"/>
  <c r="B436" i="11" s="1"/>
  <c r="T5356" i="8"/>
  <c r="E5352" i="8" s="1"/>
  <c r="T5351" i="8"/>
  <c r="T5340" i="8"/>
  <c r="E5336" i="8" s="1"/>
  <c r="AG5312" i="8"/>
  <c r="T5272" i="8"/>
  <c r="E5268" i="8" s="1"/>
  <c r="T5267" i="8"/>
  <c r="E5263" i="8" s="1"/>
  <c r="F5263" i="8" s="1"/>
  <c r="T5324" i="8"/>
  <c r="E5320" i="8" s="1"/>
  <c r="T5335" i="8"/>
  <c r="AG5328" i="8"/>
  <c r="T5241" i="8"/>
  <c r="E5237" i="8" s="1"/>
  <c r="F5237" i="8" s="1"/>
  <c r="AG5260" i="8"/>
  <c r="AG5234" i="8"/>
  <c r="T5220" i="8"/>
  <c r="E5216" i="8" s="1"/>
  <c r="AG5208" i="8"/>
  <c r="AH5208" i="8" s="1"/>
  <c r="T5246" i="8"/>
  <c r="E5242" i="8" s="1"/>
  <c r="T5215" i="8"/>
  <c r="T5194" i="8"/>
  <c r="E5190" i="8" s="1"/>
  <c r="T5152" i="8"/>
  <c r="E5148" i="8" s="1"/>
  <c r="T5178" i="8"/>
  <c r="E5174" i="8" s="1"/>
  <c r="T5147" i="8"/>
  <c r="AG5166" i="8"/>
  <c r="AG5140" i="8"/>
  <c r="AH5140" i="8" s="1"/>
  <c r="T5189" i="8"/>
  <c r="AG5182" i="8"/>
  <c r="T5173" i="8"/>
  <c r="AG5108" i="8"/>
  <c r="AH5108" i="8" s="1"/>
  <c r="T5120" i="8"/>
  <c r="E5116" i="8" s="1"/>
  <c r="AG4906" i="8"/>
  <c r="AH4906" i="8" s="1"/>
  <c r="T5054" i="8"/>
  <c r="E5050" i="8" s="1"/>
  <c r="T5115" i="8"/>
  <c r="AG4874" i="8"/>
  <c r="AH4874" i="8" s="1"/>
  <c r="AG5092" i="8"/>
  <c r="T5099" i="8"/>
  <c r="T5104" i="8"/>
  <c r="E5100" i="8" s="1"/>
  <c r="AG5042" i="8"/>
  <c r="AH5042" i="8" s="1"/>
  <c r="T5038" i="8"/>
  <c r="E5034" i="8" s="1"/>
  <c r="T4820" i="8"/>
  <c r="E4816" i="8" s="1"/>
  <c r="T5049" i="8"/>
  <c r="AG5026" i="8"/>
  <c r="T5033" i="8"/>
  <c r="AG4852" i="8"/>
  <c r="AH4852" i="8" s="1"/>
  <c r="T4918" i="8"/>
  <c r="E4914" i="8" s="1"/>
  <c r="T4913" i="8"/>
  <c r="T4881" i="8"/>
  <c r="T4864" i="8"/>
  <c r="E4860" i="8" s="1"/>
  <c r="AG4808" i="8"/>
  <c r="AH4808" i="8" s="1"/>
  <c r="T4886" i="8"/>
  <c r="E4882" i="8" s="1"/>
  <c r="AG4546" i="8"/>
  <c r="AH4546" i="8" s="1"/>
  <c r="AG4732" i="8"/>
  <c r="AH4732" i="8" s="1"/>
  <c r="T4859" i="8"/>
  <c r="T4744" i="8"/>
  <c r="E4740" i="8" s="1"/>
  <c r="T4793" i="8"/>
  <c r="E4789" i="8" s="1"/>
  <c r="F4789" i="8" s="1"/>
  <c r="AG4688" i="8"/>
  <c r="AH4688" i="8" s="1"/>
  <c r="T4815" i="8"/>
  <c r="T4700" i="8"/>
  <c r="E4696" i="8" s="1"/>
  <c r="T4782" i="8"/>
  <c r="E4778" i="8" s="1"/>
  <c r="AG4786" i="8"/>
  <c r="AH4786" i="8" s="1"/>
  <c r="AG4770" i="8"/>
  <c r="AH4770" i="8" s="1"/>
  <c r="T4777" i="8"/>
  <c r="T4798" i="8"/>
  <c r="E4794" i="8" s="1"/>
  <c r="T4711" i="8"/>
  <c r="T4739" i="8"/>
  <c r="T4716" i="8"/>
  <c r="E4712" i="8" s="1"/>
  <c r="AG4650" i="8"/>
  <c r="AH4650" i="8" s="1"/>
  <c r="AG4704" i="8"/>
  <c r="T4580" i="8"/>
  <c r="E4576" i="8" s="1"/>
  <c r="T4695" i="8"/>
  <c r="AG4612" i="8"/>
  <c r="AH4612" i="8" s="1"/>
  <c r="T4662" i="8"/>
  <c r="E4658" i="8" s="1"/>
  <c r="T4657" i="8"/>
  <c r="AG4628" i="8"/>
  <c r="AH4628" i="8" s="1"/>
  <c r="T4575" i="8"/>
  <c r="T4619" i="8"/>
  <c r="T4624" i="8"/>
  <c r="E4620" i="8" s="1"/>
  <c r="T4635" i="8"/>
  <c r="T4640" i="8"/>
  <c r="E4636" i="8" s="1"/>
  <c r="AG4486" i="8"/>
  <c r="AH4486" i="8" s="1"/>
  <c r="AG4568" i="8"/>
  <c r="T4498" i="8"/>
  <c r="E4494" i="8" s="1"/>
  <c r="T4553" i="8"/>
  <c r="E4549" i="8" s="1"/>
  <c r="AG4530" i="8"/>
  <c r="T4471" i="8"/>
  <c r="E4467" i="8" s="1"/>
  <c r="T4542" i="8"/>
  <c r="E4538" i="8" s="1"/>
  <c r="T4558" i="8"/>
  <c r="E4554" i="8" s="1"/>
  <c r="T4537" i="8"/>
  <c r="T4476" i="8"/>
  <c r="E4472" i="8" s="1"/>
  <c r="AG4464" i="8"/>
  <c r="AH4464" i="8" s="1"/>
  <c r="T4455" i="8"/>
  <c r="E4451" i="8" s="1"/>
  <c r="F4451" i="8" s="1"/>
  <c r="T4415" i="8"/>
  <c r="E4411" i="8" s="1"/>
  <c r="T4493" i="8"/>
  <c r="T4420" i="8"/>
  <c r="E4416" i="8" s="1"/>
  <c r="AG4408" i="8"/>
  <c r="AH4408" i="8" s="1"/>
  <c r="T4460" i="8"/>
  <c r="E4456" i="8" s="1"/>
  <c r="AG4448" i="8"/>
  <c r="T5519" i="8"/>
  <c r="T154" i="1" s="1"/>
  <c r="S154" i="1" s="1"/>
  <c r="T5503" i="8"/>
  <c r="T138" i="1" s="1"/>
  <c r="S138" i="1" s="1"/>
  <c r="T4383" i="8"/>
  <c r="T4388" i="8"/>
  <c r="E4384" i="8" s="1"/>
  <c r="AG4376" i="8"/>
  <c r="T5501" i="8"/>
  <c r="T136" i="1" s="1"/>
  <c r="S136" i="1" s="1"/>
  <c r="T4367" i="8"/>
  <c r="AG4360" i="8"/>
  <c r="T4372" i="8"/>
  <c r="E4368" i="8" s="1"/>
  <c r="B5546" i="8"/>
  <c r="B85" i="11" s="1"/>
  <c r="B5547" i="8"/>
  <c r="B95" i="11" s="1"/>
  <c r="B5540" i="8"/>
  <c r="B25" i="11" s="1"/>
  <c r="B5548" i="8"/>
  <c r="B105" i="11" s="1"/>
  <c r="B5541" i="8"/>
  <c r="B35" i="11" s="1"/>
  <c r="B5539" i="8"/>
  <c r="B15" i="11" s="1"/>
  <c r="Q15" i="11" s="1"/>
  <c r="B5542" i="8"/>
  <c r="B45" i="11" s="1"/>
  <c r="B5543" i="8"/>
  <c r="B55" i="11" s="1"/>
  <c r="B5544" i="8"/>
  <c r="B65" i="11" s="1"/>
  <c r="B5545" i="8"/>
  <c r="B75" i="11" s="1"/>
  <c r="T5527" i="8"/>
  <c r="T162" i="1" s="1"/>
  <c r="S162" i="1" s="1"/>
  <c r="T5512" i="8"/>
  <c r="T147" i="1" s="1"/>
  <c r="S147" i="1" s="1"/>
  <c r="T5526" i="8"/>
  <c r="T161" i="1" s="1"/>
  <c r="S161" i="1" s="1"/>
  <c r="T5500" i="8"/>
  <c r="T135" i="1" s="1"/>
  <c r="S135" i="1" s="1"/>
  <c r="T5530" i="8"/>
  <c r="T165" i="1" s="1"/>
  <c r="S165" i="1" s="1"/>
  <c r="T5514" i="8"/>
  <c r="T149" i="1" s="1"/>
  <c r="S149" i="1" s="1"/>
  <c r="R5462" i="8"/>
  <c r="R31" i="1" s="1"/>
  <c r="R5456" i="8"/>
  <c r="R25" i="1" s="1"/>
  <c r="R5461" i="8"/>
  <c r="R30" i="1" s="1"/>
  <c r="F5461" i="8"/>
  <c r="F30" i="1" s="1"/>
  <c r="B30" i="1" s="1"/>
  <c r="R5457" i="8"/>
  <c r="R26" i="1" s="1"/>
  <c r="T5460" i="8"/>
  <c r="T29" i="1" s="1"/>
  <c r="F5459" i="8"/>
  <c r="F28" i="1" s="1"/>
  <c r="T5459" i="8"/>
  <c r="T28" i="1" s="1"/>
  <c r="R5460" i="8"/>
  <c r="R29" i="1" s="1"/>
  <c r="T5456" i="8"/>
  <c r="T25" i="1" s="1"/>
  <c r="R5463" i="8"/>
  <c r="R32" i="1" s="1"/>
  <c r="R5455" i="8"/>
  <c r="R24" i="1" s="1"/>
  <c r="T5461" i="8"/>
  <c r="T30" i="1" s="1"/>
  <c r="F5460" i="8"/>
  <c r="F29" i="1" s="1"/>
  <c r="R5459" i="8"/>
  <c r="R28" i="1" s="1"/>
  <c r="T5463" i="8"/>
  <c r="T32" i="1" s="1"/>
  <c r="F5463" i="8"/>
  <c r="F32" i="1" s="1"/>
  <c r="A32" i="1" s="1"/>
  <c r="R5458" i="8"/>
  <c r="R27" i="1" s="1"/>
  <c r="T5509" i="8"/>
  <c r="T144" i="1" s="1"/>
  <c r="S144" i="1" s="1"/>
  <c r="R1564" i="8"/>
  <c r="AM1560" i="8" s="1"/>
  <c r="T5522" i="8"/>
  <c r="T157" i="1" s="1"/>
  <c r="S157" i="1" s="1"/>
  <c r="R170" i="1"/>
  <c r="T5529" i="8"/>
  <c r="T164" i="1" s="1"/>
  <c r="S164" i="1" s="1"/>
  <c r="T5477" i="8"/>
  <c r="T112" i="1" s="1"/>
  <c r="S112" i="1" s="1"/>
  <c r="R134" i="1"/>
  <c r="T3841" i="8"/>
  <c r="E3837" i="8" s="1"/>
  <c r="AG3837" i="8" s="1"/>
  <c r="R113" i="1"/>
  <c r="T117" i="1"/>
  <c r="S117" i="1" s="1"/>
  <c r="T111" i="1"/>
  <c r="S111" i="1" s="1"/>
  <c r="R5535" i="8"/>
  <c r="T4275" i="8"/>
  <c r="AN4268" i="8" s="1"/>
  <c r="AO4268" i="8" s="1"/>
  <c r="T5433" i="8"/>
  <c r="T5428" i="8" s="1"/>
  <c r="T5426" i="8"/>
  <c r="E5421" i="8" s="1"/>
  <c r="F5421" i="8" s="1"/>
  <c r="T70" i="8"/>
  <c r="T65" i="8" s="1"/>
  <c r="T5440" i="8"/>
  <c r="T5364" i="8"/>
  <c r="T5370" i="8"/>
  <c r="T4428" i="8"/>
  <c r="T5403" i="8"/>
  <c r="T5396" i="8"/>
  <c r="T4730" i="8"/>
  <c r="AN4726" i="8" s="1"/>
  <c r="AO4726" i="8" s="1"/>
  <c r="T5084" i="8"/>
  <c r="T4762" i="8"/>
  <c r="T5228" i="8"/>
  <c r="T4838" i="8"/>
  <c r="T5310" i="8"/>
  <c r="T5128" i="8"/>
  <c r="T4396" i="8"/>
  <c r="T5254" i="8"/>
  <c r="T4598" i="8"/>
  <c r="T4680" i="8"/>
  <c r="T4686" i="8"/>
  <c r="T4900" i="8"/>
  <c r="T5202" i="8"/>
  <c r="T4970" i="8"/>
  <c r="T5090" i="8"/>
  <c r="T4768" i="8"/>
  <c r="T4358" i="8"/>
  <c r="T4522" i="8"/>
  <c r="T4604" i="8"/>
  <c r="T4528" i="8"/>
  <c r="T4894" i="8"/>
  <c r="T4986" i="8"/>
  <c r="T4402" i="8"/>
  <c r="T4446" i="8"/>
  <c r="T4484" i="8"/>
  <c r="T5062" i="8"/>
  <c r="T4844" i="8"/>
  <c r="T130" i="8"/>
  <c r="T4976" i="8"/>
  <c r="T4340" i="8"/>
  <c r="T4806" i="8"/>
  <c r="T4334" i="8"/>
  <c r="T5078" i="8"/>
  <c r="T4648" i="8"/>
  <c r="T4610" i="8"/>
  <c r="T4756" i="8"/>
  <c r="T4954" i="8"/>
  <c r="T4304" i="8"/>
  <c r="T4346" i="8"/>
  <c r="T4516" i="8"/>
  <c r="T4510" i="8"/>
  <c r="T4352" i="8"/>
  <c r="T4832" i="8"/>
  <c r="T4996" i="8"/>
  <c r="T5280" i="8"/>
  <c r="T4249" i="8"/>
  <c r="E4243" i="8" s="1"/>
  <c r="E8" i="34" s="1"/>
  <c r="F8" i="34" s="1"/>
  <c r="T4566" i="8"/>
  <c r="T4964" i="8"/>
  <c r="T4440" i="8"/>
  <c r="T4674" i="8"/>
  <c r="T5072" i="8"/>
  <c r="T4850" i="8"/>
  <c r="T5160" i="8"/>
  <c r="T30" i="8"/>
  <c r="T123" i="8"/>
  <c r="T50" i="8"/>
  <c r="T4266" i="8"/>
  <c r="T57" i="8"/>
  <c r="T43" i="8"/>
  <c r="T63" i="8"/>
  <c r="T82" i="8"/>
  <c r="T3905" i="8"/>
  <c r="AN3901" i="8" s="1"/>
  <c r="AO3901" i="8" s="1"/>
  <c r="T36" i="8"/>
  <c r="T109" i="8"/>
  <c r="T23" i="8"/>
  <c r="T76" i="8"/>
  <c r="T790" i="8"/>
  <c r="T95" i="8"/>
  <c r="T116" i="8"/>
  <c r="T138" i="8"/>
  <c r="T2849" i="8"/>
  <c r="E2842" i="8" s="1"/>
  <c r="E1127" i="33" s="1"/>
  <c r="F1127" i="33" s="1"/>
  <c r="T102" i="8"/>
  <c r="T2303" i="8"/>
  <c r="E2295" i="8" s="1"/>
  <c r="T3342" i="8"/>
  <c r="E3334" i="8" s="1"/>
  <c r="E1327" i="33" s="1"/>
  <c r="F1327" i="33" s="1"/>
  <c r="T237" i="8"/>
  <c r="E226" i="8" s="1"/>
  <c r="E30" i="33" s="1"/>
  <c r="F30" i="33" s="1"/>
  <c r="T246" i="8"/>
  <c r="E239" i="8" s="1"/>
  <c r="E32" i="33" s="1"/>
  <c r="F32" i="33" s="1"/>
  <c r="T610" i="8"/>
  <c r="AN605" i="8" s="1"/>
  <c r="AO605" i="8" s="1"/>
  <c r="T766" i="8"/>
  <c r="E762" i="8" s="1"/>
  <c r="F762" i="8" s="1"/>
  <c r="T2293" i="8"/>
  <c r="E2285" i="8" s="1"/>
  <c r="E911" i="33" s="1"/>
  <c r="F911" i="33" s="1"/>
  <c r="T2767" i="8"/>
  <c r="T2567" i="8"/>
  <c r="E2563" i="8" s="1"/>
  <c r="T772" i="8"/>
  <c r="AN768" i="8" s="1"/>
  <c r="AO768" i="8" s="1"/>
  <c r="T1681" i="8"/>
  <c r="E1677" i="8" s="1"/>
  <c r="E645" i="33" s="1"/>
  <c r="F645" i="33" s="1"/>
  <c r="T186" i="8"/>
  <c r="E181" i="8" s="1"/>
  <c r="E17" i="33" s="1"/>
  <c r="F17" i="33" s="1"/>
  <c r="T1463" i="8"/>
  <c r="T2810" i="8"/>
  <c r="T1730" i="8"/>
  <c r="T1710" i="8"/>
  <c r="T2252" i="8"/>
  <c r="T3352" i="8"/>
  <c r="T3307" i="8"/>
  <c r="T3332" i="8"/>
  <c r="T3362" i="8"/>
  <c r="T3295" i="8"/>
  <c r="T3313" i="8"/>
  <c r="T3371" i="8"/>
  <c r="T3859" i="8"/>
  <c r="T4171" i="8"/>
  <c r="T192" i="8"/>
  <c r="T842" i="8"/>
  <c r="T1246" i="8"/>
  <c r="T3301" i="8"/>
  <c r="T802" i="8"/>
  <c r="T833" i="8"/>
  <c r="T857" i="8"/>
  <c r="T1233" i="8"/>
  <c r="T1262" i="8"/>
  <c r="T1990" i="8"/>
  <c r="T2258" i="8"/>
  <c r="T2283" i="8"/>
  <c r="T2313" i="8"/>
  <c r="T2785" i="8"/>
  <c r="T3319" i="8"/>
  <c r="T2654" i="8"/>
  <c r="T3883" i="8"/>
  <c r="T3619" i="8"/>
  <c r="T3865" i="8"/>
  <c r="T3973" i="8"/>
  <c r="T4215" i="8"/>
  <c r="T3964" i="8"/>
  <c r="T3991" i="8"/>
  <c r="T4178" i="8"/>
  <c r="T211" i="8"/>
  <c r="T255" i="8"/>
  <c r="T815" i="8"/>
  <c r="T760" i="8"/>
  <c r="T824" i="8"/>
  <c r="T1255" i="8"/>
  <c r="T3946" i="8"/>
  <c r="T3891" i="8"/>
  <c r="T3918" i="8"/>
  <c r="T3955" i="8"/>
  <c r="T778" i="8"/>
  <c r="T1700" i="8"/>
  <c r="T2132" i="8"/>
  <c r="T1669" i="8"/>
  <c r="T1687" i="8"/>
  <c r="T1720" i="8"/>
  <c r="T2270" i="8"/>
  <c r="T2830" i="8"/>
  <c r="T2820" i="8"/>
  <c r="T2773" i="8"/>
  <c r="T2791" i="8"/>
  <c r="T3982" i="8"/>
  <c r="T4000" i="8"/>
  <c r="T3899" i="8"/>
  <c r="T3927" i="8"/>
  <c r="T4165" i="8"/>
  <c r="T4185" i="8"/>
  <c r="T4225" i="8"/>
  <c r="T224" i="8"/>
  <c r="T2840" i="8"/>
  <c r="T179" i="8"/>
  <c r="T863" i="8"/>
  <c r="T796" i="8"/>
  <c r="T851" i="8"/>
  <c r="T1226" i="8"/>
  <c r="T2264" i="8"/>
  <c r="T198" i="8"/>
  <c r="T1220" i="8"/>
  <c r="T3182" i="8"/>
  <c r="T172" i="8"/>
  <c r="T1004" i="8"/>
  <c r="T1675" i="8"/>
  <c r="T2779" i="8"/>
  <c r="T3101" i="8"/>
  <c r="T3835" i="8"/>
  <c r="T3853" i="8"/>
  <c r="T3714" i="8"/>
  <c r="T3847" i="8"/>
  <c r="T3871" i="8"/>
  <c r="T3937" i="8"/>
  <c r="T4009" i="8"/>
  <c r="E5360" i="8" l="1"/>
  <c r="AG5360" i="8" s="1"/>
  <c r="T4209" i="8"/>
  <c r="AN4191" i="8" s="1"/>
  <c r="AO4191" i="8" s="1"/>
  <c r="F4194" i="8"/>
  <c r="E4191" i="8"/>
  <c r="E1762" i="33" s="1"/>
  <c r="T5455" i="8"/>
  <c r="T24" i="1" s="1"/>
  <c r="E5260" i="8"/>
  <c r="E102" i="38" s="1"/>
  <c r="T5358" i="8"/>
  <c r="AN5344" i="8" s="1"/>
  <c r="AO5344" i="8" s="1"/>
  <c r="E5347" i="8"/>
  <c r="F5347" i="8" s="1"/>
  <c r="A21" i="11"/>
  <c r="A20" i="11"/>
  <c r="A19" i="11"/>
  <c r="A18" i="11"/>
  <c r="A17" i="11"/>
  <c r="Q436" i="11"/>
  <c r="Q458" i="11"/>
  <c r="A460" i="11" s="1"/>
  <c r="Q255" i="11"/>
  <c r="Q495" i="11"/>
  <c r="Q105" i="11"/>
  <c r="Q45" i="11"/>
  <c r="Q301" i="11"/>
  <c r="Q293" i="11"/>
  <c r="Q429" i="11"/>
  <c r="Q399" i="11"/>
  <c r="Q25" i="11"/>
  <c r="Q464" i="11"/>
  <c r="Q316" i="11"/>
  <c r="A318" i="11" s="1"/>
  <c r="Q322" i="11"/>
  <c r="Q162" i="11"/>
  <c r="Q125" i="11"/>
  <c r="Q308" i="11"/>
  <c r="Q478" i="11"/>
  <c r="Q486" i="11"/>
  <c r="Q415" i="11"/>
  <c r="Q75" i="11"/>
  <c r="Q95" i="11"/>
  <c r="Q376" i="11"/>
  <c r="Q444" i="11"/>
  <c r="Q285" i="11"/>
  <c r="Q391" i="11"/>
  <c r="Q383" i="11"/>
  <c r="Q423" i="11"/>
  <c r="A425" i="11" s="1"/>
  <c r="Q85" i="11"/>
  <c r="Q506" i="11"/>
  <c r="Q171" i="11"/>
  <c r="Q216" i="11"/>
  <c r="A218" i="11" s="1"/>
  <c r="Q345" i="11"/>
  <c r="Q471" i="11"/>
  <c r="Q65" i="11"/>
  <c r="Q270" i="11"/>
  <c r="Q55" i="11"/>
  <c r="Q180" i="11"/>
  <c r="Q240" i="11"/>
  <c r="Q234" i="11"/>
  <c r="A236" i="11" s="1"/>
  <c r="Q115" i="11"/>
  <c r="Q369" i="11"/>
  <c r="Q153" i="11"/>
  <c r="Q330" i="11"/>
  <c r="Q144" i="11"/>
  <c r="Q524" i="11"/>
  <c r="A526" i="11" s="1"/>
  <c r="Q200" i="11"/>
  <c r="Q353" i="11"/>
  <c r="Q135" i="11"/>
  <c r="Q210" i="11"/>
  <c r="Q222" i="11"/>
  <c r="A224" i="11" s="1"/>
  <c r="Q452" i="11"/>
  <c r="A454" i="11" s="1"/>
  <c r="Q247" i="11"/>
  <c r="Q517" i="11"/>
  <c r="Q35" i="11"/>
  <c r="Q262" i="11"/>
  <c r="Q277" i="11"/>
  <c r="Q338" i="11"/>
  <c r="Q228" i="11"/>
  <c r="A230" i="11" s="1"/>
  <c r="Q407" i="11"/>
  <c r="Q361" i="11"/>
  <c r="T4718" i="8"/>
  <c r="AN4704" i="8" s="1"/>
  <c r="AO4704" i="8" s="1"/>
  <c r="T5326" i="8"/>
  <c r="AN5312" i="8" s="1"/>
  <c r="AO5312" i="8" s="1"/>
  <c r="T5274" i="8"/>
  <c r="AN5260" i="8" s="1"/>
  <c r="AO5260" i="8" s="1"/>
  <c r="E5234" i="8"/>
  <c r="E94" i="38" s="1"/>
  <c r="AH5328" i="8"/>
  <c r="T5342" i="8"/>
  <c r="E5331" i="8"/>
  <c r="AH5312" i="8"/>
  <c r="E5312" i="8"/>
  <c r="E14" i="39" s="1"/>
  <c r="F5315" i="8"/>
  <c r="AH5260" i="8"/>
  <c r="T4582" i="8"/>
  <c r="AN4568" i="8" s="1"/>
  <c r="AO4568" i="8" s="1"/>
  <c r="T5154" i="8"/>
  <c r="AN5140" i="8" s="1"/>
  <c r="AO5140" i="8" s="1"/>
  <c r="T5248" i="8"/>
  <c r="AH5234" i="8"/>
  <c r="T5222" i="8"/>
  <c r="E5211" i="8"/>
  <c r="T5180" i="8"/>
  <c r="E5169" i="8"/>
  <c r="AH5182" i="8"/>
  <c r="T5196" i="8"/>
  <c r="E5185" i="8"/>
  <c r="E5143" i="8"/>
  <c r="E5140" i="8" s="1"/>
  <c r="E67" i="38" s="1"/>
  <c r="AH5166" i="8"/>
  <c r="T5106" i="8"/>
  <c r="E5095" i="8"/>
  <c r="AH5092" i="8"/>
  <c r="T5122" i="8"/>
  <c r="E5111" i="8"/>
  <c r="E4707" i="8"/>
  <c r="F4707" i="8" s="1"/>
  <c r="T4800" i="8"/>
  <c r="AN4786" i="8" s="1"/>
  <c r="AO4786" i="8" s="1"/>
  <c r="T5056" i="8"/>
  <c r="E5045" i="8"/>
  <c r="T5040" i="8"/>
  <c r="E5029" i="8"/>
  <c r="AH5026" i="8"/>
  <c r="T4920" i="8"/>
  <c r="E4909" i="8"/>
  <c r="E4571" i="8"/>
  <c r="F4571" i="8" s="1"/>
  <c r="T4866" i="8"/>
  <c r="E4855" i="8"/>
  <c r="E4786" i="8"/>
  <c r="E201" i="36" s="1"/>
  <c r="T4888" i="8"/>
  <c r="E4877" i="8"/>
  <c r="T4822" i="8"/>
  <c r="E4811" i="8"/>
  <c r="T4784" i="8"/>
  <c r="E4773" i="8"/>
  <c r="T4746" i="8"/>
  <c r="E4735" i="8"/>
  <c r="T4702" i="8"/>
  <c r="E4691" i="8"/>
  <c r="AH4704" i="8"/>
  <c r="E4704" i="8"/>
  <c r="E159" i="36" s="1"/>
  <c r="T4478" i="8"/>
  <c r="AN4464" i="8" s="1"/>
  <c r="AO4464" i="8" s="1"/>
  <c r="E4448" i="8"/>
  <c r="E70" i="36" s="1"/>
  <c r="T4664" i="8"/>
  <c r="E4653" i="8"/>
  <c r="T4642" i="8"/>
  <c r="E4631" i="8"/>
  <c r="T170" i="1"/>
  <c r="T4626" i="8"/>
  <c r="E4615" i="8"/>
  <c r="AH4568" i="8"/>
  <c r="F4549" i="8"/>
  <c r="E4546" i="8"/>
  <c r="E100" i="36" s="1"/>
  <c r="AH4530" i="8"/>
  <c r="T4544" i="8"/>
  <c r="E4533" i="8"/>
  <c r="T4560" i="8"/>
  <c r="T4500" i="8"/>
  <c r="E4489" i="8"/>
  <c r="T4462" i="8"/>
  <c r="AN4448" i="8" s="1"/>
  <c r="AO4448" i="8" s="1"/>
  <c r="F4467" i="8"/>
  <c r="E4464" i="8"/>
  <c r="E73" i="36" s="1"/>
  <c r="AH5461" i="8"/>
  <c r="AH4448" i="8"/>
  <c r="T4422" i="8"/>
  <c r="AN4408" i="8" s="1"/>
  <c r="AO4408" i="8" s="1"/>
  <c r="F4411" i="8"/>
  <c r="E4408" i="8"/>
  <c r="E42" i="36" s="1"/>
  <c r="AH4376" i="8"/>
  <c r="T4390" i="8"/>
  <c r="E4379" i="8"/>
  <c r="T5535" i="8"/>
  <c r="AH4360" i="8"/>
  <c r="T4374" i="8"/>
  <c r="E4363" i="8"/>
  <c r="E4960" i="8"/>
  <c r="AG4960" i="8" s="1"/>
  <c r="E4972" i="8"/>
  <c r="AG4972" i="8" s="1"/>
  <c r="E4982" i="8"/>
  <c r="AG4982" i="8" s="1"/>
  <c r="E5366" i="8"/>
  <c r="AG5366" i="8" s="1"/>
  <c r="AH5366" i="8" s="1"/>
  <c r="E5306" i="8"/>
  <c r="AG5306" i="8" s="1"/>
  <c r="E4966" i="8"/>
  <c r="AG4966" i="8" s="1"/>
  <c r="E4992" i="8"/>
  <c r="AG4992" i="8" s="1"/>
  <c r="E4950" i="8"/>
  <c r="AG4950" i="8" s="1"/>
  <c r="AH5462" i="8"/>
  <c r="AH5456" i="8"/>
  <c r="E30" i="1"/>
  <c r="AH5457" i="8"/>
  <c r="AJ5459" i="8"/>
  <c r="E32" i="1"/>
  <c r="B32" i="1"/>
  <c r="AH5460" i="8"/>
  <c r="B5461" i="8"/>
  <c r="A30" i="1"/>
  <c r="AH5458" i="8"/>
  <c r="AJ5456" i="8"/>
  <c r="AJ5461" i="8"/>
  <c r="AH5455" i="8"/>
  <c r="AH5459" i="8"/>
  <c r="AJ5463" i="8"/>
  <c r="E29" i="1"/>
  <c r="B29" i="1"/>
  <c r="A29" i="1"/>
  <c r="B5463" i="8"/>
  <c r="B5459" i="8"/>
  <c r="AH5463" i="8"/>
  <c r="A28" i="1"/>
  <c r="B28" i="1"/>
  <c r="E28" i="1"/>
  <c r="AJ5460" i="8"/>
  <c r="B5460" i="8"/>
  <c r="E4211" i="8"/>
  <c r="AG4211" i="8" s="1"/>
  <c r="E5428" i="8"/>
  <c r="E4268" i="8"/>
  <c r="E20" i="34" s="1"/>
  <c r="F20" i="34" s="1"/>
  <c r="AN3837" i="8"/>
  <c r="AO3837" i="8" s="1"/>
  <c r="AG3334" i="8"/>
  <c r="AI3334" i="8" s="1"/>
  <c r="AJ3334" i="8" s="1"/>
  <c r="AN65" i="8"/>
  <c r="AO65" i="8" s="1"/>
  <c r="E65" i="8"/>
  <c r="AG65" i="8" s="1"/>
  <c r="E1459" i="8"/>
  <c r="AN1459" i="8"/>
  <c r="AO1459" i="8" s="1"/>
  <c r="F2285" i="8"/>
  <c r="T2285" i="8" s="1"/>
  <c r="AG2285" i="8"/>
  <c r="AH2285" i="8" s="1"/>
  <c r="AN2285" i="8"/>
  <c r="AO2285" i="8" s="1"/>
  <c r="F3334" i="8"/>
  <c r="T3334" i="8" s="1"/>
  <c r="E4506" i="8"/>
  <c r="AG4506" i="8" s="1"/>
  <c r="E4644" i="8"/>
  <c r="AG4644" i="8" s="1"/>
  <c r="E4518" i="8"/>
  <c r="AG4518" i="8" s="1"/>
  <c r="E5250" i="8"/>
  <c r="AG5250" i="8" s="1"/>
  <c r="AH5250" i="8" s="1"/>
  <c r="AN4834" i="8"/>
  <c r="AO4834" i="8" s="1"/>
  <c r="E4834" i="8"/>
  <c r="AG4834" i="8" s="1"/>
  <c r="AN5080" i="8"/>
  <c r="AO5080" i="8" s="1"/>
  <c r="E5080" i="8"/>
  <c r="AG5080" i="8" s="1"/>
  <c r="E4436" i="8"/>
  <c r="AG4436" i="8" s="1"/>
  <c r="E4512" i="8"/>
  <c r="AG4512" i="8" s="1"/>
  <c r="E5074" i="8"/>
  <c r="AG5074" i="8" s="1"/>
  <c r="E4354" i="8"/>
  <c r="AG4354" i="8" s="1"/>
  <c r="E4726" i="8"/>
  <c r="E4606" i="8"/>
  <c r="AG4606" i="8" s="1"/>
  <c r="E5276" i="8"/>
  <c r="AG5276" i="8" s="1"/>
  <c r="E4342" i="8"/>
  <c r="AG4342" i="8" s="1"/>
  <c r="E4330" i="8"/>
  <c r="AG4330" i="8" s="1"/>
  <c r="E4890" i="8"/>
  <c r="AG4890" i="8" s="1"/>
  <c r="E4764" i="8"/>
  <c r="AG4764" i="8" s="1"/>
  <c r="E4670" i="8"/>
  <c r="AG4670" i="8" s="1"/>
  <c r="E768" i="8"/>
  <c r="E272" i="33" s="1"/>
  <c r="F272" i="33" s="1"/>
  <c r="E5156" i="8"/>
  <c r="AG5156" i="8" s="1"/>
  <c r="E4802" i="8"/>
  <c r="AG4802" i="8" s="1"/>
  <c r="E4840" i="8"/>
  <c r="AG4840" i="8" s="1"/>
  <c r="E4442" i="8"/>
  <c r="AG4442" i="8" s="1"/>
  <c r="AN4896" i="8"/>
  <c r="AO4896" i="8" s="1"/>
  <c r="E4896" i="8"/>
  <c r="AG4896" i="8" s="1"/>
  <c r="AN4392" i="8"/>
  <c r="AO4392" i="8" s="1"/>
  <c r="E4392" i="8"/>
  <c r="AG4392" i="8" s="1"/>
  <c r="E5224" i="8"/>
  <c r="AG5224" i="8" s="1"/>
  <c r="AN3334" i="8"/>
  <c r="AO3334" i="8" s="1"/>
  <c r="E4828" i="8"/>
  <c r="AG4828" i="8" s="1"/>
  <c r="E4336" i="8"/>
  <c r="AG4336" i="8" s="1"/>
  <c r="E4398" i="8"/>
  <c r="AG4398" i="8" s="1"/>
  <c r="E5086" i="8"/>
  <c r="AG5086" i="8" s="1"/>
  <c r="AN4682" i="8"/>
  <c r="AO4682" i="8" s="1"/>
  <c r="E4682" i="8"/>
  <c r="AG4682" i="8" s="1"/>
  <c r="AN5124" i="8"/>
  <c r="AO5124" i="8" s="1"/>
  <c r="E5124" i="8"/>
  <c r="AG5124" i="8" s="1"/>
  <c r="E4758" i="8"/>
  <c r="AG4758" i="8" s="1"/>
  <c r="AH4758" i="8" s="1"/>
  <c r="AN5428" i="8"/>
  <c r="AO5428" i="8" s="1"/>
  <c r="E4846" i="8"/>
  <c r="AG4846" i="8" s="1"/>
  <c r="E4348" i="8"/>
  <c r="AG4348" i="8" s="1"/>
  <c r="E4752" i="8"/>
  <c r="AG4752" i="8" s="1"/>
  <c r="E5058" i="8"/>
  <c r="AG5058" i="8" s="1"/>
  <c r="E4524" i="8"/>
  <c r="AG4524" i="8" s="1"/>
  <c r="AN4676" i="8"/>
  <c r="AO4676" i="8" s="1"/>
  <c r="E4676" i="8"/>
  <c r="AG4676" i="8" s="1"/>
  <c r="E4424" i="8"/>
  <c r="AG4424" i="8" s="1"/>
  <c r="E5068" i="8"/>
  <c r="AG5068" i="8" s="1"/>
  <c r="E4562" i="8"/>
  <c r="AG4562" i="8" s="1"/>
  <c r="E4480" i="8"/>
  <c r="AG4480" i="8" s="1"/>
  <c r="E4600" i="8"/>
  <c r="AG4600" i="8" s="1"/>
  <c r="E5198" i="8"/>
  <c r="AG5198" i="8" s="1"/>
  <c r="E4594" i="8"/>
  <c r="AG4594" i="8" s="1"/>
  <c r="AN5224" i="8"/>
  <c r="AO5224" i="8" s="1"/>
  <c r="AN5366" i="8"/>
  <c r="AO5366" i="8" s="1"/>
  <c r="AN125" i="8"/>
  <c r="AO125" i="8" s="1"/>
  <c r="T5421" i="8"/>
  <c r="AN5421" i="8"/>
  <c r="AO5421" i="8" s="1"/>
  <c r="AG5421" i="8"/>
  <c r="AI5421" i="8" s="1"/>
  <c r="E786" i="8"/>
  <c r="E287" i="33" s="1"/>
  <c r="F287" i="33" s="1"/>
  <c r="AN2763" i="8"/>
  <c r="AO2763" i="8" s="1"/>
  <c r="AN5250" i="8"/>
  <c r="AO5250" i="8" s="1"/>
  <c r="AN2842" i="8"/>
  <c r="AO2842" i="8" s="1"/>
  <c r="AN5360" i="8"/>
  <c r="AO5360" i="8" s="1"/>
  <c r="AG2842" i="8"/>
  <c r="AI2842" i="8" s="1"/>
  <c r="AJ2842" i="8" s="1"/>
  <c r="E125" i="8"/>
  <c r="E66" i="32" s="1"/>
  <c r="F66" i="32" s="1"/>
  <c r="AN4758" i="8"/>
  <c r="AO4758" i="8" s="1"/>
  <c r="T5435" i="8"/>
  <c r="AN5435" i="8"/>
  <c r="AO5435" i="8" s="1"/>
  <c r="E5435" i="8"/>
  <c r="AN5398" i="8"/>
  <c r="AO5398" i="8" s="1"/>
  <c r="E5398" i="8"/>
  <c r="E14" i="40" s="1"/>
  <c r="F14" i="40" s="1"/>
  <c r="E2763" i="8"/>
  <c r="E1093" i="33" s="1"/>
  <c r="F1093" i="33" s="1"/>
  <c r="AN4424" i="8"/>
  <c r="AO4424" i="8" s="1"/>
  <c r="AN4594" i="8"/>
  <c r="AO4594" i="8" s="1"/>
  <c r="AN5306" i="8"/>
  <c r="AO5306" i="8" s="1"/>
  <c r="AG226" i="8"/>
  <c r="AI226" i="8" s="1"/>
  <c r="AJ226" i="8" s="1"/>
  <c r="AN226" i="8"/>
  <c r="AO226" i="8" s="1"/>
  <c r="AN5392" i="8"/>
  <c r="AO5392" i="8" s="1"/>
  <c r="E5392" i="8"/>
  <c r="E11" i="40" s="1"/>
  <c r="F11" i="40" s="1"/>
  <c r="AN4670" i="8"/>
  <c r="AO4670" i="8" s="1"/>
  <c r="AN4960" i="8"/>
  <c r="AO4960" i="8" s="1"/>
  <c r="AN4752" i="8"/>
  <c r="AO4752" i="8" s="1"/>
  <c r="AN4972" i="8"/>
  <c r="AO4972" i="8" s="1"/>
  <c r="AN4562" i="8"/>
  <c r="AO4562" i="8" s="1"/>
  <c r="AN4330" i="8"/>
  <c r="AO4330" i="8" s="1"/>
  <c r="AN5058" i="8"/>
  <c r="AO5058" i="8" s="1"/>
  <c r="AN4442" i="8"/>
  <c r="AO4442" i="8" s="1"/>
  <c r="AN4354" i="8"/>
  <c r="AO4354" i="8" s="1"/>
  <c r="AN4966" i="8"/>
  <c r="AO4966" i="8" s="1"/>
  <c r="E3901" i="8"/>
  <c r="E1578" i="33" s="1"/>
  <c r="F1578" i="33" s="1"/>
  <c r="AN5156" i="8"/>
  <c r="AO5156" i="8" s="1"/>
  <c r="AN4436" i="8"/>
  <c r="AO4436" i="8" s="1"/>
  <c r="AN5276" i="8"/>
  <c r="AO5276" i="8" s="1"/>
  <c r="AN4506" i="8"/>
  <c r="AO4506" i="8" s="1"/>
  <c r="AN4606" i="8"/>
  <c r="AO4606" i="8" s="1"/>
  <c r="AN4802" i="8"/>
  <c r="AO4802" i="8" s="1"/>
  <c r="AN4480" i="8"/>
  <c r="AO4480" i="8" s="1"/>
  <c r="AN4398" i="8"/>
  <c r="AO4398" i="8" s="1"/>
  <c r="AN4890" i="8"/>
  <c r="AO4890" i="8" s="1"/>
  <c r="AN4524" i="8"/>
  <c r="AO4524" i="8" s="1"/>
  <c r="AN4644" i="8"/>
  <c r="AO4644" i="8" s="1"/>
  <c r="AN4336" i="8"/>
  <c r="AO4336" i="8" s="1"/>
  <c r="AN4600" i="8"/>
  <c r="AO4600" i="8" s="1"/>
  <c r="AN4243" i="8"/>
  <c r="AO4243" i="8" s="1"/>
  <c r="AN4846" i="8"/>
  <c r="AO4846" i="8" s="1"/>
  <c r="AN4828" i="8"/>
  <c r="AO4828" i="8" s="1"/>
  <c r="AN4342" i="8"/>
  <c r="AO4342" i="8" s="1"/>
  <c r="AN5074" i="8"/>
  <c r="AO5074" i="8" s="1"/>
  <c r="AN4518" i="8"/>
  <c r="AO4518" i="8" s="1"/>
  <c r="AN4764" i="8"/>
  <c r="AO4764" i="8" s="1"/>
  <c r="AN5086" i="8"/>
  <c r="AO5086" i="8" s="1"/>
  <c r="AN5198" i="8"/>
  <c r="AO5198" i="8" s="1"/>
  <c r="AN4992" i="8"/>
  <c r="AO4992" i="8" s="1"/>
  <c r="AN4512" i="8"/>
  <c r="AO4512" i="8" s="1"/>
  <c r="AN786" i="8"/>
  <c r="AO786" i="8" s="1"/>
  <c r="AN5068" i="8"/>
  <c r="AO5068" i="8" s="1"/>
  <c r="AN4348" i="8"/>
  <c r="AO4348" i="8" s="1"/>
  <c r="AN4293" i="8"/>
  <c r="AO4293" i="8" s="1"/>
  <c r="E4293" i="8"/>
  <c r="AN4950" i="8"/>
  <c r="AO4950" i="8" s="1"/>
  <c r="AN4840" i="8"/>
  <c r="AO4840" i="8" s="1"/>
  <c r="AN4982" i="8"/>
  <c r="AO4982" i="8" s="1"/>
  <c r="AN32" i="8"/>
  <c r="AO32" i="8" s="1"/>
  <c r="E32" i="8"/>
  <c r="AN52" i="8"/>
  <c r="AO52" i="8" s="1"/>
  <c r="T52" i="8"/>
  <c r="E52" i="8"/>
  <c r="AN4262" i="8"/>
  <c r="AO4262" i="8" s="1"/>
  <c r="E4262" i="8"/>
  <c r="E17" i="34" s="1"/>
  <c r="F17" i="34" s="1"/>
  <c r="F226" i="8"/>
  <c r="T226" i="8" s="1"/>
  <c r="AG2295" i="8"/>
  <c r="AH2295" i="8" s="1"/>
  <c r="E913" i="33"/>
  <c r="F913" i="33" s="1"/>
  <c r="AN90" i="8"/>
  <c r="AO90" i="8" s="1"/>
  <c r="T90" i="8"/>
  <c r="E90" i="8"/>
  <c r="AN97" i="8"/>
  <c r="AO97" i="8" s="1"/>
  <c r="T97" i="8"/>
  <c r="E97" i="8"/>
  <c r="AN72" i="8"/>
  <c r="AO72" i="8" s="1"/>
  <c r="E72" i="8"/>
  <c r="F4243" i="8"/>
  <c r="T4243" i="8" s="1"/>
  <c r="AG4243" i="8"/>
  <c r="AI4243" i="8" s="1"/>
  <c r="AJ4243" i="8" s="1"/>
  <c r="AN78" i="8"/>
  <c r="AO78" i="8" s="1"/>
  <c r="E78" i="8"/>
  <c r="AI3837" i="8"/>
  <c r="AJ3837" i="8" s="1"/>
  <c r="E1552" i="33"/>
  <c r="F1552" i="33" s="1"/>
  <c r="AN132" i="8"/>
  <c r="AO132" i="8" s="1"/>
  <c r="E132" i="8"/>
  <c r="AN19" i="8"/>
  <c r="AO19" i="8" s="1"/>
  <c r="E19" i="8"/>
  <c r="E8" i="32" s="1"/>
  <c r="F8" i="32" s="1"/>
  <c r="AN59" i="8"/>
  <c r="AO59" i="8" s="1"/>
  <c r="E59" i="8"/>
  <c r="AG762" i="8"/>
  <c r="AI762" i="8" s="1"/>
  <c r="AJ762" i="8" s="1"/>
  <c r="E270" i="33"/>
  <c r="F270" i="33" s="1"/>
  <c r="AN118" i="8"/>
  <c r="AO118" i="8" s="1"/>
  <c r="T118" i="8"/>
  <c r="E118" i="8"/>
  <c r="AN2563" i="8"/>
  <c r="AO2563" i="8" s="1"/>
  <c r="E605" i="8"/>
  <c r="F2842" i="8"/>
  <c r="T2842" i="8" s="1"/>
  <c r="F3837" i="8"/>
  <c r="T3837" i="8" s="1"/>
  <c r="AN111" i="8"/>
  <c r="AO111" i="8" s="1"/>
  <c r="T111" i="8"/>
  <c r="E111" i="8"/>
  <c r="AN104" i="8"/>
  <c r="AO104" i="8" s="1"/>
  <c r="E104" i="8"/>
  <c r="AN38" i="8"/>
  <c r="AO38" i="8" s="1"/>
  <c r="T38" i="8"/>
  <c r="E38" i="8"/>
  <c r="AN45" i="8"/>
  <c r="AO45" i="8" s="1"/>
  <c r="T45" i="8"/>
  <c r="E45" i="8"/>
  <c r="AN25" i="8"/>
  <c r="AO25" i="8" s="1"/>
  <c r="T25" i="8"/>
  <c r="E25" i="8"/>
  <c r="AN181" i="8"/>
  <c r="AO181" i="8" s="1"/>
  <c r="AN239" i="8"/>
  <c r="AO239" i="8" s="1"/>
  <c r="AN2295" i="8"/>
  <c r="AO2295" i="8" s="1"/>
  <c r="T605" i="8"/>
  <c r="F2295" i="8"/>
  <c r="T2295" i="8" s="1"/>
  <c r="T762" i="8"/>
  <c r="AN1677" i="8"/>
  <c r="AO1677" i="8" s="1"/>
  <c r="AN762" i="8"/>
  <c r="AO762" i="8" s="1"/>
  <c r="AN2832" i="8"/>
  <c r="AO2832" i="8" s="1"/>
  <c r="E2832" i="8"/>
  <c r="E1125" i="33" s="1"/>
  <c r="F1125" i="33" s="1"/>
  <c r="AN3920" i="8"/>
  <c r="AO3920" i="8" s="1"/>
  <c r="E3920" i="8"/>
  <c r="E1585" i="33" s="1"/>
  <c r="F1585" i="33" s="1"/>
  <c r="AN2787" i="8"/>
  <c r="AO2787" i="8" s="1"/>
  <c r="E2787" i="8"/>
  <c r="E1101" i="33" s="1"/>
  <c r="F1101" i="33" s="1"/>
  <c r="AN1248" i="8"/>
  <c r="AO1248" i="8" s="1"/>
  <c r="E1248" i="8"/>
  <c r="E465" i="33" s="1"/>
  <c r="F465" i="33" s="1"/>
  <c r="AN3849" i="8"/>
  <c r="AO3849" i="8" s="1"/>
  <c r="E3849" i="8"/>
  <c r="E1556" i="33" s="1"/>
  <c r="F1556" i="33" s="1"/>
  <c r="AN859" i="8"/>
  <c r="AO859" i="8" s="1"/>
  <c r="E859" i="8"/>
  <c r="E308" i="33" s="1"/>
  <c r="F308" i="33" s="1"/>
  <c r="AN3893" i="8"/>
  <c r="AO3893" i="8" s="1"/>
  <c r="E3893" i="8"/>
  <c r="E1576" i="33" s="1"/>
  <c r="F1576" i="33" s="1"/>
  <c r="AN2769" i="8"/>
  <c r="AO2769" i="8" s="1"/>
  <c r="E2769" i="8"/>
  <c r="E1095" i="33" s="1"/>
  <c r="F1095" i="33" s="1"/>
  <c r="AN1712" i="8"/>
  <c r="AO1712" i="8" s="1"/>
  <c r="E1712" i="8"/>
  <c r="E656" i="33" s="1"/>
  <c r="F656" i="33" s="1"/>
  <c r="AN2128" i="8"/>
  <c r="AO2128" i="8" s="1"/>
  <c r="E2128" i="8"/>
  <c r="AN248" i="8"/>
  <c r="AO248" i="8" s="1"/>
  <c r="E248" i="8"/>
  <c r="E34" i="33" s="1"/>
  <c r="F34" i="33" s="1"/>
  <c r="AN204" i="8"/>
  <c r="AO204" i="8" s="1"/>
  <c r="E204" i="8"/>
  <c r="E26" i="33" s="1"/>
  <c r="F26" i="33" s="1"/>
  <c r="AN3861" i="8"/>
  <c r="AO3861" i="8" s="1"/>
  <c r="E3861" i="8"/>
  <c r="E1560" i="33" s="1"/>
  <c r="F1560" i="33" s="1"/>
  <c r="AN3614" i="8"/>
  <c r="AO3614" i="8" s="1"/>
  <c r="T3614" i="8"/>
  <c r="E3614" i="8"/>
  <c r="AN2650" i="8"/>
  <c r="AO2650" i="8" s="1"/>
  <c r="E2650" i="8"/>
  <c r="AN2305" i="8"/>
  <c r="AO2305" i="8" s="1"/>
  <c r="E2305" i="8"/>
  <c r="E915" i="33" s="1"/>
  <c r="F915" i="33" s="1"/>
  <c r="AN1257" i="8"/>
  <c r="AO1257" i="8" s="1"/>
  <c r="E1257" i="8"/>
  <c r="E467" i="33" s="1"/>
  <c r="F467" i="33" s="1"/>
  <c r="AN3297" i="8"/>
  <c r="AO3297" i="8" s="1"/>
  <c r="E3297" i="8"/>
  <c r="E1314" i="33" s="1"/>
  <c r="F1314" i="33" s="1"/>
  <c r="AN835" i="8"/>
  <c r="AO835" i="8" s="1"/>
  <c r="E835" i="8"/>
  <c r="E302" i="33" s="1"/>
  <c r="F302" i="33" s="1"/>
  <c r="AN188" i="8"/>
  <c r="AO188" i="8" s="1"/>
  <c r="E188" i="8"/>
  <c r="E19" i="33" s="1"/>
  <c r="F19" i="33" s="1"/>
  <c r="AN4167" i="8"/>
  <c r="AO4167" i="8" s="1"/>
  <c r="E4167" i="8"/>
  <c r="E1748" i="33" s="1"/>
  <c r="F1748" i="33" s="1"/>
  <c r="AN3364" i="8"/>
  <c r="AO3364" i="8" s="1"/>
  <c r="E3364" i="8"/>
  <c r="E1333" i="33" s="1"/>
  <c r="F1333" i="33" s="1"/>
  <c r="AN4002" i="8"/>
  <c r="AO4002" i="8" s="1"/>
  <c r="E4002" i="8"/>
  <c r="E1603" i="33" s="1"/>
  <c r="F1603" i="33" s="1"/>
  <c r="AN1671" i="8"/>
  <c r="AO1671" i="8" s="1"/>
  <c r="E1671" i="8"/>
  <c r="E643" i="33" s="1"/>
  <c r="F643" i="33" s="1"/>
  <c r="AN3177" i="8"/>
  <c r="AO3177" i="8" s="1"/>
  <c r="T3177" i="8"/>
  <c r="E3177" i="8"/>
  <c r="AN1222" i="8"/>
  <c r="AO1222" i="8" s="1"/>
  <c r="E1222" i="8"/>
  <c r="E456" i="33" s="1"/>
  <c r="F456" i="33" s="1"/>
  <c r="AN174" i="8"/>
  <c r="AO174" i="8" s="1"/>
  <c r="E174" i="8"/>
  <c r="E15" i="33" s="1"/>
  <c r="F15" i="33" s="1"/>
  <c r="AN4217" i="8"/>
  <c r="AO4217" i="8" s="1"/>
  <c r="E4217" i="8"/>
  <c r="E1768" i="33" s="1"/>
  <c r="F1768" i="33" s="1"/>
  <c r="AN2812" i="8"/>
  <c r="AO2812" i="8" s="1"/>
  <c r="E2812" i="8"/>
  <c r="E1121" i="33" s="1"/>
  <c r="F1121" i="33" s="1"/>
  <c r="AN1683" i="8"/>
  <c r="AO1683" i="8" s="1"/>
  <c r="E1683" i="8"/>
  <c r="E647" i="33" s="1"/>
  <c r="F647" i="33" s="1"/>
  <c r="AN3939" i="8"/>
  <c r="AO3939" i="8" s="1"/>
  <c r="E3939" i="8"/>
  <c r="E1589" i="33" s="1"/>
  <c r="F1589" i="33" s="1"/>
  <c r="AN817" i="8"/>
  <c r="AO817" i="8" s="1"/>
  <c r="E817" i="8"/>
  <c r="E298" i="33" s="1"/>
  <c r="F298" i="33" s="1"/>
  <c r="AN3984" i="8"/>
  <c r="AO3984" i="8" s="1"/>
  <c r="E3984" i="8"/>
  <c r="E1599" i="33" s="1"/>
  <c r="F1599" i="33" s="1"/>
  <c r="AN2781" i="8"/>
  <c r="AO2781" i="8" s="1"/>
  <c r="E2781" i="8"/>
  <c r="E1099" i="33" s="1"/>
  <c r="F1099" i="33" s="1"/>
  <c r="AN2276" i="8"/>
  <c r="AO2276" i="8" s="1"/>
  <c r="E2276" i="8"/>
  <c r="E909" i="33" s="1"/>
  <c r="F909" i="33" s="1"/>
  <c r="AN1228" i="8"/>
  <c r="AO1228" i="8" s="1"/>
  <c r="E1228" i="8"/>
  <c r="E458" i="33" s="1"/>
  <c r="F458" i="33" s="1"/>
  <c r="AN1239" i="8"/>
  <c r="AO1239" i="8" s="1"/>
  <c r="E1239" i="8"/>
  <c r="E463" i="33" s="1"/>
  <c r="F463" i="33" s="1"/>
  <c r="AN3855" i="8"/>
  <c r="AO3855" i="8" s="1"/>
  <c r="E3855" i="8"/>
  <c r="E1558" i="33" s="1"/>
  <c r="F1558" i="33" s="1"/>
  <c r="AN3354" i="8"/>
  <c r="AO3354" i="8" s="1"/>
  <c r="E3354" i="8"/>
  <c r="E1331" i="33" s="1"/>
  <c r="F1331" i="33" s="1"/>
  <c r="AN3344" i="8"/>
  <c r="AO3344" i="8" s="1"/>
  <c r="E3344" i="8"/>
  <c r="E1329" i="33" s="1"/>
  <c r="F1329" i="33" s="1"/>
  <c r="AH3837" i="8"/>
  <c r="AN3843" i="8"/>
  <c r="AO3843" i="8" s="1"/>
  <c r="E3843" i="8"/>
  <c r="E1554" i="33" s="1"/>
  <c r="F1554" i="33" s="1"/>
  <c r="AN168" i="8"/>
  <c r="AO168" i="8" s="1"/>
  <c r="E168" i="8"/>
  <c r="E13" i="33" s="1"/>
  <c r="F13" i="33" s="1"/>
  <c r="AN194" i="8"/>
  <c r="AO194" i="8" s="1"/>
  <c r="E194" i="8"/>
  <c r="E21" i="33" s="1"/>
  <c r="F21" i="33" s="1"/>
  <c r="F1762" i="33"/>
  <c r="AN798" i="8"/>
  <c r="AO798" i="8" s="1"/>
  <c r="E798" i="8"/>
  <c r="E291" i="33" s="1"/>
  <c r="F291" i="33" s="1"/>
  <c r="AN3993" i="8"/>
  <c r="AO3993" i="8" s="1"/>
  <c r="E3993" i="8"/>
  <c r="E1601" i="33" s="1"/>
  <c r="F1601" i="33" s="1"/>
  <c r="AN1665" i="8"/>
  <c r="AO1665" i="8" s="1"/>
  <c r="E1665" i="8"/>
  <c r="E641" i="33" s="1"/>
  <c r="F641" i="33" s="1"/>
  <c r="AN1693" i="8"/>
  <c r="AO1693" i="8" s="1"/>
  <c r="E1693" i="8"/>
  <c r="E652" i="33" s="1"/>
  <c r="F652" i="33" s="1"/>
  <c r="AN3948" i="8"/>
  <c r="AO3948" i="8" s="1"/>
  <c r="E3948" i="8"/>
  <c r="E1591" i="33" s="1"/>
  <c r="F1591" i="33" s="1"/>
  <c r="AN2254" i="8"/>
  <c r="AO2254" i="8" s="1"/>
  <c r="E2254" i="8"/>
  <c r="E900" i="33" s="1"/>
  <c r="F900" i="33" s="1"/>
  <c r="AN3325" i="8"/>
  <c r="AO3325" i="8" s="1"/>
  <c r="E3325" i="8"/>
  <c r="E1325" i="33" s="1"/>
  <c r="F1325" i="33" s="1"/>
  <c r="AN1722" i="8"/>
  <c r="AO1722" i="8" s="1"/>
  <c r="E1722" i="8"/>
  <c r="E658" i="33" s="1"/>
  <c r="F658" i="33" s="1"/>
  <c r="AN3929" i="8"/>
  <c r="AO3929" i="8" s="1"/>
  <c r="E3929" i="8"/>
  <c r="E1587" i="33" s="1"/>
  <c r="F1587" i="33" s="1"/>
  <c r="AN2260" i="8"/>
  <c r="AO2260" i="8" s="1"/>
  <c r="E2260" i="8"/>
  <c r="E902" i="33" s="1"/>
  <c r="F902" i="33" s="1"/>
  <c r="AN4156" i="8"/>
  <c r="AO4156" i="8" s="1"/>
  <c r="E4156" i="8"/>
  <c r="E1745" i="33" s="1"/>
  <c r="F1745" i="33" s="1"/>
  <c r="AN3975" i="8"/>
  <c r="AO3975" i="8" s="1"/>
  <c r="E3975" i="8"/>
  <c r="E1597" i="33" s="1"/>
  <c r="F1597" i="33" s="1"/>
  <c r="AN2266" i="8"/>
  <c r="AO2266" i="8" s="1"/>
  <c r="E2266" i="8"/>
  <c r="E904" i="33" s="1"/>
  <c r="F904" i="33" s="1"/>
  <c r="AN3911" i="8"/>
  <c r="AO3911" i="8" s="1"/>
  <c r="E3911" i="8"/>
  <c r="E1583" i="33" s="1"/>
  <c r="F1583" i="33" s="1"/>
  <c r="AN756" i="8"/>
  <c r="AO756" i="8" s="1"/>
  <c r="E756" i="8"/>
  <c r="E268" i="33" s="1"/>
  <c r="F268" i="33" s="1"/>
  <c r="AN4211" i="8"/>
  <c r="AO4211" i="8" s="1"/>
  <c r="AN1986" i="8"/>
  <c r="AO1986" i="8" s="1"/>
  <c r="E1986" i="8"/>
  <c r="AN853" i="8"/>
  <c r="AO853" i="8" s="1"/>
  <c r="E853" i="8"/>
  <c r="E306" i="33" s="1"/>
  <c r="F306" i="33" s="1"/>
  <c r="AN3309" i="8"/>
  <c r="AO3309" i="8" s="1"/>
  <c r="E3309" i="8"/>
  <c r="E1318" i="33" s="1"/>
  <c r="F1318" i="33" s="1"/>
  <c r="AN3303" i="8"/>
  <c r="AO3303" i="8" s="1"/>
  <c r="E3303" i="8"/>
  <c r="E1316" i="33" s="1"/>
  <c r="F1316" i="33" s="1"/>
  <c r="AN2248" i="8"/>
  <c r="AO2248" i="8" s="1"/>
  <c r="E2248" i="8"/>
  <c r="E898" i="33" s="1"/>
  <c r="F898" i="33" s="1"/>
  <c r="AN4173" i="8"/>
  <c r="AO4173" i="8" s="1"/>
  <c r="T4173" i="8"/>
  <c r="E4173" i="8"/>
  <c r="AN3709" i="8"/>
  <c r="AO3709" i="8" s="1"/>
  <c r="T3709" i="8"/>
  <c r="E3709" i="8"/>
  <c r="AN2775" i="8"/>
  <c r="AO2775" i="8" s="1"/>
  <c r="E2775" i="8"/>
  <c r="E1097" i="33" s="1"/>
  <c r="F1097" i="33" s="1"/>
  <c r="AN3831" i="8"/>
  <c r="AO3831" i="8" s="1"/>
  <c r="E3831" i="8"/>
  <c r="E1550" i="33" s="1"/>
  <c r="F1550" i="33" s="1"/>
  <c r="AN1000" i="8"/>
  <c r="AO1000" i="8" s="1"/>
  <c r="E1000" i="8"/>
  <c r="E371" i="33" s="1"/>
  <c r="F371" i="33" s="1"/>
  <c r="AN4180" i="8"/>
  <c r="AO4180" i="8" s="1"/>
  <c r="T4180" i="8"/>
  <c r="E4180" i="8"/>
  <c r="AN774" i="8"/>
  <c r="AO774" i="8" s="1"/>
  <c r="E774" i="8"/>
  <c r="E274" i="33" s="1"/>
  <c r="F274" i="33" s="1"/>
  <c r="AN3957" i="8"/>
  <c r="AO3957" i="8" s="1"/>
  <c r="E3957" i="8"/>
  <c r="E1593" i="33" s="1"/>
  <c r="F1593" i="33" s="1"/>
  <c r="AN3879" i="8"/>
  <c r="AO3879" i="8" s="1"/>
  <c r="E3879" i="8"/>
  <c r="E1572" i="33" s="1"/>
  <c r="F1572" i="33" s="1"/>
  <c r="AN2803" i="8"/>
  <c r="AO2803" i="8" s="1"/>
  <c r="E2803" i="8"/>
  <c r="E1119" i="33" s="1"/>
  <c r="F1119" i="33" s="1"/>
  <c r="AN1216" i="8"/>
  <c r="AO1216" i="8" s="1"/>
  <c r="E1216" i="8"/>
  <c r="E454" i="33" s="1"/>
  <c r="F454" i="33" s="1"/>
  <c r="AG239" i="8"/>
  <c r="AI239" i="8" s="1"/>
  <c r="AJ239" i="8" s="1"/>
  <c r="F239" i="8"/>
  <c r="T239" i="8" s="1"/>
  <c r="AG181" i="8"/>
  <c r="AI181" i="8" s="1"/>
  <c r="AJ181" i="8" s="1"/>
  <c r="F181" i="8"/>
  <c r="T181" i="8" s="1"/>
  <c r="AN844" i="8"/>
  <c r="AO844" i="8" s="1"/>
  <c r="E844" i="8"/>
  <c r="E304" i="33" s="1"/>
  <c r="F304" i="33" s="1"/>
  <c r="AN3867" i="8"/>
  <c r="AO3867" i="8" s="1"/>
  <c r="E3867" i="8"/>
  <c r="E1562" i="33" s="1"/>
  <c r="F1562" i="33" s="1"/>
  <c r="AN3096" i="8"/>
  <c r="AO3096" i="8" s="1"/>
  <c r="T3096" i="8"/>
  <c r="E3096" i="8"/>
  <c r="AG1677" i="8"/>
  <c r="F1677" i="8"/>
  <c r="T1677" i="8" s="1"/>
  <c r="F2563" i="8"/>
  <c r="T2563" i="8" s="1"/>
  <c r="AG2563" i="8"/>
  <c r="AI2563" i="8" s="1"/>
  <c r="AJ2563" i="8" s="1"/>
  <c r="AN792" i="8"/>
  <c r="AO792" i="8" s="1"/>
  <c r="E792" i="8"/>
  <c r="E289" i="33" s="1"/>
  <c r="F289" i="33" s="1"/>
  <c r="AN213" i="8"/>
  <c r="AO213" i="8" s="1"/>
  <c r="E213" i="8"/>
  <c r="E28" i="33" s="1"/>
  <c r="F28" i="33" s="1"/>
  <c r="AN2822" i="8"/>
  <c r="AO2822" i="8" s="1"/>
  <c r="E2822" i="8"/>
  <c r="E1123" i="33" s="1"/>
  <c r="F1123" i="33" s="1"/>
  <c r="AN3885" i="8"/>
  <c r="AO3885" i="8" s="1"/>
  <c r="E3885" i="8"/>
  <c r="E1574" i="33" s="1"/>
  <c r="F1574" i="33" s="1"/>
  <c r="AN808" i="8"/>
  <c r="AO808" i="8" s="1"/>
  <c r="E808" i="8"/>
  <c r="E296" i="33" s="1"/>
  <c r="F296" i="33" s="1"/>
  <c r="AN3966" i="8"/>
  <c r="AO3966" i="8" s="1"/>
  <c r="E3966" i="8"/>
  <c r="E1595" i="33" s="1"/>
  <c r="F1595" i="33" s="1"/>
  <c r="AN3315" i="8"/>
  <c r="AO3315" i="8" s="1"/>
  <c r="E3315" i="8"/>
  <c r="E1320" i="33" s="1"/>
  <c r="F1320" i="33" s="1"/>
  <c r="AN826" i="8"/>
  <c r="AO826" i="8" s="1"/>
  <c r="E826" i="8"/>
  <c r="E300" i="33" s="1"/>
  <c r="F300" i="33" s="1"/>
  <c r="AN3291" i="8"/>
  <c r="AO3291" i="8" s="1"/>
  <c r="E3291" i="8"/>
  <c r="E1312" i="33" s="1"/>
  <c r="F1312" i="33" s="1"/>
  <c r="AN1702" i="8"/>
  <c r="AO1702" i="8" s="1"/>
  <c r="E1702" i="8"/>
  <c r="E654" i="33" s="1"/>
  <c r="F654" i="33" s="1"/>
  <c r="E5344" i="8" l="1"/>
  <c r="E20" i="39" s="1"/>
  <c r="AI4191" i="8"/>
  <c r="F4191" i="8"/>
  <c r="T4191" i="8" s="1"/>
  <c r="AJ5455" i="8"/>
  <c r="F5260" i="8"/>
  <c r="T5260" i="8" s="1"/>
  <c r="AI5260" i="8"/>
  <c r="AJ5260" i="8" s="1"/>
  <c r="F5234" i="8"/>
  <c r="E5236" i="8" s="1"/>
  <c r="R224" i="11"/>
  <c r="R226" i="11" s="1"/>
  <c r="T224" i="11"/>
  <c r="T226" i="11" s="1"/>
  <c r="T222" i="11" s="1"/>
  <c r="S4117" i="8" s="1"/>
  <c r="T4117" i="8" s="1"/>
  <c r="T4119" i="8" s="1"/>
  <c r="AN4114" i="8" s="1"/>
  <c r="A432" i="11"/>
  <c r="A431" i="11"/>
  <c r="A107" i="11"/>
  <c r="A109" i="11"/>
  <c r="A111" i="11"/>
  <c r="A110" i="11"/>
  <c r="A108" i="11"/>
  <c r="A439" i="11"/>
  <c r="A438" i="11"/>
  <c r="A440" i="11"/>
  <c r="A341" i="11"/>
  <c r="A340" i="11"/>
  <c r="A202" i="11"/>
  <c r="A206" i="11"/>
  <c r="A205" i="11"/>
  <c r="A204" i="11"/>
  <c r="A203" i="11"/>
  <c r="A156" i="11"/>
  <c r="A158" i="11"/>
  <c r="A155" i="11"/>
  <c r="A157" i="11"/>
  <c r="A243" i="11"/>
  <c r="A242" i="11"/>
  <c r="A71" i="11"/>
  <c r="A70" i="11"/>
  <c r="A69" i="11"/>
  <c r="A68" i="11"/>
  <c r="A67" i="11"/>
  <c r="A174" i="11"/>
  <c r="A173" i="11"/>
  <c r="A175" i="11"/>
  <c r="A176" i="11"/>
  <c r="A387" i="11"/>
  <c r="A386" i="11"/>
  <c r="A385" i="11"/>
  <c r="A379" i="11"/>
  <c r="A378" i="11"/>
  <c r="A418" i="11"/>
  <c r="A419" i="11"/>
  <c r="A417" i="11"/>
  <c r="A131" i="11"/>
  <c r="A130" i="11"/>
  <c r="A127" i="11"/>
  <c r="A129" i="11"/>
  <c r="A128" i="11"/>
  <c r="A467" i="11"/>
  <c r="A466" i="11"/>
  <c r="A520" i="11"/>
  <c r="A519" i="11"/>
  <c r="A212" i="11"/>
  <c r="A296" i="11"/>
  <c r="A295" i="11"/>
  <c r="A297" i="11"/>
  <c r="A502" i="11"/>
  <c r="A501" i="11"/>
  <c r="A500" i="11"/>
  <c r="A499" i="11"/>
  <c r="A497" i="11"/>
  <c r="A498" i="11"/>
  <c r="R17" i="11"/>
  <c r="T17" i="11"/>
  <c r="A365" i="11"/>
  <c r="A364" i="11"/>
  <c r="A363" i="11"/>
  <c r="A281" i="11"/>
  <c r="A280" i="11"/>
  <c r="A279" i="11"/>
  <c r="R526" i="11"/>
  <c r="R528" i="11" s="1"/>
  <c r="T526" i="11"/>
  <c r="T528" i="11" s="1"/>
  <c r="T524" i="11" s="1"/>
  <c r="S2968" i="8" s="1"/>
  <c r="T2968" i="8" s="1"/>
  <c r="A372" i="11"/>
  <c r="A371" i="11"/>
  <c r="A195" i="11"/>
  <c r="A187" i="11"/>
  <c r="A194" i="11"/>
  <c r="A186" i="11"/>
  <c r="A189" i="11"/>
  <c r="A193" i="11"/>
  <c r="A185" i="11"/>
  <c r="A192" i="11"/>
  <c r="A184" i="11"/>
  <c r="A191" i="11"/>
  <c r="A183" i="11"/>
  <c r="A190" i="11"/>
  <c r="A182" i="11"/>
  <c r="A196" i="11"/>
  <c r="A188" i="11"/>
  <c r="A474" i="11"/>
  <c r="A473" i="11"/>
  <c r="A508" i="11"/>
  <c r="A513" i="11"/>
  <c r="A512" i="11"/>
  <c r="A511" i="11"/>
  <c r="A510" i="11"/>
  <c r="A509" i="11"/>
  <c r="A393" i="11"/>
  <c r="A395" i="11"/>
  <c r="A394" i="11"/>
  <c r="A101" i="11"/>
  <c r="A100" i="11"/>
  <c r="A99" i="11"/>
  <c r="A98" i="11"/>
  <c r="A97" i="11"/>
  <c r="A490" i="11"/>
  <c r="A489" i="11"/>
  <c r="A488" i="11"/>
  <c r="A491" i="11"/>
  <c r="A167" i="11"/>
  <c r="A166" i="11"/>
  <c r="A165" i="11"/>
  <c r="A164" i="11"/>
  <c r="A27" i="11"/>
  <c r="A29" i="11"/>
  <c r="A31" i="11"/>
  <c r="A30" i="11"/>
  <c r="A28" i="11"/>
  <c r="R18" i="11"/>
  <c r="T18" i="11"/>
  <c r="A250" i="11"/>
  <c r="A249" i="11"/>
  <c r="A251" i="11"/>
  <c r="A138" i="11"/>
  <c r="A137" i="11"/>
  <c r="A140" i="11"/>
  <c r="A139" i="11"/>
  <c r="A303" i="11"/>
  <c r="A304" i="11"/>
  <c r="A257" i="11"/>
  <c r="A258" i="11"/>
  <c r="R19" i="11"/>
  <c r="T19" i="11"/>
  <c r="A411" i="11"/>
  <c r="A410" i="11"/>
  <c r="A409" i="11"/>
  <c r="A266" i="11"/>
  <c r="A265" i="11"/>
  <c r="A264" i="11"/>
  <c r="A149" i="11"/>
  <c r="A148" i="11"/>
  <c r="A147" i="11"/>
  <c r="A146" i="11"/>
  <c r="A120" i="11"/>
  <c r="A119" i="11"/>
  <c r="A118" i="11"/>
  <c r="A117" i="11"/>
  <c r="A121" i="11"/>
  <c r="A58" i="11"/>
  <c r="A57" i="11"/>
  <c r="A60" i="11"/>
  <c r="A61" i="11"/>
  <c r="A59" i="11"/>
  <c r="A347" i="11"/>
  <c r="A349" i="11"/>
  <c r="A348" i="11"/>
  <c r="A89" i="11"/>
  <c r="A88" i="11"/>
  <c r="A87" i="11"/>
  <c r="A91" i="11"/>
  <c r="A90" i="11"/>
  <c r="A289" i="11"/>
  <c r="A288" i="11"/>
  <c r="A287" i="11"/>
  <c r="A81" i="11"/>
  <c r="A80" i="11"/>
  <c r="A79" i="11"/>
  <c r="A78" i="11"/>
  <c r="A77" i="11"/>
  <c r="A482" i="11"/>
  <c r="A481" i="11"/>
  <c r="A480" i="11"/>
  <c r="A324" i="11"/>
  <c r="A326" i="11"/>
  <c r="A325" i="11"/>
  <c r="R20" i="11"/>
  <c r="T20" i="11"/>
  <c r="R454" i="11"/>
  <c r="R456" i="11" s="1"/>
  <c r="T454" i="11"/>
  <c r="T456" i="11" s="1"/>
  <c r="T452" i="11" s="1"/>
  <c r="S2618" i="8" s="1"/>
  <c r="T2618" i="8" s="1"/>
  <c r="T2620" i="8" s="1"/>
  <c r="A357" i="11"/>
  <c r="A356" i="11"/>
  <c r="A355" i="11"/>
  <c r="A403" i="11"/>
  <c r="A402" i="11"/>
  <c r="A401" i="11"/>
  <c r="A47" i="11"/>
  <c r="A51" i="11"/>
  <c r="A50" i="11"/>
  <c r="A49" i="11"/>
  <c r="A48" i="11"/>
  <c r="R460" i="11"/>
  <c r="R462" i="11" s="1"/>
  <c r="T460" i="11"/>
  <c r="T462" i="11" s="1"/>
  <c r="T458" i="11" s="1"/>
  <c r="S1054" i="8" s="1"/>
  <c r="T1054" i="8" s="1"/>
  <c r="T1056" i="8" s="1"/>
  <c r="AN1051" i="8" s="1"/>
  <c r="R21" i="11"/>
  <c r="T21" i="11"/>
  <c r="R230" i="11"/>
  <c r="R232" i="11" s="1"/>
  <c r="T230" i="11"/>
  <c r="T232" i="11" s="1"/>
  <c r="T228" i="11" s="1"/>
  <c r="S2002" i="8" s="1"/>
  <c r="T2002" i="8" s="1"/>
  <c r="T2004" i="8" s="1"/>
  <c r="A40" i="11"/>
  <c r="A39" i="11"/>
  <c r="A38" i="11"/>
  <c r="A37" i="11"/>
  <c r="A41" i="11"/>
  <c r="A334" i="11"/>
  <c r="A333" i="11"/>
  <c r="A332" i="11"/>
  <c r="R236" i="11"/>
  <c r="R238" i="11" s="1"/>
  <c r="T236" i="11"/>
  <c r="T238" i="11" s="1"/>
  <c r="T234" i="11" s="1"/>
  <c r="S3610" i="8" s="1"/>
  <c r="T3610" i="8" s="1"/>
  <c r="T3612" i="8" s="1"/>
  <c r="AN3607" i="8" s="1"/>
  <c r="A273" i="11"/>
  <c r="A272" i="11"/>
  <c r="R218" i="11"/>
  <c r="T218" i="11"/>
  <c r="R425" i="11"/>
  <c r="R427" i="11" s="1"/>
  <c r="R423" i="11" s="1"/>
  <c r="Q1514" i="8" s="1"/>
  <c r="R1514" i="8" s="1"/>
  <c r="R1516" i="8" s="1"/>
  <c r="AM1511" i="8" s="1"/>
  <c r="T425" i="11"/>
  <c r="T427" i="11" s="1"/>
  <c r="A446" i="11"/>
  <c r="A448" i="11"/>
  <c r="A447" i="11"/>
  <c r="A312" i="11"/>
  <c r="A311" i="11"/>
  <c r="A310" i="11"/>
  <c r="R318" i="11"/>
  <c r="R320" i="11" s="1"/>
  <c r="T318" i="11"/>
  <c r="T320" i="11" s="1"/>
  <c r="T316" i="11" s="1"/>
  <c r="S1082" i="8" s="1"/>
  <c r="T1082" i="8" s="1"/>
  <c r="T1084" i="8" s="1"/>
  <c r="AN1079" i="8" s="1"/>
  <c r="AI5234" i="8"/>
  <c r="AJ5234" i="8" s="1"/>
  <c r="F5331" i="8"/>
  <c r="E5328" i="8"/>
  <c r="E17" i="39" s="1"/>
  <c r="F17" i="39" s="1"/>
  <c r="AN5328" i="8"/>
  <c r="AO5328" i="8" s="1"/>
  <c r="AI5312" i="8"/>
  <c r="F5312" i="8"/>
  <c r="AN5234" i="8"/>
  <c r="AO5234" i="8" s="1"/>
  <c r="F5143" i="8"/>
  <c r="E5208" i="8"/>
  <c r="E86" i="38" s="1"/>
  <c r="F86" i="38" s="1"/>
  <c r="F5211" i="8"/>
  <c r="AN5208" i="8"/>
  <c r="AO5208" i="8" s="1"/>
  <c r="E5182" i="8"/>
  <c r="E78" i="38" s="1"/>
  <c r="F78" i="38" s="1"/>
  <c r="F5185" i="8"/>
  <c r="AN5182" i="8"/>
  <c r="AO5182" i="8" s="1"/>
  <c r="E5166" i="8"/>
  <c r="E75" i="38" s="1"/>
  <c r="F75" i="38" s="1"/>
  <c r="F5169" i="8"/>
  <c r="AN5166" i="8"/>
  <c r="AO5166" i="8" s="1"/>
  <c r="AI5140" i="8"/>
  <c r="F5140" i="8"/>
  <c r="E5108" i="8"/>
  <c r="E40" i="38" s="1"/>
  <c r="F40" i="38" s="1"/>
  <c r="F5111" i="8"/>
  <c r="AN5108" i="8"/>
  <c r="AO5108" i="8" s="1"/>
  <c r="E5092" i="8"/>
  <c r="E37" i="38" s="1"/>
  <c r="F37" i="38" s="1"/>
  <c r="F5095" i="8"/>
  <c r="AN5092" i="8"/>
  <c r="AO5092" i="8" s="1"/>
  <c r="E4568" i="8"/>
  <c r="E106" i="36" s="1"/>
  <c r="F5045" i="8"/>
  <c r="E5042" i="8"/>
  <c r="E16" i="38" s="1"/>
  <c r="F16" i="38" s="1"/>
  <c r="AN5042" i="8"/>
  <c r="AO5042" i="8" s="1"/>
  <c r="E5026" i="8"/>
  <c r="E13" i="38" s="1"/>
  <c r="F13" i="38" s="1"/>
  <c r="F5029" i="8"/>
  <c r="AN5026" i="8"/>
  <c r="AO5026" i="8" s="1"/>
  <c r="F4909" i="8"/>
  <c r="E4906" i="8"/>
  <c r="E249" i="36" s="1"/>
  <c r="F249" i="36" s="1"/>
  <c r="AN4906" i="8"/>
  <c r="AO4906" i="8" s="1"/>
  <c r="E4874" i="8"/>
  <c r="E238" i="36" s="1"/>
  <c r="F238" i="36" s="1"/>
  <c r="F4877" i="8"/>
  <c r="AN4874" i="8"/>
  <c r="AO4874" i="8" s="1"/>
  <c r="F4855" i="8"/>
  <c r="E4852" i="8"/>
  <c r="E225" i="36" s="1"/>
  <c r="F225" i="36" s="1"/>
  <c r="F4786" i="8"/>
  <c r="T4786" i="8" s="1"/>
  <c r="AN4852" i="8"/>
  <c r="AO4852" i="8" s="1"/>
  <c r="AI4786" i="8"/>
  <c r="AK4786" i="8" s="1"/>
  <c r="E4808" i="8"/>
  <c r="E207" i="36" s="1"/>
  <c r="F207" i="36" s="1"/>
  <c r="F4811" i="8"/>
  <c r="AI4448" i="8"/>
  <c r="AJ4448" i="8" s="1"/>
  <c r="AN4808" i="8"/>
  <c r="AO4808" i="8" s="1"/>
  <c r="F4448" i="8"/>
  <c r="E4450" i="8" s="1"/>
  <c r="F4773" i="8"/>
  <c r="E4770" i="8"/>
  <c r="E198" i="36" s="1"/>
  <c r="F198" i="36" s="1"/>
  <c r="AN4770" i="8"/>
  <c r="AO4770" i="8" s="1"/>
  <c r="E4732" i="8"/>
  <c r="E183" i="36" s="1"/>
  <c r="F183" i="36" s="1"/>
  <c r="F4735" i="8"/>
  <c r="AN4732" i="8"/>
  <c r="AO4732" i="8" s="1"/>
  <c r="F4704" i="8"/>
  <c r="AI4704" i="8"/>
  <c r="E4688" i="8"/>
  <c r="E156" i="36" s="1"/>
  <c r="F156" i="36" s="1"/>
  <c r="F4691" i="8"/>
  <c r="AN4688" i="8"/>
  <c r="AO4688" i="8" s="1"/>
  <c r="E4650" i="8"/>
  <c r="E142" i="36" s="1"/>
  <c r="F142" i="36" s="1"/>
  <c r="F4653" i="8"/>
  <c r="AN4650" i="8"/>
  <c r="AO4650" i="8" s="1"/>
  <c r="F4615" i="8"/>
  <c r="E4612" i="8"/>
  <c r="E133" i="36" s="1"/>
  <c r="F133" i="36" s="1"/>
  <c r="AN4612" i="8"/>
  <c r="AO4612" i="8" s="1"/>
  <c r="F4631" i="8"/>
  <c r="E4628" i="8"/>
  <c r="E136" i="36" s="1"/>
  <c r="F136" i="36" s="1"/>
  <c r="AN4628" i="8"/>
  <c r="AO4628" i="8" s="1"/>
  <c r="AN4546" i="8"/>
  <c r="AO4546" i="8" s="1"/>
  <c r="F4533" i="8"/>
  <c r="E4530" i="8"/>
  <c r="E97" i="36" s="1"/>
  <c r="F97" i="36" s="1"/>
  <c r="AN4530" i="8"/>
  <c r="AO4530" i="8" s="1"/>
  <c r="AI4546" i="8"/>
  <c r="F4546" i="8"/>
  <c r="T4546" i="8" s="1"/>
  <c r="E4486" i="8"/>
  <c r="E79" i="36" s="1"/>
  <c r="F79" i="36" s="1"/>
  <c r="F4489" i="8"/>
  <c r="AN4486" i="8"/>
  <c r="AO4486" i="8" s="1"/>
  <c r="F4464" i="8"/>
  <c r="AI4464" i="8"/>
  <c r="AI4408" i="8"/>
  <c r="F4408" i="8"/>
  <c r="E4376" i="8"/>
  <c r="E31" i="36" s="1"/>
  <c r="F31" i="36" s="1"/>
  <c r="F4379" i="8"/>
  <c r="AN4376" i="8"/>
  <c r="AO4376" i="8" s="1"/>
  <c r="F4363" i="8"/>
  <c r="E4360" i="8"/>
  <c r="E28" i="36" s="1"/>
  <c r="F28" i="36" s="1"/>
  <c r="AN4360" i="8"/>
  <c r="AO4360" i="8" s="1"/>
  <c r="E1765" i="33"/>
  <c r="F1765" i="33" s="1"/>
  <c r="F1787" i="33" s="1"/>
  <c r="F5428" i="8"/>
  <c r="AG5428" i="8"/>
  <c r="AI5428" i="8" s="1"/>
  <c r="AJ5428" i="8" s="1"/>
  <c r="T1564" i="8"/>
  <c r="F5366" i="8"/>
  <c r="T5366" i="8" s="1"/>
  <c r="AI5250" i="8"/>
  <c r="AJ5250" i="8" s="1"/>
  <c r="E97" i="38"/>
  <c r="F97" i="38" s="1"/>
  <c r="F4268" i="8"/>
  <c r="T4268" i="8" s="1"/>
  <c r="AG4268" i="8"/>
  <c r="AH4268" i="8" s="1"/>
  <c r="AI5366" i="8"/>
  <c r="AJ5366" i="8" s="1"/>
  <c r="AH3334" i="8"/>
  <c r="AK3334" i="8"/>
  <c r="AI5360" i="8"/>
  <c r="AJ5360" i="8" s="1"/>
  <c r="F768" i="8"/>
  <c r="T768" i="8" s="1"/>
  <c r="E31" i="38"/>
  <c r="F31" i="38" s="1"/>
  <c r="AG1459" i="8"/>
  <c r="AI1459" i="8" s="1"/>
  <c r="AJ1459" i="8" s="1"/>
  <c r="AI4834" i="8"/>
  <c r="AJ4834" i="8" s="1"/>
  <c r="F1459" i="8"/>
  <c r="T1459" i="8" s="1"/>
  <c r="AK2842" i="8"/>
  <c r="E216" i="36"/>
  <c r="F216" i="36" s="1"/>
  <c r="AH2842" i="8"/>
  <c r="AG605" i="8"/>
  <c r="AH605" i="8" s="1"/>
  <c r="E34" i="36"/>
  <c r="F34" i="36" s="1"/>
  <c r="F5360" i="8"/>
  <c r="T5360" i="8" s="1"/>
  <c r="E23" i="39"/>
  <c r="F23" i="39" s="1"/>
  <c r="AI5224" i="8"/>
  <c r="AJ5224" i="8" s="1"/>
  <c r="F5224" i="8"/>
  <c r="T5224" i="8" s="1"/>
  <c r="AG768" i="8"/>
  <c r="AI768" i="8" s="1"/>
  <c r="AJ768" i="8" s="1"/>
  <c r="F5080" i="8"/>
  <c r="T5080" i="8" s="1"/>
  <c r="AI4896" i="8"/>
  <c r="AJ4896" i="8" s="1"/>
  <c r="AI2285" i="8"/>
  <c r="AJ2285" i="8" s="1"/>
  <c r="AH226" i="8"/>
  <c r="E153" i="36"/>
  <c r="F153" i="36" s="1"/>
  <c r="AI4424" i="8"/>
  <c r="AJ4424" i="8" s="1"/>
  <c r="F4424" i="8"/>
  <c r="T4424" i="8" s="1"/>
  <c r="F65" i="8"/>
  <c r="F4834" i="8"/>
  <c r="T4834" i="8" s="1"/>
  <c r="F4392" i="8"/>
  <c r="T4392" i="8" s="1"/>
  <c r="AI4758" i="8"/>
  <c r="AJ4758" i="8" s="1"/>
  <c r="E192" i="36"/>
  <c r="F192" i="36" s="1"/>
  <c r="F4758" i="8"/>
  <c r="T4758" i="8" s="1"/>
  <c r="F4896" i="8"/>
  <c r="T4896" i="8" s="1"/>
  <c r="E89" i="38"/>
  <c r="F89" i="38" s="1"/>
  <c r="F125" i="8"/>
  <c r="T125" i="8" s="1"/>
  <c r="E244" i="36"/>
  <c r="F244" i="36" s="1"/>
  <c r="AI4676" i="8"/>
  <c r="AJ4676" i="8" s="1"/>
  <c r="F14" i="39"/>
  <c r="E26" i="39"/>
  <c r="F26" i="39" s="1"/>
  <c r="AG125" i="8"/>
  <c r="AH125" i="8" s="1"/>
  <c r="F4594" i="8"/>
  <c r="T4594" i="8" s="1"/>
  <c r="E124" i="36"/>
  <c r="F124" i="36" s="1"/>
  <c r="F73" i="36"/>
  <c r="F605" i="8"/>
  <c r="E43" i="38"/>
  <c r="F43" i="38" s="1"/>
  <c r="AG4726" i="8"/>
  <c r="E180" i="36"/>
  <c r="F180" i="36" s="1"/>
  <c r="F4726" i="8"/>
  <c r="T4726" i="8" s="1"/>
  <c r="F4682" i="8"/>
  <c r="T4682" i="8" s="1"/>
  <c r="E45" i="36"/>
  <c r="F45" i="36" s="1"/>
  <c r="T5443" i="8"/>
  <c r="T5449" i="8" s="1"/>
  <c r="F4676" i="8"/>
  <c r="T4676" i="8" s="1"/>
  <c r="E150" i="36"/>
  <c r="F150" i="36" s="1"/>
  <c r="F5124" i="8"/>
  <c r="T5124" i="8" s="1"/>
  <c r="F5250" i="8"/>
  <c r="T5250" i="8" s="1"/>
  <c r="AJ5421" i="8"/>
  <c r="AK5421" i="8"/>
  <c r="AH5421" i="8"/>
  <c r="F786" i="8"/>
  <c r="T786" i="8" s="1"/>
  <c r="AG786" i="8"/>
  <c r="AH786" i="8" s="1"/>
  <c r="F39" i="41"/>
  <c r="F228" i="31" s="1"/>
  <c r="H228" i="31" s="1"/>
  <c r="AG5435" i="8"/>
  <c r="AI5435" i="8" s="1"/>
  <c r="AJ5435" i="8" s="1"/>
  <c r="F5435" i="8"/>
  <c r="AI4392" i="8"/>
  <c r="AJ4392" i="8" s="1"/>
  <c r="F55" i="40"/>
  <c r="F223" i="31" s="1"/>
  <c r="H223" i="31" s="1"/>
  <c r="AH762" i="8"/>
  <c r="E11" i="39"/>
  <c r="F11" i="39" s="1"/>
  <c r="F5306" i="8"/>
  <c r="T5306" i="8" s="1"/>
  <c r="AI5306" i="8"/>
  <c r="AJ5306" i="8" s="1"/>
  <c r="F5392" i="8"/>
  <c r="T5392" i="8" s="1"/>
  <c r="AG5392" i="8"/>
  <c r="AH5360" i="8"/>
  <c r="AG5398" i="8"/>
  <c r="AI5398" i="8" s="1"/>
  <c r="AJ5398" i="8" s="1"/>
  <c r="F5398" i="8"/>
  <c r="T5398" i="8" s="1"/>
  <c r="F20" i="39"/>
  <c r="F2763" i="8"/>
  <c r="T2763" i="8" s="1"/>
  <c r="AK226" i="8"/>
  <c r="AG2763" i="8"/>
  <c r="AH2763" i="8" s="1"/>
  <c r="AH5124" i="8"/>
  <c r="E67" i="36"/>
  <c r="F67" i="36" s="1"/>
  <c r="F4442" i="8"/>
  <c r="T4442" i="8" s="1"/>
  <c r="AI4442" i="8"/>
  <c r="AJ4442" i="8" s="1"/>
  <c r="F94" i="38"/>
  <c r="E31" i="37"/>
  <c r="F31" i="37" s="1"/>
  <c r="F4982" i="8"/>
  <c r="T4982" i="8" s="1"/>
  <c r="AI4982" i="8"/>
  <c r="AJ4982" i="8" s="1"/>
  <c r="F159" i="36"/>
  <c r="E37" i="37"/>
  <c r="F37" i="37" s="1"/>
  <c r="F4992" i="8"/>
  <c r="T4992" i="8" s="1"/>
  <c r="AI4992" i="8"/>
  <c r="AJ4992" i="8" s="1"/>
  <c r="E195" i="36"/>
  <c r="F195" i="36" s="1"/>
  <c r="F4764" i="8"/>
  <c r="T4764" i="8" s="1"/>
  <c r="AI4764" i="8"/>
  <c r="AJ4764" i="8" s="1"/>
  <c r="AH4682" i="8"/>
  <c r="AH5224" i="8"/>
  <c r="E213" i="36"/>
  <c r="F213" i="36" s="1"/>
  <c r="F4828" i="8"/>
  <c r="T4828" i="8" s="1"/>
  <c r="AI4828" i="8"/>
  <c r="AJ4828" i="8" s="1"/>
  <c r="E94" i="36"/>
  <c r="F94" i="36" s="1"/>
  <c r="AI4524" i="8"/>
  <c r="AJ4524" i="8" s="1"/>
  <c r="F4524" i="8"/>
  <c r="T4524" i="8" s="1"/>
  <c r="AH4594" i="8"/>
  <c r="E85" i="36"/>
  <c r="F85" i="36" s="1"/>
  <c r="F4506" i="8"/>
  <c r="T4506" i="8" s="1"/>
  <c r="F67" i="38"/>
  <c r="F3901" i="8"/>
  <c r="T3901" i="8" s="1"/>
  <c r="AH4896" i="8"/>
  <c r="AH4392" i="8"/>
  <c r="E34" i="38"/>
  <c r="F34" i="38" s="1"/>
  <c r="F5086" i="8"/>
  <c r="T5086" i="8" s="1"/>
  <c r="E91" i="36"/>
  <c r="F91" i="36" s="1"/>
  <c r="F4518" i="8"/>
  <c r="T4518" i="8" s="1"/>
  <c r="AI4682" i="8"/>
  <c r="AJ4682" i="8" s="1"/>
  <c r="E127" i="36"/>
  <c r="F127" i="36" s="1"/>
  <c r="F4600" i="8"/>
  <c r="T4600" i="8" s="1"/>
  <c r="AI4600" i="8"/>
  <c r="AJ4600" i="8" s="1"/>
  <c r="F42" i="36"/>
  <c r="E139" i="36"/>
  <c r="F139" i="36" s="1"/>
  <c r="F4644" i="8"/>
  <c r="T4644" i="8" s="1"/>
  <c r="E70" i="38"/>
  <c r="F70" i="38" s="1"/>
  <c r="F5156" i="8"/>
  <c r="T5156" i="8" s="1"/>
  <c r="F70" i="36"/>
  <c r="F4293" i="8"/>
  <c r="AG4293" i="8"/>
  <c r="E7" i="35"/>
  <c r="F7" i="35" s="1"/>
  <c r="F56" i="35" s="1"/>
  <c r="F188" i="31" s="1"/>
  <c r="H188" i="31" s="1"/>
  <c r="F201" i="36"/>
  <c r="E76" i="36"/>
  <c r="F76" i="36" s="1"/>
  <c r="F4480" i="8"/>
  <c r="T4480" i="8" s="1"/>
  <c r="E130" i="36"/>
  <c r="F130" i="36" s="1"/>
  <c r="F4606" i="8"/>
  <c r="T4606" i="8" s="1"/>
  <c r="E19" i="37"/>
  <c r="F19" i="37" s="1"/>
  <c r="F4960" i="8"/>
  <c r="T4960" i="8" s="1"/>
  <c r="AG3901" i="8"/>
  <c r="AI3901" i="8" s="1"/>
  <c r="AJ3901" i="8" s="1"/>
  <c r="E13" i="37"/>
  <c r="F13" i="37" s="1"/>
  <c r="F4950" i="8"/>
  <c r="T4950" i="8" s="1"/>
  <c r="E37" i="36"/>
  <c r="F37" i="36" s="1"/>
  <c r="F4398" i="8"/>
  <c r="T4398" i="8" s="1"/>
  <c r="E204" i="36"/>
  <c r="F204" i="36" s="1"/>
  <c r="F4802" i="8"/>
  <c r="T4802" i="8" s="1"/>
  <c r="E22" i="37"/>
  <c r="F22" i="37" s="1"/>
  <c r="F4966" i="8"/>
  <c r="T4966" i="8" s="1"/>
  <c r="AI4966" i="8"/>
  <c r="AJ4966" i="8" s="1"/>
  <c r="E25" i="36"/>
  <c r="F25" i="36" s="1"/>
  <c r="F4354" i="8"/>
  <c r="T4354" i="8" s="1"/>
  <c r="AI4354" i="8"/>
  <c r="AJ4354" i="8" s="1"/>
  <c r="E19" i="38"/>
  <c r="F19" i="38" s="1"/>
  <c r="AI5058" i="8"/>
  <c r="AJ5058" i="8" s="1"/>
  <c r="F5058" i="8"/>
  <c r="T5058" i="8" s="1"/>
  <c r="E25" i="37"/>
  <c r="F25" i="37" s="1"/>
  <c r="AI4972" i="8"/>
  <c r="AJ4972" i="8" s="1"/>
  <c r="F4972" i="8"/>
  <c r="T4972" i="8" s="1"/>
  <c r="E147" i="36"/>
  <c r="F147" i="36" s="1"/>
  <c r="AI4670" i="8"/>
  <c r="AJ4670" i="8" s="1"/>
  <c r="F4670" i="8"/>
  <c r="T4670" i="8" s="1"/>
  <c r="AI2295" i="8"/>
  <c r="AJ2295" i="8" s="1"/>
  <c r="E25" i="38"/>
  <c r="F25" i="38" s="1"/>
  <c r="F5068" i="8"/>
  <c r="T5068" i="8" s="1"/>
  <c r="AI5068" i="8"/>
  <c r="AJ5068" i="8" s="1"/>
  <c r="E88" i="36"/>
  <c r="F88" i="36" s="1"/>
  <c r="F4512" i="8"/>
  <c r="T4512" i="8" s="1"/>
  <c r="F102" i="38"/>
  <c r="E19" i="36"/>
  <c r="F19" i="36" s="1"/>
  <c r="F4342" i="8"/>
  <c r="T4342" i="8" s="1"/>
  <c r="AI4342" i="8"/>
  <c r="AJ4342" i="8" s="1"/>
  <c r="E241" i="36"/>
  <c r="F241" i="36" s="1"/>
  <c r="AI4890" i="8"/>
  <c r="AJ4890" i="8" s="1"/>
  <c r="F4890" i="8"/>
  <c r="T4890" i="8" s="1"/>
  <c r="AH4424" i="8"/>
  <c r="E105" i="38"/>
  <c r="F105" i="38" s="1"/>
  <c r="AI5276" i="8"/>
  <c r="AJ5276" i="8" s="1"/>
  <c r="F5276" i="8"/>
  <c r="T5276" i="8" s="1"/>
  <c r="E13" i="36"/>
  <c r="F13" i="36" s="1"/>
  <c r="F4330" i="8"/>
  <c r="T4330" i="8" s="1"/>
  <c r="E189" i="36"/>
  <c r="F189" i="36" s="1"/>
  <c r="F4752" i="8"/>
  <c r="T4752" i="8" s="1"/>
  <c r="AI4752" i="8"/>
  <c r="AJ4752" i="8" s="1"/>
  <c r="AK762" i="8"/>
  <c r="E22" i="36"/>
  <c r="F22" i="36" s="1"/>
  <c r="F4348" i="8"/>
  <c r="T4348" i="8" s="1"/>
  <c r="AI4348" i="8"/>
  <c r="AJ4348" i="8" s="1"/>
  <c r="AH4676" i="8"/>
  <c r="E28" i="38"/>
  <c r="F28" i="38" s="1"/>
  <c r="F5074" i="8"/>
  <c r="T5074" i="8" s="1"/>
  <c r="E222" i="36"/>
  <c r="F222" i="36" s="1"/>
  <c r="F4846" i="8"/>
  <c r="T4846" i="8" s="1"/>
  <c r="F106" i="36"/>
  <c r="AH4834" i="8"/>
  <c r="E219" i="36"/>
  <c r="F219" i="36" s="1"/>
  <c r="AI4840" i="8"/>
  <c r="AJ4840" i="8" s="1"/>
  <c r="F4840" i="8"/>
  <c r="T4840" i="8" s="1"/>
  <c r="E81" i="38"/>
  <c r="F81" i="38" s="1"/>
  <c r="AI5198" i="8"/>
  <c r="AJ5198" i="8" s="1"/>
  <c r="F5198" i="8"/>
  <c r="T5198" i="8" s="1"/>
  <c r="AI5080" i="8"/>
  <c r="AJ5080" i="8" s="1"/>
  <c r="AH5080" i="8"/>
  <c r="F100" i="36"/>
  <c r="E16" i="36"/>
  <c r="F16" i="36" s="1"/>
  <c r="F4336" i="8"/>
  <c r="T4336" i="8" s="1"/>
  <c r="AI5124" i="8"/>
  <c r="AJ5124" i="8" s="1"/>
  <c r="AI4594" i="8"/>
  <c r="AJ4594" i="8" s="1"/>
  <c r="E64" i="36"/>
  <c r="F64" i="36" s="1"/>
  <c r="F4436" i="8"/>
  <c r="T4436" i="8" s="1"/>
  <c r="AI4436" i="8"/>
  <c r="AJ4436" i="8" s="1"/>
  <c r="E103" i="36"/>
  <c r="F103" i="36" s="1"/>
  <c r="F4562" i="8"/>
  <c r="T4562" i="8" s="1"/>
  <c r="AI4562" i="8"/>
  <c r="AJ4562" i="8" s="1"/>
  <c r="AG38" i="8"/>
  <c r="AI38" i="8" s="1"/>
  <c r="AJ38" i="8" s="1"/>
  <c r="F38" i="8"/>
  <c r="AG111" i="8"/>
  <c r="F111" i="8"/>
  <c r="F51" i="33"/>
  <c r="E35" i="32"/>
  <c r="F35" i="32" s="1"/>
  <c r="AG78" i="8"/>
  <c r="F78" i="8"/>
  <c r="T78" i="8" s="1"/>
  <c r="AG19" i="8"/>
  <c r="AI19" i="8" s="1"/>
  <c r="AJ19" i="8" s="1"/>
  <c r="F19" i="8"/>
  <c r="T19" i="8" s="1"/>
  <c r="AG72" i="8"/>
  <c r="F72" i="8"/>
  <c r="T72" i="8" s="1"/>
  <c r="E32" i="32"/>
  <c r="F32" i="32" s="1"/>
  <c r="F25" i="8"/>
  <c r="AG25" i="8"/>
  <c r="AG32" i="8"/>
  <c r="F32" i="8"/>
  <c r="T32" i="8" s="1"/>
  <c r="F501" i="33"/>
  <c r="E57" i="32"/>
  <c r="F57" i="32" s="1"/>
  <c r="F104" i="8"/>
  <c r="T104" i="8" s="1"/>
  <c r="AG104" i="8"/>
  <c r="AI104" i="8" s="1"/>
  <c r="AJ104" i="8" s="1"/>
  <c r="AH65" i="8"/>
  <c r="AG90" i="8"/>
  <c r="AI90" i="8" s="1"/>
  <c r="AJ90" i="8" s="1"/>
  <c r="F90" i="8"/>
  <c r="F52" i="8"/>
  <c r="AG52" i="8"/>
  <c r="AI52" i="8" s="1"/>
  <c r="AJ52" i="8" s="1"/>
  <c r="F118" i="8"/>
  <c r="AG118" i="8"/>
  <c r="AI65" i="8"/>
  <c r="AJ65" i="8" s="1"/>
  <c r="F4262" i="8"/>
  <c r="T4262" i="8" s="1"/>
  <c r="AG4262" i="8"/>
  <c r="AI4262" i="8" s="1"/>
  <c r="AJ4262" i="8" s="1"/>
  <c r="F45" i="8"/>
  <c r="AG45" i="8"/>
  <c r="AK3837" i="8"/>
  <c r="AG59" i="8"/>
  <c r="AI59" i="8" s="1"/>
  <c r="AJ59" i="8" s="1"/>
  <c r="F59" i="8"/>
  <c r="T59" i="8" s="1"/>
  <c r="AG132" i="8"/>
  <c r="AI132" i="8" s="1"/>
  <c r="AJ132" i="8" s="1"/>
  <c r="F132" i="8"/>
  <c r="T132" i="8" s="1"/>
  <c r="AH4243" i="8"/>
  <c r="AK4243" i="8"/>
  <c r="F97" i="8"/>
  <c r="AG97" i="8"/>
  <c r="AI97" i="8" s="1"/>
  <c r="AJ97" i="8" s="1"/>
  <c r="AG3966" i="8"/>
  <c r="F3966" i="8"/>
  <c r="T3966" i="8" s="1"/>
  <c r="AG3309" i="8"/>
  <c r="F3309" i="8"/>
  <c r="T3309" i="8" s="1"/>
  <c r="F4156" i="8"/>
  <c r="T4156" i="8" s="1"/>
  <c r="AG4156" i="8"/>
  <c r="AG3948" i="8"/>
  <c r="AI3948" i="8" s="1"/>
  <c r="AJ3948" i="8" s="1"/>
  <c r="F3948" i="8"/>
  <c r="T3948" i="8" s="1"/>
  <c r="AG3855" i="8"/>
  <c r="AI3855" i="8" s="1"/>
  <c r="AJ3855" i="8" s="1"/>
  <c r="F3855" i="8"/>
  <c r="T3855" i="8" s="1"/>
  <c r="AG2781" i="8"/>
  <c r="AI2781" i="8" s="1"/>
  <c r="AJ2781" i="8" s="1"/>
  <c r="F2781" i="8"/>
  <c r="T2781" i="8" s="1"/>
  <c r="F1683" i="8"/>
  <c r="T1683" i="8" s="1"/>
  <c r="AG1683" i="8"/>
  <c r="AI1683" i="8" s="1"/>
  <c r="AJ1683" i="8" s="1"/>
  <c r="F4217" i="8"/>
  <c r="T4217" i="8" s="1"/>
  <c r="AG4217" i="8"/>
  <c r="AI4217" i="8" s="1"/>
  <c r="AJ4217" i="8" s="1"/>
  <c r="AG174" i="8"/>
  <c r="F174" i="8"/>
  <c r="T174" i="8" s="1"/>
  <c r="F1257" i="8"/>
  <c r="T1257" i="8" s="1"/>
  <c r="AG1257" i="8"/>
  <c r="AI1257" i="8" s="1"/>
  <c r="AJ1257" i="8" s="1"/>
  <c r="F3893" i="8"/>
  <c r="T3893" i="8" s="1"/>
  <c r="AG3893" i="8"/>
  <c r="AI3893" i="8" s="1"/>
  <c r="AJ3893" i="8" s="1"/>
  <c r="AG3920" i="8"/>
  <c r="F3920" i="8"/>
  <c r="T3920" i="8" s="1"/>
  <c r="F2832" i="8"/>
  <c r="T2832" i="8" s="1"/>
  <c r="AG2832" i="8"/>
  <c r="AI2832" i="8" s="1"/>
  <c r="AJ2832" i="8" s="1"/>
  <c r="AH1677" i="8"/>
  <c r="F3879" i="8"/>
  <c r="T3879" i="8" s="1"/>
  <c r="AG3879" i="8"/>
  <c r="AG4173" i="8"/>
  <c r="AI4173" i="8" s="1"/>
  <c r="AJ4173" i="8" s="1"/>
  <c r="F4173" i="8"/>
  <c r="F1693" i="8"/>
  <c r="T1693" i="8" s="1"/>
  <c r="AG1693" i="8"/>
  <c r="AI1693" i="8" s="1"/>
  <c r="AJ1693" i="8" s="1"/>
  <c r="F168" i="8"/>
  <c r="T168" i="8" s="1"/>
  <c r="AG168" i="8"/>
  <c r="AI168" i="8" s="1"/>
  <c r="AJ168" i="8" s="1"/>
  <c r="AG808" i="8"/>
  <c r="AI808" i="8" s="1"/>
  <c r="AJ808" i="8" s="1"/>
  <c r="F808" i="8"/>
  <c r="T808" i="8" s="1"/>
  <c r="F3096" i="8"/>
  <c r="AG3096" i="8"/>
  <c r="AI3096" i="8" s="1"/>
  <c r="AJ3096" i="8" s="1"/>
  <c r="AK181" i="8"/>
  <c r="AH181" i="8"/>
  <c r="AG3929" i="8"/>
  <c r="AI3929" i="8" s="1"/>
  <c r="AJ3929" i="8" s="1"/>
  <c r="F3929" i="8"/>
  <c r="T3929" i="8" s="1"/>
  <c r="AG817" i="8"/>
  <c r="AI817" i="8" s="1"/>
  <c r="AJ817" i="8" s="1"/>
  <c r="F817" i="8"/>
  <c r="T817" i="8" s="1"/>
  <c r="F3364" i="8"/>
  <c r="T3364" i="8" s="1"/>
  <c r="AG3364" i="8"/>
  <c r="AG204" i="8"/>
  <c r="AI204" i="8" s="1"/>
  <c r="AJ204" i="8" s="1"/>
  <c r="F204" i="8"/>
  <c r="T204" i="8" s="1"/>
  <c r="AG1248" i="8"/>
  <c r="AI1248" i="8" s="1"/>
  <c r="AJ1248" i="8" s="1"/>
  <c r="F1248" i="8"/>
  <c r="T1248" i="8" s="1"/>
  <c r="F2787" i="8"/>
  <c r="T2787" i="8" s="1"/>
  <c r="AG2787" i="8"/>
  <c r="AG3975" i="8"/>
  <c r="F3975" i="8"/>
  <c r="T3975" i="8" s="1"/>
  <c r="F1228" i="8"/>
  <c r="T1228" i="8" s="1"/>
  <c r="AG1228" i="8"/>
  <c r="AG2812" i="8"/>
  <c r="F2812" i="8"/>
  <c r="T2812" i="8" s="1"/>
  <c r="F1671" i="8"/>
  <c r="T1671" i="8" s="1"/>
  <c r="AG1671" i="8"/>
  <c r="AI1671" i="8" s="1"/>
  <c r="AJ1671" i="8" s="1"/>
  <c r="F3861" i="8"/>
  <c r="T3861" i="8" s="1"/>
  <c r="AG3861" i="8"/>
  <c r="F2769" i="8"/>
  <c r="T2769" i="8" s="1"/>
  <c r="AG2769" i="8"/>
  <c r="AG3831" i="8"/>
  <c r="F3831" i="8"/>
  <c r="T3831" i="8" s="1"/>
  <c r="AG1702" i="8"/>
  <c r="F1702" i="8"/>
  <c r="T1702" i="8" s="1"/>
  <c r="AG3291" i="8"/>
  <c r="AI3291" i="8" s="1"/>
  <c r="AJ3291" i="8" s="1"/>
  <c r="F3291" i="8"/>
  <c r="T3291" i="8" s="1"/>
  <c r="F3303" i="8"/>
  <c r="T3303" i="8" s="1"/>
  <c r="AG3303" i="8"/>
  <c r="AI3303" i="8" s="1"/>
  <c r="AJ3303" i="8" s="1"/>
  <c r="AG756" i="8"/>
  <c r="AI756" i="8" s="1"/>
  <c r="AJ756" i="8" s="1"/>
  <c r="F756" i="8"/>
  <c r="T756" i="8" s="1"/>
  <c r="F3911" i="8"/>
  <c r="T3911" i="8" s="1"/>
  <c r="AG3911" i="8"/>
  <c r="AG2266" i="8"/>
  <c r="F2266" i="8"/>
  <c r="T2266" i="8" s="1"/>
  <c r="F3354" i="8"/>
  <c r="T3354" i="8" s="1"/>
  <c r="AG3354" i="8"/>
  <c r="AI3354" i="8" s="1"/>
  <c r="AJ3354" i="8" s="1"/>
  <c r="F2276" i="8"/>
  <c r="T2276" i="8" s="1"/>
  <c r="AG2276" i="8"/>
  <c r="AI2276" i="8" s="1"/>
  <c r="AJ2276" i="8" s="1"/>
  <c r="AG1222" i="8"/>
  <c r="F1222" i="8"/>
  <c r="T1222" i="8" s="1"/>
  <c r="AG4002" i="8"/>
  <c r="AI4002" i="8" s="1"/>
  <c r="AJ4002" i="8" s="1"/>
  <c r="F4002" i="8"/>
  <c r="T4002" i="8" s="1"/>
  <c r="F188" i="8"/>
  <c r="T188" i="8" s="1"/>
  <c r="AG188" i="8"/>
  <c r="AI188" i="8" s="1"/>
  <c r="AJ188" i="8" s="1"/>
  <c r="AG3297" i="8"/>
  <c r="AI3297" i="8" s="1"/>
  <c r="AJ3297" i="8" s="1"/>
  <c r="F3297" i="8"/>
  <c r="T3297" i="8" s="1"/>
  <c r="AG3614" i="8"/>
  <c r="F3614" i="8"/>
  <c r="AG2128" i="8"/>
  <c r="AI2128" i="8" s="1"/>
  <c r="AJ2128" i="8" s="1"/>
  <c r="F2128" i="8"/>
  <c r="T2128" i="8" s="1"/>
  <c r="AG2822" i="8"/>
  <c r="F2822" i="8"/>
  <c r="T2822" i="8" s="1"/>
  <c r="F213" i="8"/>
  <c r="T213" i="8" s="1"/>
  <c r="AG213" i="8"/>
  <c r="F3957" i="8"/>
  <c r="T3957" i="8" s="1"/>
  <c r="AG3957" i="8"/>
  <c r="AI3957" i="8" s="1"/>
  <c r="AJ3957" i="8" s="1"/>
  <c r="AG1000" i="8"/>
  <c r="AI1000" i="8" s="1"/>
  <c r="AJ1000" i="8" s="1"/>
  <c r="F1000" i="8"/>
  <c r="T1000" i="8" s="1"/>
  <c r="AG2775" i="8"/>
  <c r="F2775" i="8"/>
  <c r="T2775" i="8" s="1"/>
  <c r="AG3709" i="8"/>
  <c r="F3709" i="8"/>
  <c r="F853" i="8"/>
  <c r="T853" i="8" s="1"/>
  <c r="AG853" i="8"/>
  <c r="AG1986" i="8"/>
  <c r="F1986" i="8"/>
  <c r="T1986" i="8" s="1"/>
  <c r="AI4211" i="8"/>
  <c r="AJ4211" i="8" s="1"/>
  <c r="F4211" i="8"/>
  <c r="F1722" i="8"/>
  <c r="T1722" i="8" s="1"/>
  <c r="AG1722" i="8"/>
  <c r="AI1722" i="8" s="1"/>
  <c r="AJ1722" i="8" s="1"/>
  <c r="F1665" i="8"/>
  <c r="T1665" i="8" s="1"/>
  <c r="AG1665" i="8"/>
  <c r="AI1665" i="8" s="1"/>
  <c r="AJ1665" i="8" s="1"/>
  <c r="AG3993" i="8"/>
  <c r="AI3993" i="8" s="1"/>
  <c r="AJ3993" i="8" s="1"/>
  <c r="F3993" i="8"/>
  <c r="T3993" i="8" s="1"/>
  <c r="F798" i="8"/>
  <c r="T798" i="8" s="1"/>
  <c r="AG798" i="8"/>
  <c r="F194" i="8"/>
  <c r="T194" i="8" s="1"/>
  <c r="AG194" i="8"/>
  <c r="F3843" i="8"/>
  <c r="T3843" i="8" s="1"/>
  <c r="AG3843" i="8"/>
  <c r="F826" i="8"/>
  <c r="T826" i="8" s="1"/>
  <c r="AG826" i="8"/>
  <c r="AI826" i="8" s="1"/>
  <c r="AJ826" i="8" s="1"/>
  <c r="F3885" i="8"/>
  <c r="T3885" i="8" s="1"/>
  <c r="AG3885" i="8"/>
  <c r="AI3885" i="8" s="1"/>
  <c r="AJ3885" i="8" s="1"/>
  <c r="F2803" i="8"/>
  <c r="T2803" i="8" s="1"/>
  <c r="AG2803" i="8"/>
  <c r="AI2803" i="8" s="1"/>
  <c r="AJ2803" i="8" s="1"/>
  <c r="F3984" i="8"/>
  <c r="T3984" i="8" s="1"/>
  <c r="AG3984" i="8"/>
  <c r="AI3984" i="8" s="1"/>
  <c r="AJ3984" i="8" s="1"/>
  <c r="AG3177" i="8"/>
  <c r="AI3177" i="8" s="1"/>
  <c r="AJ3177" i="8" s="1"/>
  <c r="F3177" i="8"/>
  <c r="AG4167" i="8"/>
  <c r="F4167" i="8"/>
  <c r="T4167" i="8" s="1"/>
  <c r="AG835" i="8"/>
  <c r="F835" i="8"/>
  <c r="T835" i="8" s="1"/>
  <c r="F1712" i="8"/>
  <c r="T1712" i="8" s="1"/>
  <c r="AG1712" i="8"/>
  <c r="AG3315" i="8"/>
  <c r="AI3315" i="8" s="1"/>
  <c r="AJ3315" i="8" s="1"/>
  <c r="F3315" i="8"/>
  <c r="T3315" i="8" s="1"/>
  <c r="AG844" i="8"/>
  <c r="AI844" i="8" s="1"/>
  <c r="AJ844" i="8" s="1"/>
  <c r="F844" i="8"/>
  <c r="T844" i="8" s="1"/>
  <c r="AG1216" i="8"/>
  <c r="F1216" i="8"/>
  <c r="T1216" i="8" s="1"/>
  <c r="F4180" i="8"/>
  <c r="AG4180" i="8"/>
  <c r="AG2248" i="8"/>
  <c r="AI2248" i="8" s="1"/>
  <c r="AJ2248" i="8" s="1"/>
  <c r="F2248" i="8"/>
  <c r="T2248" i="8" s="1"/>
  <c r="AG3344" i="8"/>
  <c r="AI3344" i="8" s="1"/>
  <c r="AJ3344" i="8" s="1"/>
  <c r="F3344" i="8"/>
  <c r="T3344" i="8" s="1"/>
  <c r="F1239" i="8"/>
  <c r="T1239" i="8" s="1"/>
  <c r="AG1239" i="8"/>
  <c r="AG792" i="8"/>
  <c r="AI792" i="8" s="1"/>
  <c r="AJ792" i="8" s="1"/>
  <c r="F792" i="8"/>
  <c r="T792" i="8" s="1"/>
  <c r="AK2563" i="8"/>
  <c r="AH2563" i="8"/>
  <c r="AI1677" i="8"/>
  <c r="AJ1677" i="8" s="1"/>
  <c r="AG3867" i="8"/>
  <c r="AI3867" i="8" s="1"/>
  <c r="AJ3867" i="8" s="1"/>
  <c r="F3867" i="8"/>
  <c r="T3867" i="8" s="1"/>
  <c r="AK239" i="8"/>
  <c r="AH239" i="8"/>
  <c r="F774" i="8"/>
  <c r="T774" i="8" s="1"/>
  <c r="AG774" i="8"/>
  <c r="AG2260" i="8"/>
  <c r="F2260" i="8"/>
  <c r="T2260" i="8" s="1"/>
  <c r="F3325" i="8"/>
  <c r="T3325" i="8" s="1"/>
  <c r="AG3325" i="8"/>
  <c r="F2254" i="8"/>
  <c r="T2254" i="8" s="1"/>
  <c r="AG2254" i="8"/>
  <c r="AI2254" i="8" s="1"/>
  <c r="AJ2254" i="8" s="1"/>
  <c r="AG3939" i="8"/>
  <c r="F3939" i="8"/>
  <c r="T3939" i="8" s="1"/>
  <c r="F2305" i="8"/>
  <c r="T2305" i="8" s="1"/>
  <c r="AG2305" i="8"/>
  <c r="F2650" i="8"/>
  <c r="T2650" i="8" s="1"/>
  <c r="AG2650" i="8"/>
  <c r="F248" i="8"/>
  <c r="T248" i="8" s="1"/>
  <c r="AG248" i="8"/>
  <c r="AI248" i="8" s="1"/>
  <c r="AJ248" i="8" s="1"/>
  <c r="AG859" i="8"/>
  <c r="AI859" i="8" s="1"/>
  <c r="AJ859" i="8" s="1"/>
  <c r="F859" i="8"/>
  <c r="T859" i="8" s="1"/>
  <c r="AG3849" i="8"/>
  <c r="F3849" i="8"/>
  <c r="T3849" i="8" s="1"/>
  <c r="AI5344" i="8" l="1"/>
  <c r="F5344" i="8"/>
  <c r="T5344" i="8" s="1"/>
  <c r="E5262" i="8"/>
  <c r="F5242" i="8"/>
  <c r="F4199" i="8"/>
  <c r="F5456" i="8" s="1"/>
  <c r="E4193" i="8"/>
  <c r="AK4191" i="8"/>
  <c r="AJ4191" i="8"/>
  <c r="F5268" i="8"/>
  <c r="T5234" i="8"/>
  <c r="AK5260" i="8"/>
  <c r="T85" i="8"/>
  <c r="S594" i="8"/>
  <c r="T594" i="8" s="1"/>
  <c r="T596" i="8" s="1"/>
  <c r="AN591" i="8" s="1"/>
  <c r="S3663" i="8"/>
  <c r="T3663" i="8" s="1"/>
  <c r="T3665" i="8" s="1"/>
  <c r="AN3660" i="8" s="1"/>
  <c r="S3145" i="8"/>
  <c r="T3145" i="8" s="1"/>
  <c r="T3147" i="8" s="1"/>
  <c r="AN3142" i="8" s="1"/>
  <c r="S2572" i="8"/>
  <c r="T2572" i="8" s="1"/>
  <c r="T2574" i="8" s="1"/>
  <c r="AN2569" i="8" s="1"/>
  <c r="S2069" i="8"/>
  <c r="T2069" i="8" s="1"/>
  <c r="T2071" i="8" s="1"/>
  <c r="AN2066" i="8" s="1"/>
  <c r="S1528" i="8"/>
  <c r="T1528" i="8" s="1"/>
  <c r="T1530" i="8" s="1"/>
  <c r="AN1525" i="8" s="1"/>
  <c r="S3624" i="8"/>
  <c r="T3624" i="8" s="1"/>
  <c r="T3626" i="8" s="1"/>
  <c r="AN3621" i="8" s="1"/>
  <c r="S1995" i="8"/>
  <c r="T1995" i="8" s="1"/>
  <c r="T1997" i="8" s="1"/>
  <c r="AN1992" i="8" s="1"/>
  <c r="S1468" i="8"/>
  <c r="T1468" i="8" s="1"/>
  <c r="T1470" i="8" s="1"/>
  <c r="AN1465" i="8" s="1"/>
  <c r="S1009" i="8"/>
  <c r="T1009" i="8" s="1"/>
  <c r="T1011" i="8" s="1"/>
  <c r="AN1006" i="8" s="1"/>
  <c r="S3106" i="8"/>
  <c r="T3106" i="8" s="1"/>
  <c r="T3108" i="8" s="1"/>
  <c r="AN3103" i="8" s="1"/>
  <c r="S1837" i="8"/>
  <c r="T1837" i="8" s="1"/>
  <c r="Q2604" i="8"/>
  <c r="R2604" i="8" s="1"/>
  <c r="R2606" i="8" s="1"/>
  <c r="AM2601" i="8" s="1"/>
  <c r="Q2048" i="8"/>
  <c r="R2048" i="8" s="1"/>
  <c r="R2050" i="8" s="1"/>
  <c r="AM2045" i="8" s="1"/>
  <c r="Q3131" i="8"/>
  <c r="R3131" i="8" s="1"/>
  <c r="R3133" i="8" s="1"/>
  <c r="AM3128" i="8" s="1"/>
  <c r="S2435" i="8"/>
  <c r="T2435" i="8" s="1"/>
  <c r="S3522" i="8"/>
  <c r="T3522" i="8" s="1"/>
  <c r="S1376" i="8"/>
  <c r="T1376" i="8" s="1"/>
  <c r="S2424" i="8"/>
  <c r="T2424" i="8" s="1"/>
  <c r="S1016" i="8"/>
  <c r="T1016" i="8" s="1"/>
  <c r="T1018" i="8" s="1"/>
  <c r="AN1013" i="8" s="1"/>
  <c r="S601" i="8"/>
  <c r="T601" i="8" s="1"/>
  <c r="T603" i="8" s="1"/>
  <c r="AN598" i="8" s="1"/>
  <c r="R447" i="11"/>
  <c r="T447" i="11"/>
  <c r="R273" i="11"/>
  <c r="T273" i="11"/>
  <c r="R38" i="11"/>
  <c r="T38" i="11"/>
  <c r="R403" i="11"/>
  <c r="T403" i="11"/>
  <c r="R325" i="11"/>
  <c r="T325" i="11"/>
  <c r="R79" i="11"/>
  <c r="T79" i="11"/>
  <c r="R87" i="11"/>
  <c r="T87" i="11"/>
  <c r="R60" i="11"/>
  <c r="T60" i="11"/>
  <c r="R146" i="11"/>
  <c r="T146" i="11"/>
  <c r="R410" i="11"/>
  <c r="T410" i="11"/>
  <c r="R139" i="11"/>
  <c r="T139" i="11"/>
  <c r="R458" i="11"/>
  <c r="Q1054" i="8" s="1"/>
  <c r="R1054" i="8" s="1"/>
  <c r="R1056" i="8" s="1"/>
  <c r="AM1051" i="8" s="1"/>
  <c r="AO1051" i="8" s="1"/>
  <c r="E462" i="11"/>
  <c r="F462" i="11" s="1"/>
  <c r="R312" i="11"/>
  <c r="T312" i="11"/>
  <c r="R272" i="11"/>
  <c r="T272" i="11"/>
  <c r="R37" i="11"/>
  <c r="T37" i="11"/>
  <c r="R402" i="11"/>
  <c r="T402" i="11"/>
  <c r="R78" i="11"/>
  <c r="T78" i="11"/>
  <c r="R91" i="11"/>
  <c r="T91" i="11"/>
  <c r="R61" i="11"/>
  <c r="T61" i="11"/>
  <c r="R120" i="11"/>
  <c r="T120" i="11"/>
  <c r="R409" i="11"/>
  <c r="T409" i="11"/>
  <c r="R303" i="11"/>
  <c r="T303" i="11"/>
  <c r="R165" i="11"/>
  <c r="T165" i="11"/>
  <c r="R98" i="11"/>
  <c r="T98" i="11"/>
  <c r="R510" i="11"/>
  <c r="T510" i="11"/>
  <c r="R196" i="11"/>
  <c r="T196" i="11"/>
  <c r="R193" i="11"/>
  <c r="T193" i="11"/>
  <c r="T23" i="11"/>
  <c r="R297" i="11"/>
  <c r="T297" i="11"/>
  <c r="R467" i="11"/>
  <c r="T467" i="11"/>
  <c r="R418" i="11"/>
  <c r="T418" i="11"/>
  <c r="R173" i="11"/>
  <c r="T173" i="11"/>
  <c r="R243" i="11"/>
  <c r="T243" i="11"/>
  <c r="R206" i="11"/>
  <c r="T206" i="11"/>
  <c r="R110" i="11"/>
  <c r="T110" i="11"/>
  <c r="R166" i="11"/>
  <c r="T166" i="11"/>
  <c r="R99" i="11"/>
  <c r="T99" i="11"/>
  <c r="R511" i="11"/>
  <c r="T511" i="11"/>
  <c r="R182" i="11"/>
  <c r="T182" i="11"/>
  <c r="R189" i="11"/>
  <c r="T189" i="11"/>
  <c r="E528" i="11"/>
  <c r="F528" i="11" s="1"/>
  <c r="R524" i="11"/>
  <c r="R23" i="11"/>
  <c r="R295" i="11"/>
  <c r="T295" i="11"/>
  <c r="R128" i="11"/>
  <c r="T128" i="11"/>
  <c r="R378" i="11"/>
  <c r="T378" i="11"/>
  <c r="R174" i="11"/>
  <c r="T174" i="11"/>
  <c r="R157" i="11"/>
  <c r="T157" i="11"/>
  <c r="R202" i="11"/>
  <c r="T202" i="11"/>
  <c r="R111" i="11"/>
  <c r="T111" i="11"/>
  <c r="R448" i="11"/>
  <c r="T448" i="11"/>
  <c r="R39" i="11"/>
  <c r="T39" i="11"/>
  <c r="R48" i="11"/>
  <c r="T48" i="11"/>
  <c r="R355" i="11"/>
  <c r="T355" i="11"/>
  <c r="R326" i="11"/>
  <c r="T326" i="11"/>
  <c r="R80" i="11"/>
  <c r="T80" i="11"/>
  <c r="R88" i="11"/>
  <c r="T88" i="11"/>
  <c r="R57" i="11"/>
  <c r="T57" i="11"/>
  <c r="R147" i="11"/>
  <c r="T147" i="11"/>
  <c r="R411" i="11"/>
  <c r="T411" i="11"/>
  <c r="R140" i="11"/>
  <c r="T140" i="11"/>
  <c r="R28" i="11"/>
  <c r="T28" i="11"/>
  <c r="R167" i="11"/>
  <c r="T167" i="11"/>
  <c r="R100" i="11"/>
  <c r="T100" i="11"/>
  <c r="R512" i="11"/>
  <c r="T512" i="11"/>
  <c r="R190" i="11"/>
  <c r="T190" i="11"/>
  <c r="R186" i="11"/>
  <c r="T186" i="11"/>
  <c r="R279" i="11"/>
  <c r="T279" i="11"/>
  <c r="R498" i="11"/>
  <c r="T498" i="11"/>
  <c r="R296" i="11"/>
  <c r="T296" i="11"/>
  <c r="R129" i="11"/>
  <c r="T129" i="11"/>
  <c r="R379" i="11"/>
  <c r="T379" i="11"/>
  <c r="R67" i="11"/>
  <c r="T67" i="11"/>
  <c r="R155" i="11"/>
  <c r="T155" i="11"/>
  <c r="R340" i="11"/>
  <c r="T340" i="11"/>
  <c r="R109" i="11"/>
  <c r="T109" i="11"/>
  <c r="R446" i="11"/>
  <c r="T446" i="11"/>
  <c r="R234" i="11"/>
  <c r="Q3610" i="8" s="1"/>
  <c r="R3610" i="8" s="1"/>
  <c r="R3612" i="8" s="1"/>
  <c r="E238" i="11"/>
  <c r="F238" i="11" s="1"/>
  <c r="R40" i="11"/>
  <c r="T40" i="11"/>
  <c r="R49" i="11"/>
  <c r="T49" i="11"/>
  <c r="R356" i="11"/>
  <c r="T356" i="11"/>
  <c r="R324" i="11"/>
  <c r="T324" i="11"/>
  <c r="R81" i="11"/>
  <c r="T81" i="11"/>
  <c r="R89" i="11"/>
  <c r="T89" i="11"/>
  <c r="R58" i="11"/>
  <c r="T58" i="11"/>
  <c r="R148" i="11"/>
  <c r="T148" i="11"/>
  <c r="R137" i="11"/>
  <c r="T137" i="11"/>
  <c r="R30" i="11"/>
  <c r="T30" i="11"/>
  <c r="R491" i="11"/>
  <c r="T491" i="11"/>
  <c r="R101" i="11"/>
  <c r="T101" i="11"/>
  <c r="R513" i="11"/>
  <c r="T513" i="11"/>
  <c r="R183" i="11"/>
  <c r="T183" i="11"/>
  <c r="R194" i="11"/>
  <c r="T194" i="11"/>
  <c r="R280" i="11"/>
  <c r="T280" i="11"/>
  <c r="R497" i="11"/>
  <c r="T497" i="11"/>
  <c r="R212" i="11"/>
  <c r="T212" i="11"/>
  <c r="R127" i="11"/>
  <c r="T127" i="11"/>
  <c r="R385" i="11"/>
  <c r="T385" i="11"/>
  <c r="R68" i="11"/>
  <c r="T68" i="11"/>
  <c r="R158" i="11"/>
  <c r="T158" i="11"/>
  <c r="R341" i="11"/>
  <c r="T341" i="11"/>
  <c r="R107" i="11"/>
  <c r="T107" i="11"/>
  <c r="E427" i="11"/>
  <c r="F427" i="11" s="1"/>
  <c r="T423" i="11"/>
  <c r="R332" i="11"/>
  <c r="T332" i="11"/>
  <c r="R50" i="11"/>
  <c r="T50" i="11"/>
  <c r="R357" i="11"/>
  <c r="T357" i="11"/>
  <c r="R480" i="11"/>
  <c r="T480" i="11"/>
  <c r="R287" i="11"/>
  <c r="T287" i="11"/>
  <c r="R348" i="11"/>
  <c r="T348" i="11"/>
  <c r="R121" i="11"/>
  <c r="T121" i="11"/>
  <c r="R149" i="11"/>
  <c r="T149" i="11"/>
  <c r="R138" i="11"/>
  <c r="T138" i="11"/>
  <c r="R31" i="11"/>
  <c r="T31" i="11"/>
  <c r="R488" i="11"/>
  <c r="T488" i="11"/>
  <c r="R394" i="11"/>
  <c r="T394" i="11"/>
  <c r="R508" i="11"/>
  <c r="T508" i="11"/>
  <c r="R191" i="11"/>
  <c r="T191" i="11"/>
  <c r="R187" i="11"/>
  <c r="T187" i="11"/>
  <c r="R281" i="11"/>
  <c r="T281" i="11"/>
  <c r="R499" i="11"/>
  <c r="T499" i="11"/>
  <c r="R130" i="11"/>
  <c r="T130" i="11"/>
  <c r="R386" i="11"/>
  <c r="T386" i="11"/>
  <c r="R69" i="11"/>
  <c r="T69" i="11"/>
  <c r="R156" i="11"/>
  <c r="T156" i="11"/>
  <c r="R440" i="11"/>
  <c r="T440" i="11"/>
  <c r="R431" i="11"/>
  <c r="T431" i="11"/>
  <c r="R316" i="11"/>
  <c r="Q1082" i="8" s="1"/>
  <c r="R1082" i="8" s="1"/>
  <c r="R1084" i="8" s="1"/>
  <c r="E320" i="11"/>
  <c r="F320" i="11" s="1"/>
  <c r="R333" i="11"/>
  <c r="T333" i="11"/>
  <c r="R228" i="11"/>
  <c r="E232" i="11"/>
  <c r="F232" i="11" s="1"/>
  <c r="R51" i="11"/>
  <c r="T51" i="11"/>
  <c r="R481" i="11"/>
  <c r="T481" i="11"/>
  <c r="R288" i="11"/>
  <c r="T288" i="11"/>
  <c r="R349" i="11"/>
  <c r="T349" i="11"/>
  <c r="R117" i="11"/>
  <c r="T117" i="11"/>
  <c r="R264" i="11"/>
  <c r="T264" i="11"/>
  <c r="R258" i="11"/>
  <c r="T258" i="11"/>
  <c r="R251" i="11"/>
  <c r="T251" i="11"/>
  <c r="R29" i="11"/>
  <c r="T29" i="11"/>
  <c r="R489" i="11"/>
  <c r="T489" i="11"/>
  <c r="R395" i="11"/>
  <c r="T395" i="11"/>
  <c r="R473" i="11"/>
  <c r="T473" i="11"/>
  <c r="R184" i="11"/>
  <c r="T184" i="11"/>
  <c r="R195" i="11"/>
  <c r="T195" i="11"/>
  <c r="R363" i="11"/>
  <c r="T363" i="11"/>
  <c r="R500" i="11"/>
  <c r="T500" i="11"/>
  <c r="R519" i="11"/>
  <c r="T519" i="11"/>
  <c r="R131" i="11"/>
  <c r="T131" i="11"/>
  <c r="R387" i="11"/>
  <c r="T387" i="11"/>
  <c r="R70" i="11"/>
  <c r="T70" i="11"/>
  <c r="R203" i="11"/>
  <c r="T203" i="11"/>
  <c r="R438" i="11"/>
  <c r="T438" i="11"/>
  <c r="R432" i="11"/>
  <c r="T432" i="11"/>
  <c r="R310" i="11"/>
  <c r="T310" i="11"/>
  <c r="T220" i="11"/>
  <c r="T216" i="11" s="1"/>
  <c r="S587" i="8" s="1"/>
  <c r="T587" i="8" s="1"/>
  <c r="T589" i="8" s="1"/>
  <c r="R334" i="11"/>
  <c r="T334" i="11"/>
  <c r="R47" i="11"/>
  <c r="T47" i="11"/>
  <c r="R452" i="11"/>
  <c r="E456" i="11"/>
  <c r="F456" i="11" s="1"/>
  <c r="R482" i="11"/>
  <c r="T482" i="11"/>
  <c r="R289" i="11"/>
  <c r="T289" i="11"/>
  <c r="R347" i="11"/>
  <c r="T347" i="11"/>
  <c r="R118" i="11"/>
  <c r="T118" i="11"/>
  <c r="R265" i="11"/>
  <c r="T265" i="11"/>
  <c r="R257" i="11"/>
  <c r="T257" i="11"/>
  <c r="R249" i="11"/>
  <c r="T249" i="11"/>
  <c r="R27" i="11"/>
  <c r="T27" i="11"/>
  <c r="R490" i="11"/>
  <c r="T490" i="11"/>
  <c r="R393" i="11"/>
  <c r="T393" i="11"/>
  <c r="R474" i="11"/>
  <c r="T474" i="11"/>
  <c r="R192" i="11"/>
  <c r="T192" i="11"/>
  <c r="R371" i="11"/>
  <c r="T371" i="11"/>
  <c r="R364" i="11"/>
  <c r="T364" i="11"/>
  <c r="R501" i="11"/>
  <c r="T501" i="11"/>
  <c r="R520" i="11"/>
  <c r="T520" i="11"/>
  <c r="R417" i="11"/>
  <c r="T417" i="11"/>
  <c r="R176" i="11"/>
  <c r="T176" i="11"/>
  <c r="R71" i="11"/>
  <c r="T71" i="11"/>
  <c r="R204" i="11"/>
  <c r="T204" i="11"/>
  <c r="R439" i="11"/>
  <c r="T439" i="11"/>
  <c r="R311" i="11"/>
  <c r="T311" i="11"/>
  <c r="R220" i="11"/>
  <c r="R41" i="11"/>
  <c r="T41" i="11"/>
  <c r="R401" i="11"/>
  <c r="T401" i="11"/>
  <c r="R77" i="11"/>
  <c r="T77" i="11"/>
  <c r="R90" i="11"/>
  <c r="T90" i="11"/>
  <c r="R59" i="11"/>
  <c r="T59" i="11"/>
  <c r="R119" i="11"/>
  <c r="T119" i="11"/>
  <c r="R266" i="11"/>
  <c r="T266" i="11"/>
  <c r="R304" i="11"/>
  <c r="T304" i="11"/>
  <c r="R250" i="11"/>
  <c r="T250" i="11"/>
  <c r="R164" i="11"/>
  <c r="T164" i="11"/>
  <c r="R97" i="11"/>
  <c r="T97" i="11"/>
  <c r="R509" i="11"/>
  <c r="T509" i="11"/>
  <c r="R188" i="11"/>
  <c r="T188" i="11"/>
  <c r="R185" i="11"/>
  <c r="T185" i="11"/>
  <c r="R372" i="11"/>
  <c r="T372" i="11"/>
  <c r="R365" i="11"/>
  <c r="T365" i="11"/>
  <c r="R502" i="11"/>
  <c r="T502" i="11"/>
  <c r="R466" i="11"/>
  <c r="T466" i="11"/>
  <c r="R419" i="11"/>
  <c r="T419" i="11"/>
  <c r="R175" i="11"/>
  <c r="T175" i="11"/>
  <c r="R242" i="11"/>
  <c r="T242" i="11"/>
  <c r="R205" i="11"/>
  <c r="T205" i="11"/>
  <c r="R108" i="11"/>
  <c r="T108" i="11"/>
  <c r="R222" i="11"/>
  <c r="E226" i="11"/>
  <c r="F226" i="11" s="1"/>
  <c r="E5346" i="8"/>
  <c r="F5352" i="8"/>
  <c r="AK5234" i="8"/>
  <c r="AJ5344" i="8"/>
  <c r="AK5344" i="8"/>
  <c r="F5328" i="8"/>
  <c r="F5373" i="8" s="1"/>
  <c r="AI5328" i="8"/>
  <c r="F5320" i="8"/>
  <c r="E5314" i="8"/>
  <c r="T5312" i="8"/>
  <c r="AJ5312" i="8"/>
  <c r="AK5312" i="8"/>
  <c r="AI5208" i="8"/>
  <c r="F5208" i="8"/>
  <c r="F5166" i="8"/>
  <c r="AI5166" i="8"/>
  <c r="F5182" i="8"/>
  <c r="AI5182" i="8"/>
  <c r="F5148" i="8"/>
  <c r="E5142" i="8"/>
  <c r="T5140" i="8"/>
  <c r="AJ5140" i="8"/>
  <c r="AK5140" i="8"/>
  <c r="F4568" i="8"/>
  <c r="E4570" i="8" s="1"/>
  <c r="AI5092" i="8"/>
  <c r="F5092" i="8"/>
  <c r="AI5108" i="8"/>
  <c r="F5108" i="8"/>
  <c r="AI4568" i="8"/>
  <c r="AJ4568" i="8" s="1"/>
  <c r="AJ4786" i="8"/>
  <c r="F4456" i="8"/>
  <c r="AI5042" i="8"/>
  <c r="F5042" i="8"/>
  <c r="AI5026" i="8"/>
  <c r="F5026" i="8"/>
  <c r="AI4906" i="8"/>
  <c r="F4906" i="8"/>
  <c r="AI4852" i="8"/>
  <c r="F4852" i="8"/>
  <c r="E4788" i="8"/>
  <c r="F4794" i="8"/>
  <c r="T4448" i="8"/>
  <c r="AI4874" i="8"/>
  <c r="F4874" i="8"/>
  <c r="AK4448" i="8"/>
  <c r="AI4808" i="8"/>
  <c r="F4808" i="8"/>
  <c r="F4770" i="8"/>
  <c r="AI4770" i="8"/>
  <c r="AI4732" i="8"/>
  <c r="F4732" i="8"/>
  <c r="F4688" i="8"/>
  <c r="AI4688" i="8"/>
  <c r="AJ4704" i="8"/>
  <c r="AK4704" i="8"/>
  <c r="F4712" i="8"/>
  <c r="E4706" i="8"/>
  <c r="T4704" i="8"/>
  <c r="AI4650" i="8"/>
  <c r="F4650" i="8"/>
  <c r="AI4628" i="8"/>
  <c r="F4628" i="8"/>
  <c r="AI4612" i="8"/>
  <c r="F4612" i="8"/>
  <c r="AJ4546" i="8"/>
  <c r="AK4546" i="8"/>
  <c r="AI4530" i="8"/>
  <c r="F4530" i="8"/>
  <c r="F5443" i="8"/>
  <c r="G39" i="41" s="1"/>
  <c r="F4554" i="8"/>
  <c r="E4548" i="8"/>
  <c r="AH5428" i="8"/>
  <c r="AK5428" i="8"/>
  <c r="AI4486" i="8"/>
  <c r="F4486" i="8"/>
  <c r="AJ4464" i="8"/>
  <c r="AK4464" i="8"/>
  <c r="F4472" i="8"/>
  <c r="E4466" i="8"/>
  <c r="T4464" i="8"/>
  <c r="F4416" i="8"/>
  <c r="E4410" i="8"/>
  <c r="T4408" i="8"/>
  <c r="AJ4408" i="8"/>
  <c r="AK4408" i="8"/>
  <c r="AI4376" i="8"/>
  <c r="F4376" i="8"/>
  <c r="T5458" i="8"/>
  <c r="AJ5458" i="8" s="1"/>
  <c r="AI4360" i="8"/>
  <c r="F4360" i="8"/>
  <c r="F4307" i="8"/>
  <c r="T4293" i="8"/>
  <c r="T4307" i="8" s="1"/>
  <c r="T4313" i="8" s="1"/>
  <c r="T5457" i="8"/>
  <c r="T26" i="1" s="1"/>
  <c r="T5003" i="8"/>
  <c r="T5009" i="8" s="1"/>
  <c r="T5406" i="8"/>
  <c r="T5412" i="8" s="1"/>
  <c r="T141" i="8"/>
  <c r="T147" i="8" s="1"/>
  <c r="F5462" i="8"/>
  <c r="T4211" i="8"/>
  <c r="T5462" i="8" s="1"/>
  <c r="AN2615" i="8"/>
  <c r="F78" i="31"/>
  <c r="F16" i="31"/>
  <c r="F32" i="31"/>
  <c r="AN1999" i="8"/>
  <c r="AN1560" i="8"/>
  <c r="AO1560" i="8" s="1"/>
  <c r="E1560" i="8"/>
  <c r="T1265" i="8"/>
  <c r="AI125" i="8"/>
  <c r="AJ125" i="8" s="1"/>
  <c r="AK4834" i="8"/>
  <c r="AK5250" i="8"/>
  <c r="AI4268" i="8"/>
  <c r="AJ4268" i="8" s="1"/>
  <c r="AK5366" i="8"/>
  <c r="AK1459" i="8"/>
  <c r="AK4424" i="8"/>
  <c r="AK5360" i="8"/>
  <c r="AI605" i="8"/>
  <c r="AJ605" i="8" s="1"/>
  <c r="AH1459" i="8"/>
  <c r="AK4896" i="8"/>
  <c r="AH768" i="8"/>
  <c r="AK4758" i="8"/>
  <c r="AK2285" i="8"/>
  <c r="AK5224" i="8"/>
  <c r="AK4676" i="8"/>
  <c r="F5458" i="8"/>
  <c r="F27" i="1" s="1"/>
  <c r="AI4726" i="8"/>
  <c r="AJ4726" i="8" s="1"/>
  <c r="AH4726" i="8"/>
  <c r="T258" i="8"/>
  <c r="F5457" i="8"/>
  <c r="AI786" i="8"/>
  <c r="AJ786" i="8" s="1"/>
  <c r="F55" i="39"/>
  <c r="F218" i="31" s="1"/>
  <c r="H218" i="31" s="1"/>
  <c r="AK4392" i="8"/>
  <c r="AI2763" i="8"/>
  <c r="AJ2763" i="8" s="1"/>
  <c r="AK5080" i="8"/>
  <c r="F172" i="36"/>
  <c r="F197" i="31" s="1"/>
  <c r="F5406" i="8"/>
  <c r="AK5124" i="8"/>
  <c r="AK5435" i="8"/>
  <c r="AH5435" i="8"/>
  <c r="AH5392" i="8"/>
  <c r="AK3901" i="8"/>
  <c r="AK2295" i="8"/>
  <c r="AH5398" i="8"/>
  <c r="AK5398" i="8"/>
  <c r="AI5392" i="8"/>
  <c r="AJ5392" i="8" s="1"/>
  <c r="AH3901" i="8"/>
  <c r="F57" i="38"/>
  <c r="F211" i="31" s="1"/>
  <c r="AK4682" i="8"/>
  <c r="AK5306" i="8"/>
  <c r="AH5306" i="8"/>
  <c r="AH4950" i="8"/>
  <c r="AH4518" i="8"/>
  <c r="AH4506" i="8"/>
  <c r="F114" i="36"/>
  <c r="F195" i="31" s="1"/>
  <c r="AH4336" i="8"/>
  <c r="F288" i="36"/>
  <c r="F201" i="31" s="1"/>
  <c r="AI4846" i="8"/>
  <c r="AJ4846" i="8" s="1"/>
  <c r="AH4846" i="8"/>
  <c r="AI4330" i="8"/>
  <c r="AJ4330" i="8" s="1"/>
  <c r="AH4330" i="8"/>
  <c r="AH4354" i="8"/>
  <c r="AK4354" i="8"/>
  <c r="AH4398" i="8"/>
  <c r="F5003" i="8"/>
  <c r="G57" i="37" s="1"/>
  <c r="AH4606" i="8"/>
  <c r="AH4644" i="8"/>
  <c r="AH4600" i="8"/>
  <c r="AK4600" i="8"/>
  <c r="AI4518" i="8"/>
  <c r="AJ4518" i="8" s="1"/>
  <c r="AH4992" i="8"/>
  <c r="AK4992" i="8"/>
  <c r="AH4442" i="8"/>
  <c r="AK4442" i="8"/>
  <c r="F141" i="8"/>
  <c r="AI4336" i="8"/>
  <c r="AJ4336" i="8" s="1"/>
  <c r="F56" i="36"/>
  <c r="F193" i="31" s="1"/>
  <c r="AI4512" i="8"/>
  <c r="AJ4512" i="8" s="1"/>
  <c r="AH4512" i="8"/>
  <c r="AK4670" i="8"/>
  <c r="AH4670" i="8"/>
  <c r="F57" i="37"/>
  <c r="F206" i="31" s="1"/>
  <c r="H206" i="31" s="1"/>
  <c r="AI4960" i="8"/>
  <c r="AJ4960" i="8" s="1"/>
  <c r="AH4960" i="8"/>
  <c r="AI4644" i="8"/>
  <c r="AJ4644" i="8" s="1"/>
  <c r="AK4594" i="8"/>
  <c r="AI4398" i="8"/>
  <c r="AJ4398" i="8" s="1"/>
  <c r="F117" i="38"/>
  <c r="F213" i="31" s="1"/>
  <c r="AH4524" i="8"/>
  <c r="AK4524" i="8"/>
  <c r="AH4982" i="8"/>
  <c r="AK4982" i="8"/>
  <c r="AH4562" i="8"/>
  <c r="AK4562" i="8"/>
  <c r="AK5058" i="8"/>
  <c r="AH5058" i="8"/>
  <c r="AI4480" i="8"/>
  <c r="AJ4480" i="8" s="1"/>
  <c r="AH4480" i="8"/>
  <c r="AI5086" i="8"/>
  <c r="AJ5086" i="8" s="1"/>
  <c r="AH5086" i="8"/>
  <c r="AI4506" i="8"/>
  <c r="AJ4506" i="8" s="1"/>
  <c r="AH4764" i="8"/>
  <c r="AK4764" i="8"/>
  <c r="AH5198" i="8"/>
  <c r="AK5198" i="8"/>
  <c r="AK4972" i="8"/>
  <c r="AH4972" i="8"/>
  <c r="F1265" i="8"/>
  <c r="AK4342" i="8"/>
  <c r="AH4342" i="8"/>
  <c r="AI5156" i="8"/>
  <c r="AJ5156" i="8" s="1"/>
  <c r="AH5156" i="8"/>
  <c r="AH4436" i="8"/>
  <c r="AK4436" i="8"/>
  <c r="AH4840" i="8"/>
  <c r="AK4840" i="8"/>
  <c r="AI5074" i="8"/>
  <c r="AJ5074" i="8" s="1"/>
  <c r="AH5074" i="8"/>
  <c r="AH4348" i="8"/>
  <c r="AK4348" i="8"/>
  <c r="AK4752" i="8"/>
  <c r="AH4752" i="8"/>
  <c r="AH5276" i="8"/>
  <c r="AK5276" i="8"/>
  <c r="AK4890" i="8"/>
  <c r="AH4890" i="8"/>
  <c r="AH5068" i="8"/>
  <c r="AK5068" i="8"/>
  <c r="AH4966" i="8"/>
  <c r="AK4966" i="8"/>
  <c r="AI4802" i="8"/>
  <c r="AJ4802" i="8" s="1"/>
  <c r="AH4802" i="8"/>
  <c r="AI4950" i="8"/>
  <c r="AJ4950" i="8" s="1"/>
  <c r="AI4606" i="8"/>
  <c r="AJ4606" i="8" s="1"/>
  <c r="AI4293" i="8"/>
  <c r="AJ4293" i="8" s="1"/>
  <c r="AH4293" i="8"/>
  <c r="F230" i="36"/>
  <c r="F199" i="31" s="1"/>
  <c r="AK4828" i="8"/>
  <c r="AH4828" i="8"/>
  <c r="F4228" i="8"/>
  <c r="AK65" i="8"/>
  <c r="F258" i="8"/>
  <c r="G51" i="33" s="1"/>
  <c r="H51" i="33" s="1"/>
  <c r="F85" i="8"/>
  <c r="G42" i="32" s="1"/>
  <c r="AH45" i="8"/>
  <c r="AH118" i="8"/>
  <c r="AH32" i="8"/>
  <c r="AH111" i="8"/>
  <c r="AH97" i="8"/>
  <c r="AK97" i="8"/>
  <c r="AH59" i="8"/>
  <c r="AK59" i="8"/>
  <c r="AI118" i="8"/>
  <c r="AJ118" i="8" s="1"/>
  <c r="AH104" i="8"/>
  <c r="AK104" i="8"/>
  <c r="AI32" i="8"/>
  <c r="AJ32" i="8" s="1"/>
  <c r="AH19" i="8"/>
  <c r="AK19" i="8"/>
  <c r="AH78" i="8"/>
  <c r="AH25" i="8"/>
  <c r="F42" i="32"/>
  <c r="F9" i="31" s="1"/>
  <c r="AI45" i="8"/>
  <c r="AJ45" i="8" s="1"/>
  <c r="AK52" i="8"/>
  <c r="AH52" i="8"/>
  <c r="F97" i="32"/>
  <c r="F11" i="31" s="1"/>
  <c r="AH72" i="8"/>
  <c r="AI111" i="8"/>
  <c r="AJ111" i="8" s="1"/>
  <c r="AK38" i="8"/>
  <c r="AH38" i="8"/>
  <c r="AH132" i="8"/>
  <c r="AK132" i="8"/>
  <c r="AK4262" i="8"/>
  <c r="AH4262" i="8"/>
  <c r="AH90" i="8"/>
  <c r="AK90" i="8"/>
  <c r="AI25" i="8"/>
  <c r="AJ25" i="8" s="1"/>
  <c r="AI72" i="8"/>
  <c r="AJ72" i="8" s="1"/>
  <c r="AI78" i="8"/>
  <c r="AJ78" i="8" s="1"/>
  <c r="AH2650" i="8"/>
  <c r="AH4180" i="8"/>
  <c r="AH853" i="8"/>
  <c r="AH3911" i="8"/>
  <c r="AH3831" i="8"/>
  <c r="AH3920" i="8"/>
  <c r="AH174" i="8"/>
  <c r="AH835" i="8"/>
  <c r="AK4211" i="8"/>
  <c r="AH4211" i="8"/>
  <c r="AH3709" i="8"/>
  <c r="AH213" i="8"/>
  <c r="AH1222" i="8"/>
  <c r="AH2266" i="8"/>
  <c r="AI3831" i="8"/>
  <c r="AJ3831" i="8" s="1"/>
  <c r="AH3861" i="8"/>
  <c r="AH2812" i="8"/>
  <c r="AK3096" i="8"/>
  <c r="AH3096" i="8"/>
  <c r="AI3920" i="8"/>
  <c r="AJ3920" i="8" s="1"/>
  <c r="AI174" i="8"/>
  <c r="AJ174" i="8" s="1"/>
  <c r="AH4156" i="8"/>
  <c r="AH3309" i="8"/>
  <c r="AH3966" i="8"/>
  <c r="AI835" i="8"/>
  <c r="AJ835" i="8" s="1"/>
  <c r="AK3885" i="8"/>
  <c r="AH3885" i="8"/>
  <c r="AK826" i="8"/>
  <c r="AH826" i="8"/>
  <c r="AK1000" i="8"/>
  <c r="AH1000" i="8"/>
  <c r="AI213" i="8"/>
  <c r="AJ213" i="8" s="1"/>
  <c r="AK2128" i="8"/>
  <c r="AH2128" i="8"/>
  <c r="AH3297" i="8"/>
  <c r="AK3297" i="8"/>
  <c r="AH4002" i="8"/>
  <c r="AK4002" i="8"/>
  <c r="AK2276" i="8"/>
  <c r="AH2276" i="8"/>
  <c r="AH3291" i="8"/>
  <c r="AK3291" i="8"/>
  <c r="AI3861" i="8"/>
  <c r="AJ3861" i="8" s="1"/>
  <c r="AI2812" i="8"/>
  <c r="AJ2812" i="8" s="1"/>
  <c r="AK3929" i="8"/>
  <c r="AH3929" i="8"/>
  <c r="AK168" i="8"/>
  <c r="AH168" i="8"/>
  <c r="AK2832" i="8"/>
  <c r="AH2832" i="8"/>
  <c r="AH3893" i="8"/>
  <c r="AK3893" i="8"/>
  <c r="AK1257" i="8"/>
  <c r="AH1257" i="8"/>
  <c r="AK4217" i="8"/>
  <c r="AH4217" i="8"/>
  <c r="AI4156" i="8"/>
  <c r="AJ4156" i="8" s="1"/>
  <c r="AI3309" i="8"/>
  <c r="AJ3309" i="8" s="1"/>
  <c r="AI3966" i="8"/>
  <c r="AJ3966" i="8" s="1"/>
  <c r="AH3849" i="8"/>
  <c r="AH1216" i="8"/>
  <c r="AH1712" i="8"/>
  <c r="AH798" i="8"/>
  <c r="AH3993" i="8"/>
  <c r="AK3993" i="8"/>
  <c r="AH2822" i="8"/>
  <c r="AH859" i="8"/>
  <c r="AK859" i="8"/>
  <c r="AI1216" i="8"/>
  <c r="AJ1216" i="8" s="1"/>
  <c r="AH2305" i="8"/>
  <c r="AH3325" i="8"/>
  <c r="AH774" i="8"/>
  <c r="AH1239" i="8"/>
  <c r="AH3315" i="8"/>
  <c r="AK3315" i="8"/>
  <c r="AH3843" i="8"/>
  <c r="AH1986" i="8"/>
  <c r="AH2775" i="8"/>
  <c r="AK3303" i="8"/>
  <c r="AH3303" i="8"/>
  <c r="AH1228" i="8"/>
  <c r="AH2787" i="8"/>
  <c r="AH4173" i="8"/>
  <c r="AK4173" i="8"/>
  <c r="AH3867" i="8"/>
  <c r="AK3867" i="8"/>
  <c r="AH4167" i="8"/>
  <c r="AK3984" i="8"/>
  <c r="AH3984" i="8"/>
  <c r="AK768" i="8"/>
  <c r="AI3843" i="8"/>
  <c r="AJ3843" i="8" s="1"/>
  <c r="AI1986" i="8"/>
  <c r="AJ1986" i="8" s="1"/>
  <c r="AI2775" i="8"/>
  <c r="AJ2775" i="8" s="1"/>
  <c r="AI2822" i="8"/>
  <c r="AJ2822" i="8" s="1"/>
  <c r="AH3614" i="8"/>
  <c r="AK188" i="8"/>
  <c r="AH188" i="8"/>
  <c r="AH2769" i="8"/>
  <c r="AH1671" i="8"/>
  <c r="AK1671" i="8"/>
  <c r="AI1228" i="8"/>
  <c r="AJ1228" i="8" s="1"/>
  <c r="AI2787" i="8"/>
  <c r="AJ2787" i="8" s="1"/>
  <c r="AH1693" i="8"/>
  <c r="AK1693" i="8"/>
  <c r="AH3879" i="8"/>
  <c r="AK2781" i="8"/>
  <c r="AH2781" i="8"/>
  <c r="AK3855" i="8"/>
  <c r="AH3855" i="8"/>
  <c r="AH3948" i="8"/>
  <c r="AK3948" i="8"/>
  <c r="AH1702" i="8"/>
  <c r="AH3975" i="8"/>
  <c r="AI3849" i="8"/>
  <c r="AJ3849" i="8" s="1"/>
  <c r="AI2650" i="8"/>
  <c r="AJ2650" i="8" s="1"/>
  <c r="AI1712" i="8"/>
  <c r="AJ1712" i="8" s="1"/>
  <c r="AK248" i="8"/>
  <c r="AH248" i="8"/>
  <c r="AH194" i="8"/>
  <c r="AK3957" i="8"/>
  <c r="AH3957" i="8"/>
  <c r="AK3354" i="8"/>
  <c r="AH3354" i="8"/>
  <c r="AH756" i="8"/>
  <c r="AK756" i="8"/>
  <c r="AH3364" i="8"/>
  <c r="AI2305" i="8"/>
  <c r="AJ2305" i="8" s="1"/>
  <c r="AH3939" i="8"/>
  <c r="AI3325" i="8"/>
  <c r="AJ3325" i="8" s="1"/>
  <c r="AH2260" i="8"/>
  <c r="AK792" i="8"/>
  <c r="AH792" i="8"/>
  <c r="AK2248" i="8"/>
  <c r="AH2248" i="8"/>
  <c r="AK844" i="8"/>
  <c r="AH844" i="8"/>
  <c r="AI3939" i="8"/>
  <c r="AJ3939" i="8" s="1"/>
  <c r="AK2254" i="8"/>
  <c r="AH2254" i="8"/>
  <c r="AI2260" i="8"/>
  <c r="AJ2260" i="8" s="1"/>
  <c r="AI774" i="8"/>
  <c r="AJ774" i="8" s="1"/>
  <c r="AI1239" i="8"/>
  <c r="AJ1239" i="8" s="1"/>
  <c r="AH3344" i="8"/>
  <c r="AK3344" i="8"/>
  <c r="AI4180" i="8"/>
  <c r="AJ4180" i="8" s="1"/>
  <c r="AI4167" i="8"/>
  <c r="AJ4167" i="8" s="1"/>
  <c r="AH3177" i="8"/>
  <c r="AK3177" i="8"/>
  <c r="AK2803" i="8"/>
  <c r="AH2803" i="8"/>
  <c r="AI194" i="8"/>
  <c r="AJ194" i="8" s="1"/>
  <c r="AI798" i="8"/>
  <c r="AJ798" i="8" s="1"/>
  <c r="AK1665" i="8"/>
  <c r="AH1665" i="8"/>
  <c r="AH1722" i="8"/>
  <c r="AK1722" i="8"/>
  <c r="AI853" i="8"/>
  <c r="AJ853" i="8" s="1"/>
  <c r="AI3709" i="8"/>
  <c r="AJ3709" i="8" s="1"/>
  <c r="AI3614" i="8"/>
  <c r="AJ3614" i="8" s="1"/>
  <c r="AI1222" i="8"/>
  <c r="AJ1222" i="8" s="1"/>
  <c r="AI2266" i="8"/>
  <c r="AJ2266" i="8" s="1"/>
  <c r="AI3911" i="8"/>
  <c r="AJ3911" i="8" s="1"/>
  <c r="AI1702" i="8"/>
  <c r="AJ1702" i="8" s="1"/>
  <c r="AI2769" i="8"/>
  <c r="AJ2769" i="8" s="1"/>
  <c r="AI3975" i="8"/>
  <c r="AJ3975" i="8" s="1"/>
  <c r="AK1248" i="8"/>
  <c r="AH1248" i="8"/>
  <c r="AH204" i="8"/>
  <c r="AK204" i="8"/>
  <c r="AI3364" i="8"/>
  <c r="AJ3364" i="8" s="1"/>
  <c r="AH817" i="8"/>
  <c r="AK817" i="8"/>
  <c r="AH808" i="8"/>
  <c r="AK808" i="8"/>
  <c r="AI3879" i="8"/>
  <c r="AJ3879" i="8" s="1"/>
  <c r="AK1677" i="8"/>
  <c r="AK1683" i="8"/>
  <c r="AH1683" i="8"/>
  <c r="F25" i="1" l="1"/>
  <c r="B5456" i="8"/>
  <c r="T544" i="11"/>
  <c r="T5483" i="8" s="1"/>
  <c r="F5283" i="8"/>
  <c r="F4923" i="8"/>
  <c r="R544" i="11"/>
  <c r="R5483" i="8" s="1"/>
  <c r="T405" i="11"/>
  <c r="T399" i="11" s="1"/>
  <c r="S2597" i="8" s="1"/>
  <c r="T2597" i="8" s="1"/>
  <c r="T2599" i="8" s="1"/>
  <c r="AN2594" i="8" s="1"/>
  <c r="F4585" i="8"/>
  <c r="G114" i="36" s="1"/>
  <c r="G56" i="35"/>
  <c r="F4313" i="8"/>
  <c r="B4313" i="8" s="1"/>
  <c r="R245" i="11"/>
  <c r="R240" i="11" s="1"/>
  <c r="Q667" i="8" s="1"/>
  <c r="R667" i="8" s="1"/>
  <c r="R669" i="8" s="1"/>
  <c r="R83" i="11"/>
  <c r="T83" i="11"/>
  <c r="T75" i="11" s="1"/>
  <c r="S4257" i="8" s="1"/>
  <c r="T4257" i="8" s="1"/>
  <c r="T4260" i="8" s="1"/>
  <c r="AN4251" i="8" s="1"/>
  <c r="T381" i="11"/>
  <c r="T376" i="11" s="1"/>
  <c r="S619" i="8" s="1"/>
  <c r="T619" i="8" s="1"/>
  <c r="T621" i="8" s="1"/>
  <c r="R522" i="11"/>
  <c r="R517" i="11" s="1"/>
  <c r="R405" i="11"/>
  <c r="R381" i="11"/>
  <c r="R376" i="11" s="1"/>
  <c r="E1051" i="8"/>
  <c r="E396" i="33" s="1"/>
  <c r="F396" i="33" s="1"/>
  <c r="T103" i="11"/>
  <c r="T95" i="11" s="1"/>
  <c r="S3404" i="8" s="1"/>
  <c r="T3404" i="8" s="1"/>
  <c r="T3406" i="8" s="1"/>
  <c r="AN3401" i="8" s="1"/>
  <c r="R275" i="11"/>
  <c r="R270" i="11" s="1"/>
  <c r="R413" i="11"/>
  <c r="R407" i="11" s="1"/>
  <c r="R469" i="11"/>
  <c r="R464" i="11" s="1"/>
  <c r="R123" i="11"/>
  <c r="R115" i="11" s="1"/>
  <c r="R113" i="11"/>
  <c r="R105" i="11" s="1"/>
  <c r="R389" i="11"/>
  <c r="R383" i="11" s="1"/>
  <c r="Q626" i="8" s="1"/>
  <c r="R626" i="8" s="1"/>
  <c r="R628" i="8" s="1"/>
  <c r="AM623" i="8" s="1"/>
  <c r="R328" i="11"/>
  <c r="R322" i="11" s="1"/>
  <c r="Q3159" i="8" s="1"/>
  <c r="R3159" i="8" s="1"/>
  <c r="R3161" i="8" s="1"/>
  <c r="R160" i="11"/>
  <c r="R153" i="11" s="1"/>
  <c r="Q460" i="8" s="1"/>
  <c r="R460" i="8" s="1"/>
  <c r="R63" i="11"/>
  <c r="R55" i="11" s="1"/>
  <c r="R359" i="11"/>
  <c r="R353" i="11" s="1"/>
  <c r="T245" i="11"/>
  <c r="T240" i="11" s="1"/>
  <c r="S667" i="8" s="1"/>
  <c r="T667" i="8" s="1"/>
  <c r="T669" i="8" s="1"/>
  <c r="AN664" i="8" s="1"/>
  <c r="T367" i="11"/>
  <c r="T361" i="11" s="1"/>
  <c r="S2124" i="8" s="1"/>
  <c r="T2124" i="8" s="1"/>
  <c r="T2126" i="8" s="1"/>
  <c r="AN2121" i="8" s="1"/>
  <c r="T133" i="11"/>
  <c r="T125" i="11" s="1"/>
  <c r="S420" i="8" s="1"/>
  <c r="T420" i="8" s="1"/>
  <c r="T422" i="8" s="1"/>
  <c r="AN417" i="8" s="1"/>
  <c r="T450" i="11"/>
  <c r="T444" i="11" s="1"/>
  <c r="S2611" i="8" s="1"/>
  <c r="T2611" i="8" s="1"/>
  <c r="T2613" i="8" s="1"/>
  <c r="AN2608" i="8" s="1"/>
  <c r="R367" i="11"/>
  <c r="R361" i="11" s="1"/>
  <c r="R582" i="11"/>
  <c r="R5521" i="8" s="1"/>
  <c r="R156" i="1" s="1"/>
  <c r="R253" i="11"/>
  <c r="R247" i="11" s="1"/>
  <c r="R351" i="11"/>
  <c r="R345" i="11" s="1"/>
  <c r="Q3691" i="8" s="1"/>
  <c r="R3691" i="8" s="1"/>
  <c r="R3693" i="8" s="1"/>
  <c r="R53" i="11"/>
  <c r="R45" i="11" s="1"/>
  <c r="T283" i="11"/>
  <c r="T277" i="11" s="1"/>
  <c r="S3670" i="8" s="1"/>
  <c r="T3670" i="8" s="1"/>
  <c r="T3672" i="8" s="1"/>
  <c r="AN3667" i="8" s="1"/>
  <c r="R442" i="11"/>
  <c r="R436" i="11" s="1"/>
  <c r="Q3649" i="8" s="1"/>
  <c r="R3649" i="8" s="1"/>
  <c r="R3651" i="8" s="1"/>
  <c r="R268" i="11"/>
  <c r="R515" i="11"/>
  <c r="R506" i="11" s="1"/>
  <c r="Q907" i="8" s="1"/>
  <c r="R907" i="8" s="1"/>
  <c r="T275" i="11"/>
  <c r="T270" i="11" s="1"/>
  <c r="S3732" i="8" s="1"/>
  <c r="T3732" i="8" s="1"/>
  <c r="T3734" i="8" s="1"/>
  <c r="AN3729" i="8" s="1"/>
  <c r="AM1079" i="8"/>
  <c r="AO1079" i="8" s="1"/>
  <c r="E1079" i="8"/>
  <c r="T548" i="11"/>
  <c r="T5487" i="8" s="1"/>
  <c r="T122" i="1" s="1"/>
  <c r="S122" i="1" s="1"/>
  <c r="T421" i="11"/>
  <c r="T415" i="11" s="1"/>
  <c r="S4128" i="8" s="1"/>
  <c r="T4128" i="8" s="1"/>
  <c r="T4130" i="8" s="1"/>
  <c r="AN4125" i="8" s="1"/>
  <c r="T374" i="11"/>
  <c r="T369" i="11" s="1"/>
  <c r="R546" i="11"/>
  <c r="R5485" i="8" s="1"/>
  <c r="R120" i="1" s="1"/>
  <c r="R169" i="11"/>
  <c r="T532" i="11"/>
  <c r="AM3607" i="8"/>
  <c r="AO3607" i="8" s="1"/>
  <c r="E3607" i="8"/>
  <c r="R548" i="11"/>
  <c r="R5487" i="8" s="1"/>
  <c r="R122" i="1" s="1"/>
  <c r="R216" i="11"/>
  <c r="Q587" i="8" s="1"/>
  <c r="R587" i="8" s="1"/>
  <c r="R589" i="8" s="1"/>
  <c r="AM584" i="8" s="1"/>
  <c r="E220" i="11"/>
  <c r="F220" i="11" s="1"/>
  <c r="T582" i="11"/>
  <c r="T5521" i="8" s="1"/>
  <c r="T156" i="1" s="1"/>
  <c r="S156" i="1" s="1"/>
  <c r="T469" i="11"/>
  <c r="T464" i="11" s="1"/>
  <c r="T169" i="11"/>
  <c r="T162" i="11" s="1"/>
  <c r="S469" i="8" s="1"/>
  <c r="T469" i="8" s="1"/>
  <c r="R397" i="11"/>
  <c r="R260" i="11"/>
  <c r="T442" i="11"/>
  <c r="T436" i="11" s="1"/>
  <c r="S3649" i="8" s="1"/>
  <c r="T3649" i="8" s="1"/>
  <c r="T3651" i="8" s="1"/>
  <c r="AN3646" i="8" s="1"/>
  <c r="T268" i="11"/>
  <c r="T262" i="11" s="1"/>
  <c r="S3705" i="8" s="1"/>
  <c r="T3705" i="8" s="1"/>
  <c r="T3707" i="8" s="1"/>
  <c r="AN3702" i="8" s="1"/>
  <c r="T515" i="11"/>
  <c r="T291" i="11"/>
  <c r="T336" i="11"/>
  <c r="T330" i="11" s="1"/>
  <c r="R133" i="11"/>
  <c r="R450" i="11"/>
  <c r="R73" i="11"/>
  <c r="T558" i="11"/>
  <c r="T5497" i="8" s="1"/>
  <c r="T132" i="1" s="1"/>
  <c r="S132" i="1" s="1"/>
  <c r="T208" i="11"/>
  <c r="T200" i="11" s="1"/>
  <c r="R103" i="11"/>
  <c r="T306" i="11"/>
  <c r="R43" i="11"/>
  <c r="R291" i="11"/>
  <c r="R285" i="11" s="1"/>
  <c r="Q1068" i="8" s="1"/>
  <c r="R1068" i="8" s="1"/>
  <c r="R1070" i="8" s="1"/>
  <c r="R336" i="11"/>
  <c r="T214" i="11"/>
  <c r="T210" i="11" s="1"/>
  <c r="R208" i="11"/>
  <c r="R558" i="11"/>
  <c r="R5497" i="8" s="1"/>
  <c r="R132" i="1" s="1"/>
  <c r="R306" i="11"/>
  <c r="R301" i="11" s="1"/>
  <c r="R421" i="11"/>
  <c r="R374" i="11"/>
  <c r="T574" i="11"/>
  <c r="T5513" i="8" s="1"/>
  <c r="T148" i="1" s="1"/>
  <c r="S148" i="1" s="1"/>
  <c r="T545" i="11"/>
  <c r="T5484" i="8" s="1"/>
  <c r="T119" i="1" s="1"/>
  <c r="S119" i="1" s="1"/>
  <c r="T522" i="11"/>
  <c r="T517" i="11" s="1"/>
  <c r="T123" i="11"/>
  <c r="T434" i="11"/>
  <c r="T429" i="11" s="1"/>
  <c r="T484" i="11"/>
  <c r="T478" i="11" s="1"/>
  <c r="S2048" i="8"/>
  <c r="T2048" i="8" s="1"/>
  <c r="T2050" i="8" s="1"/>
  <c r="S1514" i="8"/>
  <c r="T1514" i="8" s="1"/>
  <c r="T1516" i="8" s="1"/>
  <c r="S2604" i="8"/>
  <c r="T2604" i="8" s="1"/>
  <c r="T2606" i="8" s="1"/>
  <c r="S3131" i="8"/>
  <c r="T3131" i="8" s="1"/>
  <c r="T3133" i="8" s="1"/>
  <c r="R214" i="11"/>
  <c r="R283" i="11"/>
  <c r="T299" i="11"/>
  <c r="T293" i="11" s="1"/>
  <c r="S1075" i="8" s="1"/>
  <c r="T1075" i="8" s="1"/>
  <c r="T1077" i="8" s="1"/>
  <c r="AN1072" i="8" s="1"/>
  <c r="T178" i="11"/>
  <c r="T171" i="11" s="1"/>
  <c r="S478" i="8" s="1"/>
  <c r="T478" i="8" s="1"/>
  <c r="T413" i="11"/>
  <c r="T407" i="11" s="1"/>
  <c r="T93" i="11"/>
  <c r="T85" i="11" s="1"/>
  <c r="S4022" i="8" s="1"/>
  <c r="T4022" i="8" s="1"/>
  <c r="T4024" i="8" s="1"/>
  <c r="AN4019" i="8" s="1"/>
  <c r="T559" i="11"/>
  <c r="T33" i="11"/>
  <c r="T25" i="11" s="1"/>
  <c r="S302" i="8" s="1"/>
  <c r="T302" i="8" s="1"/>
  <c r="T304" i="8" s="1"/>
  <c r="AN584" i="8"/>
  <c r="R545" i="11"/>
  <c r="R434" i="11"/>
  <c r="R484" i="11"/>
  <c r="T553" i="11"/>
  <c r="T5492" i="8" s="1"/>
  <c r="T127" i="1" s="1"/>
  <c r="S127" i="1" s="1"/>
  <c r="T504" i="11"/>
  <c r="T495" i="11" s="1"/>
  <c r="S898" i="8" s="1"/>
  <c r="T898" i="8" s="1"/>
  <c r="T142" i="11"/>
  <c r="T135" i="11" s="1"/>
  <c r="T549" i="11"/>
  <c r="T5488" i="8" s="1"/>
  <c r="T123" i="1" s="1"/>
  <c r="S123" i="1" s="1"/>
  <c r="T343" i="11"/>
  <c r="R299" i="11"/>
  <c r="T536" i="11"/>
  <c r="T198" i="11"/>
  <c r="T180" i="11" s="1"/>
  <c r="R178" i="11"/>
  <c r="T15" i="11"/>
  <c r="S274" i="8" s="1"/>
  <c r="T274" i="8" s="1"/>
  <c r="R93" i="11"/>
  <c r="R559" i="11"/>
  <c r="R33" i="11"/>
  <c r="Q3145" i="8"/>
  <c r="R3145" i="8" s="1"/>
  <c r="R3147" i="8" s="1"/>
  <c r="Q2069" i="8"/>
  <c r="R2069" i="8" s="1"/>
  <c r="R2071" i="8" s="1"/>
  <c r="Q1528" i="8"/>
  <c r="R1528" i="8" s="1"/>
  <c r="R1530" i="8" s="1"/>
  <c r="Q2618" i="8"/>
  <c r="R2618" i="8" s="1"/>
  <c r="R2620" i="8" s="1"/>
  <c r="Q3663" i="8"/>
  <c r="R3663" i="8" s="1"/>
  <c r="R3665" i="8" s="1"/>
  <c r="T314" i="11"/>
  <c r="T308" i="11" s="1"/>
  <c r="S4135" i="8" s="1"/>
  <c r="T4135" i="8" s="1"/>
  <c r="T4137" i="8" s="1"/>
  <c r="AN4132" i="8" s="1"/>
  <c r="T476" i="11"/>
  <c r="T471" i="11" s="1"/>
  <c r="S646" i="8" s="1"/>
  <c r="T646" i="8" s="1"/>
  <c r="T648" i="8" s="1"/>
  <c r="AN643" i="8" s="1"/>
  <c r="T493" i="11"/>
  <c r="T486" i="11" s="1"/>
  <c r="R504" i="11"/>
  <c r="R553" i="11"/>
  <c r="R5492" i="8" s="1"/>
  <c r="R127" i="1" s="1"/>
  <c r="R142" i="11"/>
  <c r="R549" i="11"/>
  <c r="R5488" i="8" s="1"/>
  <c r="R123" i="1" s="1"/>
  <c r="R343" i="11"/>
  <c r="R338" i="11" s="1"/>
  <c r="Q2090" i="8" s="1"/>
  <c r="R2090" i="8" s="1"/>
  <c r="R2092" i="8" s="1"/>
  <c r="AM2087" i="8" s="1"/>
  <c r="R532" i="11"/>
  <c r="R198" i="11"/>
  <c r="R536" i="11"/>
  <c r="T546" i="11"/>
  <c r="T5485" i="8" s="1"/>
  <c r="T120" i="1" s="1"/>
  <c r="S120" i="1" s="1"/>
  <c r="Q1009" i="8"/>
  <c r="R1009" i="8" s="1"/>
  <c r="R1011" i="8" s="1"/>
  <c r="Q1468" i="8"/>
  <c r="R1468" i="8" s="1"/>
  <c r="R1470" i="8" s="1"/>
  <c r="Q4117" i="8"/>
  <c r="R4117" i="8" s="1"/>
  <c r="R4119" i="8" s="1"/>
  <c r="Q1995" i="8"/>
  <c r="R1995" i="8" s="1"/>
  <c r="R1997" i="8" s="1"/>
  <c r="Q3624" i="8"/>
  <c r="R3624" i="8" s="1"/>
  <c r="R3626" i="8" s="1"/>
  <c r="Q2572" i="8"/>
  <c r="R2572" i="8" s="1"/>
  <c r="R2574" i="8" s="1"/>
  <c r="Q594" i="8"/>
  <c r="R594" i="8" s="1"/>
  <c r="R596" i="8" s="1"/>
  <c r="Q3106" i="8"/>
  <c r="R3106" i="8" s="1"/>
  <c r="R3108" i="8" s="1"/>
  <c r="R574" i="11"/>
  <c r="R5513" i="8" s="1"/>
  <c r="R148" i="1" s="1"/>
  <c r="T253" i="11"/>
  <c r="T247" i="11" s="1"/>
  <c r="T351" i="11"/>
  <c r="T345" i="11" s="1"/>
  <c r="S3691" i="8" s="1"/>
  <c r="T3691" i="8" s="1"/>
  <c r="T3693" i="8" s="1"/>
  <c r="AN3688" i="8" s="1"/>
  <c r="T53" i="11"/>
  <c r="T45" i="11" s="1"/>
  <c r="R314" i="11"/>
  <c r="R476" i="11"/>
  <c r="Q1016" i="8"/>
  <c r="R1016" i="8" s="1"/>
  <c r="R1018" i="8" s="1"/>
  <c r="Q2002" i="8"/>
  <c r="R2002" i="8" s="1"/>
  <c r="R2004" i="8" s="1"/>
  <c r="Q601" i="8"/>
  <c r="R601" i="8" s="1"/>
  <c r="R603" i="8" s="1"/>
  <c r="R493" i="11"/>
  <c r="T113" i="11"/>
  <c r="T105" i="11" s="1"/>
  <c r="T389" i="11"/>
  <c r="T383" i="11" s="1"/>
  <c r="S626" i="8" s="1"/>
  <c r="T626" i="8" s="1"/>
  <c r="T628" i="8" s="1"/>
  <c r="T328" i="11"/>
  <c r="T160" i="11"/>
  <c r="T153" i="11" s="1"/>
  <c r="S460" i="8" s="1"/>
  <c r="T460" i="8" s="1"/>
  <c r="T63" i="11"/>
  <c r="T359" i="11"/>
  <c r="R15" i="11"/>
  <c r="Q274" i="8" s="1"/>
  <c r="R274" i="8" s="1"/>
  <c r="E23" i="11"/>
  <c r="F23" i="11" s="1"/>
  <c r="B23" i="11"/>
  <c r="T151" i="11"/>
  <c r="T144" i="11" s="1"/>
  <c r="S451" i="8" s="1"/>
  <c r="T451" i="8" s="1"/>
  <c r="T397" i="11"/>
  <c r="T391" i="11" s="1"/>
  <c r="T260" i="11"/>
  <c r="T255" i="11" s="1"/>
  <c r="T73" i="11"/>
  <c r="T65" i="11" s="1"/>
  <c r="Q1837" i="8"/>
  <c r="R1837" i="8" s="1"/>
  <c r="Q2968" i="8"/>
  <c r="R2968" i="8" s="1"/>
  <c r="Q2435" i="8"/>
  <c r="R2435" i="8" s="1"/>
  <c r="Q2424" i="8"/>
  <c r="R2424" i="8" s="1"/>
  <c r="Q1376" i="8"/>
  <c r="R1376" i="8" s="1"/>
  <c r="Q3522" i="8"/>
  <c r="R3522" i="8" s="1"/>
  <c r="T43" i="11"/>
  <c r="T35" i="11" s="1"/>
  <c r="R151" i="11"/>
  <c r="AJ5328" i="8"/>
  <c r="AK5328" i="8"/>
  <c r="F5336" i="8"/>
  <c r="E5330" i="8"/>
  <c r="T5328" i="8"/>
  <c r="T5373" i="8" s="1"/>
  <c r="T5379" i="8" s="1"/>
  <c r="AK4568" i="8"/>
  <c r="F5131" i="8"/>
  <c r="G57" i="38" s="1"/>
  <c r="F5216" i="8"/>
  <c r="E5210" i="8"/>
  <c r="T5208" i="8"/>
  <c r="AJ5208" i="8"/>
  <c r="AK5208" i="8"/>
  <c r="F4576" i="8"/>
  <c r="AJ5182" i="8"/>
  <c r="AK5182" i="8"/>
  <c r="F5190" i="8"/>
  <c r="E5184" i="8"/>
  <c r="T5182" i="8"/>
  <c r="AJ5166" i="8"/>
  <c r="AK5166" i="8"/>
  <c r="F5174" i="8"/>
  <c r="E5168" i="8"/>
  <c r="T5166" i="8"/>
  <c r="T4568" i="8"/>
  <c r="F5116" i="8"/>
  <c r="E5110" i="8"/>
  <c r="T5108" i="8"/>
  <c r="AJ5108" i="8"/>
  <c r="AK5108" i="8"/>
  <c r="F5100" i="8"/>
  <c r="E5094" i="8"/>
  <c r="T5092" i="8"/>
  <c r="AJ5092" i="8"/>
  <c r="AK5092" i="8"/>
  <c r="E5044" i="8"/>
  <c r="F5050" i="8"/>
  <c r="T5042" i="8"/>
  <c r="AJ5042" i="8"/>
  <c r="AK5042" i="8"/>
  <c r="F4869" i="8"/>
  <c r="G230" i="36" s="1"/>
  <c r="F5034" i="8"/>
  <c r="E5028" i="8"/>
  <c r="T5026" i="8"/>
  <c r="AJ5026" i="8"/>
  <c r="AK5026" i="8"/>
  <c r="F4914" i="8"/>
  <c r="E4908" i="8"/>
  <c r="T4906" i="8"/>
  <c r="AJ4906" i="8"/>
  <c r="AK4906" i="8"/>
  <c r="AJ4874" i="8"/>
  <c r="AK4874" i="8"/>
  <c r="F4860" i="8"/>
  <c r="E4854" i="8"/>
  <c r="T4852" i="8"/>
  <c r="F4882" i="8"/>
  <c r="E4876" i="8"/>
  <c r="T4874" i="8"/>
  <c r="AJ4852" i="8"/>
  <c r="AK4852" i="8"/>
  <c r="F4816" i="8"/>
  <c r="E4810" i="8"/>
  <c r="T4808" i="8"/>
  <c r="AJ4808" i="8"/>
  <c r="AK4808" i="8"/>
  <c r="AJ4770" i="8"/>
  <c r="AK4770" i="8"/>
  <c r="F4721" i="8"/>
  <c r="G172" i="36" s="1"/>
  <c r="F4778" i="8"/>
  <c r="E4772" i="8"/>
  <c r="T4770" i="8"/>
  <c r="B5443" i="8"/>
  <c r="F5449" i="8"/>
  <c r="B5449" i="8" s="1"/>
  <c r="F4740" i="8"/>
  <c r="E4734" i="8"/>
  <c r="T4732" i="8"/>
  <c r="AJ4732" i="8"/>
  <c r="AK4732" i="8"/>
  <c r="AJ4688" i="8"/>
  <c r="AK4688" i="8"/>
  <c r="F4696" i="8"/>
  <c r="E4690" i="8"/>
  <c r="T4688" i="8"/>
  <c r="F4658" i="8"/>
  <c r="E4652" i="8"/>
  <c r="T4650" i="8"/>
  <c r="AJ4650" i="8"/>
  <c r="AK4650" i="8"/>
  <c r="F4620" i="8"/>
  <c r="E4614" i="8"/>
  <c r="T4612" i="8"/>
  <c r="AJ4612" i="8"/>
  <c r="AK4612" i="8"/>
  <c r="F4636" i="8"/>
  <c r="E4630" i="8"/>
  <c r="T4628" i="8"/>
  <c r="AJ4628" i="8"/>
  <c r="AK4628" i="8"/>
  <c r="F4538" i="8"/>
  <c r="E4532" i="8"/>
  <c r="T4530" i="8"/>
  <c r="AJ4530" i="8"/>
  <c r="AK4530" i="8"/>
  <c r="E4488" i="8"/>
  <c r="F4494" i="8"/>
  <c r="T4486" i="8"/>
  <c r="AJ4486" i="8"/>
  <c r="AK4486" i="8"/>
  <c r="AJ4376" i="8"/>
  <c r="AK4376" i="8"/>
  <c r="E4378" i="8"/>
  <c r="F4384" i="8"/>
  <c r="T4376" i="8"/>
  <c r="F4431" i="8"/>
  <c r="G56" i="36" s="1"/>
  <c r="T27" i="1"/>
  <c r="A27" i="1" s="1"/>
  <c r="F4368" i="8"/>
  <c r="E4362" i="8"/>
  <c r="T4360" i="8"/>
  <c r="AJ4360" i="8"/>
  <c r="AK4360" i="8"/>
  <c r="B4307" i="8"/>
  <c r="AJ5457" i="8"/>
  <c r="T4228" i="8"/>
  <c r="B4228" i="8" s="1"/>
  <c r="T31" i="1"/>
  <c r="AJ5462" i="8"/>
  <c r="F31" i="1"/>
  <c r="B5462" i="8"/>
  <c r="AK125" i="8"/>
  <c r="F1560" i="8"/>
  <c r="T1560" i="8" s="1"/>
  <c r="AG1560" i="8"/>
  <c r="B1265" i="8"/>
  <c r="G501" i="33"/>
  <c r="H501" i="33" s="1"/>
  <c r="G117" i="38"/>
  <c r="B5406" i="8"/>
  <c r="G55" i="40"/>
  <c r="G288" i="36"/>
  <c r="G1787" i="33"/>
  <c r="H1787" i="33" s="1"/>
  <c r="B141" i="8"/>
  <c r="G97" i="32"/>
  <c r="G55" i="39"/>
  <c r="AK4268" i="8"/>
  <c r="AK605" i="8"/>
  <c r="AK786" i="8"/>
  <c r="AK4330" i="8"/>
  <c r="B5458" i="8"/>
  <c r="AK5086" i="8"/>
  <c r="F5412" i="8"/>
  <c r="B5412" i="8" s="1"/>
  <c r="AK4726" i="8"/>
  <c r="E27" i="1"/>
  <c r="F26" i="1"/>
  <c r="B5457" i="8"/>
  <c r="F5379" i="8"/>
  <c r="H213" i="31"/>
  <c r="H201" i="31"/>
  <c r="AK4506" i="8"/>
  <c r="AK4518" i="8"/>
  <c r="AK2763" i="8"/>
  <c r="AK5156" i="8"/>
  <c r="AK4960" i="8"/>
  <c r="AK4846" i="8"/>
  <c r="AK5074" i="8"/>
  <c r="AK4398" i="8"/>
  <c r="AK78" i="8"/>
  <c r="AK4802" i="8"/>
  <c r="AK4644" i="8"/>
  <c r="AK5392" i="8"/>
  <c r="AK213" i="8"/>
  <c r="AK4950" i="8"/>
  <c r="AK4606" i="8"/>
  <c r="AK4480" i="8"/>
  <c r="F5009" i="8"/>
  <c r="B5009" i="8" s="1"/>
  <c r="B5003" i="8"/>
  <c r="AK4336" i="8"/>
  <c r="AK32" i="8"/>
  <c r="AK4293" i="8"/>
  <c r="AK4512" i="8"/>
  <c r="F147" i="8"/>
  <c r="B147" i="8" s="1"/>
  <c r="B85" i="8"/>
  <c r="AK25" i="8"/>
  <c r="B258" i="8"/>
  <c r="AK798" i="8"/>
  <c r="AK111" i="8"/>
  <c r="AK118" i="8"/>
  <c r="H11" i="31"/>
  <c r="AK2812" i="8"/>
  <c r="AK45" i="8"/>
  <c r="AK1712" i="8"/>
  <c r="AK72" i="8"/>
  <c r="AK853" i="8"/>
  <c r="AK3920" i="8"/>
  <c r="AK1239" i="8"/>
  <c r="AK3975" i="8"/>
  <c r="AK3861" i="8"/>
  <c r="AK174" i="8"/>
  <c r="AK3879" i="8"/>
  <c r="AK2787" i="8"/>
  <c r="AK2305" i="8"/>
  <c r="AK3709" i="8"/>
  <c r="AK3364" i="8"/>
  <c r="AK194" i="8"/>
  <c r="AK774" i="8"/>
  <c r="AK3309" i="8"/>
  <c r="AK1222" i="8"/>
  <c r="AK835" i="8"/>
  <c r="AK3911" i="8"/>
  <c r="AK2260" i="8"/>
  <c r="AK3843" i="8"/>
  <c r="AK1702" i="8"/>
  <c r="AK2769" i="8"/>
  <c r="AK3614" i="8"/>
  <c r="AK4167" i="8"/>
  <c r="AK2775" i="8"/>
  <c r="AK1986" i="8"/>
  <c r="AK1216" i="8"/>
  <c r="AK3849" i="8"/>
  <c r="AK3966" i="8"/>
  <c r="AK2266" i="8"/>
  <c r="AK3939" i="8"/>
  <c r="AK1228" i="8"/>
  <c r="AK3325" i="8"/>
  <c r="AK2822" i="8"/>
  <c r="AK4156" i="8"/>
  <c r="AK3831" i="8"/>
  <c r="AK4180" i="8"/>
  <c r="AK2650" i="8"/>
  <c r="E25" i="1" l="1"/>
  <c r="A25" i="1"/>
  <c r="B25" i="1"/>
  <c r="S1521" i="8"/>
  <c r="T1521" i="8" s="1"/>
  <c r="T1523" i="8" s="1"/>
  <c r="AN1518" i="8" s="1"/>
  <c r="S3656" i="8"/>
  <c r="T3656" i="8" s="1"/>
  <c r="T3658" i="8" s="1"/>
  <c r="AN3653" i="8" s="1"/>
  <c r="S3080" i="8"/>
  <c r="T3080" i="8" s="1"/>
  <c r="T3082" i="8" s="1"/>
  <c r="T3090" i="8" s="1"/>
  <c r="AN3074" i="8" s="1"/>
  <c r="S3591" i="8"/>
  <c r="T3591" i="8" s="1"/>
  <c r="T3594" i="8" s="1"/>
  <c r="T3601" i="8" s="1"/>
  <c r="AN3585" i="8" s="1"/>
  <c r="Q3080" i="8"/>
  <c r="R3080" i="8" s="1"/>
  <c r="R3082" i="8" s="1"/>
  <c r="R3090" i="8" s="1"/>
  <c r="Q3591" i="8"/>
  <c r="R3591" i="8" s="1"/>
  <c r="R3594" i="8" s="1"/>
  <c r="S2547" i="8"/>
  <c r="T2547" i="8" s="1"/>
  <c r="T2549" i="8" s="1"/>
  <c r="T2557" i="8" s="1"/>
  <c r="AN2541" i="8" s="1"/>
  <c r="S3062" i="8"/>
  <c r="T3062" i="8" s="1"/>
  <c r="T3065" i="8" s="1"/>
  <c r="T3072" i="8" s="1"/>
  <c r="AN3056" i="8" s="1"/>
  <c r="Q2547" i="8"/>
  <c r="R2547" i="8" s="1"/>
  <c r="R2549" i="8" s="1"/>
  <c r="AG2549" i="8" s="1"/>
  <c r="AG2541" i="8" s="1"/>
  <c r="Q3062" i="8"/>
  <c r="R3062" i="8" s="1"/>
  <c r="R3065" i="8" s="1"/>
  <c r="S1970" i="8"/>
  <c r="T1970" i="8" s="1"/>
  <c r="T1972" i="8" s="1"/>
  <c r="T1980" i="8" s="1"/>
  <c r="AN1964" i="8" s="1"/>
  <c r="S2529" i="8"/>
  <c r="T2529" i="8" s="1"/>
  <c r="T2532" i="8" s="1"/>
  <c r="T2539" i="8" s="1"/>
  <c r="AN2523" i="8" s="1"/>
  <c r="Q1970" i="8"/>
  <c r="R1970" i="8" s="1"/>
  <c r="R1972" i="8" s="1"/>
  <c r="R1980" i="8" s="1"/>
  <c r="Q2529" i="8"/>
  <c r="R2529" i="8" s="1"/>
  <c r="R2532" i="8" s="1"/>
  <c r="S2062" i="8"/>
  <c r="T2062" i="8" s="1"/>
  <c r="T2064" i="8" s="1"/>
  <c r="AN2059" i="8" s="1"/>
  <c r="S1443" i="8"/>
  <c r="T1443" i="8" s="1"/>
  <c r="T1445" i="8" s="1"/>
  <c r="T1453" i="8" s="1"/>
  <c r="AN1437" i="8" s="1"/>
  <c r="S1952" i="8"/>
  <c r="T1952" i="8" s="1"/>
  <c r="T1955" i="8" s="1"/>
  <c r="T1962" i="8" s="1"/>
  <c r="AN1946" i="8" s="1"/>
  <c r="Q1443" i="8"/>
  <c r="R1443" i="8" s="1"/>
  <c r="R1445" i="8" s="1"/>
  <c r="R1453" i="8" s="1"/>
  <c r="Q1952" i="8"/>
  <c r="R1952" i="8" s="1"/>
  <c r="R1955" i="8" s="1"/>
  <c r="S984" i="8"/>
  <c r="T984" i="8" s="1"/>
  <c r="T986" i="8" s="1"/>
  <c r="T994" i="8" s="1"/>
  <c r="AN978" i="8" s="1"/>
  <c r="S1425" i="8"/>
  <c r="T1425" i="8" s="1"/>
  <c r="T1428" i="8" s="1"/>
  <c r="T1435" i="8" s="1"/>
  <c r="AN1419" i="8" s="1"/>
  <c r="Q984" i="8"/>
  <c r="R984" i="8" s="1"/>
  <c r="R986" i="8" s="1"/>
  <c r="AG986" i="8" s="1"/>
  <c r="AG978" i="8" s="1"/>
  <c r="Q1425" i="8"/>
  <c r="R1425" i="8" s="1"/>
  <c r="R1428" i="8" s="1"/>
  <c r="S2034" i="8"/>
  <c r="T2034" i="8" s="1"/>
  <c r="T2036" i="8" s="1"/>
  <c r="AN2031" i="8" s="1"/>
  <c r="E83" i="11"/>
  <c r="F83" i="11" s="1"/>
  <c r="S1500" i="8"/>
  <c r="T1500" i="8" s="1"/>
  <c r="T1502" i="8" s="1"/>
  <c r="AN1497" i="8" s="1"/>
  <c r="S3138" i="8"/>
  <c r="T3138" i="8" s="1"/>
  <c r="T3140" i="8" s="1"/>
  <c r="AN3135" i="8" s="1"/>
  <c r="S1041" i="8"/>
  <c r="T1041" i="8" s="1"/>
  <c r="T1043" i="8" s="1"/>
  <c r="AN1038" i="8" s="1"/>
  <c r="R75" i="11"/>
  <c r="E405" i="11"/>
  <c r="F405" i="11" s="1"/>
  <c r="S2590" i="8"/>
  <c r="T2590" i="8" s="1"/>
  <c r="T2592" i="8" s="1"/>
  <c r="AN2587" i="8" s="1"/>
  <c r="E245" i="11"/>
  <c r="F245" i="11" s="1"/>
  <c r="S3124" i="8"/>
  <c r="T3124" i="8" s="1"/>
  <c r="T3126" i="8" s="1"/>
  <c r="AN3121" i="8" s="1"/>
  <c r="S2020" i="8"/>
  <c r="T2020" i="8" s="1"/>
  <c r="T2022" i="8" s="1"/>
  <c r="AN2017" i="8" s="1"/>
  <c r="E381" i="11"/>
  <c r="F381" i="11" s="1"/>
  <c r="B5373" i="8"/>
  <c r="S413" i="8"/>
  <c r="T413" i="8" s="1"/>
  <c r="T415" i="8" s="1"/>
  <c r="AN410" i="8" s="1"/>
  <c r="E367" i="11"/>
  <c r="F367" i="11" s="1"/>
  <c r="S3642" i="8"/>
  <c r="T3642" i="8" s="1"/>
  <c r="T3644" i="8" s="1"/>
  <c r="AN3639" i="8" s="1"/>
  <c r="S1486" i="8"/>
  <c r="T1486" i="8" s="1"/>
  <c r="T1488" i="8" s="1"/>
  <c r="AN1483" i="8" s="1"/>
  <c r="E413" i="11"/>
  <c r="F413" i="11" s="1"/>
  <c r="Q1089" i="8"/>
  <c r="R1089" i="8" s="1"/>
  <c r="R1091" i="8" s="1"/>
  <c r="AM1086" i="8" s="1"/>
  <c r="Q2097" i="8"/>
  <c r="R2097" i="8" s="1"/>
  <c r="R2099" i="8" s="1"/>
  <c r="AM2094" i="8" s="1"/>
  <c r="E584" i="8"/>
  <c r="AG584" i="8" s="1"/>
  <c r="Q653" i="8"/>
  <c r="R653" i="8" s="1"/>
  <c r="R655" i="8" s="1"/>
  <c r="AM650" i="8" s="1"/>
  <c r="S883" i="8"/>
  <c r="T883" i="8" s="1"/>
  <c r="T885" i="8" s="1"/>
  <c r="AN880" i="8" s="1"/>
  <c r="S1763" i="8"/>
  <c r="T1763" i="8" s="1"/>
  <c r="T1765" i="8" s="1"/>
  <c r="AN1760" i="8" s="1"/>
  <c r="S1576" i="8"/>
  <c r="T1576" i="8" s="1"/>
  <c r="T1578" i="8" s="1"/>
  <c r="AN1573" i="8" s="1"/>
  <c r="S660" i="8"/>
  <c r="T660" i="8" s="1"/>
  <c r="T662" i="8" s="1"/>
  <c r="AN657" i="8" s="1"/>
  <c r="Q3677" i="8"/>
  <c r="R3677" i="8" s="1"/>
  <c r="R3679" i="8" s="1"/>
  <c r="AM3674" i="8" s="1"/>
  <c r="S2876" i="8"/>
  <c r="T2876" i="8" s="1"/>
  <c r="T2878" i="8" s="1"/>
  <c r="AN2873" i="8" s="1"/>
  <c r="S406" i="8"/>
  <c r="T406" i="8" s="1"/>
  <c r="T408" i="8" s="1"/>
  <c r="AN403" i="8" s="1"/>
  <c r="Q2632" i="8"/>
  <c r="R2632" i="8" s="1"/>
  <c r="R2634" i="8" s="1"/>
  <c r="AM2629" i="8" s="1"/>
  <c r="F1051" i="8"/>
  <c r="T1051" i="8" s="1"/>
  <c r="AG1051" i="8"/>
  <c r="AI1051" i="8" s="1"/>
  <c r="AJ1051" i="8" s="1"/>
  <c r="AO584" i="8"/>
  <c r="Q1542" i="8"/>
  <c r="R1542" i="8" s="1"/>
  <c r="R1544" i="8" s="1"/>
  <c r="AM1539" i="8" s="1"/>
  <c r="R399" i="11"/>
  <c r="Q1500" i="8" s="1"/>
  <c r="R1500" i="8" s="1"/>
  <c r="R1502" i="8" s="1"/>
  <c r="S688" i="8"/>
  <c r="T688" i="8" s="1"/>
  <c r="T690" i="8" s="1"/>
  <c r="AN685" i="8" s="1"/>
  <c r="E268" i="11"/>
  <c r="F268" i="11" s="1"/>
  <c r="R533" i="11"/>
  <c r="S1749" i="8"/>
  <c r="T1749" i="8" s="1"/>
  <c r="T1751" i="8" s="1"/>
  <c r="AN1746" i="8" s="1"/>
  <c r="S2339" i="8"/>
  <c r="T2339" i="8" s="1"/>
  <c r="T2341" i="8" s="1"/>
  <c r="AN2336" i="8" s="1"/>
  <c r="R262" i="11"/>
  <c r="Q3705" i="8" s="1"/>
  <c r="R3705" i="8" s="1"/>
  <c r="R3707" i="8" s="1"/>
  <c r="AM3702" i="8" s="1"/>
  <c r="AO3702" i="8" s="1"/>
  <c r="S3397" i="8"/>
  <c r="T3397" i="8" s="1"/>
  <c r="T3399" i="8" s="1"/>
  <c r="AN3394" i="8" s="1"/>
  <c r="S2332" i="8"/>
  <c r="T2332" i="8" s="1"/>
  <c r="T2334" i="8" s="1"/>
  <c r="AN2329" i="8" s="1"/>
  <c r="S3390" i="8"/>
  <c r="T3390" i="8" s="1"/>
  <c r="T3392" i="8" s="1"/>
  <c r="AN3387" i="8" s="1"/>
  <c r="S2869" i="8"/>
  <c r="T2869" i="8" s="1"/>
  <c r="T2871" i="8" s="1"/>
  <c r="AN2866" i="8" s="1"/>
  <c r="S2325" i="8"/>
  <c r="T2325" i="8" s="1"/>
  <c r="T2327" i="8" s="1"/>
  <c r="AN2322" i="8" s="1"/>
  <c r="S1118" i="8"/>
  <c r="T1118" i="8" s="1"/>
  <c r="T1120" i="8" s="1"/>
  <c r="AN1115" i="8" s="1"/>
  <c r="S1756" i="8"/>
  <c r="T1756" i="8" s="1"/>
  <c r="T1758" i="8" s="1"/>
  <c r="AN1753" i="8" s="1"/>
  <c r="S2151" i="8"/>
  <c r="T2151" i="8" s="1"/>
  <c r="T2153" i="8" s="1"/>
  <c r="AN2148" i="8" s="1"/>
  <c r="S2672" i="8"/>
  <c r="T2672" i="8" s="1"/>
  <c r="T2674" i="8" s="1"/>
  <c r="AN2669" i="8" s="1"/>
  <c r="S2862" i="8"/>
  <c r="T2862" i="8" s="1"/>
  <c r="T2864" i="8" s="1"/>
  <c r="AN2859" i="8" s="1"/>
  <c r="E351" i="11"/>
  <c r="F351" i="11" s="1"/>
  <c r="E522" i="11"/>
  <c r="F522" i="11" s="1"/>
  <c r="E160" i="11"/>
  <c r="F160" i="11" s="1"/>
  <c r="S3194" i="8"/>
  <c r="T3194" i="8" s="1"/>
  <c r="T3196" i="8" s="1"/>
  <c r="AN3191" i="8" s="1"/>
  <c r="B5379" i="8"/>
  <c r="E275" i="11"/>
  <c r="F275" i="11" s="1"/>
  <c r="E469" i="11"/>
  <c r="F469" i="11" s="1"/>
  <c r="F5289" i="8"/>
  <c r="E253" i="11"/>
  <c r="F253" i="11" s="1"/>
  <c r="AM3688" i="8"/>
  <c r="AO3688" i="8" s="1"/>
  <c r="E3688" i="8"/>
  <c r="S2027" i="8"/>
  <c r="T2027" i="8" s="1"/>
  <c r="T2029" i="8" s="1"/>
  <c r="AN2024" i="8" s="1"/>
  <c r="S1027" i="8"/>
  <c r="T1027" i="8" s="1"/>
  <c r="T1029" i="8" s="1"/>
  <c r="AN1024" i="8" s="1"/>
  <c r="S1493" i="8"/>
  <c r="T1493" i="8" s="1"/>
  <c r="T1495" i="8" s="1"/>
  <c r="AN1490" i="8" s="1"/>
  <c r="T353" i="11"/>
  <c r="E359" i="11"/>
  <c r="F359" i="11" s="1"/>
  <c r="AM1999" i="8"/>
  <c r="AO1999" i="8" s="1"/>
  <c r="E1999" i="8"/>
  <c r="AM3103" i="8"/>
  <c r="AO3103" i="8" s="1"/>
  <c r="E3103" i="8"/>
  <c r="R135" i="11"/>
  <c r="E142" i="11"/>
  <c r="F142" i="11" s="1"/>
  <c r="AM1525" i="8"/>
  <c r="AO1525" i="8" s="1"/>
  <c r="E1525" i="8"/>
  <c r="AM2066" i="8"/>
  <c r="AO2066" i="8" s="1"/>
  <c r="E2066" i="8"/>
  <c r="R144" i="11"/>
  <c r="Q451" i="8" s="1"/>
  <c r="R451" i="8" s="1"/>
  <c r="E151" i="11"/>
  <c r="F151" i="11" s="1"/>
  <c r="Q3642" i="8"/>
  <c r="R3642" i="8" s="1"/>
  <c r="R3644" i="8" s="1"/>
  <c r="Q2020" i="8"/>
  <c r="R2020" i="8" s="1"/>
  <c r="R2022" i="8" s="1"/>
  <c r="Q619" i="8"/>
  <c r="R619" i="8" s="1"/>
  <c r="R621" i="8" s="1"/>
  <c r="AM616" i="8" s="1"/>
  <c r="Q2590" i="8"/>
  <c r="R2590" i="8" s="1"/>
  <c r="R2592" i="8" s="1"/>
  <c r="Q3124" i="8"/>
  <c r="R3124" i="8" s="1"/>
  <c r="R3126" i="8" s="1"/>
  <c r="Q1486" i="8"/>
  <c r="R1486" i="8" s="1"/>
  <c r="R1488" i="8" s="1"/>
  <c r="Q1507" i="8"/>
  <c r="R1507" i="8" s="1"/>
  <c r="R1509" i="8" s="1"/>
  <c r="Q2041" i="8"/>
  <c r="R2041" i="8" s="1"/>
  <c r="R2043" i="8" s="1"/>
  <c r="AM1013" i="8"/>
  <c r="AO1013" i="8" s="1"/>
  <c r="E1013" i="8"/>
  <c r="S2144" i="8"/>
  <c r="T2144" i="8" s="1"/>
  <c r="T2146" i="8" s="1"/>
  <c r="AN2141" i="8" s="1"/>
  <c r="S1111" i="8"/>
  <c r="T1111" i="8" s="1"/>
  <c r="T1113" i="8" s="1"/>
  <c r="AN1108" i="8" s="1"/>
  <c r="S681" i="8"/>
  <c r="T681" i="8" s="1"/>
  <c r="T683" i="8" s="1"/>
  <c r="AN678" i="8" s="1"/>
  <c r="AM598" i="8"/>
  <c r="AO598" i="8" s="1"/>
  <c r="E598" i="8"/>
  <c r="T55" i="11"/>
  <c r="E63" i="11"/>
  <c r="F63" i="11" s="1"/>
  <c r="AM591" i="8"/>
  <c r="AO591" i="8" s="1"/>
  <c r="E591" i="8"/>
  <c r="E306" i="11"/>
  <c r="F306" i="11" s="1"/>
  <c r="T301" i="11"/>
  <c r="E291" i="11"/>
  <c r="F291" i="11" s="1"/>
  <c r="T285" i="11"/>
  <c r="S1068" i="8" s="1"/>
  <c r="T1068" i="8" s="1"/>
  <c r="T1070" i="8" s="1"/>
  <c r="AN1065" i="8" s="1"/>
  <c r="S3635" i="8"/>
  <c r="T3635" i="8" s="1"/>
  <c r="T3637" i="8" s="1"/>
  <c r="AN3632" i="8" s="1"/>
  <c r="S3117" i="8"/>
  <c r="T3117" i="8" s="1"/>
  <c r="T3119" i="8" s="1"/>
  <c r="AN3114" i="8" s="1"/>
  <c r="S1479" i="8"/>
  <c r="T1479" i="8" s="1"/>
  <c r="T1481" i="8" s="1"/>
  <c r="AN1476" i="8" s="1"/>
  <c r="S2583" i="8"/>
  <c r="T2583" i="8" s="1"/>
  <c r="T2585" i="8" s="1"/>
  <c r="AN2580" i="8" s="1"/>
  <c r="S2013" i="8"/>
  <c r="T2013" i="8" s="1"/>
  <c r="T2015" i="8" s="1"/>
  <c r="AN2010" i="8" s="1"/>
  <c r="S4056" i="8"/>
  <c r="T4056" i="8" s="1"/>
  <c r="T4058" i="8" s="1"/>
  <c r="AN4053" i="8" s="1"/>
  <c r="S4049" i="8"/>
  <c r="T4049" i="8" s="1"/>
  <c r="T4051" i="8" s="1"/>
  <c r="AN4046" i="8" s="1"/>
  <c r="S4042" i="8"/>
  <c r="T4042" i="8" s="1"/>
  <c r="T4044" i="8" s="1"/>
  <c r="AN4039" i="8" s="1"/>
  <c r="E328" i="11"/>
  <c r="F328" i="11" s="1"/>
  <c r="T322" i="11"/>
  <c r="R308" i="11"/>
  <c r="Q4135" i="8" s="1"/>
  <c r="R4135" i="8" s="1"/>
  <c r="R4137" i="8" s="1"/>
  <c r="E314" i="11"/>
  <c r="F314" i="11" s="1"/>
  <c r="AM3621" i="8"/>
  <c r="AO3621" i="8" s="1"/>
  <c r="E3621" i="8"/>
  <c r="R593" i="11"/>
  <c r="R535" i="11"/>
  <c r="R5475" i="8"/>
  <c r="S1612" i="8"/>
  <c r="T1612" i="8" s="1"/>
  <c r="T1615" i="8" s="1"/>
  <c r="AN1609" i="8" s="1"/>
  <c r="S727" i="8"/>
  <c r="T727" i="8" s="1"/>
  <c r="T730" i="8" s="1"/>
  <c r="AN724" i="8" s="1"/>
  <c r="S3754" i="8"/>
  <c r="T3754" i="8" s="1"/>
  <c r="T3757" i="8" s="1"/>
  <c r="AN3751" i="8" s="1"/>
  <c r="S2694" i="8"/>
  <c r="T2694" i="8" s="1"/>
  <c r="T2697" i="8" s="1"/>
  <c r="AN2691" i="8" s="1"/>
  <c r="S3262" i="8"/>
  <c r="T3262" i="8" s="1"/>
  <c r="T3265" i="8" s="1"/>
  <c r="AN3259" i="8" s="1"/>
  <c r="S2181" i="8"/>
  <c r="T2181" i="8" s="1"/>
  <c r="T2184" i="8" s="1"/>
  <c r="AN2178" i="8" s="1"/>
  <c r="S1644" i="8"/>
  <c r="T1644" i="8" s="1"/>
  <c r="T1647" i="8" s="1"/>
  <c r="AN1641" i="8" s="1"/>
  <c r="S1189" i="8"/>
  <c r="T1189" i="8" s="1"/>
  <c r="T1192" i="8" s="1"/>
  <c r="AN1186" i="8" s="1"/>
  <c r="S719" i="8"/>
  <c r="T719" i="8" s="1"/>
  <c r="T722" i="8" s="1"/>
  <c r="AN716" i="8" s="1"/>
  <c r="S3802" i="8"/>
  <c r="T3802" i="8" s="1"/>
  <c r="T3805" i="8" s="1"/>
  <c r="AN3799" i="8" s="1"/>
  <c r="S2718" i="8"/>
  <c r="T2718" i="8" s="1"/>
  <c r="T2721" i="8" s="1"/>
  <c r="AN2715" i="8" s="1"/>
  <c r="S2710" i="8"/>
  <c r="T2710" i="8" s="1"/>
  <c r="T2713" i="8" s="1"/>
  <c r="AN2707" i="8" s="1"/>
  <c r="S1620" i="8"/>
  <c r="T1620" i="8" s="1"/>
  <c r="T1623" i="8" s="1"/>
  <c r="AN1617" i="8" s="1"/>
  <c r="S1149" i="8"/>
  <c r="T1149" i="8" s="1"/>
  <c r="T1152" i="8" s="1"/>
  <c r="AN1146" i="8" s="1"/>
  <c r="S1141" i="8"/>
  <c r="T1141" i="8" s="1"/>
  <c r="T1144" i="8" s="1"/>
  <c r="AN1138" i="8" s="1"/>
  <c r="S711" i="8"/>
  <c r="T711" i="8" s="1"/>
  <c r="T714" i="8" s="1"/>
  <c r="AN708" i="8" s="1"/>
  <c r="S3786" i="8"/>
  <c r="T3786" i="8" s="1"/>
  <c r="T3789" i="8" s="1"/>
  <c r="AN3783" i="8" s="1"/>
  <c r="S2702" i="8"/>
  <c r="T2702" i="8" s="1"/>
  <c r="T2705" i="8" s="1"/>
  <c r="AN2699" i="8" s="1"/>
  <c r="S2189" i="8"/>
  <c r="T2189" i="8" s="1"/>
  <c r="T2192" i="8" s="1"/>
  <c r="AN2186" i="8" s="1"/>
  <c r="S1157" i="8"/>
  <c r="T1157" i="8" s="1"/>
  <c r="T1160" i="8" s="1"/>
  <c r="AN1154" i="8" s="1"/>
  <c r="S703" i="8"/>
  <c r="T703" i="8" s="1"/>
  <c r="T706" i="8" s="1"/>
  <c r="AN700" i="8" s="1"/>
  <c r="S3810" i="8"/>
  <c r="T3810" i="8" s="1"/>
  <c r="T3813" i="8" s="1"/>
  <c r="AN3807" i="8" s="1"/>
  <c r="S3230" i="8"/>
  <c r="T3230" i="8" s="1"/>
  <c r="T3233" i="8" s="1"/>
  <c r="AN3227" i="8" s="1"/>
  <c r="S2205" i="8"/>
  <c r="T2205" i="8" s="1"/>
  <c r="T2208" i="8" s="1"/>
  <c r="AN2202" i="8" s="1"/>
  <c r="S1173" i="8"/>
  <c r="T1173" i="8" s="1"/>
  <c r="T1176" i="8" s="1"/>
  <c r="AN1170" i="8" s="1"/>
  <c r="S735" i="8"/>
  <c r="T735" i="8" s="1"/>
  <c r="T738" i="8" s="1"/>
  <c r="AN732" i="8" s="1"/>
  <c r="S3770" i="8"/>
  <c r="T3770" i="8" s="1"/>
  <c r="T3773" i="8" s="1"/>
  <c r="AN3767" i="8" s="1"/>
  <c r="S3222" i="8"/>
  <c r="T3222" i="8" s="1"/>
  <c r="T3225" i="8" s="1"/>
  <c r="AN3219" i="8" s="1"/>
  <c r="S2742" i="8"/>
  <c r="T2742" i="8" s="1"/>
  <c r="T2745" i="8" s="1"/>
  <c r="AN2739" i="8" s="1"/>
  <c r="S2213" i="8"/>
  <c r="T2213" i="8" s="1"/>
  <c r="T2216" i="8" s="1"/>
  <c r="AN2210" i="8" s="1"/>
  <c r="S1628" i="8"/>
  <c r="T1628" i="8" s="1"/>
  <c r="T1631" i="8" s="1"/>
  <c r="AN1625" i="8" s="1"/>
  <c r="S1181" i="8"/>
  <c r="T1181" i="8" s="1"/>
  <c r="T1184" i="8" s="1"/>
  <c r="AN1178" i="8" s="1"/>
  <c r="S3794" i="8"/>
  <c r="T3794" i="8" s="1"/>
  <c r="T3797" i="8" s="1"/>
  <c r="AN3791" i="8" s="1"/>
  <c r="S2734" i="8"/>
  <c r="T2734" i="8" s="1"/>
  <c r="T2737" i="8" s="1"/>
  <c r="AN2731" i="8" s="1"/>
  <c r="S2726" i="8"/>
  <c r="T2726" i="8" s="1"/>
  <c r="T2729" i="8" s="1"/>
  <c r="AN2723" i="8" s="1"/>
  <c r="S2173" i="8"/>
  <c r="T2173" i="8" s="1"/>
  <c r="T2176" i="8" s="1"/>
  <c r="AN2170" i="8" s="1"/>
  <c r="S1604" i="8"/>
  <c r="T1604" i="8" s="1"/>
  <c r="T1607" i="8" s="1"/>
  <c r="AN1601" i="8" s="1"/>
  <c r="S1197" i="8"/>
  <c r="T1197" i="8" s="1"/>
  <c r="T1200" i="8" s="1"/>
  <c r="AN1194" i="8" s="1"/>
  <c r="S3762" i="8"/>
  <c r="T3762" i="8" s="1"/>
  <c r="T3765" i="8" s="1"/>
  <c r="AN3759" i="8" s="1"/>
  <c r="S3246" i="8"/>
  <c r="T3246" i="8" s="1"/>
  <c r="T3249" i="8" s="1"/>
  <c r="AN3243" i="8" s="1"/>
  <c r="S3238" i="8"/>
  <c r="T3238" i="8" s="1"/>
  <c r="T3241" i="8" s="1"/>
  <c r="AN3235" i="8" s="1"/>
  <c r="S2221" i="8"/>
  <c r="T2221" i="8" s="1"/>
  <c r="T2224" i="8" s="1"/>
  <c r="AN2218" i="8" s="1"/>
  <c r="S1165" i="8"/>
  <c r="T1165" i="8" s="1"/>
  <c r="T1168" i="8" s="1"/>
  <c r="AN1162" i="8" s="1"/>
  <c r="S3778" i="8"/>
  <c r="T3778" i="8" s="1"/>
  <c r="T3781" i="8" s="1"/>
  <c r="AN3775" i="8" s="1"/>
  <c r="S3270" i="8"/>
  <c r="T3270" i="8" s="1"/>
  <c r="T3273" i="8" s="1"/>
  <c r="AN3267" i="8" s="1"/>
  <c r="S3254" i="8"/>
  <c r="T3254" i="8" s="1"/>
  <c r="T3257" i="8" s="1"/>
  <c r="AN3251" i="8" s="1"/>
  <c r="S2197" i="8"/>
  <c r="T2197" i="8" s="1"/>
  <c r="T2200" i="8" s="1"/>
  <c r="AN2194" i="8" s="1"/>
  <c r="S1636" i="8"/>
  <c r="T1636" i="8" s="1"/>
  <c r="T1639" i="8" s="1"/>
  <c r="AN1633" i="8" s="1"/>
  <c r="S1133" i="8"/>
  <c r="T1133" i="8" s="1"/>
  <c r="T1136" i="8" s="1"/>
  <c r="AN1130" i="8" s="1"/>
  <c r="S743" i="8"/>
  <c r="T743" i="8" s="1"/>
  <c r="T746" i="8" s="1"/>
  <c r="AN740" i="8" s="1"/>
  <c r="E33" i="11"/>
  <c r="F33" i="11" s="1"/>
  <c r="R25" i="11"/>
  <c r="Q302" i="8" s="1"/>
  <c r="R302" i="8" s="1"/>
  <c r="R304" i="8" s="1"/>
  <c r="AM299" i="8" s="1"/>
  <c r="Q3152" i="8"/>
  <c r="R3152" i="8" s="1"/>
  <c r="R3154" i="8" s="1"/>
  <c r="Q2083" i="8"/>
  <c r="R2083" i="8" s="1"/>
  <c r="R2085" i="8" s="1"/>
  <c r="Q2625" i="8"/>
  <c r="R2625" i="8" s="1"/>
  <c r="R2627" i="8" s="1"/>
  <c r="E103" i="11"/>
  <c r="F103" i="11" s="1"/>
  <c r="R95" i="11"/>
  <c r="T506" i="11"/>
  <c r="S907" i="8" s="1"/>
  <c r="T907" i="8" s="1"/>
  <c r="E515" i="11"/>
  <c r="F515" i="11" s="1"/>
  <c r="T5475" i="8"/>
  <c r="T593" i="11"/>
  <c r="T535" i="11"/>
  <c r="R429" i="11"/>
  <c r="E434" i="11"/>
  <c r="F434" i="11" s="1"/>
  <c r="AM664" i="8"/>
  <c r="AO664" i="8" s="1"/>
  <c r="E664" i="8"/>
  <c r="E283" i="11"/>
  <c r="F283" i="11" s="1"/>
  <c r="R277" i="11"/>
  <c r="Q3670" i="8" s="1"/>
  <c r="R3670" i="8" s="1"/>
  <c r="R3672" i="8" s="1"/>
  <c r="T115" i="11"/>
  <c r="E123" i="11"/>
  <c r="F123" i="11" s="1"/>
  <c r="Q4142" i="8"/>
  <c r="R4142" i="8" s="1"/>
  <c r="R4144" i="8" s="1"/>
  <c r="Q2665" i="8"/>
  <c r="R2665" i="8" s="1"/>
  <c r="R2667" i="8" s="1"/>
  <c r="Q2137" i="8"/>
  <c r="R2137" i="8" s="1"/>
  <c r="R2139" i="8" s="1"/>
  <c r="Q674" i="8"/>
  <c r="R674" i="8" s="1"/>
  <c r="R676" i="8" s="1"/>
  <c r="Q1104" i="8"/>
  <c r="R1104" i="8" s="1"/>
  <c r="R1106" i="8" s="1"/>
  <c r="Q3725" i="8"/>
  <c r="R3725" i="8" s="1"/>
  <c r="R3727" i="8" s="1"/>
  <c r="Q3187" i="8"/>
  <c r="R3187" i="8" s="1"/>
  <c r="R3189" i="8" s="1"/>
  <c r="Q1569" i="8"/>
  <c r="R1569" i="8" s="1"/>
  <c r="R1571" i="8" s="1"/>
  <c r="AM1566" i="8" s="1"/>
  <c r="E299" i="11"/>
  <c r="F299" i="11" s="1"/>
  <c r="R293" i="11"/>
  <c r="Q1075" i="8" s="1"/>
  <c r="R1075" i="8" s="1"/>
  <c r="R1077" i="8" s="1"/>
  <c r="R210" i="11"/>
  <c r="E214" i="11"/>
  <c r="F214" i="11" s="1"/>
  <c r="S3042" i="8"/>
  <c r="T3042" i="8" s="1"/>
  <c r="S3033" i="8"/>
  <c r="T3033" i="8" s="1"/>
  <c r="S2515" i="8"/>
  <c r="T2515" i="8" s="1"/>
  <c r="S1923" i="8"/>
  <c r="T1923" i="8" s="1"/>
  <c r="S1396" i="8"/>
  <c r="T1396" i="8" s="1"/>
  <c r="S1405" i="8"/>
  <c r="T1405" i="8" s="1"/>
  <c r="S3577" i="8"/>
  <c r="T3577" i="8" s="1"/>
  <c r="S961" i="8"/>
  <c r="T961" i="8" s="1"/>
  <c r="S2506" i="8"/>
  <c r="T2506" i="8" s="1"/>
  <c r="S970" i="8"/>
  <c r="T970" i="8" s="1"/>
  <c r="S1932" i="8"/>
  <c r="T1932" i="8" s="1"/>
  <c r="E93" i="11"/>
  <c r="F93" i="11" s="1"/>
  <c r="R85" i="11"/>
  <c r="Q4022" i="8" s="1"/>
  <c r="R4022" i="8" s="1"/>
  <c r="R4024" i="8" s="1"/>
  <c r="AM1006" i="8"/>
  <c r="AO1006" i="8" s="1"/>
  <c r="E1006" i="8"/>
  <c r="R5484" i="8"/>
  <c r="R119" i="1" s="1"/>
  <c r="R594" i="11"/>
  <c r="Q2672" i="8"/>
  <c r="R2672" i="8" s="1"/>
  <c r="R2674" i="8" s="1"/>
  <c r="Q1118" i="8"/>
  <c r="R1118" i="8" s="1"/>
  <c r="R1120" i="8" s="1"/>
  <c r="Q2151" i="8"/>
  <c r="R2151" i="8" s="1"/>
  <c r="R2153" i="8" s="1"/>
  <c r="Q3732" i="8"/>
  <c r="R3732" i="8" s="1"/>
  <c r="R3734" i="8" s="1"/>
  <c r="Q3194" i="8"/>
  <c r="R3194" i="8" s="1"/>
  <c r="R3196" i="8" s="1"/>
  <c r="Q1576" i="8"/>
  <c r="R1576" i="8" s="1"/>
  <c r="R1578" i="8" s="1"/>
  <c r="Q688" i="8"/>
  <c r="R688" i="8" s="1"/>
  <c r="R690" i="8" s="1"/>
  <c r="AN2601" i="8"/>
  <c r="AO2601" i="8" s="1"/>
  <c r="E2601" i="8"/>
  <c r="AM3156" i="8"/>
  <c r="AM2615" i="8"/>
  <c r="AO2615" i="8" s="1"/>
  <c r="E2615" i="8"/>
  <c r="S1780" i="8"/>
  <c r="T1780" i="8" s="1"/>
  <c r="S462" i="8"/>
  <c r="T462" i="8" s="1"/>
  <c r="T464" i="8" s="1"/>
  <c r="AN457" i="8" s="1"/>
  <c r="S444" i="8"/>
  <c r="T444" i="8" s="1"/>
  <c r="S480" i="8"/>
  <c r="T480" i="8" s="1"/>
  <c r="T482" i="8" s="1"/>
  <c r="S471" i="8"/>
  <c r="T471" i="8" s="1"/>
  <c r="T473" i="8" s="1"/>
  <c r="AN466" i="8" s="1"/>
  <c r="S909" i="8"/>
  <c r="T909" i="8" s="1"/>
  <c r="S453" i="8"/>
  <c r="T453" i="8" s="1"/>
  <c r="T455" i="8" s="1"/>
  <c r="AN448" i="8" s="1"/>
  <c r="S900" i="8"/>
  <c r="T900" i="8" s="1"/>
  <c r="T902" i="8" s="1"/>
  <c r="AN895" i="8" s="1"/>
  <c r="R478" i="11"/>
  <c r="E484" i="11"/>
  <c r="F484" i="11" s="1"/>
  <c r="T5498" i="8"/>
  <c r="T595" i="11"/>
  <c r="S2055" i="8"/>
  <c r="T2055" i="8" s="1"/>
  <c r="T2057" i="8" s="1"/>
  <c r="AN2052" i="8" s="1"/>
  <c r="S1034" i="8"/>
  <c r="T1034" i="8" s="1"/>
  <c r="T1036" i="8" s="1"/>
  <c r="AN1031" i="8" s="1"/>
  <c r="E43" i="11"/>
  <c r="F43" i="11" s="1"/>
  <c r="R35" i="11"/>
  <c r="S1549" i="8"/>
  <c r="T1549" i="8" s="1"/>
  <c r="T1551" i="8" s="1"/>
  <c r="AN1546" i="8" s="1"/>
  <c r="S3684" i="8"/>
  <c r="T3684" i="8" s="1"/>
  <c r="T3686" i="8" s="1"/>
  <c r="AN3681" i="8" s="1"/>
  <c r="S3166" i="8"/>
  <c r="T3166" i="8" s="1"/>
  <c r="T3168" i="8" s="1"/>
  <c r="AN3163" i="8" s="1"/>
  <c r="S2639" i="8"/>
  <c r="T2639" i="8" s="1"/>
  <c r="T2641" i="8" s="1"/>
  <c r="AN2636" i="8" s="1"/>
  <c r="S2110" i="8"/>
  <c r="T2110" i="8" s="1"/>
  <c r="T2112" i="8" s="1"/>
  <c r="AN2107" i="8" s="1"/>
  <c r="E404" i="33"/>
  <c r="F404" i="33" s="1"/>
  <c r="F1079" i="8"/>
  <c r="T1079" i="8" s="1"/>
  <c r="AG1079" i="8"/>
  <c r="S295" i="8"/>
  <c r="T295" i="8" s="1"/>
  <c r="T297" i="8" s="1"/>
  <c r="AN292" i="8" s="1"/>
  <c r="S288" i="8"/>
  <c r="T288" i="8" s="1"/>
  <c r="T290" i="8" s="1"/>
  <c r="AN285" i="8" s="1"/>
  <c r="S281" i="8"/>
  <c r="T281" i="8" s="1"/>
  <c r="R471" i="11"/>
  <c r="Q646" i="8" s="1"/>
  <c r="R646" i="8" s="1"/>
  <c r="R648" i="8" s="1"/>
  <c r="E476" i="11"/>
  <c r="F476" i="11" s="1"/>
  <c r="AM2569" i="8"/>
  <c r="AO2569" i="8" s="1"/>
  <c r="E2569" i="8"/>
  <c r="E504" i="11"/>
  <c r="F504" i="11" s="1"/>
  <c r="R495" i="11"/>
  <c r="Q898" i="8" s="1"/>
  <c r="R898" i="8" s="1"/>
  <c r="AM3142" i="8"/>
  <c r="AO3142" i="8" s="1"/>
  <c r="E3142" i="8"/>
  <c r="E343" i="11"/>
  <c r="F343" i="11" s="1"/>
  <c r="T338" i="11"/>
  <c r="S2090" i="8" s="1"/>
  <c r="T2090" i="8" s="1"/>
  <c r="T2092" i="8" s="1"/>
  <c r="Q1932" i="8"/>
  <c r="R1932" i="8" s="1"/>
  <c r="Q961" i="8"/>
  <c r="R961" i="8" s="1"/>
  <c r="Q3042" i="8"/>
  <c r="R3042" i="8" s="1"/>
  <c r="Q1396" i="8"/>
  <c r="R1396" i="8" s="1"/>
  <c r="Q3033" i="8"/>
  <c r="R3033" i="8" s="1"/>
  <c r="Q1405" i="8"/>
  <c r="R1405" i="8" s="1"/>
  <c r="Q1923" i="8"/>
  <c r="R1923" i="8" s="1"/>
  <c r="Q970" i="8"/>
  <c r="R970" i="8" s="1"/>
  <c r="Q2515" i="8"/>
  <c r="R2515" i="8" s="1"/>
  <c r="Q3577" i="8"/>
  <c r="R3577" i="8" s="1"/>
  <c r="Q2506" i="8"/>
  <c r="R2506" i="8" s="1"/>
  <c r="E3128" i="8"/>
  <c r="AN3128" i="8"/>
  <c r="AO3128" i="8" s="1"/>
  <c r="E208" i="11"/>
  <c r="F208" i="11" s="1"/>
  <c r="R200" i="11"/>
  <c r="S3537" i="8"/>
  <c r="T3537" i="8" s="1"/>
  <c r="T3539" i="8" s="1"/>
  <c r="AN3534" i="8" s="1"/>
  <c r="S3040" i="8"/>
  <c r="T3040" i="8" s="1"/>
  <c r="S3500" i="8"/>
  <c r="T3500" i="8" s="1"/>
  <c r="S2929" i="8"/>
  <c r="T2929" i="8" s="1"/>
  <c r="T2931" i="8" s="1"/>
  <c r="AN2926" i="8" s="1"/>
  <c r="S3278" i="8"/>
  <c r="T3278" i="8" s="1"/>
  <c r="T3281" i="8" s="1"/>
  <c r="AN3275" i="8" s="1"/>
  <c r="S2420" i="8"/>
  <c r="T2420" i="8" s="1"/>
  <c r="S2413" i="8"/>
  <c r="T2413" i="8" s="1"/>
  <c r="T2415" i="8" s="1"/>
  <c r="AN2410" i="8" s="1"/>
  <c r="S4106" i="8"/>
  <c r="T4106" i="8" s="1"/>
  <c r="T4108" i="8" s="1"/>
  <c r="AN4103" i="8" s="1"/>
  <c r="S3478" i="8"/>
  <c r="T3478" i="8" s="1"/>
  <c r="T3481" i="8" s="1"/>
  <c r="AN3475" i="8" s="1"/>
  <c r="S3486" i="8"/>
  <c r="T3486" i="8" s="1"/>
  <c r="T3488" i="8" s="1"/>
  <c r="AN3483" i="8" s="1"/>
  <c r="S2990" i="8"/>
  <c r="T2990" i="8" s="1"/>
  <c r="T2992" i="8" s="1"/>
  <c r="AN2987" i="8" s="1"/>
  <c r="S3558" i="8"/>
  <c r="T3558" i="8" s="1"/>
  <c r="T3560" i="8" s="1"/>
  <c r="AN3555" i="8" s="1"/>
  <c r="S2915" i="8"/>
  <c r="T2915" i="8" s="1"/>
  <c r="T2917" i="8" s="1"/>
  <c r="AN2912" i="8" s="1"/>
  <c r="S2487" i="8"/>
  <c r="T2487" i="8" s="1"/>
  <c r="T2489" i="8" s="1"/>
  <c r="AN2484" i="8" s="1"/>
  <c r="S2406" i="8"/>
  <c r="T2406" i="8" s="1"/>
  <c r="T2408" i="8" s="1"/>
  <c r="AN2403" i="8" s="1"/>
  <c r="S2399" i="8"/>
  <c r="T2399" i="8" s="1"/>
  <c r="T2401" i="8" s="1"/>
  <c r="AN2396" i="8" s="1"/>
  <c r="S1819" i="8"/>
  <c r="T1819" i="8" s="1"/>
  <c r="T1821" i="8" s="1"/>
  <c r="AN1816" i="8" s="1"/>
  <c r="S3818" i="8"/>
  <c r="T3818" i="8" s="1"/>
  <c r="T3821" i="8" s="1"/>
  <c r="AN3815" i="8" s="1"/>
  <c r="S3457" i="8"/>
  <c r="T3457" i="8" s="1"/>
  <c r="T3459" i="8" s="1"/>
  <c r="AN3454" i="8" s="1"/>
  <c r="S3443" i="8"/>
  <c r="T3443" i="8" s="1"/>
  <c r="T3445" i="8" s="1"/>
  <c r="AN3440" i="8" s="1"/>
  <c r="S3544" i="8"/>
  <c r="T3544" i="8" s="1"/>
  <c r="T3546" i="8" s="1"/>
  <c r="AN3541" i="8" s="1"/>
  <c r="S3031" i="8"/>
  <c r="T3031" i="8" s="1"/>
  <c r="S2901" i="8"/>
  <c r="T2901" i="8" s="1"/>
  <c r="T2903" i="8" s="1"/>
  <c r="AN2898" i="8" s="1"/>
  <c r="S2513" i="8"/>
  <c r="T2513" i="8" s="1"/>
  <c r="S2392" i="8"/>
  <c r="T2392" i="8" s="1"/>
  <c r="T2394" i="8" s="1"/>
  <c r="AN2389" i="8" s="1"/>
  <c r="S2385" i="8"/>
  <c r="T2385" i="8" s="1"/>
  <c r="T2387" i="8" s="1"/>
  <c r="AN2382" i="8" s="1"/>
  <c r="S1812" i="8"/>
  <c r="T1812" i="8" s="1"/>
  <c r="T1814" i="8" s="1"/>
  <c r="AN1809" i="8" s="1"/>
  <c r="S1873" i="8"/>
  <c r="T1873" i="8" s="1"/>
  <c r="T1875" i="8" s="1"/>
  <c r="AN1870" i="8" s="1"/>
  <c r="S4097" i="8"/>
  <c r="T4097" i="8" s="1"/>
  <c r="S3020" i="8"/>
  <c r="T3020" i="8" s="1"/>
  <c r="T3022" i="8" s="1"/>
  <c r="AN3017" i="8" s="1"/>
  <c r="S2964" i="8"/>
  <c r="T2964" i="8" s="1"/>
  <c r="S3529" i="8"/>
  <c r="T3529" i="8" s="1"/>
  <c r="T3532" i="8" s="1"/>
  <c r="AN3526" i="8" s="1"/>
  <c r="S3575" i="8"/>
  <c r="T3575" i="8" s="1"/>
  <c r="S3471" i="8"/>
  <c r="T3471" i="8" s="1"/>
  <c r="T3473" i="8" s="1"/>
  <c r="AN3468" i="8" s="1"/>
  <c r="S2504" i="8"/>
  <c r="T2504" i="8" s="1"/>
  <c r="S2378" i="8"/>
  <c r="T2378" i="8" s="1"/>
  <c r="T2380" i="8" s="1"/>
  <c r="AN2375" i="8" s="1"/>
  <c r="S2371" i="8"/>
  <c r="T2371" i="8" s="1"/>
  <c r="T2373" i="8" s="1"/>
  <c r="AN2368" i="8" s="1"/>
  <c r="S1930" i="8"/>
  <c r="T1930" i="8" s="1"/>
  <c r="S1851" i="8"/>
  <c r="T1851" i="8" s="1"/>
  <c r="T1853" i="8" s="1"/>
  <c r="AN1848" i="8" s="1"/>
  <c r="S2997" i="8"/>
  <c r="T2997" i="8" s="1"/>
  <c r="T2999" i="8" s="1"/>
  <c r="AN2994" i="8" s="1"/>
  <c r="S2936" i="8"/>
  <c r="T2936" i="8" s="1"/>
  <c r="T2938" i="8" s="1"/>
  <c r="AN2933" i="8" s="1"/>
  <c r="S3464" i="8"/>
  <c r="T3464" i="8" s="1"/>
  <c r="T3466" i="8" s="1"/>
  <c r="AN3461" i="8" s="1"/>
  <c r="S2975" i="8"/>
  <c r="T2975" i="8" s="1"/>
  <c r="T2978" i="8" s="1"/>
  <c r="AN2972" i="8" s="1"/>
  <c r="S3436" i="8"/>
  <c r="T3436" i="8" s="1"/>
  <c r="T3438" i="8" s="1"/>
  <c r="AN3433" i="8" s="1"/>
  <c r="S2466" i="8"/>
  <c r="T2466" i="8" s="1"/>
  <c r="T2468" i="8" s="1"/>
  <c r="AN2463" i="8" s="1"/>
  <c r="S2473" i="8"/>
  <c r="T2473" i="8" s="1"/>
  <c r="T2475" i="8" s="1"/>
  <c r="AN2470" i="8" s="1"/>
  <c r="S1910" i="8"/>
  <c r="T1910" i="8" s="1"/>
  <c r="T1912" i="8" s="1"/>
  <c r="AN1907" i="8" s="1"/>
  <c r="S1652" i="8"/>
  <c r="T1652" i="8" s="1"/>
  <c r="T1655" i="8" s="1"/>
  <c r="AN1649" i="8" s="1"/>
  <c r="S1833" i="8"/>
  <c r="T1833" i="8" s="1"/>
  <c r="S3004" i="8"/>
  <c r="T3004" i="8" s="1"/>
  <c r="T3006" i="8" s="1"/>
  <c r="AN3001" i="8" s="1"/>
  <c r="S2957" i="8"/>
  <c r="T2957" i="8" s="1"/>
  <c r="T2959" i="8" s="1"/>
  <c r="AN2954" i="8" s="1"/>
  <c r="S2364" i="8"/>
  <c r="T2364" i="8" s="1"/>
  <c r="T2366" i="8" s="1"/>
  <c r="AN2361" i="8" s="1"/>
  <c r="S1880" i="8"/>
  <c r="T1880" i="8" s="1"/>
  <c r="T1882" i="8" s="1"/>
  <c r="AN1877" i="8" s="1"/>
  <c r="S1826" i="8"/>
  <c r="T1826" i="8" s="1"/>
  <c r="T1828" i="8" s="1"/>
  <c r="AN1823" i="8" s="1"/>
  <c r="S1344" i="8"/>
  <c r="T1344" i="8" s="1"/>
  <c r="T1346" i="8" s="1"/>
  <c r="AN1341" i="8" s="1"/>
  <c r="S1336" i="8"/>
  <c r="T1336" i="8" s="1"/>
  <c r="T1339" i="8" s="1"/>
  <c r="AN1333" i="8" s="1"/>
  <c r="S2950" i="8"/>
  <c r="T2950" i="8" s="1"/>
  <c r="T2952" i="8" s="1"/>
  <c r="AN2947" i="8" s="1"/>
  <c r="S2943" i="8"/>
  <c r="T2943" i="8" s="1"/>
  <c r="T2945" i="8" s="1"/>
  <c r="AN2940" i="8" s="1"/>
  <c r="S2459" i="8"/>
  <c r="T2459" i="8" s="1"/>
  <c r="T2461" i="8" s="1"/>
  <c r="AN2456" i="8" s="1"/>
  <c r="S1858" i="8"/>
  <c r="T1858" i="8" s="1"/>
  <c r="T1860" i="8" s="1"/>
  <c r="AN1855" i="8" s="1"/>
  <c r="S1894" i="8"/>
  <c r="T1894" i="8" s="1"/>
  <c r="T1896" i="8" s="1"/>
  <c r="AN1891" i="8" s="1"/>
  <c r="S1327" i="8"/>
  <c r="T1327" i="8" s="1"/>
  <c r="S1292" i="8"/>
  <c r="T1292" i="8" s="1"/>
  <c r="T1294" i="8" s="1"/>
  <c r="AN1289" i="8" s="1"/>
  <c r="S941" i="8"/>
  <c r="T941" i="8" s="1"/>
  <c r="T943" i="8" s="1"/>
  <c r="AN938" i="8" s="1"/>
  <c r="S549" i="8"/>
  <c r="T549" i="8" s="1"/>
  <c r="S1805" i="8"/>
  <c r="T1805" i="8" s="1"/>
  <c r="T1807" i="8" s="1"/>
  <c r="AN1802" i="8" s="1"/>
  <c r="S2922" i="8"/>
  <c r="T2922" i="8" s="1"/>
  <c r="T2924" i="8" s="1"/>
  <c r="AN2919" i="8" s="1"/>
  <c r="S3450" i="8"/>
  <c r="T3450" i="8" s="1"/>
  <c r="T3452" i="8" s="1"/>
  <c r="AN3447" i="8" s="1"/>
  <c r="S2431" i="8"/>
  <c r="T2431" i="8" s="1"/>
  <c r="S1844" i="8"/>
  <c r="T1844" i="8" s="1"/>
  <c r="T1846" i="8" s="1"/>
  <c r="AN1841" i="8" s="1"/>
  <c r="S1313" i="8"/>
  <c r="T1313" i="8" s="1"/>
  <c r="T1315" i="8" s="1"/>
  <c r="AN1310" i="8" s="1"/>
  <c r="S1320" i="8"/>
  <c r="T1320" i="8" s="1"/>
  <c r="T1322" i="8" s="1"/>
  <c r="AN1317" i="8" s="1"/>
  <c r="S948" i="8"/>
  <c r="T948" i="8" s="1"/>
  <c r="T950" i="8" s="1"/>
  <c r="AN945" i="8" s="1"/>
  <c r="S512" i="8"/>
  <c r="T512" i="8" s="1"/>
  <c r="T514" i="8" s="1"/>
  <c r="AN509" i="8" s="1"/>
  <c r="S3011" i="8"/>
  <c r="T3011" i="8" s="1"/>
  <c r="S3551" i="8"/>
  <c r="T3551" i="8" s="1"/>
  <c r="T3553" i="8" s="1"/>
  <c r="AN3548" i="8" s="1"/>
  <c r="S1096" i="8"/>
  <c r="T1096" i="8" s="1"/>
  <c r="T1099" i="8" s="1"/>
  <c r="AN1093" i="8" s="1"/>
  <c r="S1285" i="8"/>
  <c r="T1285" i="8" s="1"/>
  <c r="T1287" i="8" s="1"/>
  <c r="AN1282" i="8" s="1"/>
  <c r="S505" i="8"/>
  <c r="T505" i="8" s="1"/>
  <c r="T507" i="8" s="1"/>
  <c r="AN502" i="8" s="1"/>
  <c r="S2908" i="8"/>
  <c r="T2908" i="8" s="1"/>
  <c r="T2910" i="8" s="1"/>
  <c r="AN2905" i="8" s="1"/>
  <c r="S2750" i="8"/>
  <c r="T2750" i="8" s="1"/>
  <c r="T2753" i="8" s="1"/>
  <c r="AN2747" i="8" s="1"/>
  <c r="S2229" i="8"/>
  <c r="T2229" i="8" s="1"/>
  <c r="T2232" i="8" s="1"/>
  <c r="AN2226" i="8" s="1"/>
  <c r="S1901" i="8"/>
  <c r="T1901" i="8" s="1"/>
  <c r="S1383" i="8"/>
  <c r="T1383" i="8" s="1"/>
  <c r="T1385" i="8" s="1"/>
  <c r="AN1380" i="8" s="1"/>
  <c r="S1351" i="8"/>
  <c r="T1351" i="8" s="1"/>
  <c r="T1353" i="8" s="1"/>
  <c r="AN1348" i="8" s="1"/>
  <c r="S934" i="8"/>
  <c r="T934" i="8" s="1"/>
  <c r="T936" i="8" s="1"/>
  <c r="AN931" i="8" s="1"/>
  <c r="S567" i="8"/>
  <c r="T567" i="8" s="1"/>
  <c r="S533" i="8"/>
  <c r="T533" i="8" s="1"/>
  <c r="T535" i="8" s="1"/>
  <c r="AN530" i="8" s="1"/>
  <c r="S3493" i="8"/>
  <c r="T3493" i="8" s="1"/>
  <c r="T3495" i="8" s="1"/>
  <c r="AN3490" i="8" s="1"/>
  <c r="S3518" i="8"/>
  <c r="T3518" i="8" s="1"/>
  <c r="S1921" i="8"/>
  <c r="T1921" i="8" s="1"/>
  <c r="S1403" i="8"/>
  <c r="T1403" i="8" s="1"/>
  <c r="S968" i="8"/>
  <c r="T968" i="8" s="1"/>
  <c r="S1299" i="8"/>
  <c r="T1299" i="8" s="1"/>
  <c r="T1301" i="8" s="1"/>
  <c r="AN1296" i="8" s="1"/>
  <c r="S959" i="8"/>
  <c r="T959" i="8" s="1"/>
  <c r="S540" i="8"/>
  <c r="T540" i="8" s="1"/>
  <c r="S4088" i="8"/>
  <c r="T4088" i="8" s="1"/>
  <c r="S3429" i="8"/>
  <c r="T3429" i="8" s="1"/>
  <c r="T3431" i="8" s="1"/>
  <c r="AN3426" i="8" s="1"/>
  <c r="S2480" i="8"/>
  <c r="T2480" i="8" s="1"/>
  <c r="T2482" i="8" s="1"/>
  <c r="AN2477" i="8" s="1"/>
  <c r="S1865" i="8"/>
  <c r="T1865" i="8" s="1"/>
  <c r="T1868" i="8" s="1"/>
  <c r="AN1862" i="8" s="1"/>
  <c r="S1394" i="8"/>
  <c r="T1394" i="8" s="1"/>
  <c r="S1358" i="8"/>
  <c r="T1358" i="8" s="1"/>
  <c r="T1360" i="8" s="1"/>
  <c r="AN1355" i="8" s="1"/>
  <c r="S1365" i="8"/>
  <c r="T1365" i="8" s="1"/>
  <c r="T1367" i="8" s="1"/>
  <c r="AN1362" i="8" s="1"/>
  <c r="S526" i="8"/>
  <c r="T526" i="8" s="1"/>
  <c r="T528" i="8" s="1"/>
  <c r="AN523" i="8" s="1"/>
  <c r="S2451" i="8"/>
  <c r="T2451" i="8" s="1"/>
  <c r="T2454" i="8" s="1"/>
  <c r="AN2448" i="8" s="1"/>
  <c r="S2983" i="8"/>
  <c r="T2983" i="8" s="1"/>
  <c r="T2985" i="8" s="1"/>
  <c r="AN2980" i="8" s="1"/>
  <c r="S3509" i="8"/>
  <c r="T3509" i="8" s="1"/>
  <c r="S2442" i="8"/>
  <c r="T2442" i="8" s="1"/>
  <c r="S1887" i="8"/>
  <c r="T1887" i="8" s="1"/>
  <c r="T1889" i="8" s="1"/>
  <c r="AN1884" i="8" s="1"/>
  <c r="S1372" i="8"/>
  <c r="T1372" i="8" s="1"/>
  <c r="S1306" i="8"/>
  <c r="T1306" i="8" s="1"/>
  <c r="T1308" i="8" s="1"/>
  <c r="AN1303" i="8" s="1"/>
  <c r="S519" i="8"/>
  <c r="T519" i="8" s="1"/>
  <c r="T521" i="8" s="1"/>
  <c r="AN516" i="8" s="1"/>
  <c r="S576" i="8"/>
  <c r="T576" i="8" s="1"/>
  <c r="T578" i="8" s="1"/>
  <c r="AN573" i="8" s="1"/>
  <c r="S558" i="8"/>
  <c r="T558" i="8" s="1"/>
  <c r="S2076" i="8"/>
  <c r="T2076" i="8" s="1"/>
  <c r="T2078" i="8" s="1"/>
  <c r="AN2073" i="8" s="1"/>
  <c r="S1535" i="8"/>
  <c r="T1535" i="8" s="1"/>
  <c r="T1537" i="8" s="1"/>
  <c r="AN1532" i="8" s="1"/>
  <c r="S633" i="8"/>
  <c r="T633" i="8" s="1"/>
  <c r="T635" i="8" s="1"/>
  <c r="S1061" i="8"/>
  <c r="T1061" i="8" s="1"/>
  <c r="T1063" i="8" s="1"/>
  <c r="AN1058" i="8" s="1"/>
  <c r="E1472" i="33"/>
  <c r="F1472" i="33" s="1"/>
  <c r="AG3607" i="8"/>
  <c r="F3607" i="8"/>
  <c r="T3607" i="8" s="1"/>
  <c r="Q316" i="8"/>
  <c r="R316" i="8" s="1"/>
  <c r="R318" i="8" s="1"/>
  <c r="Q330" i="8"/>
  <c r="R330" i="8" s="1"/>
  <c r="R332" i="8" s="1"/>
  <c r="Q427" i="8"/>
  <c r="R427" i="8" s="1"/>
  <c r="R429" i="8" s="1"/>
  <c r="Q323" i="8"/>
  <c r="R323" i="8" s="1"/>
  <c r="R325" i="8" s="1"/>
  <c r="AN616" i="8"/>
  <c r="T594" i="11"/>
  <c r="E389" i="11"/>
  <c r="F389" i="11" s="1"/>
  <c r="T118" i="1"/>
  <c r="T5533" i="8"/>
  <c r="E53" i="11"/>
  <c r="F53" i="11" s="1"/>
  <c r="E442" i="11"/>
  <c r="F442" i="11" s="1"/>
  <c r="E623" i="8"/>
  <c r="AN623" i="8"/>
  <c r="AO623" i="8" s="1"/>
  <c r="S344" i="8"/>
  <c r="T344" i="8" s="1"/>
  <c r="T346" i="8" s="1"/>
  <c r="AN341" i="8" s="1"/>
  <c r="S309" i="8"/>
  <c r="T309" i="8" s="1"/>
  <c r="T311" i="8" s="1"/>
  <c r="AM1992" i="8"/>
  <c r="AO1992" i="8" s="1"/>
  <c r="E1992" i="8"/>
  <c r="E198" i="11"/>
  <c r="F198" i="11" s="1"/>
  <c r="R180" i="11"/>
  <c r="R5498" i="8"/>
  <c r="R595" i="11"/>
  <c r="T533" i="11"/>
  <c r="S1778" i="8"/>
  <c r="T1778" i="8" s="1"/>
  <c r="S442" i="8"/>
  <c r="T442" i="8" s="1"/>
  <c r="AN1511" i="8"/>
  <c r="AO1511" i="8" s="1"/>
  <c r="E1511" i="8"/>
  <c r="E374" i="11"/>
  <c r="F374" i="11" s="1"/>
  <c r="R369" i="11"/>
  <c r="S2444" i="8"/>
  <c r="T2444" i="8" s="1"/>
  <c r="S2422" i="8"/>
  <c r="T2422" i="8" s="1"/>
  <c r="S1903" i="8"/>
  <c r="T1903" i="8" s="1"/>
  <c r="S4090" i="8"/>
  <c r="T4090" i="8" s="1"/>
  <c r="S3520" i="8"/>
  <c r="T3520" i="8" s="1"/>
  <c r="S1835" i="8"/>
  <c r="T1835" i="8" s="1"/>
  <c r="S2966" i="8"/>
  <c r="T2966" i="8" s="1"/>
  <c r="S3511" i="8"/>
  <c r="T3511" i="8" s="1"/>
  <c r="S1374" i="8"/>
  <c r="T1374" i="8" s="1"/>
  <c r="S3013" i="8"/>
  <c r="T3013" i="8" s="1"/>
  <c r="S2433" i="8"/>
  <c r="T2433" i="8" s="1"/>
  <c r="S569" i="8"/>
  <c r="T569" i="8" s="1"/>
  <c r="S542" i="8"/>
  <c r="T542" i="8" s="1"/>
  <c r="S560" i="8"/>
  <c r="T560" i="8" s="1"/>
  <c r="S4099" i="8"/>
  <c r="T4099" i="8" s="1"/>
  <c r="S3502" i="8"/>
  <c r="T3502" i="8" s="1"/>
  <c r="S1329" i="8"/>
  <c r="T1329" i="8" s="1"/>
  <c r="S551" i="8"/>
  <c r="T551" i="8" s="1"/>
  <c r="R65" i="11"/>
  <c r="E73" i="11"/>
  <c r="F73" i="11" s="1"/>
  <c r="R255" i="11"/>
  <c r="E260" i="11"/>
  <c r="F260" i="11" s="1"/>
  <c r="Q2117" i="8"/>
  <c r="R2117" i="8" s="1"/>
  <c r="R2119" i="8" s="1"/>
  <c r="Q3698" i="8"/>
  <c r="R3698" i="8" s="1"/>
  <c r="R3700" i="8" s="1"/>
  <c r="Q2646" i="8"/>
  <c r="R2646" i="8" s="1"/>
  <c r="R2648" i="8" s="1"/>
  <c r="Q3173" i="8"/>
  <c r="R3173" i="8" s="1"/>
  <c r="R3175" i="8" s="1"/>
  <c r="Q1556" i="8"/>
  <c r="R1556" i="8" s="1"/>
  <c r="R1558" i="8" s="1"/>
  <c r="AM1553" i="8" s="1"/>
  <c r="E169" i="11"/>
  <c r="F169" i="11" s="1"/>
  <c r="R162" i="11"/>
  <c r="Q469" i="8" s="1"/>
  <c r="R469" i="8" s="1"/>
  <c r="Q344" i="8"/>
  <c r="R344" i="8" s="1"/>
  <c r="R346" i="8" s="1"/>
  <c r="Q309" i="8"/>
  <c r="R309" i="8" s="1"/>
  <c r="R311" i="8" s="1"/>
  <c r="AM306" i="8" s="1"/>
  <c r="AM3646" i="8"/>
  <c r="AO3646" i="8" s="1"/>
  <c r="E3646" i="8"/>
  <c r="Q660" i="8"/>
  <c r="R660" i="8" s="1"/>
  <c r="R662" i="8" s="1"/>
  <c r="Q2124" i="8"/>
  <c r="R2124" i="8" s="1"/>
  <c r="R2126" i="8" s="1"/>
  <c r="S4063" i="8"/>
  <c r="T4063" i="8" s="1"/>
  <c r="T4065" i="8" s="1"/>
  <c r="AN4060" i="8" s="1"/>
  <c r="S876" i="8"/>
  <c r="T876" i="8" s="1"/>
  <c r="T878" i="8" s="1"/>
  <c r="AN873" i="8" s="1"/>
  <c r="AM4114" i="8"/>
  <c r="AO4114" i="8" s="1"/>
  <c r="E4114" i="8"/>
  <c r="T276" i="8"/>
  <c r="AN271" i="8" s="1"/>
  <c r="S2041" i="8"/>
  <c r="T2041" i="8" s="1"/>
  <c r="T2043" i="8" s="1"/>
  <c r="AN2038" i="8" s="1"/>
  <c r="S1507" i="8"/>
  <c r="T1507" i="8" s="1"/>
  <c r="T1509" i="8" s="1"/>
  <c r="AN1504" i="8" s="1"/>
  <c r="AN2045" i="8"/>
  <c r="AO2045" i="8" s="1"/>
  <c r="E2045" i="8"/>
  <c r="E421" i="11"/>
  <c r="F421" i="11" s="1"/>
  <c r="R415" i="11"/>
  <c r="Q4128" i="8" s="1"/>
  <c r="R4128" i="8" s="1"/>
  <c r="R4130" i="8" s="1"/>
  <c r="R330" i="11"/>
  <c r="E336" i="11"/>
  <c r="F336" i="11" s="1"/>
  <c r="R444" i="11"/>
  <c r="E450" i="11"/>
  <c r="F450" i="11" s="1"/>
  <c r="R391" i="11"/>
  <c r="E397" i="11"/>
  <c r="F397" i="11" s="1"/>
  <c r="E113" i="11"/>
  <c r="F113" i="11" s="1"/>
  <c r="Q2076" i="8"/>
  <c r="R2076" i="8" s="1"/>
  <c r="R2078" i="8" s="1"/>
  <c r="Q633" i="8"/>
  <c r="R633" i="8" s="1"/>
  <c r="R635" i="8" s="1"/>
  <c r="AM630" i="8" s="1"/>
  <c r="Q1061" i="8"/>
  <c r="R1061" i="8" s="1"/>
  <c r="R1063" i="8" s="1"/>
  <c r="Q1535" i="8"/>
  <c r="R1535" i="8" s="1"/>
  <c r="R1537" i="8" s="1"/>
  <c r="R276" i="8"/>
  <c r="R486" i="11"/>
  <c r="E493" i="11"/>
  <c r="F493" i="11" s="1"/>
  <c r="S2665" i="8"/>
  <c r="T2665" i="8" s="1"/>
  <c r="T2667" i="8" s="1"/>
  <c r="AN2662" i="8" s="1"/>
  <c r="S3725" i="8"/>
  <c r="T3725" i="8" s="1"/>
  <c r="T3727" i="8" s="1"/>
  <c r="S2137" i="8"/>
  <c r="T2137" i="8" s="1"/>
  <c r="T2139" i="8" s="1"/>
  <c r="AN2134" i="8" s="1"/>
  <c r="S4142" i="8"/>
  <c r="T4142" i="8" s="1"/>
  <c r="T4144" i="8" s="1"/>
  <c r="AN4139" i="8" s="1"/>
  <c r="S1569" i="8"/>
  <c r="T1569" i="8" s="1"/>
  <c r="T1571" i="8" s="1"/>
  <c r="S3187" i="8"/>
  <c r="T3187" i="8" s="1"/>
  <c r="T3189" i="8" s="1"/>
  <c r="AN3184" i="8" s="1"/>
  <c r="S674" i="8"/>
  <c r="T674" i="8" s="1"/>
  <c r="T676" i="8" s="1"/>
  <c r="AN671" i="8" s="1"/>
  <c r="S1104" i="8"/>
  <c r="T1104" i="8" s="1"/>
  <c r="T1106" i="8" s="1"/>
  <c r="AN1101" i="8" s="1"/>
  <c r="AM1465" i="8"/>
  <c r="AO1465" i="8" s="1"/>
  <c r="E1465" i="8"/>
  <c r="AM3660" i="8"/>
  <c r="AO3660" i="8" s="1"/>
  <c r="E3660" i="8"/>
  <c r="R171" i="11"/>
  <c r="Q478" i="8" s="1"/>
  <c r="R478" i="8" s="1"/>
  <c r="E178" i="11"/>
  <c r="F178" i="11" s="1"/>
  <c r="AN299" i="8"/>
  <c r="S3739" i="8"/>
  <c r="T3739" i="8" s="1"/>
  <c r="T3741" i="8" s="1"/>
  <c r="AN3736" i="8" s="1"/>
  <c r="S2158" i="8"/>
  <c r="T2158" i="8" s="1"/>
  <c r="T2160" i="8" s="1"/>
  <c r="AN2155" i="8" s="1"/>
  <c r="S1583" i="8"/>
  <c r="T1583" i="8" s="1"/>
  <c r="T1585" i="8" s="1"/>
  <c r="AN1580" i="8" s="1"/>
  <c r="S3201" i="8"/>
  <c r="T3201" i="8" s="1"/>
  <c r="T3203" i="8" s="1"/>
  <c r="AN3198" i="8" s="1"/>
  <c r="S2679" i="8"/>
  <c r="T2679" i="8" s="1"/>
  <c r="T2681" i="8" s="1"/>
  <c r="AN2676" i="8" s="1"/>
  <c r="R118" i="1"/>
  <c r="AM1065" i="8"/>
  <c r="E133" i="11"/>
  <c r="F133" i="11" s="1"/>
  <c r="R125" i="11"/>
  <c r="Q385" i="8"/>
  <c r="R385" i="8" s="1"/>
  <c r="R387" i="8" s="1"/>
  <c r="Q351" i="8"/>
  <c r="R351" i="8" s="1"/>
  <c r="R353" i="8" s="1"/>
  <c r="Q399" i="8"/>
  <c r="R399" i="8" s="1"/>
  <c r="R401" i="8" s="1"/>
  <c r="Q4029" i="8"/>
  <c r="R4029" i="8" s="1"/>
  <c r="R4031" i="8" s="1"/>
  <c r="Q358" i="8"/>
  <c r="R358" i="8" s="1"/>
  <c r="R360" i="8" s="1"/>
  <c r="Q392" i="8"/>
  <c r="R392" i="8" s="1"/>
  <c r="R394" i="8" s="1"/>
  <c r="Q337" i="8"/>
  <c r="R337" i="8" s="1"/>
  <c r="R339" i="8" s="1"/>
  <c r="Q378" i="8"/>
  <c r="R378" i="8" s="1"/>
  <c r="R380" i="8" s="1"/>
  <c r="Q365" i="8"/>
  <c r="R365" i="8" s="1"/>
  <c r="R367" i="8" s="1"/>
  <c r="Q876" i="8"/>
  <c r="R876" i="8" s="1"/>
  <c r="R878" i="8" s="1"/>
  <c r="Q4063" i="8"/>
  <c r="R4063" i="8" s="1"/>
  <c r="R4065" i="8" s="1"/>
  <c r="T5283" i="8"/>
  <c r="B5283" i="8" s="1"/>
  <c r="T5131" i="8"/>
  <c r="T4923" i="8"/>
  <c r="B4923" i="8" s="1"/>
  <c r="T4869" i="8"/>
  <c r="B4869" i="8" s="1"/>
  <c r="T4721" i="8"/>
  <c r="B4721" i="8" s="1"/>
  <c r="T4585" i="8"/>
  <c r="B4585" i="8" s="1"/>
  <c r="T4431" i="8"/>
  <c r="B27" i="1"/>
  <c r="F4929" i="8"/>
  <c r="A31" i="1"/>
  <c r="E31" i="1"/>
  <c r="B31" i="1"/>
  <c r="AI1560" i="8"/>
  <c r="AH1560" i="8"/>
  <c r="A26" i="1"/>
  <c r="B26" i="1"/>
  <c r="E26" i="1"/>
  <c r="Q883" i="8" l="1"/>
  <c r="R883" i="8" s="1"/>
  <c r="R885" i="8" s="1"/>
  <c r="Q4257" i="8"/>
  <c r="R4257" i="8" s="1"/>
  <c r="R4260" i="8" s="1"/>
  <c r="AG3082" i="8"/>
  <c r="AG3074" i="8" s="1"/>
  <c r="AH3074" i="8" s="1"/>
  <c r="R2557" i="8"/>
  <c r="AM2541" i="8" s="1"/>
  <c r="AO2541" i="8" s="1"/>
  <c r="E3077" i="8"/>
  <c r="F3077" i="8" s="1"/>
  <c r="R3601" i="8"/>
  <c r="E3588" i="8"/>
  <c r="AG3594" i="8"/>
  <c r="AG3585" i="8" s="1"/>
  <c r="AM3074" i="8"/>
  <c r="AO3074" i="8" s="1"/>
  <c r="E2544" i="8"/>
  <c r="F2544" i="8" s="1"/>
  <c r="R3072" i="8"/>
  <c r="E3059" i="8"/>
  <c r="AG3065" i="8"/>
  <c r="AG3056" i="8" s="1"/>
  <c r="AH2541" i="8"/>
  <c r="E1967" i="8"/>
  <c r="E1964" i="8" s="1"/>
  <c r="E790" i="33" s="1"/>
  <c r="AG1972" i="8"/>
  <c r="AG1964" i="8" s="1"/>
  <c r="AH1964" i="8" s="1"/>
  <c r="R2539" i="8"/>
  <c r="E2526" i="8"/>
  <c r="AG2532" i="8"/>
  <c r="AG2523" i="8" s="1"/>
  <c r="AG1445" i="8"/>
  <c r="AG1437" i="8" s="1"/>
  <c r="AH1437" i="8" s="1"/>
  <c r="AM1964" i="8"/>
  <c r="AO1964" i="8" s="1"/>
  <c r="E1440" i="8"/>
  <c r="F1440" i="8" s="1"/>
  <c r="R1962" i="8"/>
  <c r="AG1955" i="8"/>
  <c r="AG1946" i="8" s="1"/>
  <c r="E1949" i="8"/>
  <c r="AM1437" i="8"/>
  <c r="AO1437" i="8" s="1"/>
  <c r="E981" i="8"/>
  <c r="F981" i="8" s="1"/>
  <c r="R994" i="8"/>
  <c r="AM978" i="8" s="1"/>
  <c r="AO978" i="8" s="1"/>
  <c r="R1435" i="8"/>
  <c r="AG1428" i="8"/>
  <c r="AG1419" i="8" s="1"/>
  <c r="E1422" i="8"/>
  <c r="AH978" i="8"/>
  <c r="T972" i="8"/>
  <c r="AN965" i="8" s="1"/>
  <c r="Q2597" i="8"/>
  <c r="R2597" i="8" s="1"/>
  <c r="R2599" i="8" s="1"/>
  <c r="E2594" i="8" s="1"/>
  <c r="F584" i="8"/>
  <c r="T584" i="8" s="1"/>
  <c r="Q2034" i="8"/>
  <c r="R2034" i="8" s="1"/>
  <c r="R2036" i="8" s="1"/>
  <c r="AM2031" i="8" s="1"/>
  <c r="AO2031" i="8" s="1"/>
  <c r="T446" i="8"/>
  <c r="AN439" i="8" s="1"/>
  <c r="E205" i="33"/>
  <c r="F205" i="33" s="1"/>
  <c r="E3702" i="8"/>
  <c r="AG3702" i="8" s="1"/>
  <c r="T963" i="8"/>
  <c r="AN956" i="8" s="1"/>
  <c r="AH1051" i="8"/>
  <c r="E1065" i="8"/>
  <c r="F1065" i="8" s="1"/>
  <c r="T1065" i="8" s="1"/>
  <c r="T1925" i="8"/>
  <c r="AN1918" i="8" s="1"/>
  <c r="AO299" i="8"/>
  <c r="E299" i="8"/>
  <c r="AG299" i="8" s="1"/>
  <c r="T571" i="8"/>
  <c r="AN564" i="8" s="1"/>
  <c r="T1378" i="8"/>
  <c r="AN1369" i="8" s="1"/>
  <c r="T1331" i="8"/>
  <c r="AN1324" i="8" s="1"/>
  <c r="T1934" i="8"/>
  <c r="AN1927" i="8" s="1"/>
  <c r="T2426" i="8"/>
  <c r="AN2417" i="8" s="1"/>
  <c r="T2437" i="8"/>
  <c r="AN2428" i="8" s="1"/>
  <c r="T911" i="8"/>
  <c r="AN904" i="8" s="1"/>
  <c r="T3035" i="8"/>
  <c r="AN3028" i="8" s="1"/>
  <c r="T3513" i="8"/>
  <c r="AN3506" i="8" s="1"/>
  <c r="T1905" i="8"/>
  <c r="AN1898" i="8" s="1"/>
  <c r="T2508" i="8"/>
  <c r="AN2501" i="8" s="1"/>
  <c r="T3504" i="8"/>
  <c r="AN3497" i="8" s="1"/>
  <c r="R597" i="11"/>
  <c r="AO616" i="8"/>
  <c r="T1407" i="8"/>
  <c r="AN1400" i="8" s="1"/>
  <c r="E616" i="8"/>
  <c r="E216" i="33" s="1"/>
  <c r="F216" i="33" s="1"/>
  <c r="AM685" i="8"/>
  <c r="AO685" i="8" s="1"/>
  <c r="E685" i="8"/>
  <c r="E592" i="33"/>
  <c r="F592" i="33" s="1"/>
  <c r="F1525" i="8"/>
  <c r="T1525" i="8" s="1"/>
  <c r="AG1525" i="8"/>
  <c r="AH1525" i="8" s="1"/>
  <c r="AM362" i="8"/>
  <c r="Q2639" i="8"/>
  <c r="R2639" i="8" s="1"/>
  <c r="R2641" i="8" s="1"/>
  <c r="Q3684" i="8"/>
  <c r="R3684" i="8" s="1"/>
  <c r="R3686" i="8" s="1"/>
  <c r="Q1549" i="8"/>
  <c r="R1549" i="8" s="1"/>
  <c r="R1551" i="8" s="1"/>
  <c r="Q3166" i="8"/>
  <c r="R3166" i="8" s="1"/>
  <c r="R3168" i="8" s="1"/>
  <c r="Q2110" i="8"/>
  <c r="R2110" i="8" s="1"/>
  <c r="R2112" i="8" s="1"/>
  <c r="E218" i="33"/>
  <c r="F218" i="33" s="1"/>
  <c r="AG623" i="8"/>
  <c r="AI623" i="8" s="1"/>
  <c r="AJ623" i="8" s="1"/>
  <c r="F623" i="8"/>
  <c r="T623" i="8" s="1"/>
  <c r="E373" i="33"/>
  <c r="F373" i="33" s="1"/>
  <c r="AG1006" i="8"/>
  <c r="AH1006" i="8" s="1"/>
  <c r="F1006" i="8"/>
  <c r="T1006" i="8" s="1"/>
  <c r="Q2144" i="8"/>
  <c r="R2144" i="8" s="1"/>
  <c r="R2146" i="8" s="1"/>
  <c r="Q1111" i="8"/>
  <c r="R1111" i="8" s="1"/>
  <c r="R1113" i="8" s="1"/>
  <c r="Q681" i="8"/>
  <c r="R681" i="8" s="1"/>
  <c r="R683" i="8" s="1"/>
  <c r="E588" i="33"/>
  <c r="F588" i="33" s="1"/>
  <c r="AG1511" i="8"/>
  <c r="F1511" i="8"/>
  <c r="T1511" i="8" s="1"/>
  <c r="T1398" i="8"/>
  <c r="AN1391" i="8" s="1"/>
  <c r="Q1583" i="8"/>
  <c r="R1583" i="8" s="1"/>
  <c r="R1585" i="8" s="1"/>
  <c r="Q2679" i="8"/>
  <c r="R2679" i="8" s="1"/>
  <c r="R2681" i="8" s="1"/>
  <c r="Q2158" i="8"/>
  <c r="R2158" i="8" s="1"/>
  <c r="R2160" i="8" s="1"/>
  <c r="Q3201" i="8"/>
  <c r="R3201" i="8" s="1"/>
  <c r="R3203" i="8" s="1"/>
  <c r="Q3739" i="8"/>
  <c r="R3739" i="8" s="1"/>
  <c r="R3741" i="8" s="1"/>
  <c r="AM2080" i="8"/>
  <c r="E2662" i="8"/>
  <c r="AM2662" i="8"/>
  <c r="AO2662" i="8" s="1"/>
  <c r="E375" i="33"/>
  <c r="F375" i="33" s="1"/>
  <c r="F1013" i="8"/>
  <c r="T1013" i="8" s="1"/>
  <c r="AG1013" i="8"/>
  <c r="AH1013" i="8" s="1"/>
  <c r="AM375" i="8"/>
  <c r="E1489" i="33"/>
  <c r="F1489" i="33" s="1"/>
  <c r="AG3660" i="8"/>
  <c r="AH3660" i="8" s="1"/>
  <c r="F3660" i="8"/>
  <c r="T3660" i="8" s="1"/>
  <c r="AI584" i="8"/>
  <c r="AJ584" i="8" s="1"/>
  <c r="AH584" i="8"/>
  <c r="Q909" i="8"/>
  <c r="R909" i="8" s="1"/>
  <c r="R911" i="8" s="1"/>
  <c r="Q444" i="8"/>
  <c r="R444" i="8" s="1"/>
  <c r="Q480" i="8"/>
  <c r="R480" i="8" s="1"/>
  <c r="R482" i="8" s="1"/>
  <c r="AM475" i="8" s="1"/>
  <c r="Q1780" i="8"/>
  <c r="R1780" i="8" s="1"/>
  <c r="Q462" i="8"/>
  <c r="R462" i="8" s="1"/>
  <c r="R464" i="8" s="1"/>
  <c r="Q453" i="8"/>
  <c r="R453" i="8" s="1"/>
  <c r="R455" i="8" s="1"/>
  <c r="Q471" i="8"/>
  <c r="R471" i="8" s="1"/>
  <c r="R473" i="8" s="1"/>
  <c r="Q900" i="8"/>
  <c r="R900" i="8" s="1"/>
  <c r="R902" i="8" s="1"/>
  <c r="Q295" i="8"/>
  <c r="R295" i="8" s="1"/>
  <c r="R297" i="8" s="1"/>
  <c r="Q288" i="8"/>
  <c r="R288" i="8" s="1"/>
  <c r="R290" i="8" s="1"/>
  <c r="Q281" i="8"/>
  <c r="R281" i="8" s="1"/>
  <c r="S4029" i="8"/>
  <c r="T4029" i="8" s="1"/>
  <c r="T4031" i="8" s="1"/>
  <c r="AN4026" i="8" s="1"/>
  <c r="S365" i="8"/>
  <c r="T365" i="8" s="1"/>
  <c r="T367" i="8" s="1"/>
  <c r="AN362" i="8" s="1"/>
  <c r="S351" i="8"/>
  <c r="T351" i="8" s="1"/>
  <c r="T353" i="8" s="1"/>
  <c r="AN348" i="8" s="1"/>
  <c r="S337" i="8"/>
  <c r="T337" i="8" s="1"/>
  <c r="T339" i="8" s="1"/>
  <c r="AN334" i="8" s="1"/>
  <c r="S392" i="8"/>
  <c r="T392" i="8" s="1"/>
  <c r="T394" i="8" s="1"/>
  <c r="AN389" i="8" s="1"/>
  <c r="S378" i="8"/>
  <c r="T378" i="8" s="1"/>
  <c r="T380" i="8" s="1"/>
  <c r="AN375" i="8" s="1"/>
  <c r="S358" i="8"/>
  <c r="T358" i="8" s="1"/>
  <c r="T360" i="8" s="1"/>
  <c r="AN355" i="8" s="1"/>
  <c r="S385" i="8"/>
  <c r="T385" i="8" s="1"/>
  <c r="T387" i="8" s="1"/>
  <c r="AN382" i="8" s="1"/>
  <c r="S399" i="8"/>
  <c r="T399" i="8" s="1"/>
  <c r="T401" i="8" s="1"/>
  <c r="AN396" i="8" s="1"/>
  <c r="AM2038" i="8"/>
  <c r="AO2038" i="8" s="1"/>
  <c r="E2038" i="8"/>
  <c r="AM2017" i="8"/>
  <c r="AO2017" i="8" s="1"/>
  <c r="E2017" i="8"/>
  <c r="AM334" i="8"/>
  <c r="Q406" i="8"/>
  <c r="R406" i="8" s="1"/>
  <c r="R408" i="8" s="1"/>
  <c r="Q420" i="8"/>
  <c r="R420" i="8" s="1"/>
  <c r="R422" i="8" s="1"/>
  <c r="Q413" i="8"/>
  <c r="R413" i="8" s="1"/>
  <c r="R415" i="8" s="1"/>
  <c r="AM4125" i="8"/>
  <c r="AO4125" i="8" s="1"/>
  <c r="E4125" i="8"/>
  <c r="AM313" i="8"/>
  <c r="T283" i="8"/>
  <c r="AN278" i="8" s="1"/>
  <c r="S316" i="8"/>
  <c r="T316" i="8" s="1"/>
  <c r="T318" i="8" s="1"/>
  <c r="AN313" i="8" s="1"/>
  <c r="S330" i="8"/>
  <c r="T330" i="8" s="1"/>
  <c r="T332" i="8" s="1"/>
  <c r="AN327" i="8" s="1"/>
  <c r="S427" i="8"/>
  <c r="T427" i="8" s="1"/>
  <c r="T429" i="8" s="1"/>
  <c r="AN424" i="8" s="1"/>
  <c r="S323" i="8"/>
  <c r="T323" i="8" s="1"/>
  <c r="T325" i="8" s="1"/>
  <c r="AN320" i="8" s="1"/>
  <c r="T597" i="11"/>
  <c r="AM3149" i="8"/>
  <c r="E1476" i="33"/>
  <c r="F1476" i="33" s="1"/>
  <c r="F3621" i="8"/>
  <c r="T3621" i="8" s="1"/>
  <c r="AG3621" i="8"/>
  <c r="AO1065" i="8"/>
  <c r="E209" i="33"/>
  <c r="F209" i="33" s="1"/>
  <c r="AG598" i="8"/>
  <c r="F598" i="8"/>
  <c r="T598" i="8" s="1"/>
  <c r="AM1504" i="8"/>
  <c r="AO1504" i="8" s="1"/>
  <c r="E1504" i="8"/>
  <c r="AM3639" i="8"/>
  <c r="AO3639" i="8" s="1"/>
  <c r="E3639" i="8"/>
  <c r="Q442" i="8"/>
  <c r="R442" i="8" s="1"/>
  <c r="Q1778" i="8"/>
  <c r="R1778" i="8" s="1"/>
  <c r="AM1072" i="8"/>
  <c r="AO1072" i="8" s="1"/>
  <c r="E1072" i="8"/>
  <c r="AM2587" i="8"/>
  <c r="AO2587" i="8" s="1"/>
  <c r="E2587" i="8"/>
  <c r="AM4139" i="8"/>
  <c r="AO4139" i="8" s="1"/>
  <c r="E4139" i="8"/>
  <c r="AM327" i="8"/>
  <c r="T4101" i="8"/>
  <c r="AM643" i="8"/>
  <c r="AO643" i="8" s="1"/>
  <c r="E643" i="8"/>
  <c r="AM389" i="8"/>
  <c r="AG1465" i="8"/>
  <c r="F1465" i="8"/>
  <c r="T1465" i="8" s="1"/>
  <c r="E573" i="33"/>
  <c r="F573" i="33" s="1"/>
  <c r="E3722" i="8"/>
  <c r="AN3722" i="8"/>
  <c r="T3015" i="8"/>
  <c r="AN3008" i="8" s="1"/>
  <c r="AM3667" i="8"/>
  <c r="AO3667" i="8" s="1"/>
  <c r="E3667" i="8"/>
  <c r="T110" i="1"/>
  <c r="T5532" i="8"/>
  <c r="T5474" i="8"/>
  <c r="AM348" i="8"/>
  <c r="AM2073" i="8"/>
  <c r="AO2073" i="8" s="1"/>
  <c r="E2073" i="8"/>
  <c r="Q1479" i="8"/>
  <c r="R1479" i="8" s="1"/>
  <c r="R1481" i="8" s="1"/>
  <c r="Q3117" i="8"/>
  <c r="R3117" i="8" s="1"/>
  <c r="R3119" i="8" s="1"/>
  <c r="Q2013" i="8"/>
  <c r="R2013" i="8" s="1"/>
  <c r="R2015" i="8" s="1"/>
  <c r="Q2583" i="8"/>
  <c r="R2583" i="8" s="1"/>
  <c r="R2585" i="8" s="1"/>
  <c r="Q3635" i="8"/>
  <c r="R3635" i="8" s="1"/>
  <c r="R3637" i="8" s="1"/>
  <c r="T2970" i="8"/>
  <c r="AN2961" i="8" s="1"/>
  <c r="AM382" i="8"/>
  <c r="AM424" i="8"/>
  <c r="AM1573" i="8"/>
  <c r="AO1573" i="8" s="1"/>
  <c r="E1573" i="8"/>
  <c r="AM355" i="8"/>
  <c r="AM2643" i="8"/>
  <c r="T1782" i="8"/>
  <c r="AN1775" i="8" s="1"/>
  <c r="T562" i="8"/>
  <c r="AN555" i="8" s="1"/>
  <c r="T3524" i="8"/>
  <c r="AN3515" i="8" s="1"/>
  <c r="T3044" i="8"/>
  <c r="AN3037" i="8" s="1"/>
  <c r="AM1115" i="8"/>
  <c r="AO1115" i="8" s="1"/>
  <c r="E1115" i="8"/>
  <c r="AM1101" i="8"/>
  <c r="AO1101" i="8" s="1"/>
  <c r="E1101" i="8"/>
  <c r="AM271" i="8"/>
  <c r="AO271" i="8" s="1"/>
  <c r="E271" i="8"/>
  <c r="E1485" i="33"/>
  <c r="F1485" i="33" s="1"/>
  <c r="F3646" i="8"/>
  <c r="T3646" i="8" s="1"/>
  <c r="AG3646" i="8"/>
  <c r="E2087" i="8"/>
  <c r="AN2087" i="8"/>
  <c r="AO2087" i="8" s="1"/>
  <c r="AM4060" i="8"/>
  <c r="AO4060" i="8" s="1"/>
  <c r="E4060" i="8"/>
  <c r="E1058" i="8"/>
  <c r="AM1058" i="8"/>
  <c r="AO1058" i="8" s="1"/>
  <c r="E1703" i="33"/>
  <c r="F1703" i="33" s="1"/>
  <c r="F4114" i="8"/>
  <c r="T4114" i="8" s="1"/>
  <c r="AG4114" i="8"/>
  <c r="AM3695" i="8"/>
  <c r="E306" i="8"/>
  <c r="AN306" i="8"/>
  <c r="AO306" i="8" s="1"/>
  <c r="AG2601" i="8"/>
  <c r="E1034" i="33"/>
  <c r="F1034" i="33" s="1"/>
  <c r="F2601" i="8"/>
  <c r="T2601" i="8" s="1"/>
  <c r="AM2669" i="8"/>
  <c r="AO2669" i="8" s="1"/>
  <c r="E2669" i="8"/>
  <c r="E4019" i="8"/>
  <c r="AM4019" i="8"/>
  <c r="AO4019" i="8" s="1"/>
  <c r="R4034" i="8"/>
  <c r="AM671" i="8"/>
  <c r="AO671" i="8" s="1"/>
  <c r="E671" i="8"/>
  <c r="E237" i="33"/>
  <c r="F237" i="33" s="1"/>
  <c r="AG664" i="8"/>
  <c r="F664" i="8"/>
  <c r="T664" i="8" s="1"/>
  <c r="AM4132" i="8"/>
  <c r="AO4132" i="8" s="1"/>
  <c r="E4132" i="8"/>
  <c r="R168" i="1"/>
  <c r="E1566" i="8"/>
  <c r="AN1566" i="8"/>
  <c r="AO1566" i="8" s="1"/>
  <c r="E630" i="8"/>
  <c r="AN630" i="8"/>
  <c r="AO630" i="8" s="1"/>
  <c r="AM4026" i="8"/>
  <c r="AM873" i="8"/>
  <c r="AO873" i="8" s="1"/>
  <c r="E873" i="8"/>
  <c r="R5533" i="8"/>
  <c r="Q703" i="8"/>
  <c r="R703" i="8" s="1"/>
  <c r="R706" i="8" s="1"/>
  <c r="Q3230" i="8"/>
  <c r="R3230" i="8" s="1"/>
  <c r="R3233" i="8" s="1"/>
  <c r="Q1181" i="8"/>
  <c r="R1181" i="8" s="1"/>
  <c r="R1184" i="8" s="1"/>
  <c r="Q2742" i="8"/>
  <c r="R2742" i="8" s="1"/>
  <c r="R2745" i="8" s="1"/>
  <c r="Q2189" i="8"/>
  <c r="R2189" i="8" s="1"/>
  <c r="R2192" i="8" s="1"/>
  <c r="Q3222" i="8"/>
  <c r="R3222" i="8" s="1"/>
  <c r="R3225" i="8" s="1"/>
  <c r="Q3770" i="8"/>
  <c r="R3770" i="8" s="1"/>
  <c r="R3773" i="8" s="1"/>
  <c r="Q3786" i="8"/>
  <c r="R3786" i="8" s="1"/>
  <c r="R3789" i="8" s="1"/>
  <c r="Q3246" i="8"/>
  <c r="R3246" i="8" s="1"/>
  <c r="R3249" i="8" s="1"/>
  <c r="Q1197" i="8"/>
  <c r="R1197" i="8" s="1"/>
  <c r="R1200" i="8" s="1"/>
  <c r="Q2710" i="8"/>
  <c r="R2710" i="8" s="1"/>
  <c r="R2713" i="8" s="1"/>
  <c r="Q1628" i="8"/>
  <c r="R1628" i="8" s="1"/>
  <c r="R1631" i="8" s="1"/>
  <c r="Q743" i="8"/>
  <c r="R743" i="8" s="1"/>
  <c r="R746" i="8" s="1"/>
  <c r="Q2694" i="8"/>
  <c r="R2694" i="8" s="1"/>
  <c r="R2697" i="8" s="1"/>
  <c r="Q2734" i="8"/>
  <c r="R2734" i="8" s="1"/>
  <c r="R2737" i="8" s="1"/>
  <c r="Q3238" i="8"/>
  <c r="R3238" i="8" s="1"/>
  <c r="R3241" i="8" s="1"/>
  <c r="Q3754" i="8"/>
  <c r="R3754" i="8" s="1"/>
  <c r="R3757" i="8" s="1"/>
  <c r="Q2718" i="8"/>
  <c r="R2718" i="8" s="1"/>
  <c r="R2721" i="8" s="1"/>
  <c r="Q1189" i="8"/>
  <c r="R1189" i="8" s="1"/>
  <c r="R1192" i="8" s="1"/>
  <c r="Q2181" i="8"/>
  <c r="R2181" i="8" s="1"/>
  <c r="R2184" i="8" s="1"/>
  <c r="Q1173" i="8"/>
  <c r="R1173" i="8" s="1"/>
  <c r="R1176" i="8" s="1"/>
  <c r="Q2726" i="8"/>
  <c r="R2726" i="8" s="1"/>
  <c r="R2729" i="8" s="1"/>
  <c r="Q1612" i="8"/>
  <c r="R1612" i="8" s="1"/>
  <c r="R1615" i="8" s="1"/>
  <c r="Q3262" i="8"/>
  <c r="R3262" i="8" s="1"/>
  <c r="R3265" i="8" s="1"/>
  <c r="Q2197" i="8"/>
  <c r="R2197" i="8" s="1"/>
  <c r="R2200" i="8" s="1"/>
  <c r="Q1165" i="8"/>
  <c r="R1165" i="8" s="1"/>
  <c r="R1168" i="8" s="1"/>
  <c r="Q711" i="8"/>
  <c r="R711" i="8" s="1"/>
  <c r="R714" i="8" s="1"/>
  <c r="Q2205" i="8"/>
  <c r="R2205" i="8" s="1"/>
  <c r="R2208" i="8" s="1"/>
  <c r="Q1157" i="8"/>
  <c r="R1157" i="8" s="1"/>
  <c r="R1160" i="8" s="1"/>
  <c r="Q3270" i="8"/>
  <c r="R3270" i="8" s="1"/>
  <c r="R3273" i="8" s="1"/>
  <c r="Q1620" i="8"/>
  <c r="R1620" i="8" s="1"/>
  <c r="R1623" i="8" s="1"/>
  <c r="Q719" i="8"/>
  <c r="R719" i="8" s="1"/>
  <c r="R722" i="8" s="1"/>
  <c r="Q2702" i="8"/>
  <c r="R2702" i="8" s="1"/>
  <c r="R2705" i="8" s="1"/>
  <c r="Q1149" i="8"/>
  <c r="R1149" i="8" s="1"/>
  <c r="R1152" i="8" s="1"/>
  <c r="Q3794" i="8"/>
  <c r="R3794" i="8" s="1"/>
  <c r="R3797" i="8" s="1"/>
  <c r="Q1644" i="8"/>
  <c r="R1644" i="8" s="1"/>
  <c r="R1647" i="8" s="1"/>
  <c r="Q735" i="8"/>
  <c r="R735" i="8" s="1"/>
  <c r="R738" i="8" s="1"/>
  <c r="Q3254" i="8"/>
  <c r="R3254" i="8" s="1"/>
  <c r="R3257" i="8" s="1"/>
  <c r="Q3810" i="8"/>
  <c r="R3810" i="8" s="1"/>
  <c r="R3813" i="8" s="1"/>
  <c r="Q2213" i="8"/>
  <c r="R2213" i="8" s="1"/>
  <c r="R2216" i="8" s="1"/>
  <c r="Q1133" i="8"/>
  <c r="R1133" i="8" s="1"/>
  <c r="R1136" i="8" s="1"/>
  <c r="Q2173" i="8"/>
  <c r="R2173" i="8" s="1"/>
  <c r="R2176" i="8" s="1"/>
  <c r="Q3778" i="8"/>
  <c r="R3778" i="8" s="1"/>
  <c r="R3781" i="8" s="1"/>
  <c r="Q1141" i="8"/>
  <c r="R1141" i="8" s="1"/>
  <c r="R1144" i="8" s="1"/>
  <c r="Q2221" i="8"/>
  <c r="R2221" i="8" s="1"/>
  <c r="R2224" i="8" s="1"/>
  <c r="Q3802" i="8"/>
  <c r="R3802" i="8" s="1"/>
  <c r="R3805" i="8" s="1"/>
  <c r="Q1636" i="8"/>
  <c r="R1636" i="8" s="1"/>
  <c r="R1639" i="8" s="1"/>
  <c r="Q1604" i="8"/>
  <c r="R1604" i="8" s="1"/>
  <c r="R1607" i="8" s="1"/>
  <c r="E1601" i="8" s="1"/>
  <c r="Q727" i="8"/>
  <c r="R727" i="8" s="1"/>
  <c r="R730" i="8" s="1"/>
  <c r="Q3762" i="8"/>
  <c r="R3762" i="8" s="1"/>
  <c r="R3765" i="8" s="1"/>
  <c r="Q3138" i="8"/>
  <c r="R3138" i="8" s="1"/>
  <c r="R3140" i="8" s="1"/>
  <c r="Q1041" i="8"/>
  <c r="R1041" i="8" s="1"/>
  <c r="R1043" i="8" s="1"/>
  <c r="Q1521" i="8"/>
  <c r="R1521" i="8" s="1"/>
  <c r="R1523" i="8" s="1"/>
  <c r="Q2062" i="8"/>
  <c r="R2062" i="8" s="1"/>
  <c r="R2064" i="8" s="1"/>
  <c r="Q3656" i="8"/>
  <c r="R3656" i="8" s="1"/>
  <c r="R3658" i="8" s="1"/>
  <c r="Q2611" i="8"/>
  <c r="R2611" i="8" s="1"/>
  <c r="R2613" i="8" s="1"/>
  <c r="AK1051" i="8"/>
  <c r="AM2114" i="8"/>
  <c r="AN475" i="8"/>
  <c r="E207" i="33"/>
  <c r="F207" i="33" s="1"/>
  <c r="AG591" i="8"/>
  <c r="F591" i="8"/>
  <c r="T591" i="8" s="1"/>
  <c r="AM3121" i="8"/>
  <c r="AO3121" i="8" s="1"/>
  <c r="E3121" i="8"/>
  <c r="R133" i="1"/>
  <c r="R169" i="1" s="1"/>
  <c r="R5534" i="8"/>
  <c r="S118" i="1"/>
  <c r="T168" i="1"/>
  <c r="T2446" i="8"/>
  <c r="AN2439" i="8" s="1"/>
  <c r="E1250" i="33"/>
  <c r="F1250" i="33" s="1"/>
  <c r="AG3128" i="8"/>
  <c r="F3128" i="8"/>
  <c r="T3128" i="8" s="1"/>
  <c r="E1254" i="33"/>
  <c r="F1254" i="33" s="1"/>
  <c r="F3142" i="8"/>
  <c r="T3142" i="8" s="1"/>
  <c r="AG3142" i="8"/>
  <c r="T133" i="1"/>
  <c r="T5534" i="8"/>
  <c r="Q3520" i="8"/>
  <c r="R3520" i="8" s="1"/>
  <c r="Q2444" i="8"/>
  <c r="R2444" i="8" s="1"/>
  <c r="Q4099" i="8"/>
  <c r="R4099" i="8" s="1"/>
  <c r="Q1903" i="8"/>
  <c r="R1903" i="8" s="1"/>
  <c r="Q551" i="8"/>
  <c r="R551" i="8" s="1"/>
  <c r="Q2422" i="8"/>
  <c r="R2422" i="8" s="1"/>
  <c r="Q542" i="8"/>
  <c r="R542" i="8" s="1"/>
  <c r="Q1835" i="8"/>
  <c r="R1835" i="8" s="1"/>
  <c r="Q1329" i="8"/>
  <c r="R1329" i="8" s="1"/>
  <c r="Q3013" i="8"/>
  <c r="R3013" i="8" s="1"/>
  <c r="Q560" i="8"/>
  <c r="R560" i="8" s="1"/>
  <c r="Q3502" i="8"/>
  <c r="R3502" i="8" s="1"/>
  <c r="Q4090" i="8"/>
  <c r="R4090" i="8" s="1"/>
  <c r="Q2966" i="8"/>
  <c r="R2966" i="8" s="1"/>
  <c r="Q569" i="8"/>
  <c r="R569" i="8" s="1"/>
  <c r="Q1374" i="8"/>
  <c r="R1374" i="8" s="1"/>
  <c r="Q3511" i="8"/>
  <c r="R3511" i="8" s="1"/>
  <c r="Q2433" i="8"/>
  <c r="R2433" i="8" s="1"/>
  <c r="AM2134" i="8"/>
  <c r="AO2134" i="8" s="1"/>
  <c r="E2134" i="8"/>
  <c r="S3698" i="8"/>
  <c r="T3698" i="8" s="1"/>
  <c r="T3700" i="8" s="1"/>
  <c r="AN3695" i="8" s="1"/>
  <c r="S3173" i="8"/>
  <c r="T3173" i="8" s="1"/>
  <c r="T3175" i="8" s="1"/>
  <c r="AN3170" i="8" s="1"/>
  <c r="S2646" i="8"/>
  <c r="T2646" i="8" s="1"/>
  <c r="T2648" i="8" s="1"/>
  <c r="AN2643" i="8" s="1"/>
  <c r="S1556" i="8"/>
  <c r="T1556" i="8" s="1"/>
  <c r="T1558" i="8" s="1"/>
  <c r="S2117" i="8"/>
  <c r="T2117" i="8" s="1"/>
  <c r="T2119" i="8" s="1"/>
  <c r="AM2121" i="8"/>
  <c r="AO2121" i="8" s="1"/>
  <c r="E2121" i="8"/>
  <c r="AH3607" i="8"/>
  <c r="AI3607" i="8"/>
  <c r="AJ3607" i="8" s="1"/>
  <c r="T4092" i="8"/>
  <c r="T553" i="8"/>
  <c r="AN546" i="8" s="1"/>
  <c r="T1839" i="8"/>
  <c r="AN1830" i="8" s="1"/>
  <c r="T3579" i="8"/>
  <c r="AN3572" i="8" s="1"/>
  <c r="F2615" i="8"/>
  <c r="T2615" i="8" s="1"/>
  <c r="AG2615" i="8"/>
  <c r="E1038" i="33"/>
  <c r="F1038" i="33" s="1"/>
  <c r="AM3191" i="8"/>
  <c r="AO3191" i="8" s="1"/>
  <c r="E3191" i="8"/>
  <c r="Q2869" i="8"/>
  <c r="R2869" i="8" s="1"/>
  <c r="R2871" i="8" s="1"/>
  <c r="Q2339" i="8"/>
  <c r="R2339" i="8" s="1"/>
  <c r="R2341" i="8" s="1"/>
  <c r="Q2325" i="8"/>
  <c r="R2325" i="8" s="1"/>
  <c r="R2327" i="8" s="1"/>
  <c r="Q3397" i="8"/>
  <c r="R3397" i="8" s="1"/>
  <c r="R3399" i="8" s="1"/>
  <c r="Q1756" i="8"/>
  <c r="R1756" i="8" s="1"/>
  <c r="R1758" i="8" s="1"/>
  <c r="Q2876" i="8"/>
  <c r="R2876" i="8" s="1"/>
  <c r="R2878" i="8" s="1"/>
  <c r="Q2862" i="8"/>
  <c r="R2862" i="8" s="1"/>
  <c r="R2864" i="8" s="1"/>
  <c r="Q3404" i="8"/>
  <c r="R3404" i="8" s="1"/>
  <c r="R3406" i="8" s="1"/>
  <c r="Q2332" i="8"/>
  <c r="R2332" i="8" s="1"/>
  <c r="R2334" i="8" s="1"/>
  <c r="Q1763" i="8"/>
  <c r="R1763" i="8" s="1"/>
  <c r="R1765" i="8" s="1"/>
  <c r="Q3390" i="8"/>
  <c r="R3390" i="8" s="1"/>
  <c r="R3392" i="8" s="1"/>
  <c r="Q1749" i="8"/>
  <c r="R1749" i="8" s="1"/>
  <c r="R1751" i="8" s="1"/>
  <c r="S3677" i="8"/>
  <c r="T3677" i="8" s="1"/>
  <c r="T3679" i="8" s="1"/>
  <c r="S1542" i="8"/>
  <c r="T1542" i="8" s="1"/>
  <c r="T1544" i="8" s="1"/>
  <c r="S3159" i="8"/>
  <c r="T3159" i="8" s="1"/>
  <c r="T3161" i="8" s="1"/>
  <c r="S653" i="8"/>
  <c r="T653" i="8" s="1"/>
  <c r="T655" i="8" s="1"/>
  <c r="S2632" i="8"/>
  <c r="T2632" i="8" s="1"/>
  <c r="T2634" i="8" s="1"/>
  <c r="S1089" i="8"/>
  <c r="T1089" i="8" s="1"/>
  <c r="T1091" i="8" s="1"/>
  <c r="S2097" i="8"/>
  <c r="T2097" i="8" s="1"/>
  <c r="T2099" i="8" s="1"/>
  <c r="F3103" i="8"/>
  <c r="T3103" i="8" s="1"/>
  <c r="E1241" i="33"/>
  <c r="F1241" i="33" s="1"/>
  <c r="AG3103" i="8"/>
  <c r="AM396" i="8"/>
  <c r="AM1532" i="8"/>
  <c r="AO1532" i="8" s="1"/>
  <c r="E1532" i="8"/>
  <c r="Q2027" i="8"/>
  <c r="R2027" i="8" s="1"/>
  <c r="R2029" i="8" s="1"/>
  <c r="Q1027" i="8"/>
  <c r="R1027" i="8" s="1"/>
  <c r="R1029" i="8" s="1"/>
  <c r="Q1493" i="8"/>
  <c r="R1493" i="8" s="1"/>
  <c r="R1495" i="8" s="1"/>
  <c r="E814" i="33"/>
  <c r="F814" i="33" s="1"/>
  <c r="AG2045" i="8"/>
  <c r="F2045" i="8"/>
  <c r="T2045" i="8" s="1"/>
  <c r="AM657" i="8"/>
  <c r="AO657" i="8" s="1"/>
  <c r="E657" i="8"/>
  <c r="AM341" i="8"/>
  <c r="AO341" i="8" s="1"/>
  <c r="E341" i="8"/>
  <c r="AM3170" i="8"/>
  <c r="Q4049" i="8"/>
  <c r="R4049" i="8" s="1"/>
  <c r="R4051" i="8" s="1"/>
  <c r="Q4056" i="8"/>
  <c r="R4056" i="8" s="1"/>
  <c r="R4058" i="8" s="1"/>
  <c r="Q4042" i="8"/>
  <c r="R4042" i="8" s="1"/>
  <c r="R4044" i="8" s="1"/>
  <c r="AG1992" i="8"/>
  <c r="F1992" i="8"/>
  <c r="T1992" i="8" s="1"/>
  <c r="E797" i="33"/>
  <c r="F797" i="33" s="1"/>
  <c r="AM320" i="8"/>
  <c r="T544" i="8"/>
  <c r="AN537" i="8" s="1"/>
  <c r="T2517" i="8"/>
  <c r="AN2510" i="8" s="1"/>
  <c r="Q3040" i="8"/>
  <c r="R3040" i="8" s="1"/>
  <c r="R3044" i="8" s="1"/>
  <c r="Q1344" i="8"/>
  <c r="R1344" i="8" s="1"/>
  <c r="R1346" i="8" s="1"/>
  <c r="Q2504" i="8"/>
  <c r="R2504" i="8" s="1"/>
  <c r="R2508" i="8" s="1"/>
  <c r="Q2964" i="8"/>
  <c r="R2964" i="8" s="1"/>
  <c r="Q1844" i="8"/>
  <c r="R1844" i="8" s="1"/>
  <c r="R1846" i="8" s="1"/>
  <c r="Q3429" i="8"/>
  <c r="R3429" i="8" s="1"/>
  <c r="R3431" i="8" s="1"/>
  <c r="Q1285" i="8"/>
  <c r="R1285" i="8" s="1"/>
  <c r="R1287" i="8" s="1"/>
  <c r="Q2901" i="8"/>
  <c r="R2901" i="8" s="1"/>
  <c r="R2903" i="8" s="1"/>
  <c r="Q1306" i="8"/>
  <c r="R1306" i="8" s="1"/>
  <c r="R1308" i="8" s="1"/>
  <c r="Q1805" i="8"/>
  <c r="R1805" i="8" s="1"/>
  <c r="R1807" i="8" s="1"/>
  <c r="Q941" i="8"/>
  <c r="R941" i="8" s="1"/>
  <c r="R943" i="8" s="1"/>
  <c r="Q968" i="8"/>
  <c r="R968" i="8" s="1"/>
  <c r="R972" i="8" s="1"/>
  <c r="Q3011" i="8"/>
  <c r="R3011" i="8" s="1"/>
  <c r="Q948" i="8"/>
  <c r="R948" i="8" s="1"/>
  <c r="R950" i="8" s="1"/>
  <c r="Q3436" i="8"/>
  <c r="R3436" i="8" s="1"/>
  <c r="R3438" i="8" s="1"/>
  <c r="Q567" i="8"/>
  <c r="R567" i="8" s="1"/>
  <c r="Q1930" i="8"/>
  <c r="R1930" i="8" s="1"/>
  <c r="R1934" i="8" s="1"/>
  <c r="Q2990" i="8"/>
  <c r="R2990" i="8" s="1"/>
  <c r="R2992" i="8" s="1"/>
  <c r="Q1365" i="8"/>
  <c r="R1365" i="8" s="1"/>
  <c r="R1367" i="8" s="1"/>
  <c r="Q2915" i="8"/>
  <c r="R2915" i="8" s="1"/>
  <c r="R2917" i="8" s="1"/>
  <c r="Q576" i="8"/>
  <c r="R576" i="8" s="1"/>
  <c r="R578" i="8" s="1"/>
  <c r="Q2442" i="8"/>
  <c r="R2442" i="8" s="1"/>
  <c r="Q526" i="8"/>
  <c r="R526" i="8" s="1"/>
  <c r="R528" i="8" s="1"/>
  <c r="Q1358" i="8"/>
  <c r="R1358" i="8" s="1"/>
  <c r="R1360" i="8" s="1"/>
  <c r="Q2364" i="8"/>
  <c r="R2364" i="8" s="1"/>
  <c r="R2366" i="8" s="1"/>
  <c r="Q3464" i="8"/>
  <c r="R3464" i="8" s="1"/>
  <c r="R3466" i="8" s="1"/>
  <c r="Q1901" i="8"/>
  <c r="R1901" i="8" s="1"/>
  <c r="Q2229" i="8"/>
  <c r="R2229" i="8" s="1"/>
  <c r="R2232" i="8" s="1"/>
  <c r="Q2513" i="8"/>
  <c r="R2513" i="8" s="1"/>
  <c r="R2517" i="8" s="1"/>
  <c r="Q2983" i="8"/>
  <c r="R2983" i="8" s="1"/>
  <c r="R2985" i="8" s="1"/>
  <c r="Q1887" i="8"/>
  <c r="R1887" i="8" s="1"/>
  <c r="R1889" i="8" s="1"/>
  <c r="Q2929" i="8"/>
  <c r="R2929" i="8" s="1"/>
  <c r="R2931" i="8" s="1"/>
  <c r="Q1320" i="8"/>
  <c r="R1320" i="8" s="1"/>
  <c r="R1322" i="8" s="1"/>
  <c r="Q2399" i="8"/>
  <c r="R2399" i="8" s="1"/>
  <c r="R2401" i="8" s="1"/>
  <c r="Q4088" i="8"/>
  <c r="R4088" i="8" s="1"/>
  <c r="Q2459" i="8"/>
  <c r="R2459" i="8" s="1"/>
  <c r="R2461" i="8" s="1"/>
  <c r="Q4097" i="8"/>
  <c r="R4097" i="8" s="1"/>
  <c r="Q533" i="8"/>
  <c r="R533" i="8" s="1"/>
  <c r="R535" i="8" s="1"/>
  <c r="Q505" i="8"/>
  <c r="R505" i="8" s="1"/>
  <c r="R507" i="8" s="1"/>
  <c r="Q2943" i="8"/>
  <c r="R2943" i="8" s="1"/>
  <c r="R2945" i="8" s="1"/>
  <c r="Q1327" i="8"/>
  <c r="R1327" i="8" s="1"/>
  <c r="Q1826" i="8"/>
  <c r="R1826" i="8" s="1"/>
  <c r="R1828" i="8" s="1"/>
  <c r="Q2392" i="8"/>
  <c r="R2392" i="8" s="1"/>
  <c r="R2394" i="8" s="1"/>
  <c r="Q3537" i="8"/>
  <c r="R3537" i="8" s="1"/>
  <c r="R3539" i="8" s="1"/>
  <c r="Q1292" i="8"/>
  <c r="R1292" i="8" s="1"/>
  <c r="R1294" i="8" s="1"/>
  <c r="Q2413" i="8"/>
  <c r="R2413" i="8" s="1"/>
  <c r="R2415" i="8" s="1"/>
  <c r="Q549" i="8"/>
  <c r="R549" i="8" s="1"/>
  <c r="Q2451" i="8"/>
  <c r="R2451" i="8" s="1"/>
  <c r="R2454" i="8" s="1"/>
  <c r="Q3457" i="8"/>
  <c r="R3457" i="8" s="1"/>
  <c r="R3459" i="8" s="1"/>
  <c r="Q1833" i="8"/>
  <c r="R1833" i="8" s="1"/>
  <c r="Q2922" i="8"/>
  <c r="R2922" i="8" s="1"/>
  <c r="R2924" i="8" s="1"/>
  <c r="Q3020" i="8"/>
  <c r="R3020" i="8" s="1"/>
  <c r="R3022" i="8" s="1"/>
  <c r="Q519" i="8"/>
  <c r="R519" i="8" s="1"/>
  <c r="R521" i="8" s="1"/>
  <c r="Q1858" i="8"/>
  <c r="R1858" i="8" s="1"/>
  <c r="R1860" i="8" s="1"/>
  <c r="Q3544" i="8"/>
  <c r="R3544" i="8" s="1"/>
  <c r="R3546" i="8" s="1"/>
  <c r="Q3486" i="8"/>
  <c r="R3486" i="8" s="1"/>
  <c r="R3488" i="8" s="1"/>
  <c r="Q1819" i="8"/>
  <c r="R1819" i="8" s="1"/>
  <c r="R1821" i="8" s="1"/>
  <c r="Q3031" i="8"/>
  <c r="R3031" i="8" s="1"/>
  <c r="R3035" i="8" s="1"/>
  <c r="Q1299" i="8"/>
  <c r="R1299" i="8" s="1"/>
  <c r="R1301" i="8" s="1"/>
  <c r="Q2466" i="8"/>
  <c r="R2466" i="8" s="1"/>
  <c r="R2468" i="8" s="1"/>
  <c r="Q4106" i="8"/>
  <c r="R4106" i="8" s="1"/>
  <c r="R4108" i="8" s="1"/>
  <c r="Q2473" i="8"/>
  <c r="R2473" i="8" s="1"/>
  <c r="R2475" i="8" s="1"/>
  <c r="Q2936" i="8"/>
  <c r="R2936" i="8" s="1"/>
  <c r="R2938" i="8" s="1"/>
  <c r="Q1865" i="8"/>
  <c r="R1865" i="8" s="1"/>
  <c r="R1868" i="8" s="1"/>
  <c r="Q3471" i="8"/>
  <c r="R3471" i="8" s="1"/>
  <c r="R3473" i="8" s="1"/>
  <c r="Q3500" i="8"/>
  <c r="R3500" i="8" s="1"/>
  <c r="Q3818" i="8"/>
  <c r="R3818" i="8" s="1"/>
  <c r="R3821" i="8" s="1"/>
  <c r="Q1313" i="8"/>
  <c r="R1313" i="8" s="1"/>
  <c r="R1315" i="8" s="1"/>
  <c r="Q2431" i="8"/>
  <c r="R2431" i="8" s="1"/>
  <c r="Q2480" i="8"/>
  <c r="R2480" i="8" s="1"/>
  <c r="R2482" i="8" s="1"/>
  <c r="Q3493" i="8"/>
  <c r="R3493" i="8" s="1"/>
  <c r="R3495" i="8" s="1"/>
  <c r="Q1336" i="8"/>
  <c r="R1336" i="8" s="1"/>
  <c r="R1339" i="8" s="1"/>
  <c r="Q2750" i="8"/>
  <c r="R2750" i="8" s="1"/>
  <c r="R2753" i="8" s="1"/>
  <c r="Q3518" i="8"/>
  <c r="R3518" i="8" s="1"/>
  <c r="Q1812" i="8"/>
  <c r="R1812" i="8" s="1"/>
  <c r="R1814" i="8" s="1"/>
  <c r="Q2950" i="8"/>
  <c r="R2950" i="8" s="1"/>
  <c r="R2952" i="8" s="1"/>
  <c r="Q1652" i="8"/>
  <c r="R1652" i="8" s="1"/>
  <c r="R1655" i="8" s="1"/>
  <c r="Q3558" i="8"/>
  <c r="R3558" i="8" s="1"/>
  <c r="R3560" i="8" s="1"/>
  <c r="Q1096" i="8"/>
  <c r="R1096" i="8" s="1"/>
  <c r="R1099" i="8" s="1"/>
  <c r="Q1910" i="8"/>
  <c r="R1910" i="8" s="1"/>
  <c r="R1912" i="8" s="1"/>
  <c r="Q2420" i="8"/>
  <c r="R2420" i="8" s="1"/>
  <c r="Q1894" i="8"/>
  <c r="R1894" i="8" s="1"/>
  <c r="R1896" i="8" s="1"/>
  <c r="Q2406" i="8"/>
  <c r="R2406" i="8" s="1"/>
  <c r="R2408" i="8" s="1"/>
  <c r="Q1351" i="8"/>
  <c r="R1351" i="8" s="1"/>
  <c r="R1353" i="8" s="1"/>
  <c r="Q558" i="8"/>
  <c r="R558" i="8" s="1"/>
  <c r="Q1921" i="8"/>
  <c r="R1921" i="8" s="1"/>
  <c r="R1925" i="8" s="1"/>
  <c r="Q3478" i="8"/>
  <c r="R3478" i="8" s="1"/>
  <c r="R3481" i="8" s="1"/>
  <c r="Q2371" i="8"/>
  <c r="R2371" i="8" s="1"/>
  <c r="R2373" i="8" s="1"/>
  <c r="Q1851" i="8"/>
  <c r="R1851" i="8" s="1"/>
  <c r="R1853" i="8" s="1"/>
  <c r="Q934" i="8"/>
  <c r="R934" i="8" s="1"/>
  <c r="R936" i="8" s="1"/>
  <c r="Q3529" i="8"/>
  <c r="R3529" i="8" s="1"/>
  <c r="R3532" i="8" s="1"/>
  <c r="Q1394" i="8"/>
  <c r="R1394" i="8" s="1"/>
  <c r="R1398" i="8" s="1"/>
  <c r="Q2908" i="8"/>
  <c r="R2908" i="8" s="1"/>
  <c r="R2910" i="8" s="1"/>
  <c r="Q2957" i="8"/>
  <c r="R2957" i="8" s="1"/>
  <c r="R2959" i="8" s="1"/>
  <c r="Q1880" i="8"/>
  <c r="R1880" i="8" s="1"/>
  <c r="R1882" i="8" s="1"/>
  <c r="Q3575" i="8"/>
  <c r="R3575" i="8" s="1"/>
  <c r="R3579" i="8" s="1"/>
  <c r="Q1403" i="8"/>
  <c r="R1403" i="8" s="1"/>
  <c r="R1407" i="8" s="1"/>
  <c r="Q2378" i="8"/>
  <c r="R2378" i="8" s="1"/>
  <c r="R2380" i="8" s="1"/>
  <c r="Q1372" i="8"/>
  <c r="R1372" i="8" s="1"/>
  <c r="Q3004" i="8"/>
  <c r="R3004" i="8" s="1"/>
  <c r="R3006" i="8" s="1"/>
  <c r="Q540" i="8"/>
  <c r="R540" i="8" s="1"/>
  <c r="Q3551" i="8"/>
  <c r="R3551" i="8" s="1"/>
  <c r="R3553" i="8" s="1"/>
  <c r="Q3450" i="8"/>
  <c r="R3450" i="8" s="1"/>
  <c r="R3452" i="8" s="1"/>
  <c r="Q1383" i="8"/>
  <c r="R1383" i="8" s="1"/>
  <c r="R1385" i="8" s="1"/>
  <c r="Q3443" i="8"/>
  <c r="R3443" i="8" s="1"/>
  <c r="R3445" i="8" s="1"/>
  <c r="Q2385" i="8"/>
  <c r="R2385" i="8" s="1"/>
  <c r="R2387" i="8" s="1"/>
  <c r="Q512" i="8"/>
  <c r="R512" i="8" s="1"/>
  <c r="R514" i="8" s="1"/>
  <c r="Q2997" i="8"/>
  <c r="R2997" i="8" s="1"/>
  <c r="R2999" i="8" s="1"/>
  <c r="Q2487" i="8"/>
  <c r="R2487" i="8" s="1"/>
  <c r="R2489" i="8" s="1"/>
  <c r="Q3278" i="8"/>
  <c r="R3278" i="8" s="1"/>
  <c r="R3281" i="8" s="1"/>
  <c r="Q2975" i="8"/>
  <c r="R2975" i="8" s="1"/>
  <c r="R2978" i="8" s="1"/>
  <c r="Q1873" i="8"/>
  <c r="R1873" i="8" s="1"/>
  <c r="R1875" i="8" s="1"/>
  <c r="Q959" i="8"/>
  <c r="R959" i="8" s="1"/>
  <c r="R963" i="8" s="1"/>
  <c r="Q3509" i="8"/>
  <c r="R3509" i="8" s="1"/>
  <c r="E1023" i="33"/>
  <c r="F1023" i="33" s="1"/>
  <c r="AG2569" i="8"/>
  <c r="F2569" i="8"/>
  <c r="T2569" i="8" s="1"/>
  <c r="AI1079" i="8"/>
  <c r="AJ1079" i="8" s="1"/>
  <c r="AH1079" i="8"/>
  <c r="AM3729" i="8"/>
  <c r="AO3729" i="8" s="1"/>
  <c r="E3729" i="8"/>
  <c r="AM3184" i="8"/>
  <c r="AO3184" i="8" s="1"/>
  <c r="E3184" i="8"/>
  <c r="Q1034" i="8"/>
  <c r="R1034" i="8" s="1"/>
  <c r="R1036" i="8" s="1"/>
  <c r="Q2055" i="8"/>
  <c r="R2055" i="8" s="1"/>
  <c r="R2057" i="8" s="1"/>
  <c r="R110" i="1"/>
  <c r="R5532" i="8"/>
  <c r="R5474" i="8"/>
  <c r="S2625" i="8"/>
  <c r="T2625" i="8" s="1"/>
  <c r="T2627" i="8" s="1"/>
  <c r="AN2622" i="8" s="1"/>
  <c r="S3152" i="8"/>
  <c r="T3152" i="8" s="1"/>
  <c r="T3154" i="8" s="1"/>
  <c r="AN3149" i="8" s="1"/>
  <c r="S2083" i="8"/>
  <c r="T2083" i="8" s="1"/>
  <c r="T2085" i="8" s="1"/>
  <c r="AN2080" i="8" s="1"/>
  <c r="AM2148" i="8"/>
  <c r="AO2148" i="8" s="1"/>
  <c r="E2148" i="8"/>
  <c r="AM1497" i="8"/>
  <c r="AO1497" i="8" s="1"/>
  <c r="E1497" i="8"/>
  <c r="AM3722" i="8"/>
  <c r="AM2622" i="8"/>
  <c r="AM1483" i="8"/>
  <c r="AO1483" i="8" s="1"/>
  <c r="E1483" i="8"/>
  <c r="AG2066" i="8"/>
  <c r="E820" i="33"/>
  <c r="F820" i="33" s="1"/>
  <c r="F2066" i="8"/>
  <c r="T2066" i="8" s="1"/>
  <c r="E799" i="33"/>
  <c r="F799" i="33" s="1"/>
  <c r="AG1999" i="8"/>
  <c r="F1999" i="8"/>
  <c r="T1999" i="8" s="1"/>
  <c r="E1497" i="33"/>
  <c r="F1497" i="33" s="1"/>
  <c r="F3688" i="8"/>
  <c r="T3688" i="8" s="1"/>
  <c r="AG3688" i="8"/>
  <c r="AI3688" i="8" s="1"/>
  <c r="AJ3688" i="8" s="1"/>
  <c r="T5289" i="8"/>
  <c r="B5289" i="8" s="1"/>
  <c r="B5131" i="8"/>
  <c r="T4929" i="8"/>
  <c r="B4929" i="8" s="1"/>
  <c r="B4431" i="8"/>
  <c r="AJ1560" i="8"/>
  <c r="AK1560" i="8"/>
  <c r="E4251" i="8" l="1"/>
  <c r="R4278" i="8"/>
  <c r="R4284" i="8" s="1"/>
  <c r="AM4251" i="8"/>
  <c r="AO4251" i="8" s="1"/>
  <c r="AM880" i="8"/>
  <c r="AO880" i="8" s="1"/>
  <c r="E880" i="8"/>
  <c r="E3074" i="8"/>
  <c r="E1234" i="33" s="1"/>
  <c r="F1234" i="33" s="1"/>
  <c r="AH3585" i="8"/>
  <c r="F3588" i="8"/>
  <c r="E3585" i="8"/>
  <c r="E1467" i="33" s="1"/>
  <c r="F1467" i="33" s="1"/>
  <c r="AM3585" i="8"/>
  <c r="AO3585" i="8" s="1"/>
  <c r="E2031" i="8"/>
  <c r="F2031" i="8" s="1"/>
  <c r="T2031" i="8" s="1"/>
  <c r="E2541" i="8"/>
  <c r="E1016" i="33" s="1"/>
  <c r="F1016" i="33" s="1"/>
  <c r="AH3056" i="8"/>
  <c r="F3059" i="8"/>
  <c r="E3056" i="8"/>
  <c r="E1232" i="33" s="1"/>
  <c r="F1232" i="33" s="1"/>
  <c r="AM3056" i="8"/>
  <c r="AO3056" i="8" s="1"/>
  <c r="F1967" i="8"/>
  <c r="E1437" i="8"/>
  <c r="E566" i="33" s="1"/>
  <c r="F566" i="33" s="1"/>
  <c r="AH2523" i="8"/>
  <c r="F2526" i="8"/>
  <c r="E2523" i="8"/>
  <c r="E1014" i="33" s="1"/>
  <c r="F1014" i="33" s="1"/>
  <c r="AM2523" i="8"/>
  <c r="AO2523" i="8" s="1"/>
  <c r="AM2594" i="8"/>
  <c r="AO2594" i="8" s="1"/>
  <c r="F1964" i="8"/>
  <c r="AI1964" i="8"/>
  <c r="E978" i="8"/>
  <c r="E366" i="33" s="1"/>
  <c r="F366" i="33" s="1"/>
  <c r="F1949" i="8"/>
  <c r="E1946" i="8"/>
  <c r="E788" i="33" s="1"/>
  <c r="F788" i="33" s="1"/>
  <c r="AH1946" i="8"/>
  <c r="AM1946" i="8"/>
  <c r="AO1946" i="8" s="1"/>
  <c r="E1419" i="8"/>
  <c r="E564" i="33" s="1"/>
  <c r="F564" i="33" s="1"/>
  <c r="F1422" i="8"/>
  <c r="AH1419" i="8"/>
  <c r="AM1419" i="8"/>
  <c r="AO1419" i="8" s="1"/>
  <c r="AG616" i="8"/>
  <c r="AI616" i="8" s="1"/>
  <c r="AJ616" i="8" s="1"/>
  <c r="F616" i="8"/>
  <c r="T616" i="8" s="1"/>
  <c r="E400" i="33"/>
  <c r="F400" i="33" s="1"/>
  <c r="E1501" i="33"/>
  <c r="F1501" i="33" s="1"/>
  <c r="F3702" i="8"/>
  <c r="T3702" i="8" s="1"/>
  <c r="AG1065" i="8"/>
  <c r="AI1065" i="8" s="1"/>
  <c r="AJ1065" i="8" s="1"/>
  <c r="AI1525" i="8"/>
  <c r="AK1525" i="8" s="1"/>
  <c r="R914" i="8"/>
  <c r="E3170" i="8"/>
  <c r="E1262" i="33" s="1"/>
  <c r="F1262" i="33" s="1"/>
  <c r="F299" i="8"/>
  <c r="T299" i="8" s="1"/>
  <c r="E355" i="8"/>
  <c r="E102" i="33" s="1"/>
  <c r="F102" i="33" s="1"/>
  <c r="E78" i="33"/>
  <c r="F78" i="33" s="1"/>
  <c r="R4092" i="8"/>
  <c r="AM4085" i="8" s="1"/>
  <c r="R3513" i="8"/>
  <c r="E3506" i="8" s="1"/>
  <c r="R3524" i="8"/>
  <c r="E3515" i="8" s="1"/>
  <c r="R1839" i="8"/>
  <c r="E1830" i="8" s="1"/>
  <c r="R2970" i="8"/>
  <c r="AM2961" i="8" s="1"/>
  <c r="AO2961" i="8" s="1"/>
  <c r="E2622" i="8"/>
  <c r="E1040" i="33" s="1"/>
  <c r="F1040" i="33" s="1"/>
  <c r="E4026" i="8"/>
  <c r="F4026" i="8" s="1"/>
  <c r="T4026" i="8" s="1"/>
  <c r="R2426" i="8"/>
  <c r="AM2417" i="8" s="1"/>
  <c r="AO2417" i="8" s="1"/>
  <c r="R446" i="8"/>
  <c r="R485" i="8" s="1"/>
  <c r="AO375" i="8"/>
  <c r="E320" i="8"/>
  <c r="F320" i="8" s="1"/>
  <c r="T320" i="8" s="1"/>
  <c r="AO3149" i="8"/>
  <c r="R571" i="8"/>
  <c r="AM564" i="8" s="1"/>
  <c r="AO564" i="8" s="1"/>
  <c r="R2102" i="8"/>
  <c r="E334" i="8"/>
  <c r="E93" i="33" s="1"/>
  <c r="F93" i="33" s="1"/>
  <c r="E2080" i="8"/>
  <c r="AG2080" i="8" s="1"/>
  <c r="AI2080" i="8" s="1"/>
  <c r="AJ2080" i="8" s="1"/>
  <c r="R544" i="8"/>
  <c r="AM537" i="8" s="1"/>
  <c r="AO537" i="8" s="1"/>
  <c r="AO2080" i="8"/>
  <c r="AK1079" i="8"/>
  <c r="R1331" i="8"/>
  <c r="AM1324" i="8" s="1"/>
  <c r="AO1324" i="8" s="1"/>
  <c r="AO475" i="8"/>
  <c r="R3206" i="8"/>
  <c r="E327" i="8"/>
  <c r="F327" i="8" s="1"/>
  <c r="T327" i="8" s="1"/>
  <c r="E3695" i="8"/>
  <c r="E1499" i="33" s="1"/>
  <c r="F1499" i="33" s="1"/>
  <c r="R553" i="8"/>
  <c r="AM546" i="8" s="1"/>
  <c r="AO546" i="8" s="1"/>
  <c r="AK3607" i="8"/>
  <c r="E389" i="8"/>
  <c r="F389" i="8" s="1"/>
  <c r="T389" i="8" s="1"/>
  <c r="R1782" i="8"/>
  <c r="R1785" i="8" s="1"/>
  <c r="AO424" i="8"/>
  <c r="AO4026" i="8"/>
  <c r="AK584" i="8"/>
  <c r="R2446" i="8"/>
  <c r="AM2439" i="8" s="1"/>
  <c r="AO2439" i="8" s="1"/>
  <c r="R2437" i="8"/>
  <c r="AM2428" i="8" s="1"/>
  <c r="AO2428" i="8" s="1"/>
  <c r="R3015" i="8"/>
  <c r="AM3008" i="8" s="1"/>
  <c r="AO3008" i="8" s="1"/>
  <c r="AO2643" i="8"/>
  <c r="E348" i="8"/>
  <c r="E99" i="33" s="1"/>
  <c r="F99" i="33" s="1"/>
  <c r="AO382" i="8"/>
  <c r="E475" i="8"/>
  <c r="F475" i="8" s="1"/>
  <c r="T475" i="8" s="1"/>
  <c r="AO313" i="8"/>
  <c r="AI1999" i="8"/>
  <c r="AJ1999" i="8" s="1"/>
  <c r="AH1999" i="8"/>
  <c r="AM1490" i="8"/>
  <c r="AO1490" i="8" s="1"/>
  <c r="E1490" i="8"/>
  <c r="R1588" i="8"/>
  <c r="AN4085" i="8"/>
  <c r="E843" i="33"/>
  <c r="F843" i="33" s="1"/>
  <c r="AG2121" i="8"/>
  <c r="F2121" i="8"/>
  <c r="T2121" i="8" s="1"/>
  <c r="AM3653" i="8"/>
  <c r="AO3653" i="8" s="1"/>
  <c r="E3653" i="8"/>
  <c r="AM1633" i="8"/>
  <c r="AO1633" i="8" s="1"/>
  <c r="E1633" i="8"/>
  <c r="AM3807" i="8"/>
  <c r="AO3807" i="8" s="1"/>
  <c r="E3807" i="8"/>
  <c r="AM1617" i="8"/>
  <c r="AO1617" i="8" s="1"/>
  <c r="E1617" i="8"/>
  <c r="AM1609" i="8"/>
  <c r="AO1609" i="8" s="1"/>
  <c r="E1609" i="8"/>
  <c r="AM2731" i="8"/>
  <c r="AO2731" i="8" s="1"/>
  <c r="E2731" i="8"/>
  <c r="AM3767" i="8"/>
  <c r="AO3767" i="8" s="1"/>
  <c r="E3767" i="8"/>
  <c r="R3874" i="8"/>
  <c r="AI3142" i="8"/>
  <c r="AJ3142" i="8" s="1"/>
  <c r="AH3142" i="8"/>
  <c r="E650" i="8"/>
  <c r="AN650" i="8"/>
  <c r="AO650" i="8" s="1"/>
  <c r="AM931" i="8"/>
  <c r="AO931" i="8" s="1"/>
  <c r="E931" i="8"/>
  <c r="R1046" i="8"/>
  <c r="R3504" i="8"/>
  <c r="AM1823" i="8"/>
  <c r="AO1823" i="8" s="1"/>
  <c r="E1823" i="8"/>
  <c r="AM2987" i="8"/>
  <c r="AO2987" i="8" s="1"/>
  <c r="E2987" i="8"/>
  <c r="AM956" i="8"/>
  <c r="AO956" i="8" s="1"/>
  <c r="E956" i="8"/>
  <c r="AM3440" i="8"/>
  <c r="AO3440" i="8" s="1"/>
  <c r="E3440" i="8"/>
  <c r="AM1400" i="8"/>
  <c r="AO1400" i="8" s="1"/>
  <c r="E1400" i="8"/>
  <c r="AM1848" i="8"/>
  <c r="AO1848" i="8" s="1"/>
  <c r="E1848" i="8"/>
  <c r="AM2747" i="8"/>
  <c r="AO2747" i="8" s="1"/>
  <c r="E2747" i="8"/>
  <c r="AM3468" i="8"/>
  <c r="AO3468" i="8" s="1"/>
  <c r="E3468" i="8"/>
  <c r="AM1816" i="8"/>
  <c r="AO1816" i="8" s="1"/>
  <c r="E1816" i="8"/>
  <c r="AM3454" i="8"/>
  <c r="AO3454" i="8" s="1"/>
  <c r="E3454" i="8"/>
  <c r="AM1317" i="8"/>
  <c r="AO1317" i="8" s="1"/>
  <c r="E1317" i="8"/>
  <c r="AM2361" i="8"/>
  <c r="AO2361" i="8" s="1"/>
  <c r="E2361" i="8"/>
  <c r="AM1927" i="8"/>
  <c r="AO1927" i="8" s="1"/>
  <c r="E1927" i="8"/>
  <c r="AM1303" i="8"/>
  <c r="AO1303" i="8" s="1"/>
  <c r="E1303" i="8"/>
  <c r="AM3037" i="8"/>
  <c r="AO3037" i="8" s="1"/>
  <c r="E3037" i="8"/>
  <c r="E1268" i="33"/>
  <c r="F1268" i="33" s="1"/>
  <c r="F3191" i="8"/>
  <c r="T3191" i="8" s="1"/>
  <c r="AG3191" i="8"/>
  <c r="AI3191" i="8" s="1"/>
  <c r="AJ3191" i="8" s="1"/>
  <c r="AM2375" i="8"/>
  <c r="AO2375" i="8" s="1"/>
  <c r="E2375" i="8"/>
  <c r="AM3461" i="8"/>
  <c r="AO3461" i="8" s="1"/>
  <c r="E3461" i="8"/>
  <c r="AM1341" i="8"/>
  <c r="AO1341" i="8" s="1"/>
  <c r="E1341" i="8"/>
  <c r="AI3103" i="8"/>
  <c r="AJ3103" i="8" s="1"/>
  <c r="AH3103" i="8"/>
  <c r="AM2382" i="8"/>
  <c r="AO2382" i="8" s="1"/>
  <c r="E2382" i="8"/>
  <c r="AM1891" i="8"/>
  <c r="AO1891" i="8" s="1"/>
  <c r="E1891" i="8"/>
  <c r="AM3028" i="8"/>
  <c r="AO3028" i="8" s="1"/>
  <c r="E3028" i="8"/>
  <c r="AM2396" i="8"/>
  <c r="AO2396" i="8" s="1"/>
  <c r="E2396" i="8"/>
  <c r="AM1802" i="8"/>
  <c r="AO1802" i="8" s="1"/>
  <c r="E1802" i="8"/>
  <c r="E1266" i="33"/>
  <c r="F1266" i="33" s="1"/>
  <c r="F3184" i="8"/>
  <c r="T3184" i="8" s="1"/>
  <c r="AG3184" i="8"/>
  <c r="AI3184" i="8" s="1"/>
  <c r="AJ3184" i="8" s="1"/>
  <c r="AM1753" i="8"/>
  <c r="AO1753" i="8" s="1"/>
  <c r="E1753" i="8"/>
  <c r="AN2629" i="8"/>
  <c r="AO2629" i="8" s="1"/>
  <c r="E2629" i="8"/>
  <c r="E847" i="33"/>
  <c r="F847" i="33" s="1"/>
  <c r="AG2134" i="8"/>
  <c r="AI2134" i="8" s="1"/>
  <c r="AJ2134" i="8" s="1"/>
  <c r="F2134" i="8"/>
  <c r="T2134" i="8" s="1"/>
  <c r="AM2873" i="8"/>
  <c r="AO2873" i="8" s="1"/>
  <c r="E2873" i="8"/>
  <c r="AO2622" i="8"/>
  <c r="AM1870" i="8"/>
  <c r="AO1870" i="8" s="1"/>
  <c r="E1870" i="8"/>
  <c r="AM2368" i="8"/>
  <c r="AO2368" i="8" s="1"/>
  <c r="E2368" i="8"/>
  <c r="AM1862" i="8"/>
  <c r="AO1862" i="8" s="1"/>
  <c r="E1862" i="8"/>
  <c r="AM2940" i="8"/>
  <c r="AO2940" i="8" s="1"/>
  <c r="E2940" i="8"/>
  <c r="AM1355" i="8"/>
  <c r="AO1355" i="8" s="1"/>
  <c r="E1355" i="8"/>
  <c r="E96" i="33"/>
  <c r="F96" i="33" s="1"/>
  <c r="F341" i="8"/>
  <c r="T341" i="8" s="1"/>
  <c r="AG341" i="8"/>
  <c r="AI341" i="8" s="1"/>
  <c r="AJ341" i="8" s="1"/>
  <c r="AM2059" i="8"/>
  <c r="AO2059" i="8" s="1"/>
  <c r="E2059" i="8"/>
  <c r="AM3267" i="8"/>
  <c r="AO3267" i="8" s="1"/>
  <c r="E3267" i="8"/>
  <c r="E3219" i="8"/>
  <c r="AM3219" i="8"/>
  <c r="AO3219" i="8" s="1"/>
  <c r="R3374" i="8"/>
  <c r="AI299" i="8"/>
  <c r="AJ299" i="8" s="1"/>
  <c r="AH299" i="8"/>
  <c r="E1063" i="33"/>
  <c r="F1063" i="33" s="1"/>
  <c r="AG2669" i="8"/>
  <c r="AI2669" i="8" s="1"/>
  <c r="AJ2669" i="8" s="1"/>
  <c r="F2669" i="8"/>
  <c r="T2669" i="8" s="1"/>
  <c r="F1101" i="8"/>
  <c r="T1101" i="8" s="1"/>
  <c r="AG1101" i="8"/>
  <c r="AI1101" i="8" s="1"/>
  <c r="AJ1101" i="8" s="1"/>
  <c r="E410" i="33"/>
  <c r="F410" i="33" s="1"/>
  <c r="E1483" i="33"/>
  <c r="F1483" i="33" s="1"/>
  <c r="F3639" i="8"/>
  <c r="T3639" i="8" s="1"/>
  <c r="AG3639" i="8"/>
  <c r="AI3639" i="8" s="1"/>
  <c r="AJ3639" i="8" s="1"/>
  <c r="AI3621" i="8"/>
  <c r="AJ3621" i="8" s="1"/>
  <c r="AH3621" i="8"/>
  <c r="AM457" i="8"/>
  <c r="AO457" i="8" s="1"/>
  <c r="E457" i="8"/>
  <c r="AM678" i="8"/>
  <c r="AO678" i="8" s="1"/>
  <c r="E678" i="8"/>
  <c r="AM2636" i="8"/>
  <c r="AO2636" i="8" s="1"/>
  <c r="E2636" i="8"/>
  <c r="AO3722" i="8"/>
  <c r="AG4251" i="8"/>
  <c r="AI4251" i="8" s="1"/>
  <c r="AJ4251" i="8" s="1"/>
  <c r="F4251" i="8"/>
  <c r="E14" i="34"/>
  <c r="F14" i="34" s="1"/>
  <c r="F48" i="34" s="1"/>
  <c r="F83" i="31" s="1"/>
  <c r="H83" i="31" s="1"/>
  <c r="R167" i="1"/>
  <c r="R171" i="1" s="1"/>
  <c r="R166" i="1"/>
  <c r="AM2972" i="8"/>
  <c r="AO2972" i="8" s="1"/>
  <c r="E2972" i="8"/>
  <c r="AM3447" i="8"/>
  <c r="AO3447" i="8" s="1"/>
  <c r="E3447" i="8"/>
  <c r="AM1877" i="8"/>
  <c r="AO1877" i="8" s="1"/>
  <c r="E1877" i="8"/>
  <c r="AM3475" i="8"/>
  <c r="AO3475" i="8" s="1"/>
  <c r="E3475" i="8"/>
  <c r="AM1093" i="8"/>
  <c r="AO1093" i="8" s="1"/>
  <c r="E1093" i="8"/>
  <c r="AM3490" i="8"/>
  <c r="AO3490" i="8" s="1"/>
  <c r="E3490" i="8"/>
  <c r="AM2933" i="8"/>
  <c r="AO2933" i="8" s="1"/>
  <c r="E2933" i="8"/>
  <c r="AM3541" i="8"/>
  <c r="AO3541" i="8" s="1"/>
  <c r="E3541" i="8"/>
  <c r="AM502" i="8"/>
  <c r="AO502" i="8" s="1"/>
  <c r="E502" i="8"/>
  <c r="AM1884" i="8"/>
  <c r="AO1884" i="8" s="1"/>
  <c r="E1884" i="8"/>
  <c r="AM523" i="8"/>
  <c r="AO523" i="8" s="1"/>
  <c r="E523" i="8"/>
  <c r="AM3433" i="8"/>
  <c r="AO3433" i="8" s="1"/>
  <c r="E3433" i="8"/>
  <c r="AM1282" i="8"/>
  <c r="AO1282" i="8" s="1"/>
  <c r="E1282" i="8"/>
  <c r="AM2024" i="8"/>
  <c r="AO2024" i="8" s="1"/>
  <c r="E2024" i="8"/>
  <c r="AN1539" i="8"/>
  <c r="AO1539" i="8" s="1"/>
  <c r="E1539" i="8"/>
  <c r="R3409" i="8"/>
  <c r="E3387" i="8"/>
  <c r="AM3387" i="8"/>
  <c r="AO3387" i="8" s="1"/>
  <c r="R2344" i="8"/>
  <c r="E2322" i="8"/>
  <c r="AM2322" i="8"/>
  <c r="AO2322" i="8" s="1"/>
  <c r="AI2615" i="8"/>
  <c r="AH2615" i="8"/>
  <c r="E1553" i="8"/>
  <c r="AN1553" i="8"/>
  <c r="AO1553" i="8" s="1"/>
  <c r="E1248" i="33"/>
  <c r="F1248" i="33" s="1"/>
  <c r="F3121" i="8"/>
  <c r="T3121" i="8" s="1"/>
  <c r="AG3121" i="8"/>
  <c r="AI3121" i="8" s="1"/>
  <c r="AJ3121" i="8" s="1"/>
  <c r="AM1518" i="8"/>
  <c r="AO1518" i="8" s="1"/>
  <c r="E1518" i="8"/>
  <c r="AM2218" i="8"/>
  <c r="AO2218" i="8" s="1"/>
  <c r="E2218" i="8"/>
  <c r="AM732" i="8"/>
  <c r="AO732" i="8" s="1"/>
  <c r="E732" i="8"/>
  <c r="AM1154" i="8"/>
  <c r="AO1154" i="8" s="1"/>
  <c r="E1154" i="8"/>
  <c r="AM1170" i="8"/>
  <c r="AO1170" i="8" s="1"/>
  <c r="E1170" i="8"/>
  <c r="AM740" i="8"/>
  <c r="AO740" i="8" s="1"/>
  <c r="E740" i="8"/>
  <c r="AM2186" i="8"/>
  <c r="AO2186" i="8" s="1"/>
  <c r="E2186" i="8"/>
  <c r="AI664" i="8"/>
  <c r="AJ664" i="8" s="1"/>
  <c r="AH664" i="8"/>
  <c r="AO3695" i="8"/>
  <c r="F4060" i="8"/>
  <c r="T4060" i="8" s="1"/>
  <c r="AG4060" i="8"/>
  <c r="E1637" i="33"/>
  <c r="F1637" i="33" s="1"/>
  <c r="E1516" i="33"/>
  <c r="F1516" i="33" s="1"/>
  <c r="F3722" i="8"/>
  <c r="AG3722" i="8"/>
  <c r="AO327" i="8"/>
  <c r="AO355" i="8"/>
  <c r="AM3736" i="8"/>
  <c r="AO3736" i="8" s="1"/>
  <c r="E3736" i="8"/>
  <c r="AM1108" i="8"/>
  <c r="AO1108" i="8" s="1"/>
  <c r="E1108" i="8"/>
  <c r="E362" i="8"/>
  <c r="E822" i="33"/>
  <c r="F822" i="33" s="1"/>
  <c r="F2073" i="8"/>
  <c r="T2073" i="8" s="1"/>
  <c r="AG2073" i="8"/>
  <c r="AO320" i="8"/>
  <c r="AM448" i="8"/>
  <c r="AO448" i="8" s="1"/>
  <c r="E448" i="8"/>
  <c r="AM3681" i="8"/>
  <c r="AO3681" i="8" s="1"/>
  <c r="E3681" i="8"/>
  <c r="AM1380" i="8"/>
  <c r="AO1380" i="8" s="1"/>
  <c r="E1380" i="8"/>
  <c r="AM1907" i="8"/>
  <c r="AO1907" i="8" s="1"/>
  <c r="E1907" i="8"/>
  <c r="AM3483" i="8"/>
  <c r="AO3483" i="8" s="1"/>
  <c r="E3483" i="8"/>
  <c r="AM1024" i="8"/>
  <c r="AO1024" i="8" s="1"/>
  <c r="E1024" i="8"/>
  <c r="AM1746" i="8"/>
  <c r="AO1746" i="8" s="1"/>
  <c r="E1746" i="8"/>
  <c r="AM3394" i="8"/>
  <c r="AO3394" i="8" s="1"/>
  <c r="E3394" i="8"/>
  <c r="AN2114" i="8"/>
  <c r="AO2114" i="8" s="1"/>
  <c r="AM3251" i="8"/>
  <c r="AO3251" i="8" s="1"/>
  <c r="E3251" i="8"/>
  <c r="AM2691" i="8"/>
  <c r="AO2691" i="8" s="1"/>
  <c r="E2691" i="8"/>
  <c r="AH3688" i="8"/>
  <c r="AK3688" i="8"/>
  <c r="AM3275" i="8"/>
  <c r="AO3275" i="8" s="1"/>
  <c r="E3275" i="8"/>
  <c r="AM2954" i="8"/>
  <c r="AO2954" i="8" s="1"/>
  <c r="E2954" i="8"/>
  <c r="AM2470" i="8"/>
  <c r="AO2470" i="8" s="1"/>
  <c r="E2470" i="8"/>
  <c r="AM2980" i="8"/>
  <c r="AO2980" i="8" s="1"/>
  <c r="E2980" i="8"/>
  <c r="AG657" i="8"/>
  <c r="AI657" i="8" s="1"/>
  <c r="AJ657" i="8" s="1"/>
  <c r="E235" i="33"/>
  <c r="F235" i="33" s="1"/>
  <c r="F657" i="8"/>
  <c r="T657" i="8" s="1"/>
  <c r="AM1138" i="8"/>
  <c r="AO1138" i="8" s="1"/>
  <c r="E1138" i="8"/>
  <c r="AM2202" i="8"/>
  <c r="AO2202" i="8" s="1"/>
  <c r="E2202" i="8"/>
  <c r="AM1625" i="8"/>
  <c r="AO1625" i="8" s="1"/>
  <c r="E1625" i="8"/>
  <c r="AM3632" i="8"/>
  <c r="AO3632" i="8" s="1"/>
  <c r="E3632" i="8"/>
  <c r="E586" i="33"/>
  <c r="F586" i="33" s="1"/>
  <c r="F1504" i="8"/>
  <c r="T1504" i="8" s="1"/>
  <c r="AG1504" i="8"/>
  <c r="AI1504" i="8" s="1"/>
  <c r="AJ1504" i="8" s="1"/>
  <c r="R283" i="8"/>
  <c r="R5466" i="8"/>
  <c r="AM3198" i="8"/>
  <c r="AO3198" i="8" s="1"/>
  <c r="E3198" i="8"/>
  <c r="E2141" i="8"/>
  <c r="AM2141" i="8"/>
  <c r="AO2141" i="8" s="1"/>
  <c r="AH623" i="8"/>
  <c r="AK623" i="8"/>
  <c r="E580" i="33"/>
  <c r="F580" i="33" s="1"/>
  <c r="AG1483" i="8"/>
  <c r="AI1483" i="8" s="1"/>
  <c r="AJ1483" i="8" s="1"/>
  <c r="F1483" i="8"/>
  <c r="T1483" i="8" s="1"/>
  <c r="E584" i="33"/>
  <c r="F584" i="33" s="1"/>
  <c r="F1497" i="8"/>
  <c r="T1497" i="8" s="1"/>
  <c r="AG1497" i="8"/>
  <c r="AM2484" i="8"/>
  <c r="AO2484" i="8" s="1"/>
  <c r="E2484" i="8"/>
  <c r="AM2905" i="8"/>
  <c r="AO2905" i="8" s="1"/>
  <c r="E2905" i="8"/>
  <c r="R562" i="8"/>
  <c r="AM1649" i="8"/>
  <c r="AO1649" i="8" s="1"/>
  <c r="E1649" i="8"/>
  <c r="AM4103" i="8"/>
  <c r="AO4103" i="8" s="1"/>
  <c r="E4103" i="8"/>
  <c r="AM516" i="8"/>
  <c r="AO516" i="8" s="1"/>
  <c r="E516" i="8"/>
  <c r="AM1289" i="8"/>
  <c r="AO1289" i="8" s="1"/>
  <c r="E1289" i="8"/>
  <c r="R4101" i="8"/>
  <c r="AM4094" i="8" s="1"/>
  <c r="AM2510" i="8"/>
  <c r="AO2510" i="8" s="1"/>
  <c r="E2510" i="8"/>
  <c r="AM573" i="8"/>
  <c r="AO573" i="8" s="1"/>
  <c r="E573" i="8"/>
  <c r="AM1841" i="8"/>
  <c r="AO1841" i="8" s="1"/>
  <c r="E1841" i="8"/>
  <c r="R4068" i="8"/>
  <c r="AM4039" i="8"/>
  <c r="AO4039" i="8" s="1"/>
  <c r="E4039" i="8"/>
  <c r="AM2329" i="8"/>
  <c r="AO2329" i="8" s="1"/>
  <c r="E2329" i="8"/>
  <c r="AM2866" i="8"/>
  <c r="AO2866" i="8" s="1"/>
  <c r="E2866" i="8"/>
  <c r="AO3170" i="8"/>
  <c r="AM3135" i="8"/>
  <c r="AO3135" i="8" s="1"/>
  <c r="E3135" i="8"/>
  <c r="AM3775" i="8"/>
  <c r="AO3775" i="8" s="1"/>
  <c r="E3775" i="8"/>
  <c r="AM3791" i="8"/>
  <c r="AO3791" i="8" s="1"/>
  <c r="E3791" i="8"/>
  <c r="AM708" i="8"/>
  <c r="AO708" i="8" s="1"/>
  <c r="E708" i="8"/>
  <c r="AM1186" i="8"/>
  <c r="AO1186" i="8" s="1"/>
  <c r="E1186" i="8"/>
  <c r="AM2707" i="8"/>
  <c r="AO2707" i="8" s="1"/>
  <c r="E2707" i="8"/>
  <c r="AM1178" i="8"/>
  <c r="AO1178" i="8" s="1"/>
  <c r="E1178" i="8"/>
  <c r="E318" i="33"/>
  <c r="F318" i="33" s="1"/>
  <c r="AG873" i="8"/>
  <c r="F873" i="8"/>
  <c r="E239" i="33"/>
  <c r="F239" i="33" s="1"/>
  <c r="AG671" i="8"/>
  <c r="F671" i="8"/>
  <c r="T671" i="8" s="1"/>
  <c r="AI1006" i="8"/>
  <c r="AJ1006" i="8" s="1"/>
  <c r="AI3646" i="8"/>
  <c r="AJ3646" i="8" s="1"/>
  <c r="AH3646" i="8"/>
  <c r="E1032" i="33"/>
  <c r="F1032" i="33" s="1"/>
  <c r="AG2594" i="8"/>
  <c r="F2594" i="8"/>
  <c r="T2594" i="8" s="1"/>
  <c r="AI3660" i="8"/>
  <c r="AJ3660" i="8" s="1"/>
  <c r="AM2580" i="8"/>
  <c r="AO2580" i="8" s="1"/>
  <c r="E2580" i="8"/>
  <c r="R781" i="8"/>
  <c r="T5466" i="8"/>
  <c r="E806" i="33"/>
  <c r="F806" i="33" s="1"/>
  <c r="AG2017" i="8"/>
  <c r="F2017" i="8"/>
  <c r="T2017" i="8" s="1"/>
  <c r="AO389" i="8"/>
  <c r="AM285" i="8"/>
  <c r="AO285" i="8" s="1"/>
  <c r="E285" i="8"/>
  <c r="AM2155" i="8"/>
  <c r="AO2155" i="8" s="1"/>
  <c r="E2155" i="8"/>
  <c r="E1613" i="33"/>
  <c r="F1613" i="33" s="1"/>
  <c r="F4019" i="8"/>
  <c r="AG4019" i="8"/>
  <c r="AI4019" i="8" s="1"/>
  <c r="AJ4019" i="8" s="1"/>
  <c r="E81" i="33"/>
  <c r="F81" i="33" s="1"/>
  <c r="AG306" i="8"/>
  <c r="F306" i="8"/>
  <c r="T306" i="8" s="1"/>
  <c r="E1708" i="33"/>
  <c r="F1708" i="33" s="1"/>
  <c r="AG4125" i="8"/>
  <c r="F4125" i="8"/>
  <c r="T4125" i="8" s="1"/>
  <c r="AO396" i="8"/>
  <c r="R3717" i="8"/>
  <c r="E3572" i="8"/>
  <c r="AM3572" i="8"/>
  <c r="AO3572" i="8" s="1"/>
  <c r="AM1333" i="8"/>
  <c r="AO1333" i="8" s="1"/>
  <c r="E1333" i="8"/>
  <c r="AM2448" i="8"/>
  <c r="AO2448" i="8" s="1"/>
  <c r="E2448" i="8"/>
  <c r="AM2926" i="8"/>
  <c r="AO2926" i="8" s="1"/>
  <c r="E2926" i="8"/>
  <c r="AM2898" i="8"/>
  <c r="AO2898" i="8" s="1"/>
  <c r="E2898" i="8"/>
  <c r="AN3156" i="8"/>
  <c r="AO3156" i="8" s="1"/>
  <c r="E3156" i="8"/>
  <c r="AM3799" i="8"/>
  <c r="AO3799" i="8" s="1"/>
  <c r="E3799" i="8"/>
  <c r="AM2723" i="8"/>
  <c r="AO2723" i="8" s="1"/>
  <c r="E2723" i="8"/>
  <c r="AH2066" i="8"/>
  <c r="AI2066" i="8"/>
  <c r="E1518" i="33"/>
  <c r="F1518" i="33" s="1"/>
  <c r="AG3729" i="8"/>
  <c r="F3729" i="8"/>
  <c r="T3729" i="8" s="1"/>
  <c r="AM3548" i="8"/>
  <c r="AO3548" i="8" s="1"/>
  <c r="E3548" i="8"/>
  <c r="AM3555" i="8"/>
  <c r="AO3555" i="8" s="1"/>
  <c r="E3555" i="8"/>
  <c r="AM1855" i="8"/>
  <c r="AO1855" i="8" s="1"/>
  <c r="E1855" i="8"/>
  <c r="AM530" i="8"/>
  <c r="AO530" i="8" s="1"/>
  <c r="E530" i="8"/>
  <c r="AM945" i="8"/>
  <c r="AO945" i="8" s="1"/>
  <c r="E945" i="8"/>
  <c r="F1532" i="8"/>
  <c r="T1532" i="8" s="1"/>
  <c r="AG1532" i="8"/>
  <c r="E594" i="33"/>
  <c r="F594" i="33" s="1"/>
  <c r="AN3674" i="8"/>
  <c r="AO3674" i="8" s="1"/>
  <c r="E3674" i="8"/>
  <c r="AM1760" i="8"/>
  <c r="AO1760" i="8" s="1"/>
  <c r="E1760" i="8"/>
  <c r="AM2336" i="8"/>
  <c r="AO2336" i="8" s="1"/>
  <c r="E2336" i="8"/>
  <c r="AM1038" i="8"/>
  <c r="AO1038" i="8" s="1"/>
  <c r="E1038" i="8"/>
  <c r="AI4114" i="8"/>
  <c r="AJ4114" i="8" s="1"/>
  <c r="AH4114" i="8"/>
  <c r="E424" i="8"/>
  <c r="AG643" i="8"/>
  <c r="AI643" i="8" s="1"/>
  <c r="AJ643" i="8" s="1"/>
  <c r="E231" i="33"/>
  <c r="F231" i="33" s="1"/>
  <c r="F643" i="8"/>
  <c r="AI3702" i="8"/>
  <c r="AH3702" i="8"/>
  <c r="AM2052" i="8"/>
  <c r="AO2052" i="8" s="1"/>
  <c r="E2052" i="8"/>
  <c r="AM2994" i="8"/>
  <c r="AO2994" i="8" s="1"/>
  <c r="E2994" i="8"/>
  <c r="AM3001" i="8"/>
  <c r="AO3001" i="8" s="1"/>
  <c r="E3001" i="8"/>
  <c r="AM1391" i="8"/>
  <c r="AO1391" i="8" s="1"/>
  <c r="E1391" i="8"/>
  <c r="AM1348" i="8"/>
  <c r="AO1348" i="8" s="1"/>
  <c r="E1348" i="8"/>
  <c r="AM2947" i="8"/>
  <c r="AO2947" i="8" s="1"/>
  <c r="E2947" i="8"/>
  <c r="AM1310" i="8"/>
  <c r="AO1310" i="8" s="1"/>
  <c r="E1310" i="8"/>
  <c r="AM2463" i="8"/>
  <c r="AO2463" i="8" s="1"/>
  <c r="E2463" i="8"/>
  <c r="AM3017" i="8"/>
  <c r="AO3017" i="8" s="1"/>
  <c r="E3017" i="8"/>
  <c r="AM3534" i="8"/>
  <c r="AO3534" i="8" s="1"/>
  <c r="E3534" i="8"/>
  <c r="AM2456" i="8"/>
  <c r="AO2456" i="8" s="1"/>
  <c r="E2456" i="8"/>
  <c r="AM2226" i="8"/>
  <c r="AO2226" i="8" s="1"/>
  <c r="E2226" i="8"/>
  <c r="AM2912" i="8"/>
  <c r="AO2912" i="8" s="1"/>
  <c r="E2912" i="8"/>
  <c r="AM965" i="8"/>
  <c r="AO965" i="8" s="1"/>
  <c r="E965" i="8"/>
  <c r="AM4053" i="8"/>
  <c r="AO4053" i="8" s="1"/>
  <c r="E4053" i="8"/>
  <c r="AN2094" i="8"/>
  <c r="AO2094" i="8" s="1"/>
  <c r="E2094" i="8"/>
  <c r="AM3401" i="8"/>
  <c r="AO3401" i="8" s="1"/>
  <c r="E3401" i="8"/>
  <c r="AI591" i="8"/>
  <c r="AJ591" i="8" s="1"/>
  <c r="AH591" i="8"/>
  <c r="AM3759" i="8"/>
  <c r="AO3759" i="8" s="1"/>
  <c r="E3759" i="8"/>
  <c r="AM2170" i="8"/>
  <c r="AO2170" i="8" s="1"/>
  <c r="E2170" i="8"/>
  <c r="AM1146" i="8"/>
  <c r="AO1146" i="8" s="1"/>
  <c r="E1146" i="8"/>
  <c r="AM1162" i="8"/>
  <c r="AO1162" i="8" s="1"/>
  <c r="E1162" i="8"/>
  <c r="AM2715" i="8"/>
  <c r="AO2715" i="8" s="1"/>
  <c r="E2715" i="8"/>
  <c r="AM1194" i="8"/>
  <c r="AO1194" i="8" s="1"/>
  <c r="E1194" i="8"/>
  <c r="AM3227" i="8"/>
  <c r="AO3227" i="8" s="1"/>
  <c r="E3227" i="8"/>
  <c r="E220" i="33"/>
  <c r="F220" i="33" s="1"/>
  <c r="AG630" i="8"/>
  <c r="AI630" i="8" s="1"/>
  <c r="AJ630" i="8" s="1"/>
  <c r="F630" i="8"/>
  <c r="T630" i="8" s="1"/>
  <c r="E1710" i="33"/>
  <c r="F1710" i="33" s="1"/>
  <c r="F4132" i="8"/>
  <c r="T4132" i="8" s="1"/>
  <c r="AG4132" i="8"/>
  <c r="AI4132" i="8" s="1"/>
  <c r="AJ4132" i="8" s="1"/>
  <c r="AH2601" i="8"/>
  <c r="AI2601" i="8"/>
  <c r="E2643" i="8"/>
  <c r="AG1573" i="8"/>
  <c r="AI1573" i="8" s="1"/>
  <c r="AJ1573" i="8" s="1"/>
  <c r="F1573" i="8"/>
  <c r="T1573" i="8" s="1"/>
  <c r="E606" i="33"/>
  <c r="F606" i="33" s="1"/>
  <c r="E382" i="8"/>
  <c r="AM2010" i="8"/>
  <c r="AO2010" i="8" s="1"/>
  <c r="E2010" i="8"/>
  <c r="T5536" i="8"/>
  <c r="AI1465" i="8"/>
  <c r="AH1465" i="8"/>
  <c r="AG2587" i="8"/>
  <c r="AI2587" i="8" s="1"/>
  <c r="AJ2587" i="8" s="1"/>
  <c r="F2587" i="8"/>
  <c r="T2587" i="8" s="1"/>
  <c r="E1030" i="33"/>
  <c r="F1030" i="33" s="1"/>
  <c r="E3149" i="8"/>
  <c r="AM410" i="8"/>
  <c r="AO410" i="8" s="1"/>
  <c r="E410" i="8"/>
  <c r="AO334" i="8"/>
  <c r="AM292" i="8"/>
  <c r="AO292" i="8" s="1"/>
  <c r="E292" i="8"/>
  <c r="AM904" i="8"/>
  <c r="AO904" i="8" s="1"/>
  <c r="E904" i="8"/>
  <c r="E1061" i="33"/>
  <c r="F1061" i="33" s="1"/>
  <c r="F2662" i="8"/>
  <c r="AG2662" i="8"/>
  <c r="AI2662" i="8" s="1"/>
  <c r="AJ2662" i="8" s="1"/>
  <c r="AM2676" i="8"/>
  <c r="AO2676" i="8" s="1"/>
  <c r="E2676" i="8"/>
  <c r="E2107" i="8"/>
  <c r="R2235" i="8"/>
  <c r="AM2107" i="8"/>
  <c r="AO2107" i="8" s="1"/>
  <c r="E398" i="33"/>
  <c r="F398" i="33" s="1"/>
  <c r="F1058" i="8"/>
  <c r="AG1058" i="8"/>
  <c r="AI1058" i="8" s="1"/>
  <c r="AJ1058" i="8" s="1"/>
  <c r="R5536" i="8"/>
  <c r="AH2569" i="8"/>
  <c r="AI2569" i="8"/>
  <c r="AM1918" i="8"/>
  <c r="AO1918" i="8" s="1"/>
  <c r="E1918" i="8"/>
  <c r="AM2477" i="8"/>
  <c r="AO2477" i="8" s="1"/>
  <c r="E2477" i="8"/>
  <c r="AM2410" i="8"/>
  <c r="AO2410" i="8" s="1"/>
  <c r="E2410" i="8"/>
  <c r="AM3426" i="8"/>
  <c r="AO3426" i="8" s="1"/>
  <c r="E3426" i="8"/>
  <c r="AI1992" i="8"/>
  <c r="AJ1992" i="8" s="1"/>
  <c r="AH1992" i="8"/>
  <c r="E2114" i="8"/>
  <c r="AM1641" i="8"/>
  <c r="AO1641" i="8" s="1"/>
  <c r="E1641" i="8"/>
  <c r="AM2178" i="8"/>
  <c r="AO2178" i="8" s="1"/>
  <c r="E2178" i="8"/>
  <c r="AM2739" i="8"/>
  <c r="AO2739" i="8" s="1"/>
  <c r="E2739" i="8"/>
  <c r="E851" i="33"/>
  <c r="F851" i="33" s="1"/>
  <c r="F2148" i="8"/>
  <c r="T2148" i="8" s="1"/>
  <c r="AG2148" i="8"/>
  <c r="AM1031" i="8"/>
  <c r="AO1031" i="8" s="1"/>
  <c r="E1031" i="8"/>
  <c r="AM509" i="8"/>
  <c r="AO509" i="8" s="1"/>
  <c r="E509" i="8"/>
  <c r="R1378" i="8"/>
  <c r="AM3526" i="8"/>
  <c r="AO3526" i="8" s="1"/>
  <c r="E3526" i="8"/>
  <c r="AM2403" i="8"/>
  <c r="AO2403" i="8" s="1"/>
  <c r="E2403" i="8"/>
  <c r="AM1809" i="8"/>
  <c r="AO1809" i="8" s="1"/>
  <c r="E1809" i="8"/>
  <c r="AM3815" i="8"/>
  <c r="AO3815" i="8" s="1"/>
  <c r="E3815" i="8"/>
  <c r="AM1296" i="8"/>
  <c r="AO1296" i="8" s="1"/>
  <c r="E1296" i="8"/>
  <c r="AM2919" i="8"/>
  <c r="AO2919" i="8" s="1"/>
  <c r="E2919" i="8"/>
  <c r="AM2389" i="8"/>
  <c r="AO2389" i="8" s="1"/>
  <c r="E2389" i="8"/>
  <c r="R1905" i="8"/>
  <c r="AM1362" i="8"/>
  <c r="AO1362" i="8" s="1"/>
  <c r="E1362" i="8"/>
  <c r="AM938" i="8"/>
  <c r="AO938" i="8" s="1"/>
  <c r="E938" i="8"/>
  <c r="AM2501" i="8"/>
  <c r="AO2501" i="8" s="1"/>
  <c r="R2657" i="8"/>
  <c r="E2501" i="8"/>
  <c r="AM4046" i="8"/>
  <c r="AO4046" i="8" s="1"/>
  <c r="E4046" i="8"/>
  <c r="AI2045" i="8"/>
  <c r="AJ2045" i="8" s="1"/>
  <c r="AH2045" i="8"/>
  <c r="E396" i="8"/>
  <c r="AN1086" i="8"/>
  <c r="AO1086" i="8" s="1"/>
  <c r="E1086" i="8"/>
  <c r="R2881" i="8"/>
  <c r="AM2859" i="8"/>
  <c r="AO2859" i="8" s="1"/>
  <c r="E2859" i="8"/>
  <c r="F790" i="33"/>
  <c r="T166" i="1"/>
  <c r="S133" i="1"/>
  <c r="T169" i="1"/>
  <c r="AI3128" i="8"/>
  <c r="AH3128" i="8"/>
  <c r="AM724" i="8"/>
  <c r="AO724" i="8" s="1"/>
  <c r="E724" i="8"/>
  <c r="AM1130" i="8"/>
  <c r="AO1130" i="8" s="1"/>
  <c r="E1130" i="8"/>
  <c r="AM2699" i="8"/>
  <c r="AO2699" i="8" s="1"/>
  <c r="E2699" i="8"/>
  <c r="AM2194" i="8"/>
  <c r="AO2194" i="8" s="1"/>
  <c r="E2194" i="8"/>
  <c r="AM3751" i="8"/>
  <c r="AO3751" i="8" s="1"/>
  <c r="E3751" i="8"/>
  <c r="AM3243" i="8"/>
  <c r="AO3243" i="8" s="1"/>
  <c r="E3243" i="8"/>
  <c r="AM700" i="8"/>
  <c r="AO700" i="8" s="1"/>
  <c r="E700" i="8"/>
  <c r="R1203" i="8"/>
  <c r="E414" i="33"/>
  <c r="F414" i="33" s="1"/>
  <c r="F1115" i="8"/>
  <c r="T1115" i="8" s="1"/>
  <c r="AG1115" i="8"/>
  <c r="AI1115" i="8" s="1"/>
  <c r="AJ1115" i="8" s="1"/>
  <c r="AM3114" i="8"/>
  <c r="AO3114" i="8" s="1"/>
  <c r="E3114" i="8"/>
  <c r="S110" i="1"/>
  <c r="T167" i="1"/>
  <c r="E1712" i="33"/>
  <c r="F1712" i="33" s="1"/>
  <c r="AG4139" i="8"/>
  <c r="AI4139" i="8" s="1"/>
  <c r="AJ4139" i="8" s="1"/>
  <c r="F4139" i="8"/>
  <c r="T4139" i="8" s="1"/>
  <c r="AI598" i="8"/>
  <c r="AH598" i="8"/>
  <c r="E313" i="8"/>
  <c r="AM417" i="8"/>
  <c r="AO417" i="8" s="1"/>
  <c r="E417" i="8"/>
  <c r="E812" i="33"/>
  <c r="F812" i="33" s="1"/>
  <c r="AG2038" i="8"/>
  <c r="F2038" i="8"/>
  <c r="T2038" i="8" s="1"/>
  <c r="AO348" i="8"/>
  <c r="AM895" i="8"/>
  <c r="AO895" i="8" s="1"/>
  <c r="E895" i="8"/>
  <c r="E375" i="8"/>
  <c r="R2794" i="8"/>
  <c r="AM1580" i="8"/>
  <c r="AO1580" i="8" s="1"/>
  <c r="E1580" i="8"/>
  <c r="AM3163" i="8"/>
  <c r="AO3163" i="8" s="1"/>
  <c r="E3163" i="8"/>
  <c r="AM2608" i="8"/>
  <c r="AO2608" i="8" s="1"/>
  <c r="E2608" i="8"/>
  <c r="AM1601" i="8"/>
  <c r="AO1601" i="8" s="1"/>
  <c r="R1733" i="8"/>
  <c r="AM2210" i="8"/>
  <c r="AO2210" i="8" s="1"/>
  <c r="E2210" i="8"/>
  <c r="AM716" i="8"/>
  <c r="AO716" i="8" s="1"/>
  <c r="E716" i="8"/>
  <c r="AM3259" i="8"/>
  <c r="AO3259" i="8" s="1"/>
  <c r="E3259" i="8"/>
  <c r="AM3235" i="8"/>
  <c r="AO3235" i="8" s="1"/>
  <c r="E3235" i="8"/>
  <c r="AM3783" i="8"/>
  <c r="AO3783" i="8" s="1"/>
  <c r="E3783" i="8"/>
  <c r="E604" i="33"/>
  <c r="F604" i="33" s="1"/>
  <c r="AG1566" i="8"/>
  <c r="F1566" i="8"/>
  <c r="T1566" i="8" s="1"/>
  <c r="E826" i="33"/>
  <c r="F826" i="33" s="1"/>
  <c r="F2087" i="8"/>
  <c r="T2087" i="8" s="1"/>
  <c r="AG2087" i="8"/>
  <c r="AI2087" i="8" s="1"/>
  <c r="AJ2087" i="8" s="1"/>
  <c r="E66" i="33"/>
  <c r="F66" i="33" s="1"/>
  <c r="AG271" i="8"/>
  <c r="F271" i="8"/>
  <c r="AM1476" i="8"/>
  <c r="AO1476" i="8" s="1"/>
  <c r="E1476" i="8"/>
  <c r="E1491" i="33"/>
  <c r="F1491" i="33" s="1"/>
  <c r="F3667" i="8"/>
  <c r="T3667" i="8" s="1"/>
  <c r="AG3667" i="8"/>
  <c r="AN4094" i="8"/>
  <c r="E402" i="33"/>
  <c r="F402" i="33" s="1"/>
  <c r="AG1072" i="8"/>
  <c r="F1072" i="8"/>
  <c r="T1072" i="8" s="1"/>
  <c r="AM403" i="8"/>
  <c r="AO403" i="8" s="1"/>
  <c r="E403" i="8"/>
  <c r="AO362" i="8"/>
  <c r="AM466" i="8"/>
  <c r="AO466" i="8" s="1"/>
  <c r="E466" i="8"/>
  <c r="AI1511" i="8"/>
  <c r="AJ1511" i="8" s="1"/>
  <c r="AH1511" i="8"/>
  <c r="AM1546" i="8"/>
  <c r="AO1546" i="8" s="1"/>
  <c r="E1546" i="8"/>
  <c r="AG685" i="8"/>
  <c r="E243" i="33"/>
  <c r="F243" i="33" s="1"/>
  <c r="F685" i="8"/>
  <c r="T685" i="8" s="1"/>
  <c r="AI1013" i="8"/>
  <c r="AJ1013" i="8" s="1"/>
  <c r="H165" i="31"/>
  <c r="E321" i="33" l="1"/>
  <c r="F321" i="33" s="1"/>
  <c r="F880" i="8"/>
  <c r="T880" i="8" s="1"/>
  <c r="AG880" i="8"/>
  <c r="AI3074" i="8"/>
  <c r="AJ3074" i="8" s="1"/>
  <c r="F3074" i="8"/>
  <c r="E3076" i="8" s="1"/>
  <c r="AG2031" i="8"/>
  <c r="AI2031" i="8" s="1"/>
  <c r="AJ2031" i="8" s="1"/>
  <c r="E810" i="33"/>
  <c r="F810" i="33" s="1"/>
  <c r="F2541" i="8"/>
  <c r="E2543" i="8" s="1"/>
  <c r="AI3585" i="8"/>
  <c r="F3585" i="8"/>
  <c r="E537" i="8"/>
  <c r="E192" i="33" s="1"/>
  <c r="F192" i="33" s="1"/>
  <c r="AK3621" i="8"/>
  <c r="AM439" i="8"/>
  <c r="AO439" i="8" s="1"/>
  <c r="E4085" i="8"/>
  <c r="F4085" i="8" s="1"/>
  <c r="E439" i="8"/>
  <c r="AG439" i="8" s="1"/>
  <c r="AI2541" i="8"/>
  <c r="AJ2541" i="8" s="1"/>
  <c r="AI3056" i="8"/>
  <c r="F3056" i="8"/>
  <c r="F1437" i="8"/>
  <c r="T1437" i="8" s="1"/>
  <c r="AI1437" i="8"/>
  <c r="AK1437" i="8" s="1"/>
  <c r="AI2523" i="8"/>
  <c r="F2523" i="8"/>
  <c r="AJ1964" i="8"/>
  <c r="AK1964" i="8"/>
  <c r="F1973" i="8"/>
  <c r="E1966" i="8"/>
  <c r="T1964" i="8"/>
  <c r="F978" i="8"/>
  <c r="F987" i="8" s="1"/>
  <c r="AI978" i="8"/>
  <c r="AJ978" i="8" s="1"/>
  <c r="R638" i="8"/>
  <c r="AH616" i="8"/>
  <c r="E2961" i="8"/>
  <c r="AG2961" i="8" s="1"/>
  <c r="AI1946" i="8"/>
  <c r="F1946" i="8"/>
  <c r="E564" i="8"/>
  <c r="F564" i="8" s="1"/>
  <c r="T564" i="8" s="1"/>
  <c r="AK3660" i="8"/>
  <c r="F1419" i="8"/>
  <c r="AI1419" i="8"/>
  <c r="F3170" i="8"/>
  <c r="T3170" i="8" s="1"/>
  <c r="AH1065" i="8"/>
  <c r="E155" i="33"/>
  <c r="F155" i="33" s="1"/>
  <c r="AM3506" i="8"/>
  <c r="AO3506" i="8" s="1"/>
  <c r="AJ1525" i="8"/>
  <c r="R3563" i="8"/>
  <c r="AG2622" i="8"/>
  <c r="AI2622" i="8" s="1"/>
  <c r="AJ2622" i="8" s="1"/>
  <c r="AG355" i="8"/>
  <c r="AI355" i="8" s="1"/>
  <c r="AJ355" i="8" s="1"/>
  <c r="F355" i="8"/>
  <c r="T355" i="8" s="1"/>
  <c r="AG475" i="8"/>
  <c r="AI475" i="8" s="1"/>
  <c r="AJ475" i="8" s="1"/>
  <c r="AG3170" i="8"/>
  <c r="AI3170" i="8" s="1"/>
  <c r="AJ3170" i="8" s="1"/>
  <c r="AG3695" i="8"/>
  <c r="AI3695" i="8" s="1"/>
  <c r="AJ3695" i="8" s="1"/>
  <c r="AM1830" i="8"/>
  <c r="AO1830" i="8" s="1"/>
  <c r="AG320" i="8"/>
  <c r="AH320" i="8" s="1"/>
  <c r="AK1065" i="8"/>
  <c r="AM3515" i="8"/>
  <c r="AO3515" i="8" s="1"/>
  <c r="F2622" i="8"/>
  <c r="T2622" i="8" s="1"/>
  <c r="AG327" i="8"/>
  <c r="AI327" i="8" s="1"/>
  <c r="AJ327" i="8" s="1"/>
  <c r="E87" i="33"/>
  <c r="F87" i="33" s="1"/>
  <c r="R1937" i="8"/>
  <c r="E2417" i="8"/>
  <c r="E974" i="33" s="1"/>
  <c r="F974" i="33" s="1"/>
  <c r="AO4094" i="8"/>
  <c r="E4094" i="8"/>
  <c r="E1696" i="33" s="1"/>
  <c r="F1696" i="33" s="1"/>
  <c r="R4147" i="8"/>
  <c r="F2080" i="8"/>
  <c r="T2080" i="8" s="1"/>
  <c r="AG334" i="8"/>
  <c r="AI334" i="8" s="1"/>
  <c r="AJ334" i="8" s="1"/>
  <c r="AG4026" i="8"/>
  <c r="AI4026" i="8" s="1"/>
  <c r="AJ4026" i="8" s="1"/>
  <c r="AM1775" i="8"/>
  <c r="AO1775" i="8" s="1"/>
  <c r="E1616" i="33"/>
  <c r="F1616" i="33" s="1"/>
  <c r="F1620" i="33" s="1"/>
  <c r="F72" i="31" s="1"/>
  <c r="E1775" i="8"/>
  <c r="E695" i="33" s="1"/>
  <c r="F695" i="33" s="1"/>
  <c r="F334" i="8"/>
  <c r="T334" i="8" s="1"/>
  <c r="E90" i="33"/>
  <c r="F90" i="33" s="1"/>
  <c r="AG348" i="8"/>
  <c r="AI348" i="8" s="1"/>
  <c r="AJ348" i="8" s="1"/>
  <c r="E1324" i="8"/>
  <c r="E527" i="33" s="1"/>
  <c r="F527" i="33" s="1"/>
  <c r="F348" i="8"/>
  <c r="T348" i="8" s="1"/>
  <c r="E3008" i="8"/>
  <c r="AG3008" i="8" s="1"/>
  <c r="AI3008" i="8" s="1"/>
  <c r="AJ3008" i="8" s="1"/>
  <c r="E124" i="33"/>
  <c r="F124" i="33" s="1"/>
  <c r="AG389" i="8"/>
  <c r="AI389" i="8" s="1"/>
  <c r="AJ389" i="8" s="1"/>
  <c r="E2439" i="8"/>
  <c r="AG2439" i="8" s="1"/>
  <c r="AI2439" i="8" s="1"/>
  <c r="AJ2439" i="8" s="1"/>
  <c r="E824" i="33"/>
  <c r="F824" i="33" s="1"/>
  <c r="AK1006" i="8"/>
  <c r="AK4114" i="8"/>
  <c r="F3695" i="8"/>
  <c r="T3695" i="8" s="1"/>
  <c r="AK664" i="8"/>
  <c r="AK616" i="8"/>
  <c r="AK1992" i="8"/>
  <c r="R3047" i="8"/>
  <c r="E546" i="8"/>
  <c r="AG546" i="8" s="1"/>
  <c r="R2492" i="8"/>
  <c r="E2428" i="8"/>
  <c r="E976" i="33" s="1"/>
  <c r="F976" i="33" s="1"/>
  <c r="AK2045" i="8"/>
  <c r="AK3103" i="8"/>
  <c r="AK3142" i="8"/>
  <c r="AG2501" i="8"/>
  <c r="AI2501" i="8" s="1"/>
  <c r="AJ2501" i="8" s="1"/>
  <c r="E1007" i="33"/>
  <c r="F1007" i="33" s="1"/>
  <c r="F2501" i="8"/>
  <c r="T2662" i="8"/>
  <c r="E1046" i="33"/>
  <c r="F1046" i="33" s="1"/>
  <c r="AG2643" i="8"/>
  <c r="AI2643" i="8" s="1"/>
  <c r="AJ2643" i="8" s="1"/>
  <c r="F2643" i="8"/>
  <c r="T2643" i="8" s="1"/>
  <c r="E1078" i="33"/>
  <c r="F1078" i="33" s="1"/>
  <c r="F2715" i="8"/>
  <c r="T2715" i="8" s="1"/>
  <c r="AG2715" i="8"/>
  <c r="AI2715" i="8" s="1"/>
  <c r="AJ2715" i="8" s="1"/>
  <c r="F2912" i="8"/>
  <c r="T2912" i="8" s="1"/>
  <c r="AG2912" i="8"/>
  <c r="AI2912" i="8" s="1"/>
  <c r="AJ2912" i="8" s="1"/>
  <c r="E1185" i="33"/>
  <c r="F1185" i="33" s="1"/>
  <c r="E533" i="33"/>
  <c r="F533" i="33" s="1"/>
  <c r="AG1348" i="8"/>
  <c r="AI1348" i="8" s="1"/>
  <c r="AJ1348" i="8" s="1"/>
  <c r="F1348" i="8"/>
  <c r="T1348" i="8" s="1"/>
  <c r="E1539" i="33"/>
  <c r="F1539" i="33" s="1"/>
  <c r="F3799" i="8"/>
  <c r="T3799" i="8" s="1"/>
  <c r="AG3799" i="8"/>
  <c r="E1462" i="33"/>
  <c r="F1462" i="33" s="1"/>
  <c r="AG3572" i="8"/>
  <c r="AI3572" i="8" s="1"/>
  <c r="AJ3572" i="8" s="1"/>
  <c r="F3572" i="8"/>
  <c r="AI4125" i="8"/>
  <c r="AJ4125" i="8" s="1"/>
  <c r="AH4125" i="8"/>
  <c r="F2155" i="8"/>
  <c r="T2155" i="8" s="1"/>
  <c r="AG2155" i="8"/>
  <c r="E853" i="33"/>
  <c r="F853" i="33" s="1"/>
  <c r="E804" i="33"/>
  <c r="F804" i="33" s="1"/>
  <c r="F2010" i="8"/>
  <c r="T2010" i="8" s="1"/>
  <c r="AG2010" i="8"/>
  <c r="AI2010" i="8" s="1"/>
  <c r="AJ2010" i="8" s="1"/>
  <c r="F2336" i="8"/>
  <c r="T2336" i="8" s="1"/>
  <c r="AG2336" i="8"/>
  <c r="AI2336" i="8" s="1"/>
  <c r="AJ2336" i="8" s="1"/>
  <c r="E931" i="33"/>
  <c r="F931" i="33" s="1"/>
  <c r="AH1532" i="8"/>
  <c r="AJ2066" i="8"/>
  <c r="AK2066" i="8"/>
  <c r="AI306" i="8"/>
  <c r="AJ306" i="8" s="1"/>
  <c r="AH306" i="8"/>
  <c r="AH2594" i="8"/>
  <c r="AG3135" i="8"/>
  <c r="AI3135" i="8" s="1"/>
  <c r="AJ3135" i="8" s="1"/>
  <c r="F3135" i="8"/>
  <c r="T3135" i="8" s="1"/>
  <c r="E1252" i="33"/>
  <c r="F1252" i="33" s="1"/>
  <c r="F1289" i="8"/>
  <c r="T1289" i="8" s="1"/>
  <c r="E517" i="33"/>
  <c r="F517" i="33" s="1"/>
  <c r="AG1289" i="8"/>
  <c r="AH4060" i="8"/>
  <c r="AG2933" i="8"/>
  <c r="AI2933" i="8" s="1"/>
  <c r="AJ2933" i="8" s="1"/>
  <c r="E1191" i="33"/>
  <c r="F1191" i="33" s="1"/>
  <c r="F2933" i="8"/>
  <c r="T2933" i="8" s="1"/>
  <c r="E746" i="33"/>
  <c r="F746" i="33" s="1"/>
  <c r="AG1823" i="8"/>
  <c r="AI1823" i="8" s="1"/>
  <c r="AJ1823" i="8" s="1"/>
  <c r="F1823" i="8"/>
  <c r="T1823" i="8" s="1"/>
  <c r="AH685" i="8"/>
  <c r="AH4139" i="8"/>
  <c r="AK4139" i="8"/>
  <c r="E127" i="33"/>
  <c r="F127" i="33" s="1"/>
  <c r="F396" i="8"/>
  <c r="T396" i="8" s="1"/>
  <c r="AG396" i="8"/>
  <c r="AI396" i="8" s="1"/>
  <c r="AJ396" i="8" s="1"/>
  <c r="F3815" i="8"/>
  <c r="T3815" i="8" s="1"/>
  <c r="E1543" i="33"/>
  <c r="F1543" i="33" s="1"/>
  <c r="AG3815" i="8"/>
  <c r="AI3815" i="8" s="1"/>
  <c r="AJ3815" i="8" s="1"/>
  <c r="AM1369" i="8"/>
  <c r="AO1369" i="8" s="1"/>
  <c r="E1369" i="8"/>
  <c r="E632" i="33"/>
  <c r="F632" i="33" s="1"/>
  <c r="F1641" i="8"/>
  <c r="T1641" i="8" s="1"/>
  <c r="AG1641" i="8"/>
  <c r="E972" i="33"/>
  <c r="F972" i="33" s="1"/>
  <c r="F2410" i="8"/>
  <c r="T2410" i="8" s="1"/>
  <c r="AG2410" i="8"/>
  <c r="AG904" i="8"/>
  <c r="E330" i="33"/>
  <c r="F330" i="33" s="1"/>
  <c r="F904" i="8"/>
  <c r="T904" i="8" s="1"/>
  <c r="AJ2601" i="8"/>
  <c r="AK2601" i="8"/>
  <c r="AH630" i="8"/>
  <c r="AK630" i="8"/>
  <c r="E429" i="33"/>
  <c r="F429" i="33" s="1"/>
  <c r="F1162" i="8"/>
  <c r="T1162" i="8" s="1"/>
  <c r="AG1162" i="8"/>
  <c r="AI1162" i="8" s="1"/>
  <c r="AJ1162" i="8" s="1"/>
  <c r="E1634" i="33"/>
  <c r="F1634" i="33" s="1"/>
  <c r="AG4053" i="8"/>
  <c r="F4053" i="8"/>
  <c r="T4053" i="8" s="1"/>
  <c r="E874" i="33"/>
  <c r="F874" i="33" s="1"/>
  <c r="F2226" i="8"/>
  <c r="T2226" i="8" s="1"/>
  <c r="AG2226" i="8"/>
  <c r="AI2226" i="8" s="1"/>
  <c r="AJ2226" i="8" s="1"/>
  <c r="F2463" i="8"/>
  <c r="T2463" i="8" s="1"/>
  <c r="E984" i="33"/>
  <c r="F984" i="33" s="1"/>
  <c r="AG2463" i="8"/>
  <c r="AI2463" i="8" s="1"/>
  <c r="AJ2463" i="8" s="1"/>
  <c r="E546" i="33"/>
  <c r="F546" i="33" s="1"/>
  <c r="AG1391" i="8"/>
  <c r="AI1391" i="8" s="1"/>
  <c r="AJ1391" i="8" s="1"/>
  <c r="F1391" i="8"/>
  <c r="T1391" i="8" s="1"/>
  <c r="E1444" i="33"/>
  <c r="F1444" i="33" s="1"/>
  <c r="AG3555" i="8"/>
  <c r="F3555" i="8"/>
  <c r="T3555" i="8" s="1"/>
  <c r="E1258" i="33"/>
  <c r="F1258" i="33" s="1"/>
  <c r="AG3156" i="8"/>
  <c r="AI3156" i="8" s="1"/>
  <c r="AJ3156" i="8" s="1"/>
  <c r="F3156" i="8"/>
  <c r="T3156" i="8" s="1"/>
  <c r="E980" i="33"/>
  <c r="F980" i="33" s="1"/>
  <c r="F2448" i="8"/>
  <c r="T2448" i="8" s="1"/>
  <c r="AG2448" i="8"/>
  <c r="AI2448" i="8" s="1"/>
  <c r="AJ2448" i="8" s="1"/>
  <c r="F285" i="8"/>
  <c r="T285" i="8" s="1"/>
  <c r="E72" i="33"/>
  <c r="F72" i="33" s="1"/>
  <c r="AG285" i="8"/>
  <c r="AI285" i="8" s="1"/>
  <c r="AJ285" i="8" s="1"/>
  <c r="T873" i="8"/>
  <c r="E634" i="33"/>
  <c r="F634" i="33" s="1"/>
  <c r="AG1649" i="8"/>
  <c r="AI1649" i="8" s="1"/>
  <c r="AJ1649" i="8" s="1"/>
  <c r="F1649" i="8"/>
  <c r="T1649" i="8" s="1"/>
  <c r="E849" i="33"/>
  <c r="F849" i="33" s="1"/>
  <c r="F2141" i="8"/>
  <c r="T2141" i="8" s="1"/>
  <c r="AG2141" i="8"/>
  <c r="AI2141" i="8" s="1"/>
  <c r="AJ2141" i="8" s="1"/>
  <c r="E1072" i="33"/>
  <c r="F1072" i="33" s="1"/>
  <c r="F2691" i="8"/>
  <c r="T2691" i="8" s="1"/>
  <c r="AG2691" i="8"/>
  <c r="E600" i="33"/>
  <c r="F600" i="33" s="1"/>
  <c r="F1553" i="8"/>
  <c r="T1553" i="8" s="1"/>
  <c r="AG1553" i="8"/>
  <c r="AG502" i="8"/>
  <c r="E182" i="33"/>
  <c r="F182" i="33" s="1"/>
  <c r="F502" i="8"/>
  <c r="F457" i="8"/>
  <c r="T457" i="8" s="1"/>
  <c r="AG457" i="8"/>
  <c r="AI457" i="8" s="1"/>
  <c r="AJ457" i="8" s="1"/>
  <c r="E151" i="33"/>
  <c r="F151" i="33" s="1"/>
  <c r="E818" i="33"/>
  <c r="F818" i="33" s="1"/>
  <c r="AG2059" i="8"/>
  <c r="F2059" i="8"/>
  <c r="T2059" i="8" s="1"/>
  <c r="E1193" i="33"/>
  <c r="F1193" i="33" s="1"/>
  <c r="F2940" i="8"/>
  <c r="T2940" i="8" s="1"/>
  <c r="AG2940" i="8"/>
  <c r="E764" i="33"/>
  <c r="F764" i="33" s="1"/>
  <c r="F1891" i="8"/>
  <c r="T1891" i="8" s="1"/>
  <c r="AG1891" i="8"/>
  <c r="AI1891" i="8" s="1"/>
  <c r="AJ1891" i="8" s="1"/>
  <c r="E1082" i="33"/>
  <c r="F1082" i="33" s="1"/>
  <c r="AG2731" i="8"/>
  <c r="F2731" i="8"/>
  <c r="T2731" i="8" s="1"/>
  <c r="E630" i="33"/>
  <c r="F630" i="33" s="1"/>
  <c r="AG1633" i="8"/>
  <c r="F1633" i="8"/>
  <c r="T1633" i="8" s="1"/>
  <c r="AO4085" i="8"/>
  <c r="F1546" i="8"/>
  <c r="T1546" i="8" s="1"/>
  <c r="AG1546" i="8"/>
  <c r="AI1546" i="8" s="1"/>
  <c r="AJ1546" i="8" s="1"/>
  <c r="E598" i="33"/>
  <c r="F598" i="33" s="1"/>
  <c r="E1301" i="33"/>
  <c r="F1301" i="33" s="1"/>
  <c r="F3259" i="8"/>
  <c r="T3259" i="8" s="1"/>
  <c r="AG3259" i="8"/>
  <c r="E118" i="33"/>
  <c r="F118" i="33" s="1"/>
  <c r="AG375" i="8"/>
  <c r="AI375" i="8" s="1"/>
  <c r="AJ375" i="8" s="1"/>
  <c r="F375" i="8"/>
  <c r="E136" i="33"/>
  <c r="F136" i="33" s="1"/>
  <c r="AG417" i="8"/>
  <c r="F417" i="8"/>
  <c r="T417" i="8" s="1"/>
  <c r="E866" i="33"/>
  <c r="F866" i="33" s="1"/>
  <c r="AG2194" i="8"/>
  <c r="F2194" i="8"/>
  <c r="T2194" i="8" s="1"/>
  <c r="E352" i="33"/>
  <c r="F352" i="33" s="1"/>
  <c r="F938" i="8"/>
  <c r="T938" i="8" s="1"/>
  <c r="AG938" i="8"/>
  <c r="E966" i="33"/>
  <c r="F966" i="33" s="1"/>
  <c r="AG2389" i="8"/>
  <c r="F2389" i="8"/>
  <c r="T2389" i="8" s="1"/>
  <c r="E184" i="33"/>
  <c r="F184" i="33" s="1"/>
  <c r="AG509" i="8"/>
  <c r="F509" i="8"/>
  <c r="T509" i="8" s="1"/>
  <c r="E839" i="33"/>
  <c r="F839" i="33" s="1"/>
  <c r="F2107" i="8"/>
  <c r="AG2107" i="8"/>
  <c r="AI2107" i="8" s="1"/>
  <c r="AJ2107" i="8" s="1"/>
  <c r="F382" i="8"/>
  <c r="T382" i="8" s="1"/>
  <c r="E121" i="33"/>
  <c r="F121" i="33" s="1"/>
  <c r="AG382" i="8"/>
  <c r="AK591" i="8"/>
  <c r="T643" i="8"/>
  <c r="AG1038" i="8"/>
  <c r="AI1038" i="8" s="1"/>
  <c r="AJ1038" i="8" s="1"/>
  <c r="F1038" i="8"/>
  <c r="T1038" i="8" s="1"/>
  <c r="E384" i="33"/>
  <c r="F384" i="33" s="1"/>
  <c r="AG1760" i="8"/>
  <c r="AI1760" i="8" s="1"/>
  <c r="AJ1760" i="8" s="1"/>
  <c r="F1760" i="8"/>
  <c r="T1760" i="8" s="1"/>
  <c r="E687" i="33"/>
  <c r="F687" i="33" s="1"/>
  <c r="AH4019" i="8"/>
  <c r="AK4019" i="8"/>
  <c r="AG2580" i="8"/>
  <c r="E1028" i="33"/>
  <c r="F1028" i="33" s="1"/>
  <c r="F2580" i="8"/>
  <c r="T2580" i="8" s="1"/>
  <c r="AK3646" i="8"/>
  <c r="AI873" i="8"/>
  <c r="AJ873" i="8" s="1"/>
  <c r="AH873" i="8"/>
  <c r="E253" i="33"/>
  <c r="F253" i="33" s="1"/>
  <c r="F708" i="8"/>
  <c r="T708" i="8" s="1"/>
  <c r="AG708" i="8"/>
  <c r="E186" i="33"/>
  <c r="F186" i="33" s="1"/>
  <c r="AG516" i="8"/>
  <c r="F516" i="8"/>
  <c r="T516" i="8" s="1"/>
  <c r="AI1497" i="8"/>
  <c r="AJ1497" i="8" s="1"/>
  <c r="AH1497" i="8"/>
  <c r="F3198" i="8"/>
  <c r="T3198" i="8" s="1"/>
  <c r="E1270" i="33"/>
  <c r="F1270" i="33" s="1"/>
  <c r="AG3198" i="8"/>
  <c r="E1197" i="33"/>
  <c r="F1197" i="33" s="1"/>
  <c r="F2954" i="8"/>
  <c r="T2954" i="8" s="1"/>
  <c r="AG2954" i="8"/>
  <c r="AI2954" i="8" s="1"/>
  <c r="AJ2954" i="8" s="1"/>
  <c r="E380" i="33"/>
  <c r="F380" i="33" s="1"/>
  <c r="AG1024" i="8"/>
  <c r="AI1024" i="8" s="1"/>
  <c r="AJ1024" i="8" s="1"/>
  <c r="F1024" i="8"/>
  <c r="T1024" i="8" s="1"/>
  <c r="E431" i="33"/>
  <c r="F431" i="33" s="1"/>
  <c r="AG1170" i="8"/>
  <c r="F1170" i="8"/>
  <c r="T1170" i="8" s="1"/>
  <c r="F1518" i="8"/>
  <c r="T1518" i="8" s="1"/>
  <c r="AG1518" i="8"/>
  <c r="E590" i="33"/>
  <c r="F590" i="33" s="1"/>
  <c r="F2322" i="8"/>
  <c r="AG2322" i="8"/>
  <c r="E925" i="33"/>
  <c r="F925" i="33" s="1"/>
  <c r="E1412" i="33"/>
  <c r="F1412" i="33" s="1"/>
  <c r="F3433" i="8"/>
  <c r="T3433" i="8" s="1"/>
  <c r="AG3433" i="8"/>
  <c r="AI3433" i="8" s="1"/>
  <c r="AJ3433" i="8" s="1"/>
  <c r="E1428" i="33"/>
  <c r="F1428" i="33" s="1"/>
  <c r="F3490" i="8"/>
  <c r="T3490" i="8" s="1"/>
  <c r="AG3490" i="8"/>
  <c r="AG3447" i="8"/>
  <c r="AI3447" i="8" s="1"/>
  <c r="AJ3447" i="8" s="1"/>
  <c r="F3447" i="8"/>
  <c r="T3447" i="8" s="1"/>
  <c r="E1416" i="33"/>
  <c r="F1416" i="33" s="1"/>
  <c r="F4278" i="8"/>
  <c r="T4251" i="8"/>
  <c r="T4278" i="8" s="1"/>
  <c r="T4284" i="8" s="1"/>
  <c r="AK299" i="8"/>
  <c r="E1143" i="33"/>
  <c r="F1143" i="33" s="1"/>
  <c r="F2873" i="8"/>
  <c r="T2873" i="8" s="1"/>
  <c r="AG2873" i="8"/>
  <c r="AI2873" i="8" s="1"/>
  <c r="AJ2873" i="8" s="1"/>
  <c r="AG1802" i="8"/>
  <c r="F1802" i="8"/>
  <c r="E740" i="33"/>
  <c r="F740" i="33" s="1"/>
  <c r="F3461" i="8"/>
  <c r="T3461" i="8" s="1"/>
  <c r="AG3461" i="8"/>
  <c r="AI3461" i="8" s="1"/>
  <c r="AJ3461" i="8" s="1"/>
  <c r="E1420" i="33"/>
  <c r="F1420" i="33" s="1"/>
  <c r="E775" i="33"/>
  <c r="F775" i="33" s="1"/>
  <c r="F1927" i="8"/>
  <c r="T1927" i="8" s="1"/>
  <c r="AG1927" i="8"/>
  <c r="AI1927" i="8" s="1"/>
  <c r="AJ1927" i="8" s="1"/>
  <c r="E1086" i="33"/>
  <c r="F1086" i="33" s="1"/>
  <c r="F2747" i="8"/>
  <c r="T2747" i="8" s="1"/>
  <c r="AG2747" i="8"/>
  <c r="AI2747" i="8" s="1"/>
  <c r="AJ2747" i="8" s="1"/>
  <c r="E1414" i="33"/>
  <c r="F1414" i="33" s="1"/>
  <c r="AG3440" i="8"/>
  <c r="AI3440" i="8" s="1"/>
  <c r="AJ3440" i="8" s="1"/>
  <c r="F3440" i="8"/>
  <c r="T3440" i="8" s="1"/>
  <c r="AM3497" i="8"/>
  <c r="AO3497" i="8" s="1"/>
  <c r="E3497" i="8"/>
  <c r="E628" i="33"/>
  <c r="F628" i="33" s="1"/>
  <c r="AG1625" i="8"/>
  <c r="F1625" i="8"/>
  <c r="T1625" i="8" s="1"/>
  <c r="E1354" i="33"/>
  <c r="F1354" i="33" s="1"/>
  <c r="F3394" i="8"/>
  <c r="T3394" i="8" s="1"/>
  <c r="AG3394" i="8"/>
  <c r="AI3394" i="8" s="1"/>
  <c r="AJ3394" i="8" s="1"/>
  <c r="E1426" i="33"/>
  <c r="F1426" i="33" s="1"/>
  <c r="F3483" i="8"/>
  <c r="T3483" i="8" s="1"/>
  <c r="AG3483" i="8"/>
  <c r="AI3483" i="8" s="1"/>
  <c r="AJ3483" i="8" s="1"/>
  <c r="E412" i="33"/>
  <c r="F412" i="33" s="1"/>
  <c r="AG1108" i="8"/>
  <c r="F1108" i="8"/>
  <c r="T1108" i="8" s="1"/>
  <c r="T3722" i="8"/>
  <c r="E427" i="33"/>
  <c r="F427" i="33" s="1"/>
  <c r="AG1154" i="8"/>
  <c r="F1154" i="8"/>
  <c r="T1154" i="8" s="1"/>
  <c r="E188" i="33"/>
  <c r="F188" i="33" s="1"/>
  <c r="F523" i="8"/>
  <c r="T523" i="8" s="1"/>
  <c r="AG523" i="8"/>
  <c r="AI523" i="8" s="1"/>
  <c r="AJ523" i="8" s="1"/>
  <c r="E408" i="33"/>
  <c r="F408" i="33" s="1"/>
  <c r="AG1093" i="8"/>
  <c r="F1093" i="8"/>
  <c r="T1093" i="8" s="1"/>
  <c r="AG2972" i="8"/>
  <c r="F2972" i="8"/>
  <c r="T2972" i="8" s="1"/>
  <c r="E1201" i="33"/>
  <c r="F1201" i="33" s="1"/>
  <c r="AH341" i="8"/>
  <c r="AK341" i="8"/>
  <c r="AG1830" i="8"/>
  <c r="AI1830" i="8" s="1"/>
  <c r="AJ1830" i="8" s="1"/>
  <c r="F1830" i="8"/>
  <c r="T1830" i="8" s="1"/>
  <c r="E748" i="33"/>
  <c r="F748" i="33" s="1"/>
  <c r="E1418" i="33"/>
  <c r="F1418" i="33" s="1"/>
  <c r="F3454" i="8"/>
  <c r="T3454" i="8" s="1"/>
  <c r="AG3454" i="8"/>
  <c r="AI3454" i="8" s="1"/>
  <c r="AJ3454" i="8" s="1"/>
  <c r="E359" i="33"/>
  <c r="F359" i="33" s="1"/>
  <c r="AG956" i="8"/>
  <c r="AI956" i="8" s="1"/>
  <c r="AJ956" i="8" s="1"/>
  <c r="F956" i="8"/>
  <c r="T956" i="8" s="1"/>
  <c r="F1086" i="8"/>
  <c r="T1086" i="8" s="1"/>
  <c r="AG1086" i="8"/>
  <c r="E406" i="33"/>
  <c r="F406" i="33" s="1"/>
  <c r="E1436" i="33"/>
  <c r="F1436" i="33" s="1"/>
  <c r="AG3526" i="8"/>
  <c r="F3526" i="8"/>
  <c r="T3526" i="8" s="1"/>
  <c r="AH2148" i="8"/>
  <c r="AJ2569" i="8"/>
  <c r="AK2569" i="8"/>
  <c r="E1529" i="33"/>
  <c r="F1529" i="33" s="1"/>
  <c r="F3759" i="8"/>
  <c r="T3759" i="8" s="1"/>
  <c r="AG3759" i="8"/>
  <c r="AI3759" i="8" s="1"/>
  <c r="AJ3759" i="8" s="1"/>
  <c r="E828" i="33"/>
  <c r="F828" i="33" s="1"/>
  <c r="F2094" i="8"/>
  <c r="T2094" i="8" s="1"/>
  <c r="AG2094" i="8"/>
  <c r="AI2094" i="8" s="1"/>
  <c r="AJ2094" i="8" s="1"/>
  <c r="E1213" i="33"/>
  <c r="F1213" i="33" s="1"/>
  <c r="F3017" i="8"/>
  <c r="T3017" i="8" s="1"/>
  <c r="AG3017" i="8"/>
  <c r="AG1855" i="8"/>
  <c r="AI1855" i="8" s="1"/>
  <c r="AJ1855" i="8" s="1"/>
  <c r="E754" i="33"/>
  <c r="F754" i="33" s="1"/>
  <c r="F1855" i="8"/>
  <c r="T1855" i="8" s="1"/>
  <c r="F2926" i="8"/>
  <c r="T2926" i="8" s="1"/>
  <c r="E1189" i="33"/>
  <c r="F1189" i="33" s="1"/>
  <c r="AG2926" i="8"/>
  <c r="AH2087" i="8"/>
  <c r="AK2087" i="8"/>
  <c r="E622" i="33"/>
  <c r="F622" i="33" s="1"/>
  <c r="F1601" i="8"/>
  <c r="AG1601" i="8"/>
  <c r="AI1601" i="8" s="1"/>
  <c r="AJ1601" i="8" s="1"/>
  <c r="E1527" i="33"/>
  <c r="F1527" i="33" s="1"/>
  <c r="AG3751" i="8"/>
  <c r="F3751" i="8"/>
  <c r="T3751" i="8" s="1"/>
  <c r="AJ3702" i="8"/>
  <c r="AK3702" i="8"/>
  <c r="E435" i="33"/>
  <c r="F435" i="33" s="1"/>
  <c r="AG1186" i="8"/>
  <c r="F1186" i="8"/>
  <c r="T1186" i="8" s="1"/>
  <c r="F2484" i="8"/>
  <c r="T2484" i="8" s="1"/>
  <c r="AG2484" i="8"/>
  <c r="AI2484" i="8" s="1"/>
  <c r="AJ2484" i="8" s="1"/>
  <c r="E990" i="33"/>
  <c r="F990" i="33" s="1"/>
  <c r="E423" i="33"/>
  <c r="F423" i="33" s="1"/>
  <c r="AG1138" i="8"/>
  <c r="F1138" i="8"/>
  <c r="T1138" i="8" s="1"/>
  <c r="E541" i="33"/>
  <c r="F541" i="33" s="1"/>
  <c r="AG1380" i="8"/>
  <c r="AI1380" i="8" s="1"/>
  <c r="AJ1380" i="8" s="1"/>
  <c r="F1380" i="8"/>
  <c r="T1380" i="8" s="1"/>
  <c r="E872" i="33"/>
  <c r="F872" i="33" s="1"/>
  <c r="F2218" i="8"/>
  <c r="T2218" i="8" s="1"/>
  <c r="AG2218" i="8"/>
  <c r="AI2218" i="8" s="1"/>
  <c r="AJ2218" i="8" s="1"/>
  <c r="E515" i="33"/>
  <c r="F515" i="33" s="1"/>
  <c r="AG1282" i="8"/>
  <c r="AI1282" i="8" s="1"/>
  <c r="AJ1282" i="8" s="1"/>
  <c r="F1282" i="8"/>
  <c r="F2375" i="8"/>
  <c r="T2375" i="8" s="1"/>
  <c r="AG2375" i="8"/>
  <c r="E962" i="33"/>
  <c r="F962" i="33" s="1"/>
  <c r="F1317" i="8"/>
  <c r="T1317" i="8" s="1"/>
  <c r="E525" i="33"/>
  <c r="F525" i="33" s="1"/>
  <c r="AG1317" i="8"/>
  <c r="AI1317" i="8" s="1"/>
  <c r="AJ1317" i="8" s="1"/>
  <c r="E548" i="33"/>
  <c r="F548" i="33" s="1"/>
  <c r="AG1400" i="8"/>
  <c r="F1400" i="8"/>
  <c r="T1400" i="8" s="1"/>
  <c r="AI1072" i="8"/>
  <c r="AJ1072" i="8" s="1"/>
  <c r="AH1072" i="8"/>
  <c r="E1036" i="33"/>
  <c r="F1036" i="33" s="1"/>
  <c r="AG2608" i="8"/>
  <c r="AI2608" i="8" s="1"/>
  <c r="AJ2608" i="8" s="1"/>
  <c r="F2608" i="8"/>
  <c r="T2608" i="8" s="1"/>
  <c r="E841" i="33"/>
  <c r="F841" i="33" s="1"/>
  <c r="F2114" i="8"/>
  <c r="T2114" i="8" s="1"/>
  <c r="AG2114" i="8"/>
  <c r="AI2114" i="8" s="1"/>
  <c r="AJ2114" i="8" s="1"/>
  <c r="E988" i="33"/>
  <c r="F988" i="33" s="1"/>
  <c r="F2477" i="8"/>
  <c r="T2477" i="8" s="1"/>
  <c r="AG2477" i="8"/>
  <c r="AI2477" i="8" s="1"/>
  <c r="AJ2477" i="8" s="1"/>
  <c r="AG2676" i="8"/>
  <c r="AI2676" i="8" s="1"/>
  <c r="AJ2676" i="8" s="1"/>
  <c r="F2676" i="8"/>
  <c r="T2676" i="8" s="1"/>
  <c r="E1065" i="33"/>
  <c r="F1065" i="33" s="1"/>
  <c r="E75" i="33"/>
  <c r="F75" i="33" s="1"/>
  <c r="AG292" i="8"/>
  <c r="F292" i="8"/>
  <c r="T292" i="8" s="1"/>
  <c r="E1293" i="33"/>
  <c r="F1293" i="33" s="1"/>
  <c r="AG3227" i="8"/>
  <c r="F3227" i="8"/>
  <c r="T3227" i="8" s="1"/>
  <c r="E425" i="33"/>
  <c r="F425" i="33" s="1"/>
  <c r="AG1146" i="8"/>
  <c r="F1146" i="8"/>
  <c r="T1146" i="8" s="1"/>
  <c r="E982" i="33"/>
  <c r="F982" i="33" s="1"/>
  <c r="AG2456" i="8"/>
  <c r="AI2456" i="8" s="1"/>
  <c r="AJ2456" i="8" s="1"/>
  <c r="F2456" i="8"/>
  <c r="T2456" i="8" s="1"/>
  <c r="E523" i="33"/>
  <c r="F523" i="33" s="1"/>
  <c r="AG1310" i="8"/>
  <c r="F1310" i="8"/>
  <c r="T1310" i="8" s="1"/>
  <c r="E816" i="33"/>
  <c r="F816" i="33" s="1"/>
  <c r="F2052" i="8"/>
  <c r="T2052" i="8" s="1"/>
  <c r="AG2052" i="8"/>
  <c r="AI2052" i="8" s="1"/>
  <c r="AJ2052" i="8" s="1"/>
  <c r="E354" i="33"/>
  <c r="F354" i="33" s="1"/>
  <c r="AG945" i="8"/>
  <c r="F945" i="8"/>
  <c r="T945" i="8" s="1"/>
  <c r="E200" i="33"/>
  <c r="F200" i="33" s="1"/>
  <c r="AG573" i="8"/>
  <c r="F573" i="8"/>
  <c r="T573" i="8" s="1"/>
  <c r="AG2382" i="8"/>
  <c r="AI2382" i="8" s="1"/>
  <c r="AJ2382" i="8" s="1"/>
  <c r="F2382" i="8"/>
  <c r="T2382" i="8" s="1"/>
  <c r="E964" i="33"/>
  <c r="F964" i="33" s="1"/>
  <c r="AH3191" i="8"/>
  <c r="AK3191" i="8"/>
  <c r="E624" i="33"/>
  <c r="F624" i="33" s="1"/>
  <c r="F1609" i="8"/>
  <c r="T1609" i="8" s="1"/>
  <c r="AG1609" i="8"/>
  <c r="E1487" i="33"/>
  <c r="F1487" i="33" s="1"/>
  <c r="AG3653" i="8"/>
  <c r="AI3653" i="8" s="1"/>
  <c r="AJ3653" i="8" s="1"/>
  <c r="F3653" i="8"/>
  <c r="T3653" i="8" s="1"/>
  <c r="E582" i="33"/>
  <c r="F582" i="33" s="1"/>
  <c r="F1490" i="8"/>
  <c r="T1490" i="8" s="1"/>
  <c r="AG1490" i="8"/>
  <c r="AI1566" i="8"/>
  <c r="AJ1566" i="8" s="1"/>
  <c r="AH1566" i="8"/>
  <c r="E84" i="33"/>
  <c r="F84" i="33" s="1"/>
  <c r="AG313" i="8"/>
  <c r="AI313" i="8" s="1"/>
  <c r="AJ313" i="8" s="1"/>
  <c r="F313" i="8"/>
  <c r="T313" i="8" s="1"/>
  <c r="E1074" i="33"/>
  <c r="F1074" i="33" s="1"/>
  <c r="AG2699" i="8"/>
  <c r="AI2699" i="8" s="1"/>
  <c r="AJ2699" i="8" s="1"/>
  <c r="F2699" i="8"/>
  <c r="T2699" i="8" s="1"/>
  <c r="AH4132" i="8"/>
  <c r="AK4132" i="8"/>
  <c r="AH643" i="8"/>
  <c r="AK643" i="8"/>
  <c r="E1493" i="33"/>
  <c r="F1493" i="33" s="1"/>
  <c r="AG3674" i="8"/>
  <c r="F3674" i="8"/>
  <c r="T3674" i="8" s="1"/>
  <c r="F4103" i="8"/>
  <c r="T4103" i="8" s="1"/>
  <c r="E1698" i="33"/>
  <c r="F1698" i="33" s="1"/>
  <c r="AG4103" i="8"/>
  <c r="AI4103" i="8" s="1"/>
  <c r="AJ4103" i="8" s="1"/>
  <c r="E1183" i="33"/>
  <c r="F1183" i="33" s="1"/>
  <c r="AG2905" i="8"/>
  <c r="AI2905" i="8" s="1"/>
  <c r="AJ2905" i="8" s="1"/>
  <c r="F2905" i="8"/>
  <c r="T2905" i="8" s="1"/>
  <c r="AK1511" i="8"/>
  <c r="AI271" i="8"/>
  <c r="AJ271" i="8" s="1"/>
  <c r="AH271" i="8"/>
  <c r="E1260" i="33"/>
  <c r="F1260" i="33" s="1"/>
  <c r="AG3163" i="8"/>
  <c r="AI3163" i="8" s="1"/>
  <c r="AJ3163" i="8" s="1"/>
  <c r="F3163" i="8"/>
  <c r="T3163" i="8" s="1"/>
  <c r="E1246" i="33"/>
  <c r="F1246" i="33" s="1"/>
  <c r="F3114" i="8"/>
  <c r="T3114" i="8" s="1"/>
  <c r="AG3114" i="8"/>
  <c r="AI3114" i="8" s="1"/>
  <c r="AJ3114" i="8" s="1"/>
  <c r="S166" i="1"/>
  <c r="F84" i="1" s="1"/>
  <c r="E1631" i="33"/>
  <c r="F1631" i="33" s="1"/>
  <c r="AG4046" i="8"/>
  <c r="AI4046" i="8" s="1"/>
  <c r="AJ4046" i="8" s="1"/>
  <c r="F4046" i="8"/>
  <c r="T4046" i="8" s="1"/>
  <c r="AG2403" i="8"/>
  <c r="AI2403" i="8" s="1"/>
  <c r="AJ2403" i="8" s="1"/>
  <c r="F2403" i="8"/>
  <c r="T2403" i="8" s="1"/>
  <c r="E970" i="33"/>
  <c r="F970" i="33" s="1"/>
  <c r="E1084" i="33"/>
  <c r="F1084" i="33" s="1"/>
  <c r="F2739" i="8"/>
  <c r="T2739" i="8" s="1"/>
  <c r="AG2739" i="8"/>
  <c r="AG3426" i="8"/>
  <c r="F3426" i="8"/>
  <c r="E1410" i="33"/>
  <c r="F1410" i="33" s="1"/>
  <c r="E773" i="33"/>
  <c r="F773" i="33" s="1"/>
  <c r="F1918" i="8"/>
  <c r="T1918" i="8" s="1"/>
  <c r="AG1918" i="8"/>
  <c r="AI1918" i="8" s="1"/>
  <c r="AJ1918" i="8" s="1"/>
  <c r="AH1058" i="8"/>
  <c r="AK1058" i="8"/>
  <c r="E437" i="33"/>
  <c r="F437" i="33" s="1"/>
  <c r="AG1194" i="8"/>
  <c r="AI1194" i="8" s="1"/>
  <c r="AJ1194" i="8" s="1"/>
  <c r="F1194" i="8"/>
  <c r="T1194" i="8" s="1"/>
  <c r="E860" i="33"/>
  <c r="F860" i="33" s="1"/>
  <c r="AG2170" i="8"/>
  <c r="AI2170" i="8" s="1"/>
  <c r="AJ2170" i="8" s="1"/>
  <c r="F2170" i="8"/>
  <c r="T2170" i="8" s="1"/>
  <c r="E1357" i="33"/>
  <c r="F1357" i="33" s="1"/>
  <c r="F3401" i="8"/>
  <c r="T3401" i="8" s="1"/>
  <c r="AG3401" i="8"/>
  <c r="E361" i="33"/>
  <c r="F361" i="33" s="1"/>
  <c r="F965" i="8"/>
  <c r="T965" i="8" s="1"/>
  <c r="AG965" i="8"/>
  <c r="E1438" i="33"/>
  <c r="F1438" i="33" s="1"/>
  <c r="AG3534" i="8"/>
  <c r="AI3534" i="8" s="1"/>
  <c r="AJ3534" i="8" s="1"/>
  <c r="F3534" i="8"/>
  <c r="T3534" i="8" s="1"/>
  <c r="F2947" i="8"/>
  <c r="T2947" i="8" s="1"/>
  <c r="E1195" i="33"/>
  <c r="F1195" i="33" s="1"/>
  <c r="AG2947" i="8"/>
  <c r="AI2947" i="8" s="1"/>
  <c r="AJ2947" i="8" s="1"/>
  <c r="AG2994" i="8"/>
  <c r="AI2994" i="8" s="1"/>
  <c r="AJ2994" i="8" s="1"/>
  <c r="F2994" i="8"/>
  <c r="T2994" i="8" s="1"/>
  <c r="E1207" i="33"/>
  <c r="F1207" i="33" s="1"/>
  <c r="AK1013" i="8"/>
  <c r="E139" i="33"/>
  <c r="F139" i="33" s="1"/>
  <c r="AG424" i="8"/>
  <c r="AI424" i="8" s="1"/>
  <c r="AJ424" i="8" s="1"/>
  <c r="F424" i="8"/>
  <c r="T424" i="8" s="1"/>
  <c r="E190" i="33"/>
  <c r="F190" i="33" s="1"/>
  <c r="F530" i="8"/>
  <c r="T530" i="8" s="1"/>
  <c r="AG530" i="8"/>
  <c r="E1080" i="33"/>
  <c r="F1080" i="33" s="1"/>
  <c r="F2723" i="8"/>
  <c r="T2723" i="8" s="1"/>
  <c r="AG2723" i="8"/>
  <c r="E1181" i="33"/>
  <c r="F1181" i="33" s="1"/>
  <c r="AG2898" i="8"/>
  <c r="AI2898" i="8" s="1"/>
  <c r="AJ2898" i="8" s="1"/>
  <c r="F2898" i="8"/>
  <c r="AI2017" i="8"/>
  <c r="AJ2017" i="8" s="1"/>
  <c r="AH2017" i="8"/>
  <c r="E1009" i="33"/>
  <c r="F1009" i="33" s="1"/>
  <c r="AG2510" i="8"/>
  <c r="AI2510" i="8" s="1"/>
  <c r="AJ2510" i="8" s="1"/>
  <c r="F2510" i="8"/>
  <c r="T2510" i="8" s="1"/>
  <c r="AM278" i="8"/>
  <c r="AO278" i="8" s="1"/>
  <c r="E278" i="8"/>
  <c r="R5468" i="8"/>
  <c r="R5454" i="8"/>
  <c r="R370" i="8"/>
  <c r="AH657" i="8"/>
  <c r="AK657" i="8"/>
  <c r="AG3275" i="8"/>
  <c r="AI3275" i="8" s="1"/>
  <c r="AJ3275" i="8" s="1"/>
  <c r="E1305" i="33"/>
  <c r="F1305" i="33" s="1"/>
  <c r="F3275" i="8"/>
  <c r="T3275" i="8" s="1"/>
  <c r="AH3121" i="8"/>
  <c r="AK3121" i="8"/>
  <c r="E1044" i="33"/>
  <c r="F1044" i="33" s="1"/>
  <c r="F2636" i="8"/>
  <c r="T2636" i="8" s="1"/>
  <c r="AG2636" i="8"/>
  <c r="AI2636" i="8" s="1"/>
  <c r="AJ2636" i="8" s="1"/>
  <c r="E960" i="33"/>
  <c r="F960" i="33" s="1"/>
  <c r="AG2368" i="8"/>
  <c r="F2368" i="8"/>
  <c r="T2368" i="8" s="1"/>
  <c r="E968" i="33"/>
  <c r="F968" i="33" s="1"/>
  <c r="F2396" i="8"/>
  <c r="T2396" i="8" s="1"/>
  <c r="AG2396" i="8"/>
  <c r="AI2396" i="8" s="1"/>
  <c r="AJ2396" i="8" s="1"/>
  <c r="F931" i="8"/>
  <c r="E350" i="33"/>
  <c r="F350" i="33" s="1"/>
  <c r="AG931" i="8"/>
  <c r="AI931" i="8" s="1"/>
  <c r="AJ931" i="8" s="1"/>
  <c r="E626" i="33"/>
  <c r="F626" i="33" s="1"/>
  <c r="AG1617" i="8"/>
  <c r="F1617" i="8"/>
  <c r="T1617" i="8" s="1"/>
  <c r="AK1999" i="8"/>
  <c r="E608" i="33"/>
  <c r="F608" i="33" s="1"/>
  <c r="AG1580" i="8"/>
  <c r="AI1580" i="8" s="1"/>
  <c r="AJ1580" i="8" s="1"/>
  <c r="F1580" i="8"/>
  <c r="T1580" i="8" s="1"/>
  <c r="AG2178" i="8"/>
  <c r="AI2178" i="8" s="1"/>
  <c r="AJ2178" i="8" s="1"/>
  <c r="F2178" i="8"/>
  <c r="T2178" i="8" s="1"/>
  <c r="E862" i="33"/>
  <c r="F862" i="33" s="1"/>
  <c r="E1295" i="33"/>
  <c r="F1295" i="33" s="1"/>
  <c r="F3235" i="8"/>
  <c r="T3235" i="8" s="1"/>
  <c r="AG3235" i="8"/>
  <c r="AH2038" i="8"/>
  <c r="AH1115" i="8"/>
  <c r="AK1115" i="8"/>
  <c r="E257" i="33"/>
  <c r="F257" i="33" s="1"/>
  <c r="AG724" i="8"/>
  <c r="AI724" i="8" s="1"/>
  <c r="AJ724" i="8" s="1"/>
  <c r="F724" i="8"/>
  <c r="T724" i="8" s="1"/>
  <c r="E1256" i="33"/>
  <c r="F1256" i="33" s="1"/>
  <c r="F3149" i="8"/>
  <c r="T3149" i="8" s="1"/>
  <c r="AG3149" i="8"/>
  <c r="F2329" i="8"/>
  <c r="T2329" i="8" s="1"/>
  <c r="AG2329" i="8"/>
  <c r="AI2329" i="8" s="1"/>
  <c r="AJ2329" i="8" s="1"/>
  <c r="E928" i="33"/>
  <c r="F928" i="33" s="1"/>
  <c r="AG2470" i="8"/>
  <c r="F2470" i="8"/>
  <c r="T2470" i="8" s="1"/>
  <c r="E986" i="33"/>
  <c r="F986" i="33" s="1"/>
  <c r="E149" i="33"/>
  <c r="F149" i="33" s="1"/>
  <c r="F448" i="8"/>
  <c r="T448" i="8" s="1"/>
  <c r="AG448" i="8"/>
  <c r="AI448" i="8" s="1"/>
  <c r="AJ448" i="8" s="1"/>
  <c r="E261" i="33"/>
  <c r="F261" i="33" s="1"/>
  <c r="AG740" i="8"/>
  <c r="F740" i="8"/>
  <c r="T740" i="8" s="1"/>
  <c r="E596" i="33"/>
  <c r="F596" i="33" s="1"/>
  <c r="F1539" i="8"/>
  <c r="T1539" i="8" s="1"/>
  <c r="AG1539" i="8"/>
  <c r="AI1539" i="8" s="1"/>
  <c r="AJ1539" i="8" s="1"/>
  <c r="E760" i="33"/>
  <c r="F760" i="33" s="1"/>
  <c r="AG1877" i="8"/>
  <c r="AI1877" i="8" s="1"/>
  <c r="AJ1877" i="8" s="1"/>
  <c r="F1877" i="8"/>
  <c r="T1877" i="8" s="1"/>
  <c r="AG2629" i="8"/>
  <c r="AI2629" i="8" s="1"/>
  <c r="AJ2629" i="8" s="1"/>
  <c r="F2629" i="8"/>
  <c r="T2629" i="8" s="1"/>
  <c r="E1042" i="33"/>
  <c r="F1042" i="33" s="1"/>
  <c r="E531" i="33"/>
  <c r="F531" i="33" s="1"/>
  <c r="F1341" i="8"/>
  <c r="T1341" i="8" s="1"/>
  <c r="AG1341" i="8"/>
  <c r="AI1341" i="8" s="1"/>
  <c r="AJ1341" i="8" s="1"/>
  <c r="E521" i="33"/>
  <c r="F521" i="33" s="1"/>
  <c r="AG1303" i="8"/>
  <c r="AI1303" i="8" s="1"/>
  <c r="AJ1303" i="8" s="1"/>
  <c r="F1303" i="8"/>
  <c r="T1303" i="8" s="1"/>
  <c r="E1422" i="33"/>
  <c r="F1422" i="33" s="1"/>
  <c r="F3468" i="8"/>
  <c r="T3468" i="8" s="1"/>
  <c r="AG3468" i="8"/>
  <c r="AI3468" i="8" s="1"/>
  <c r="AJ3468" i="8" s="1"/>
  <c r="E153" i="33"/>
  <c r="F153" i="33" s="1"/>
  <c r="F466" i="8"/>
  <c r="T466" i="8" s="1"/>
  <c r="AG466" i="8"/>
  <c r="AI466" i="8" s="1"/>
  <c r="AJ466" i="8" s="1"/>
  <c r="AI3667" i="8"/>
  <c r="AJ3667" i="8" s="1"/>
  <c r="AH3667" i="8"/>
  <c r="AG895" i="8"/>
  <c r="E328" i="33"/>
  <c r="F328" i="33" s="1"/>
  <c r="F895" i="8"/>
  <c r="T895" i="8" s="1"/>
  <c r="AJ3128" i="8"/>
  <c r="AK3128" i="8"/>
  <c r="AG1809" i="8"/>
  <c r="E742" i="33"/>
  <c r="F742" i="33" s="1"/>
  <c r="F1809" i="8"/>
  <c r="T1809" i="8" s="1"/>
  <c r="E1209" i="33"/>
  <c r="F1209" i="33" s="1"/>
  <c r="AG3001" i="8"/>
  <c r="AI3001" i="8" s="1"/>
  <c r="AJ3001" i="8" s="1"/>
  <c r="F3001" i="8"/>
  <c r="T3001" i="8" s="1"/>
  <c r="AG3548" i="8"/>
  <c r="AI3548" i="8" s="1"/>
  <c r="AJ3548" i="8" s="1"/>
  <c r="F3548" i="8"/>
  <c r="T3548" i="8" s="1"/>
  <c r="E1442" i="33"/>
  <c r="F1442" i="33" s="1"/>
  <c r="E529" i="33"/>
  <c r="F529" i="33" s="1"/>
  <c r="AG1333" i="8"/>
  <c r="AI1333" i="8" s="1"/>
  <c r="AJ1333" i="8" s="1"/>
  <c r="F1333" i="8"/>
  <c r="T1333" i="8" s="1"/>
  <c r="AH2080" i="8"/>
  <c r="AK2080" i="8"/>
  <c r="E1628" i="33"/>
  <c r="F1628" i="33" s="1"/>
  <c r="AG4039" i="8"/>
  <c r="F4039" i="8"/>
  <c r="AM555" i="8"/>
  <c r="AO555" i="8" s="1"/>
  <c r="E555" i="8"/>
  <c r="E1299" i="33"/>
  <c r="F1299" i="33" s="1"/>
  <c r="AG3251" i="8"/>
  <c r="AI3251" i="8" s="1"/>
  <c r="AJ3251" i="8" s="1"/>
  <c r="F3251" i="8"/>
  <c r="T3251" i="8" s="1"/>
  <c r="E105" i="33"/>
  <c r="F105" i="33" s="1"/>
  <c r="F362" i="8"/>
  <c r="T362" i="8" s="1"/>
  <c r="AG362" i="8"/>
  <c r="AI362" i="8" s="1"/>
  <c r="AJ362" i="8" s="1"/>
  <c r="AI3722" i="8"/>
  <c r="AJ3722" i="8" s="1"/>
  <c r="AH3722" i="8"/>
  <c r="E808" i="33"/>
  <c r="F808" i="33" s="1"/>
  <c r="AG2024" i="8"/>
  <c r="F2024" i="8"/>
  <c r="T2024" i="8" s="1"/>
  <c r="AH4251" i="8"/>
  <c r="AK4251" i="8"/>
  <c r="AH1101" i="8"/>
  <c r="AK1101" i="8"/>
  <c r="AG1862" i="8"/>
  <c r="AI1862" i="8" s="1"/>
  <c r="AJ1862" i="8" s="1"/>
  <c r="E756" i="33"/>
  <c r="F756" i="33" s="1"/>
  <c r="F1862" i="8"/>
  <c r="T1862" i="8" s="1"/>
  <c r="E684" i="33"/>
  <c r="F684" i="33" s="1"/>
  <c r="F1753" i="8"/>
  <c r="T1753" i="8" s="1"/>
  <c r="AG1753" i="8"/>
  <c r="AI1753" i="8" s="1"/>
  <c r="AJ1753" i="8" s="1"/>
  <c r="T271" i="8"/>
  <c r="E255" i="33"/>
  <c r="F255" i="33" s="1"/>
  <c r="F716" i="8"/>
  <c r="T716" i="8" s="1"/>
  <c r="AG716" i="8"/>
  <c r="E251" i="33"/>
  <c r="F251" i="33" s="1"/>
  <c r="F700" i="8"/>
  <c r="T700" i="8" s="1"/>
  <c r="AG700" i="8"/>
  <c r="AI700" i="8" s="1"/>
  <c r="AJ700" i="8" s="1"/>
  <c r="T171" i="1"/>
  <c r="E1137" i="33"/>
  <c r="F1137" i="33" s="1"/>
  <c r="AG2859" i="8"/>
  <c r="AI2859" i="8" s="1"/>
  <c r="AJ2859" i="8" s="1"/>
  <c r="F2859" i="8"/>
  <c r="E537" i="33"/>
  <c r="F537" i="33" s="1"/>
  <c r="AG1362" i="8"/>
  <c r="AI1362" i="8" s="1"/>
  <c r="AJ1362" i="8" s="1"/>
  <c r="F1362" i="8"/>
  <c r="T1362" i="8" s="1"/>
  <c r="F2919" i="8"/>
  <c r="T2919" i="8" s="1"/>
  <c r="AG2919" i="8"/>
  <c r="AI2919" i="8" s="1"/>
  <c r="AJ2919" i="8" s="1"/>
  <c r="E1187" i="33"/>
  <c r="F1187" i="33" s="1"/>
  <c r="E382" i="33"/>
  <c r="F382" i="33" s="1"/>
  <c r="F1031" i="8"/>
  <c r="T1031" i="8" s="1"/>
  <c r="AG1031" i="8"/>
  <c r="AI1031" i="8" s="1"/>
  <c r="AJ1031" i="8" s="1"/>
  <c r="AH2587" i="8"/>
  <c r="AK2587" i="8"/>
  <c r="T4019" i="8"/>
  <c r="T4034" i="8" s="1"/>
  <c r="F4034" i="8"/>
  <c r="AG1178" i="8"/>
  <c r="F1178" i="8"/>
  <c r="T1178" i="8" s="1"/>
  <c r="E433" i="33"/>
  <c r="F433" i="33" s="1"/>
  <c r="E1537" i="33"/>
  <c r="F1537" i="33" s="1"/>
  <c r="F3791" i="8"/>
  <c r="T3791" i="8" s="1"/>
  <c r="AG3791" i="8"/>
  <c r="AI3791" i="8" s="1"/>
  <c r="AJ3791" i="8" s="1"/>
  <c r="AI685" i="8"/>
  <c r="AJ685" i="8" s="1"/>
  <c r="F403" i="8"/>
  <c r="T403" i="8" s="1"/>
  <c r="E130" i="33"/>
  <c r="F130" i="33" s="1"/>
  <c r="AG403" i="8"/>
  <c r="AI403" i="8" s="1"/>
  <c r="AJ403" i="8" s="1"/>
  <c r="AG1476" i="8"/>
  <c r="E578" i="33"/>
  <c r="F578" i="33" s="1"/>
  <c r="F1476" i="8"/>
  <c r="T1476" i="8" s="1"/>
  <c r="E1535" i="33"/>
  <c r="F1535" i="33" s="1"/>
  <c r="F3783" i="8"/>
  <c r="T3783" i="8" s="1"/>
  <c r="AG3783" i="8"/>
  <c r="E870" i="33"/>
  <c r="F870" i="33" s="1"/>
  <c r="F2210" i="8"/>
  <c r="T2210" i="8" s="1"/>
  <c r="AG2210" i="8"/>
  <c r="AI2038" i="8"/>
  <c r="AJ2038" i="8" s="1"/>
  <c r="AJ598" i="8"/>
  <c r="AK598" i="8"/>
  <c r="AG3243" i="8"/>
  <c r="F3243" i="8"/>
  <c r="T3243" i="8" s="1"/>
  <c r="E1297" i="33"/>
  <c r="F1297" i="33" s="1"/>
  <c r="E421" i="33"/>
  <c r="F421" i="33" s="1"/>
  <c r="F1130" i="8"/>
  <c r="T1130" i="8" s="1"/>
  <c r="AG1130" i="8"/>
  <c r="AI1130" i="8" s="1"/>
  <c r="AJ1130" i="8" s="1"/>
  <c r="T37" i="1"/>
  <c r="E84" i="1"/>
  <c r="AM1898" i="8"/>
  <c r="AO1898" i="8" s="1"/>
  <c r="E1898" i="8"/>
  <c r="AG1296" i="8"/>
  <c r="AI1296" i="8" s="1"/>
  <c r="AJ1296" i="8" s="1"/>
  <c r="E519" i="33"/>
  <c r="F519" i="33" s="1"/>
  <c r="F1296" i="8"/>
  <c r="T1296" i="8" s="1"/>
  <c r="AI2148" i="8"/>
  <c r="AJ2148" i="8" s="1"/>
  <c r="T1058" i="8"/>
  <c r="AH2662" i="8"/>
  <c r="AK2662" i="8"/>
  <c r="E133" i="33"/>
  <c r="F133" i="33" s="1"/>
  <c r="AG410" i="8"/>
  <c r="AI410" i="8" s="1"/>
  <c r="AJ410" i="8" s="1"/>
  <c r="F410" i="8"/>
  <c r="T410" i="8" s="1"/>
  <c r="AJ1465" i="8"/>
  <c r="AK1465" i="8"/>
  <c r="AH1573" i="8"/>
  <c r="AK1573" i="8"/>
  <c r="AI1532" i="8"/>
  <c r="AJ1532" i="8" s="1"/>
  <c r="AI3729" i="8"/>
  <c r="AJ3729" i="8" s="1"/>
  <c r="AH3729" i="8"/>
  <c r="AI2594" i="8"/>
  <c r="AJ2594" i="8" s="1"/>
  <c r="AG2707" i="8"/>
  <c r="F2707" i="8"/>
  <c r="T2707" i="8" s="1"/>
  <c r="E1076" i="33"/>
  <c r="F1076" i="33" s="1"/>
  <c r="E1533" i="33"/>
  <c r="F1533" i="33" s="1"/>
  <c r="AG3775" i="8"/>
  <c r="F3775" i="8"/>
  <c r="T3775" i="8" s="1"/>
  <c r="E1140" i="33"/>
  <c r="F1140" i="33" s="1"/>
  <c r="F2866" i="8"/>
  <c r="T2866" i="8" s="1"/>
  <c r="AG2866" i="8"/>
  <c r="AI2866" i="8" s="1"/>
  <c r="AJ2866" i="8" s="1"/>
  <c r="F3632" i="8"/>
  <c r="T3632" i="8" s="1"/>
  <c r="E1481" i="33"/>
  <c r="F1481" i="33" s="1"/>
  <c r="AG3632" i="8"/>
  <c r="AI3632" i="8" s="1"/>
  <c r="AJ3632" i="8" s="1"/>
  <c r="E868" i="33"/>
  <c r="F868" i="33" s="1"/>
  <c r="AG2202" i="8"/>
  <c r="F2202" i="8"/>
  <c r="T2202" i="8" s="1"/>
  <c r="E1203" i="33"/>
  <c r="F1203" i="33" s="1"/>
  <c r="F2980" i="8"/>
  <c r="T2980" i="8" s="1"/>
  <c r="AG2980" i="8"/>
  <c r="AI2980" i="8" s="1"/>
  <c r="AJ2980" i="8" s="1"/>
  <c r="E768" i="33"/>
  <c r="F768" i="33" s="1"/>
  <c r="AG1907" i="8"/>
  <c r="AI1907" i="8" s="1"/>
  <c r="AJ1907" i="8" s="1"/>
  <c r="F1907" i="8"/>
  <c r="T1907" i="8" s="1"/>
  <c r="E1495" i="33"/>
  <c r="F1495" i="33" s="1"/>
  <c r="F3681" i="8"/>
  <c r="T3681" i="8" s="1"/>
  <c r="AG3681" i="8"/>
  <c r="AI3681" i="8" s="1"/>
  <c r="AJ3681" i="8" s="1"/>
  <c r="E1520" i="33"/>
  <c r="F1520" i="33" s="1"/>
  <c r="AG3736" i="8"/>
  <c r="F3736" i="8"/>
  <c r="T3736" i="8" s="1"/>
  <c r="AI4060" i="8"/>
  <c r="AJ4060" i="8" s="1"/>
  <c r="E864" i="33"/>
  <c r="F864" i="33" s="1"/>
  <c r="AG2186" i="8"/>
  <c r="F2186" i="8"/>
  <c r="T2186" i="8" s="1"/>
  <c r="E259" i="33"/>
  <c r="F259" i="33" s="1"/>
  <c r="F732" i="8"/>
  <c r="T732" i="8" s="1"/>
  <c r="AG732" i="8"/>
  <c r="E1351" i="33"/>
  <c r="F1351" i="33" s="1"/>
  <c r="F3387" i="8"/>
  <c r="AG3387" i="8"/>
  <c r="AI3387" i="8" s="1"/>
  <c r="AJ3387" i="8" s="1"/>
  <c r="F1884" i="8"/>
  <c r="T1884" i="8" s="1"/>
  <c r="AG1884" i="8"/>
  <c r="AI1884" i="8" s="1"/>
  <c r="AJ1884" i="8" s="1"/>
  <c r="E762" i="33"/>
  <c r="F762" i="33" s="1"/>
  <c r="E1440" i="33"/>
  <c r="F1440" i="33" s="1"/>
  <c r="AG3541" i="8"/>
  <c r="AI3541" i="8" s="1"/>
  <c r="AJ3541" i="8" s="1"/>
  <c r="F3541" i="8"/>
  <c r="T3541" i="8" s="1"/>
  <c r="F3475" i="8"/>
  <c r="T3475" i="8" s="1"/>
  <c r="AG3475" i="8"/>
  <c r="AI3475" i="8" s="1"/>
  <c r="AJ3475" i="8" s="1"/>
  <c r="E1424" i="33"/>
  <c r="F1424" i="33" s="1"/>
  <c r="D84" i="1"/>
  <c r="R37" i="1"/>
  <c r="AH3639" i="8"/>
  <c r="AK3639" i="8"/>
  <c r="E1291" i="33"/>
  <c r="F1291" i="33" s="1"/>
  <c r="AG3219" i="8"/>
  <c r="F3219" i="8"/>
  <c r="AH2134" i="8"/>
  <c r="AK2134" i="8"/>
  <c r="AH3184" i="8"/>
  <c r="AK3184" i="8"/>
  <c r="F3037" i="8"/>
  <c r="T3037" i="8" s="1"/>
  <c r="E1219" i="33"/>
  <c r="F1219" i="33" s="1"/>
  <c r="AG3037" i="8"/>
  <c r="F2361" i="8"/>
  <c r="E958" i="33"/>
  <c r="F958" i="33" s="1"/>
  <c r="AG2361" i="8"/>
  <c r="AI2361" i="8" s="1"/>
  <c r="AJ2361" i="8" s="1"/>
  <c r="E744" i="33"/>
  <c r="F744" i="33" s="1"/>
  <c r="F1816" i="8"/>
  <c r="T1816" i="8" s="1"/>
  <c r="AG1816" i="8"/>
  <c r="AI1816" i="8" s="1"/>
  <c r="AJ1816" i="8" s="1"/>
  <c r="F1848" i="8"/>
  <c r="T1848" i="8" s="1"/>
  <c r="E752" i="33"/>
  <c r="F752" i="33" s="1"/>
  <c r="AG1848" i="8"/>
  <c r="AI1848" i="8" s="1"/>
  <c r="AJ1848" i="8" s="1"/>
  <c r="E1205" i="33"/>
  <c r="F1205" i="33" s="1"/>
  <c r="AG2987" i="8"/>
  <c r="AI2987" i="8" s="1"/>
  <c r="AJ2987" i="8" s="1"/>
  <c r="F2987" i="8"/>
  <c r="T2987" i="8" s="1"/>
  <c r="E233" i="33"/>
  <c r="F233" i="33" s="1"/>
  <c r="F650" i="8"/>
  <c r="T650" i="8" s="1"/>
  <c r="AG650" i="8"/>
  <c r="AI2121" i="8"/>
  <c r="AJ2121" i="8" s="1"/>
  <c r="AH2121" i="8"/>
  <c r="AI671" i="8"/>
  <c r="AJ671" i="8" s="1"/>
  <c r="AH671" i="8"/>
  <c r="E750" i="33"/>
  <c r="F750" i="33" s="1"/>
  <c r="F1841" i="8"/>
  <c r="T1841" i="8" s="1"/>
  <c r="AG1841" i="8"/>
  <c r="AH1483" i="8"/>
  <c r="AK1483" i="8"/>
  <c r="AH1504" i="8"/>
  <c r="AK1504" i="8"/>
  <c r="E681" i="33"/>
  <c r="F681" i="33" s="1"/>
  <c r="F1746" i="8"/>
  <c r="AG1746" i="8"/>
  <c r="AI1746" i="8" s="1"/>
  <c r="AJ1746" i="8" s="1"/>
  <c r="AI2073" i="8"/>
  <c r="AJ2073" i="8" s="1"/>
  <c r="AH2073" i="8"/>
  <c r="AJ2615" i="8"/>
  <c r="AK2615" i="8"/>
  <c r="R1410" i="8"/>
  <c r="E241" i="33"/>
  <c r="F241" i="33" s="1"/>
  <c r="F678" i="8"/>
  <c r="T678" i="8" s="1"/>
  <c r="AG678" i="8"/>
  <c r="AI678" i="8" s="1"/>
  <c r="AJ678" i="8" s="1"/>
  <c r="AH2669" i="8"/>
  <c r="AK2669" i="8"/>
  <c r="E1303" i="33"/>
  <c r="F1303" i="33" s="1"/>
  <c r="F3267" i="8"/>
  <c r="T3267" i="8" s="1"/>
  <c r="AG3267" i="8"/>
  <c r="F1355" i="8"/>
  <c r="T1355" i="8" s="1"/>
  <c r="AG1355" i="8"/>
  <c r="E535" i="33"/>
  <c r="F535" i="33" s="1"/>
  <c r="E758" i="33"/>
  <c r="F758" i="33" s="1"/>
  <c r="AG1870" i="8"/>
  <c r="AI1870" i="8" s="1"/>
  <c r="AJ1870" i="8" s="1"/>
  <c r="F1870" i="8"/>
  <c r="T1870" i="8" s="1"/>
  <c r="E1218" i="33"/>
  <c r="F1218" i="33" s="1"/>
  <c r="AG3028" i="8"/>
  <c r="F3028" i="8"/>
  <c r="T3028" i="8" s="1"/>
  <c r="AG3515" i="8"/>
  <c r="AI3515" i="8" s="1"/>
  <c r="AJ3515" i="8" s="1"/>
  <c r="F3515" i="8"/>
  <c r="T3515" i="8" s="1"/>
  <c r="E1434" i="33"/>
  <c r="F1434" i="33" s="1"/>
  <c r="AG3506" i="8"/>
  <c r="F3506" i="8"/>
  <c r="T3506" i="8" s="1"/>
  <c r="E1432" i="33"/>
  <c r="F1432" i="33" s="1"/>
  <c r="E1531" i="33"/>
  <c r="F1531" i="33" s="1"/>
  <c r="AG3767" i="8"/>
  <c r="F3767" i="8"/>
  <c r="T3767" i="8" s="1"/>
  <c r="E1541" i="33"/>
  <c r="F1541" i="33" s="1"/>
  <c r="F3807" i="8"/>
  <c r="T3807" i="8" s="1"/>
  <c r="AG3807" i="8"/>
  <c r="AI880" i="8" l="1"/>
  <c r="AJ880" i="8" s="1"/>
  <c r="AH880" i="8"/>
  <c r="AK880" i="8"/>
  <c r="AK2031" i="8"/>
  <c r="AH2031" i="8"/>
  <c r="E1694" i="33"/>
  <c r="F1694" i="33" s="1"/>
  <c r="F1735" i="33" s="1"/>
  <c r="F76" i="31" s="1"/>
  <c r="AK475" i="8"/>
  <c r="AH475" i="8"/>
  <c r="AK327" i="8"/>
  <c r="F1324" i="8"/>
  <c r="T1324" i="8" s="1"/>
  <c r="AK3074" i="8"/>
  <c r="AG1324" i="8"/>
  <c r="AI1324" i="8" s="1"/>
  <c r="AJ1324" i="8" s="1"/>
  <c r="AH327" i="8"/>
  <c r="F2961" i="8"/>
  <c r="T2961" i="8" s="1"/>
  <c r="E1199" i="33"/>
  <c r="F1199" i="33" s="1"/>
  <c r="AK334" i="8"/>
  <c r="AH334" i="8"/>
  <c r="F2550" i="8"/>
  <c r="T3074" i="8"/>
  <c r="F3083" i="8"/>
  <c r="AG537" i="8"/>
  <c r="AH537" i="8" s="1"/>
  <c r="F537" i="8"/>
  <c r="T537" i="8" s="1"/>
  <c r="AK2541" i="8"/>
  <c r="AG564" i="8"/>
  <c r="AH564" i="8" s="1"/>
  <c r="E198" i="33"/>
  <c r="F198" i="33" s="1"/>
  <c r="AK355" i="8"/>
  <c r="T2541" i="8"/>
  <c r="F439" i="8"/>
  <c r="T439" i="8" s="1"/>
  <c r="E147" i="33"/>
  <c r="F147" i="33" s="1"/>
  <c r="F168" i="33" s="1"/>
  <c r="AK978" i="8"/>
  <c r="AG4085" i="8"/>
  <c r="AH4085" i="8" s="1"/>
  <c r="E3587" i="8"/>
  <c r="F3595" i="8"/>
  <c r="T3585" i="8"/>
  <c r="AJ3585" i="8"/>
  <c r="AK3585" i="8"/>
  <c r="F1775" i="8"/>
  <c r="T1775" i="8" s="1"/>
  <c r="F1446" i="8"/>
  <c r="E1439" i="8"/>
  <c r="E980" i="8"/>
  <c r="AJ1437" i="8"/>
  <c r="E3058" i="8"/>
  <c r="F3066" i="8"/>
  <c r="T3056" i="8"/>
  <c r="AJ3056" i="8"/>
  <c r="AK3056" i="8"/>
  <c r="E2525" i="8"/>
  <c r="F2533" i="8"/>
  <c r="T2523" i="8"/>
  <c r="AJ2523" i="8"/>
  <c r="AK2523" i="8"/>
  <c r="E1948" i="8"/>
  <c r="F1956" i="8"/>
  <c r="T1946" i="8"/>
  <c r="T2102" i="8" s="1"/>
  <c r="AJ1946" i="8"/>
  <c r="AK1946" i="8"/>
  <c r="T978" i="8"/>
  <c r="AI320" i="8"/>
  <c r="AJ320" i="8" s="1"/>
  <c r="AG1775" i="8"/>
  <c r="AI1775" i="8" s="1"/>
  <c r="AJ1775" i="8" s="1"/>
  <c r="AH355" i="8"/>
  <c r="AJ1419" i="8"/>
  <c r="AK1419" i="8"/>
  <c r="E1421" i="8"/>
  <c r="F1429" i="8"/>
  <c r="T1419" i="8"/>
  <c r="T1588" i="8" s="1"/>
  <c r="F4094" i="8"/>
  <c r="T4094" i="8" s="1"/>
  <c r="AG4094" i="8"/>
  <c r="AI4094" i="8" s="1"/>
  <c r="AJ4094" i="8" s="1"/>
  <c r="F546" i="8"/>
  <c r="T546" i="8" s="1"/>
  <c r="F2439" i="8"/>
  <c r="T2439" i="8" s="1"/>
  <c r="AH2622" i="8"/>
  <c r="E978" i="33"/>
  <c r="F978" i="33" s="1"/>
  <c r="F997" i="33" s="1"/>
  <c r="F50" i="31" s="1"/>
  <c r="AK2622" i="8"/>
  <c r="E194" i="33"/>
  <c r="F194" i="33" s="1"/>
  <c r="AK389" i="8"/>
  <c r="AH348" i="8"/>
  <c r="AK348" i="8"/>
  <c r="AK3170" i="8"/>
  <c r="AH3170" i="8"/>
  <c r="F3008" i="8"/>
  <c r="T3008" i="8" s="1"/>
  <c r="AH3695" i="8"/>
  <c r="AH4026" i="8"/>
  <c r="AK4026" i="8"/>
  <c r="F2417" i="8"/>
  <c r="T2417" i="8" s="1"/>
  <c r="AG2417" i="8"/>
  <c r="AI2417" i="8" s="1"/>
  <c r="AJ2417" i="8" s="1"/>
  <c r="AG2428" i="8"/>
  <c r="AI2428" i="8" s="1"/>
  <c r="AJ2428" i="8" s="1"/>
  <c r="F2428" i="8"/>
  <c r="T2428" i="8" s="1"/>
  <c r="AH389" i="8"/>
  <c r="E1211" i="33"/>
  <c r="F1211" i="33" s="1"/>
  <c r="AK2017" i="8"/>
  <c r="AK306" i="8"/>
  <c r="F1680" i="33"/>
  <c r="F74" i="31" s="1"/>
  <c r="AK1566" i="8"/>
  <c r="F1396" i="33"/>
  <c r="F64" i="31" s="1"/>
  <c r="F610" i="33"/>
  <c r="F36" i="31" s="1"/>
  <c r="F279" i="33"/>
  <c r="F24" i="31" s="1"/>
  <c r="AK2073" i="8"/>
  <c r="AK671" i="8"/>
  <c r="AK3695" i="8"/>
  <c r="AK3722" i="8"/>
  <c r="AK3667" i="8"/>
  <c r="F1278" i="33"/>
  <c r="F60" i="31" s="1"/>
  <c r="AK2148" i="8"/>
  <c r="F442" i="33"/>
  <c r="F30" i="31" s="1"/>
  <c r="T2794" i="8"/>
  <c r="F1565" i="33"/>
  <c r="F70" i="31" s="1"/>
  <c r="F1588" i="8"/>
  <c r="G610" i="33" s="1"/>
  <c r="F1109" i="33"/>
  <c r="F54" i="31" s="1"/>
  <c r="AK1072" i="8"/>
  <c r="T914" i="8"/>
  <c r="F831" i="33"/>
  <c r="F44" i="31" s="1"/>
  <c r="AK1497" i="8"/>
  <c r="T781" i="8"/>
  <c r="AK4060" i="8"/>
  <c r="F1508" i="33"/>
  <c r="F68" i="31" s="1"/>
  <c r="AH3807" i="8"/>
  <c r="AI2186" i="8"/>
  <c r="AJ2186" i="8" s="1"/>
  <c r="AH2186" i="8"/>
  <c r="AH4039" i="8"/>
  <c r="AH895" i="8"/>
  <c r="AH1609" i="8"/>
  <c r="AI2961" i="8"/>
  <c r="AJ2961" i="8" s="1"/>
  <c r="AH2961" i="8"/>
  <c r="AH3526" i="8"/>
  <c r="AH1086" i="8"/>
  <c r="AH2972" i="8"/>
  <c r="AH1518" i="8"/>
  <c r="AH3198" i="8"/>
  <c r="AH516" i="8"/>
  <c r="T2107" i="8"/>
  <c r="T2235" i="8" s="1"/>
  <c r="F2235" i="8"/>
  <c r="AH3028" i="8"/>
  <c r="AH1355" i="8"/>
  <c r="AH678" i="8"/>
  <c r="AK678" i="8"/>
  <c r="AI650" i="8"/>
  <c r="AJ650" i="8" s="1"/>
  <c r="AH650" i="8"/>
  <c r="AH1848" i="8"/>
  <c r="AK1848" i="8"/>
  <c r="AH2361" i="8"/>
  <c r="AK2361" i="8"/>
  <c r="AH3387" i="8"/>
  <c r="AK3387" i="8"/>
  <c r="F3206" i="8"/>
  <c r="AI3783" i="8"/>
  <c r="AJ3783" i="8" s="1"/>
  <c r="AH3783" i="8"/>
  <c r="AH1178" i="8"/>
  <c r="AH1031" i="8"/>
  <c r="AK1031" i="8"/>
  <c r="AI2024" i="8"/>
  <c r="AJ2024" i="8" s="1"/>
  <c r="AH2024" i="8"/>
  <c r="AH3468" i="8"/>
  <c r="AK3468" i="8"/>
  <c r="AH1341" i="8"/>
  <c r="AK1341" i="8"/>
  <c r="AI740" i="8"/>
  <c r="AJ740" i="8" s="1"/>
  <c r="AH740" i="8"/>
  <c r="AH2396" i="8"/>
  <c r="AK2396" i="8"/>
  <c r="AH3506" i="8"/>
  <c r="AH3541" i="8"/>
  <c r="AK3541" i="8"/>
  <c r="F3409" i="8"/>
  <c r="T3387" i="8"/>
  <c r="T3409" i="8" s="1"/>
  <c r="AH410" i="8"/>
  <c r="AK410" i="8"/>
  <c r="AH3243" i="8"/>
  <c r="B4034" i="8"/>
  <c r="G1620" i="33"/>
  <c r="H1620" i="33" s="1"/>
  <c r="AH1362" i="8"/>
  <c r="AK1362" i="8"/>
  <c r="AK700" i="8"/>
  <c r="AH700" i="8"/>
  <c r="AK3251" i="8"/>
  <c r="AH3251" i="8"/>
  <c r="AH3001" i="8"/>
  <c r="AK3001" i="8"/>
  <c r="AH1809" i="8"/>
  <c r="AH1877" i="8"/>
  <c r="AK1877" i="8"/>
  <c r="AH2470" i="8"/>
  <c r="AI1617" i="8"/>
  <c r="AJ1617" i="8" s="1"/>
  <c r="AH1617" i="8"/>
  <c r="AI3267" i="8"/>
  <c r="AJ3267" i="8" s="1"/>
  <c r="AH3267" i="8"/>
  <c r="T2361" i="8"/>
  <c r="T3219" i="8"/>
  <c r="T3374" i="8" s="1"/>
  <c r="F3374" i="8"/>
  <c r="AI2202" i="8"/>
  <c r="AJ2202" i="8" s="1"/>
  <c r="AH2202" i="8"/>
  <c r="AH2866" i="8"/>
  <c r="AK2866" i="8"/>
  <c r="AH3791" i="8"/>
  <c r="AK3791" i="8"/>
  <c r="AH1862" i="8"/>
  <c r="AK1862" i="8"/>
  <c r="F2102" i="8"/>
  <c r="AH362" i="8"/>
  <c r="AK362" i="8"/>
  <c r="AK2038" i="8"/>
  <c r="AH2178" i="8"/>
  <c r="AK2178" i="8"/>
  <c r="AH2636" i="8"/>
  <c r="AK2636" i="8"/>
  <c r="F278" i="8"/>
  <c r="E69" i="33"/>
  <c r="F69" i="33" s="1"/>
  <c r="F109" i="33" s="1"/>
  <c r="F18" i="31" s="1"/>
  <c r="AG278" i="8"/>
  <c r="AI278" i="8" s="1"/>
  <c r="AJ278" i="8" s="1"/>
  <c r="AH2994" i="8"/>
  <c r="AK2994" i="8"/>
  <c r="T3426" i="8"/>
  <c r="AH2403" i="8"/>
  <c r="AK2403" i="8"/>
  <c r="AH945" i="8"/>
  <c r="AH1400" i="8"/>
  <c r="AH2375" i="8"/>
  <c r="F666" i="33"/>
  <c r="F38" i="31" s="1"/>
  <c r="AH2926" i="8"/>
  <c r="AH3017" i="8"/>
  <c r="AH2439" i="8"/>
  <c r="AK2439" i="8"/>
  <c r="AH1093" i="8"/>
  <c r="F3497" i="8"/>
  <c r="T3497" i="8" s="1"/>
  <c r="AG3497" i="8"/>
  <c r="AI3497" i="8" s="1"/>
  <c r="AJ3497" i="8" s="1"/>
  <c r="E1430" i="33"/>
  <c r="F1430" i="33" s="1"/>
  <c r="F1452" i="33" s="1"/>
  <c r="F66" i="31" s="1"/>
  <c r="T1802" i="8"/>
  <c r="AH3490" i="8"/>
  <c r="F944" i="33"/>
  <c r="AI1170" i="8"/>
  <c r="AJ1170" i="8" s="1"/>
  <c r="AH1170" i="8"/>
  <c r="AH382" i="8"/>
  <c r="AH938" i="8"/>
  <c r="AH417" i="8"/>
  <c r="AH1633" i="8"/>
  <c r="AH2059" i="8"/>
  <c r="F914" i="8"/>
  <c r="AH3555" i="8"/>
  <c r="AH4053" i="8"/>
  <c r="AI1641" i="8"/>
  <c r="AJ1641" i="8" s="1"/>
  <c r="AH1641" i="8"/>
  <c r="T3874" i="8"/>
  <c r="AH1289" i="8"/>
  <c r="AH1841" i="8"/>
  <c r="AH3775" i="8"/>
  <c r="AH1476" i="8"/>
  <c r="AH3149" i="8"/>
  <c r="AH2368" i="8"/>
  <c r="AH1490" i="8"/>
  <c r="AH2389" i="8"/>
  <c r="AH2155" i="8"/>
  <c r="AI3219" i="8"/>
  <c r="AJ3219" i="8" s="1"/>
  <c r="AH3219" i="8"/>
  <c r="AI3736" i="8"/>
  <c r="AJ3736" i="8" s="1"/>
  <c r="AH3736" i="8"/>
  <c r="AH448" i="8"/>
  <c r="AK448" i="8"/>
  <c r="F1336" i="33"/>
  <c r="F62" i="31" s="1"/>
  <c r="AI965" i="8"/>
  <c r="AJ965" i="8" s="1"/>
  <c r="AH965" i="8"/>
  <c r="AH3426" i="8"/>
  <c r="AI1146" i="8"/>
  <c r="AJ1146" i="8" s="1"/>
  <c r="AH1146" i="8"/>
  <c r="AH3454" i="8"/>
  <c r="AK3454" i="8"/>
  <c r="AI1108" i="8"/>
  <c r="AJ1108" i="8" s="1"/>
  <c r="AH1108" i="8"/>
  <c r="AH1802" i="8"/>
  <c r="AH2580" i="8"/>
  <c r="AH509" i="8"/>
  <c r="F2881" i="8"/>
  <c r="T2859" i="8"/>
  <c r="T2881" i="8" s="1"/>
  <c r="AH1753" i="8"/>
  <c r="AK1753" i="8"/>
  <c r="AH2329" i="8"/>
  <c r="AK2329" i="8"/>
  <c r="AI3235" i="8"/>
  <c r="AJ3235" i="8" s="1"/>
  <c r="AH3235" i="8"/>
  <c r="AH931" i="8"/>
  <c r="AK931" i="8"/>
  <c r="AH3275" i="8"/>
  <c r="AK3275" i="8"/>
  <c r="AH3653" i="8"/>
  <c r="AK3653" i="8"/>
  <c r="AI2972" i="8"/>
  <c r="AJ2972" i="8" s="1"/>
  <c r="F4284" i="8"/>
  <c r="B4284" i="8" s="1"/>
  <c r="G48" i="34"/>
  <c r="B4278" i="8"/>
  <c r="F2344" i="8"/>
  <c r="T2322" i="8"/>
  <c r="T2344" i="8" s="1"/>
  <c r="AI1553" i="8"/>
  <c r="AJ1553" i="8" s="1"/>
  <c r="AH1553" i="8"/>
  <c r="AH1649" i="8"/>
  <c r="AK1649" i="8"/>
  <c r="AH2715" i="8"/>
  <c r="AK2715" i="8"/>
  <c r="AH3515" i="8"/>
  <c r="AK3515" i="8"/>
  <c r="T1746" i="8"/>
  <c r="AK2121" i="8"/>
  <c r="AH2987" i="8"/>
  <c r="AK2987" i="8"/>
  <c r="AH3475" i="8"/>
  <c r="AK3475" i="8"/>
  <c r="AH1884" i="8"/>
  <c r="AK1884" i="8"/>
  <c r="AH3632" i="8"/>
  <c r="AK3632" i="8"/>
  <c r="AI3775" i="8"/>
  <c r="AJ3775" i="8" s="1"/>
  <c r="T1203" i="8"/>
  <c r="AH1296" i="8"/>
  <c r="AK1296" i="8"/>
  <c r="AI2210" i="8"/>
  <c r="AJ2210" i="8" s="1"/>
  <c r="AH2210" i="8"/>
  <c r="AH403" i="8"/>
  <c r="AK403" i="8"/>
  <c r="AI1178" i="8"/>
  <c r="AJ1178" i="8" s="1"/>
  <c r="AH2919" i="8"/>
  <c r="AK2919" i="8"/>
  <c r="AH2859" i="8"/>
  <c r="AK2859" i="8"/>
  <c r="AI4039" i="8"/>
  <c r="AJ4039" i="8" s="1"/>
  <c r="AH1333" i="8"/>
  <c r="AK1333" i="8"/>
  <c r="AH3548" i="8"/>
  <c r="AK3548" i="8"/>
  <c r="AH1303" i="8"/>
  <c r="AK1303" i="8"/>
  <c r="AH1580" i="8"/>
  <c r="AK1580" i="8"/>
  <c r="F388" i="33"/>
  <c r="AI2368" i="8"/>
  <c r="AJ2368" i="8" s="1"/>
  <c r="AH1918" i="8"/>
  <c r="AK1918" i="8"/>
  <c r="AH4046" i="8"/>
  <c r="AK4046" i="8"/>
  <c r="AI3674" i="8"/>
  <c r="AJ3674" i="8" s="1"/>
  <c r="AH3674" i="8"/>
  <c r="AH2699" i="8"/>
  <c r="AK2699" i="8"/>
  <c r="AI573" i="8"/>
  <c r="AJ573" i="8" s="1"/>
  <c r="AH573" i="8"/>
  <c r="AH2052" i="8"/>
  <c r="AK2052" i="8"/>
  <c r="AH2456" i="8"/>
  <c r="AK2456" i="8"/>
  <c r="AH1317" i="8"/>
  <c r="AK1317" i="8"/>
  <c r="T1282" i="8"/>
  <c r="AH2484" i="8"/>
  <c r="AK2484" i="8"/>
  <c r="AI3751" i="8"/>
  <c r="AJ3751" i="8" s="1"/>
  <c r="AH3751" i="8"/>
  <c r="AI3526" i="8"/>
  <c r="AJ3526" i="8" s="1"/>
  <c r="AI1086" i="8"/>
  <c r="AJ1086" i="8" s="1"/>
  <c r="AH2873" i="8"/>
  <c r="AK2873" i="8"/>
  <c r="AI1518" i="8"/>
  <c r="AJ1518" i="8" s="1"/>
  <c r="AI516" i="8"/>
  <c r="AJ516" i="8" s="1"/>
  <c r="AK873" i="8"/>
  <c r="AH1038" i="8"/>
  <c r="AK1038" i="8"/>
  <c r="AI2389" i="8"/>
  <c r="AJ2389" i="8" s="1"/>
  <c r="T375" i="8"/>
  <c r="AH1546" i="8"/>
  <c r="AK1546" i="8"/>
  <c r="AI2731" i="8"/>
  <c r="AJ2731" i="8" s="1"/>
  <c r="AH2731" i="8"/>
  <c r="AI2940" i="8"/>
  <c r="AJ2940" i="8" s="1"/>
  <c r="AH2940" i="8"/>
  <c r="AH285" i="8"/>
  <c r="AK285" i="8"/>
  <c r="AH2226" i="8"/>
  <c r="AK2226" i="8"/>
  <c r="AH1162" i="8"/>
  <c r="AK1162" i="8"/>
  <c r="F336" i="33"/>
  <c r="F26" i="31" s="1"/>
  <c r="E539" i="33"/>
  <c r="F539" i="33" s="1"/>
  <c r="F555" i="33" s="1"/>
  <c r="F34" i="31" s="1"/>
  <c r="F1369" i="8"/>
  <c r="T1369" i="8" s="1"/>
  <c r="AG1369" i="8"/>
  <c r="AI1369" i="8" s="1"/>
  <c r="AJ1369" i="8" s="1"/>
  <c r="AK685" i="8"/>
  <c r="AI2155" i="8"/>
  <c r="AJ2155" i="8" s="1"/>
  <c r="AH1348" i="8"/>
  <c r="AK1348" i="8"/>
  <c r="R5470" i="8"/>
  <c r="R4234" i="8"/>
  <c r="R5472" i="8" s="1"/>
  <c r="AH530" i="8"/>
  <c r="AH3401" i="8"/>
  <c r="AI2691" i="8"/>
  <c r="AJ2691" i="8" s="1"/>
  <c r="AH2691" i="8"/>
  <c r="AI2410" i="8"/>
  <c r="AJ2410" i="8" s="1"/>
  <c r="AH2410" i="8"/>
  <c r="AI3767" i="8"/>
  <c r="AJ3767" i="8" s="1"/>
  <c r="AH3767" i="8"/>
  <c r="AI3037" i="8"/>
  <c r="AJ3037" i="8" s="1"/>
  <c r="AH3037" i="8"/>
  <c r="AI732" i="8"/>
  <c r="AJ732" i="8" s="1"/>
  <c r="AH732" i="8"/>
  <c r="AH1907" i="8"/>
  <c r="AK1907" i="8"/>
  <c r="AI2707" i="8"/>
  <c r="AJ2707" i="8" s="1"/>
  <c r="AH2707" i="8"/>
  <c r="AH1130" i="8"/>
  <c r="AK1130" i="8"/>
  <c r="E196" i="33"/>
  <c r="F196" i="33" s="1"/>
  <c r="F555" i="8"/>
  <c r="T555" i="8" s="1"/>
  <c r="AG555" i="8"/>
  <c r="AI555" i="8" s="1"/>
  <c r="AJ555" i="8" s="1"/>
  <c r="AI2723" i="8"/>
  <c r="AJ2723" i="8" s="1"/>
  <c r="AH2723" i="8"/>
  <c r="T4085" i="8"/>
  <c r="AH2322" i="8"/>
  <c r="AH502" i="8"/>
  <c r="AH2141" i="8"/>
  <c r="AK2141" i="8"/>
  <c r="AH1870" i="8"/>
  <c r="AK1870" i="8"/>
  <c r="AH1746" i="8"/>
  <c r="AK1746" i="8"/>
  <c r="AH1816" i="8"/>
  <c r="AK1816" i="8"/>
  <c r="AI1476" i="8"/>
  <c r="AJ1476" i="8" s="1"/>
  <c r="AI716" i="8"/>
  <c r="AJ716" i="8" s="1"/>
  <c r="AH716" i="8"/>
  <c r="AI439" i="8"/>
  <c r="AJ439" i="8" s="1"/>
  <c r="AH439" i="8"/>
  <c r="AI895" i="8"/>
  <c r="AJ895" i="8" s="1"/>
  <c r="AH466" i="8"/>
  <c r="AK466" i="8"/>
  <c r="AH1539" i="8"/>
  <c r="AK1539" i="8"/>
  <c r="AH424" i="8"/>
  <c r="AK424" i="8"/>
  <c r="AH2947" i="8"/>
  <c r="AK2947" i="8"/>
  <c r="AH2170" i="8"/>
  <c r="AK2170" i="8"/>
  <c r="AI2739" i="8"/>
  <c r="AJ2739" i="8" s="1"/>
  <c r="AH2739" i="8"/>
  <c r="AH2114" i="8"/>
  <c r="AK2114" i="8"/>
  <c r="AH956" i="8"/>
  <c r="AK956" i="8"/>
  <c r="AH3394" i="8"/>
  <c r="AK3394" i="8"/>
  <c r="AH396" i="8"/>
  <c r="AK396" i="8"/>
  <c r="AH2336" i="8"/>
  <c r="AK2336" i="8"/>
  <c r="F3717" i="8"/>
  <c r="T3572" i="8"/>
  <c r="F2794" i="8"/>
  <c r="AI3807" i="8"/>
  <c r="AJ3807" i="8" s="1"/>
  <c r="AI3506" i="8"/>
  <c r="AJ3506" i="8" s="1"/>
  <c r="AI3028" i="8"/>
  <c r="AJ3028" i="8" s="1"/>
  <c r="AI1355" i="8"/>
  <c r="AJ1355" i="8" s="1"/>
  <c r="F726" i="33"/>
  <c r="AI1841" i="8"/>
  <c r="AJ1841" i="8" s="1"/>
  <c r="AH3681" i="8"/>
  <c r="AK3681" i="8"/>
  <c r="AH2980" i="8"/>
  <c r="AK2980" i="8"/>
  <c r="AK3729" i="8"/>
  <c r="F1203" i="8"/>
  <c r="E766" i="33"/>
  <c r="F766" i="33" s="1"/>
  <c r="F779" i="33" s="1"/>
  <c r="F1898" i="8"/>
  <c r="T1898" i="8" s="1"/>
  <c r="AG1898" i="8"/>
  <c r="AI3243" i="8"/>
  <c r="AJ3243" i="8" s="1"/>
  <c r="F1168" i="33"/>
  <c r="F4068" i="8"/>
  <c r="T4039" i="8"/>
  <c r="T4068" i="8" s="1"/>
  <c r="AI1809" i="8"/>
  <c r="AJ1809" i="8" s="1"/>
  <c r="AH2629" i="8"/>
  <c r="AK2629" i="8"/>
  <c r="AI2470" i="8"/>
  <c r="AJ2470" i="8" s="1"/>
  <c r="AI3149" i="8"/>
  <c r="AJ3149" i="8" s="1"/>
  <c r="AH724" i="8"/>
  <c r="AK724" i="8"/>
  <c r="F1046" i="8"/>
  <c r="T931" i="8"/>
  <c r="AI530" i="8"/>
  <c r="AJ530" i="8" s="1"/>
  <c r="AI3401" i="8"/>
  <c r="AJ3401" i="8" s="1"/>
  <c r="AH3163" i="8"/>
  <c r="AK3163" i="8"/>
  <c r="AH2905" i="8"/>
  <c r="AK2905" i="8"/>
  <c r="AI1490" i="8"/>
  <c r="AJ1490" i="8" s="1"/>
  <c r="AI1609" i="8"/>
  <c r="AJ1609" i="8" s="1"/>
  <c r="AI3227" i="8"/>
  <c r="AJ3227" i="8" s="1"/>
  <c r="AH3227" i="8"/>
  <c r="AH2676" i="8"/>
  <c r="AK2676" i="8"/>
  <c r="AH1282" i="8"/>
  <c r="AK1282" i="8"/>
  <c r="AH1380" i="8"/>
  <c r="AK1380" i="8"/>
  <c r="AH2094" i="8"/>
  <c r="AK2094" i="8"/>
  <c r="AI546" i="8"/>
  <c r="AJ546" i="8" s="1"/>
  <c r="AH546" i="8"/>
  <c r="AI1154" i="8"/>
  <c r="AJ1154" i="8" s="1"/>
  <c r="AH1154" i="8"/>
  <c r="AH3440" i="8"/>
  <c r="AK3440" i="8"/>
  <c r="AH3461" i="8"/>
  <c r="AK3461" i="8"/>
  <c r="AH3433" i="8"/>
  <c r="AK3433" i="8"/>
  <c r="AH1024" i="8"/>
  <c r="AK1024" i="8"/>
  <c r="AI3198" i="8"/>
  <c r="AJ3198" i="8" s="1"/>
  <c r="F781" i="8"/>
  <c r="AH2107" i="8"/>
  <c r="AK2107" i="8"/>
  <c r="AI2194" i="8"/>
  <c r="AJ2194" i="8" s="1"/>
  <c r="AH2194" i="8"/>
  <c r="AH375" i="8"/>
  <c r="AK375" i="8"/>
  <c r="AH457" i="8"/>
  <c r="AK457" i="8"/>
  <c r="AH3156" i="8"/>
  <c r="AK3156" i="8"/>
  <c r="AH1391" i="8"/>
  <c r="AK1391" i="8"/>
  <c r="AI904" i="8"/>
  <c r="AJ904" i="8" s="1"/>
  <c r="AH904" i="8"/>
  <c r="AH2933" i="8"/>
  <c r="AK2933" i="8"/>
  <c r="AH3572" i="8"/>
  <c r="AK3572" i="8"/>
  <c r="T2501" i="8"/>
  <c r="F2657" i="8"/>
  <c r="R23" i="1"/>
  <c r="R35" i="1" s="1"/>
  <c r="R39" i="1" s="1"/>
  <c r="R5464" i="8"/>
  <c r="AH5454" i="8"/>
  <c r="AH5464" i="8" s="1"/>
  <c r="AH2510" i="8"/>
  <c r="AK2510" i="8"/>
  <c r="T2898" i="8"/>
  <c r="AH1194" i="8"/>
  <c r="AK1194" i="8"/>
  <c r="AI3426" i="8"/>
  <c r="AJ3426" i="8" s="1"/>
  <c r="AK271" i="8"/>
  <c r="AI945" i="8"/>
  <c r="AJ945" i="8" s="1"/>
  <c r="AH2477" i="8"/>
  <c r="AK2477" i="8"/>
  <c r="AI1400" i="8"/>
  <c r="AJ1400" i="8" s="1"/>
  <c r="AI2375" i="8"/>
  <c r="AJ2375" i="8" s="1"/>
  <c r="AI1186" i="8"/>
  <c r="AJ1186" i="8" s="1"/>
  <c r="AH1186" i="8"/>
  <c r="AK1601" i="8"/>
  <c r="AH1601" i="8"/>
  <c r="AH1855" i="8"/>
  <c r="AK1855" i="8"/>
  <c r="AI1093" i="8"/>
  <c r="AJ1093" i="8" s="1"/>
  <c r="AH523" i="8"/>
  <c r="AK523" i="8"/>
  <c r="F3874" i="8"/>
  <c r="AH3483" i="8"/>
  <c r="AK3483" i="8"/>
  <c r="AI1625" i="8"/>
  <c r="AJ1625" i="8" s="1"/>
  <c r="AH1625" i="8"/>
  <c r="AI1802" i="8"/>
  <c r="AJ1802" i="8" s="1"/>
  <c r="AH3447" i="8"/>
  <c r="AK3447" i="8"/>
  <c r="AI2580" i="8"/>
  <c r="AJ2580" i="8" s="1"/>
  <c r="F886" i="33"/>
  <c r="F46" i="31" s="1"/>
  <c r="AI417" i="8"/>
  <c r="AJ417" i="8" s="1"/>
  <c r="AI3259" i="8"/>
  <c r="AJ3259" i="8" s="1"/>
  <c r="AH3259" i="8"/>
  <c r="AI1633" i="8"/>
  <c r="AJ1633" i="8" s="1"/>
  <c r="AH1891" i="8"/>
  <c r="AK1891" i="8"/>
  <c r="AI2059" i="8"/>
  <c r="AJ2059" i="8" s="1"/>
  <c r="AI502" i="8"/>
  <c r="AJ502" i="8" s="1"/>
  <c r="AI3555" i="8"/>
  <c r="AJ3555" i="8" s="1"/>
  <c r="AI4053" i="8"/>
  <c r="AJ4053" i="8" s="1"/>
  <c r="AH3815" i="8"/>
  <c r="AK3815" i="8"/>
  <c r="AH3135" i="8"/>
  <c r="AK3135" i="8"/>
  <c r="AK1532" i="8"/>
  <c r="AI3799" i="8"/>
  <c r="AJ3799" i="8" s="1"/>
  <c r="AH3799" i="8"/>
  <c r="F1053" i="33"/>
  <c r="F52" i="31" s="1"/>
  <c r="AH2898" i="8"/>
  <c r="AK2898" i="8"/>
  <c r="AH3534" i="8"/>
  <c r="AK3534" i="8"/>
  <c r="AH3114" i="8"/>
  <c r="AK3114" i="8"/>
  <c r="AH4103" i="8"/>
  <c r="AK4103" i="8"/>
  <c r="AH313" i="8"/>
  <c r="AK313" i="8"/>
  <c r="AH2382" i="8"/>
  <c r="AK2382" i="8"/>
  <c r="AI1310" i="8"/>
  <c r="AJ1310" i="8" s="1"/>
  <c r="AH1310" i="8"/>
  <c r="AI292" i="8"/>
  <c r="AJ292" i="8" s="1"/>
  <c r="AH292" i="8"/>
  <c r="AH2608" i="8"/>
  <c r="AK2608" i="8"/>
  <c r="AH2218" i="8"/>
  <c r="AK2218" i="8"/>
  <c r="AI1138" i="8"/>
  <c r="AJ1138" i="8" s="1"/>
  <c r="AH1138" i="8"/>
  <c r="T1601" i="8"/>
  <c r="T1733" i="8" s="1"/>
  <c r="F1733" i="8"/>
  <c r="AI2926" i="8"/>
  <c r="AJ2926" i="8" s="1"/>
  <c r="AI3017" i="8"/>
  <c r="AJ3017" i="8" s="1"/>
  <c r="AH3759" i="8"/>
  <c r="AK3759" i="8"/>
  <c r="AH1830" i="8"/>
  <c r="AK1830" i="8"/>
  <c r="AH2747" i="8"/>
  <c r="AK2747" i="8"/>
  <c r="AH1927" i="8"/>
  <c r="AK1927" i="8"/>
  <c r="AI3490" i="8"/>
  <c r="AJ3490" i="8" s="1"/>
  <c r="AI2322" i="8"/>
  <c r="AJ2322" i="8" s="1"/>
  <c r="AH2954" i="8"/>
  <c r="AK2954" i="8"/>
  <c r="AI708" i="8"/>
  <c r="AJ708" i="8" s="1"/>
  <c r="AH708" i="8"/>
  <c r="AH1760" i="8"/>
  <c r="AK1760" i="8"/>
  <c r="AI382" i="8"/>
  <c r="AJ382" i="8" s="1"/>
  <c r="AI509" i="8"/>
  <c r="AJ509" i="8" s="1"/>
  <c r="AI938" i="8"/>
  <c r="AJ938" i="8" s="1"/>
  <c r="T502" i="8"/>
  <c r="AH3008" i="8"/>
  <c r="AK3008" i="8"/>
  <c r="AH2448" i="8"/>
  <c r="AK2448" i="8"/>
  <c r="AH2463" i="8"/>
  <c r="AK2463" i="8"/>
  <c r="AH1823" i="8"/>
  <c r="AK1823" i="8"/>
  <c r="AI1289" i="8"/>
  <c r="AJ1289" i="8" s="1"/>
  <c r="AK2594" i="8"/>
  <c r="AH2010" i="8"/>
  <c r="AK2010" i="8"/>
  <c r="AK4125" i="8"/>
  <c r="AH2912" i="8"/>
  <c r="AK2912" i="8"/>
  <c r="AH2643" i="8"/>
  <c r="AK2643" i="8"/>
  <c r="AH2501" i="8"/>
  <c r="AK2501" i="8"/>
  <c r="AI537" i="8" l="1"/>
  <c r="AJ537" i="8" s="1"/>
  <c r="F485" i="8"/>
  <c r="G168" i="33" s="1"/>
  <c r="H168" i="33" s="1"/>
  <c r="AK1324" i="8"/>
  <c r="AH1324" i="8"/>
  <c r="AH2428" i="8"/>
  <c r="F1222" i="33"/>
  <c r="F58" i="31" s="1"/>
  <c r="T3206" i="8"/>
  <c r="B3206" i="8" s="1"/>
  <c r="AI564" i="8"/>
  <c r="AJ564" i="8" s="1"/>
  <c r="T1785" i="8"/>
  <c r="F1785" i="8"/>
  <c r="G726" i="33" s="1"/>
  <c r="H726" i="33" s="1"/>
  <c r="T485" i="8"/>
  <c r="T3717" i="8"/>
  <c r="B3717" i="8" s="1"/>
  <c r="T2657" i="8"/>
  <c r="B2657" i="8" s="1"/>
  <c r="AK1775" i="8"/>
  <c r="AH1775" i="8"/>
  <c r="AI4085" i="8"/>
  <c r="AJ4085" i="8" s="1"/>
  <c r="AK320" i="8"/>
  <c r="T4147" i="8"/>
  <c r="F5455" i="8"/>
  <c r="B5455" i="8" s="1"/>
  <c r="AK4094" i="8"/>
  <c r="AK2417" i="8"/>
  <c r="AH2417" i="8"/>
  <c r="T1046" i="8"/>
  <c r="B1046" i="8" s="1"/>
  <c r="AH4094" i="8"/>
  <c r="F4147" i="8"/>
  <c r="T3047" i="8"/>
  <c r="F3047" i="8"/>
  <c r="G1222" i="33" s="1"/>
  <c r="F223" i="33"/>
  <c r="F22" i="31" s="1"/>
  <c r="T2492" i="8"/>
  <c r="F2492" i="8"/>
  <c r="G997" i="33" s="1"/>
  <c r="H997" i="33" s="1"/>
  <c r="T638" i="8"/>
  <c r="AK1170" i="8"/>
  <c r="AK537" i="8"/>
  <c r="H610" i="33"/>
  <c r="F638" i="8"/>
  <c r="B1588" i="8"/>
  <c r="AK3227" i="8"/>
  <c r="AK716" i="8"/>
  <c r="AK3736" i="8"/>
  <c r="T3563" i="8"/>
  <c r="AK3751" i="8"/>
  <c r="AK2428" i="8"/>
  <c r="AK439" i="8"/>
  <c r="AK3219" i="8"/>
  <c r="AK1476" i="8"/>
  <c r="AK2202" i="8"/>
  <c r="AK965" i="8"/>
  <c r="AK650" i="8"/>
  <c r="AK945" i="8"/>
  <c r="AK708" i="8"/>
  <c r="AK2410" i="8"/>
  <c r="AK2210" i="8"/>
  <c r="AK4053" i="8"/>
  <c r="F1937" i="8"/>
  <c r="G779" i="33" s="1"/>
  <c r="H779" i="33" s="1"/>
  <c r="AK546" i="8"/>
  <c r="AK1553" i="8"/>
  <c r="AK1802" i="8"/>
  <c r="AK740" i="8"/>
  <c r="AK2024" i="8"/>
  <c r="AK2691" i="8"/>
  <c r="AK2368" i="8"/>
  <c r="AK2375" i="8"/>
  <c r="AK1617" i="8"/>
  <c r="AK2186" i="8"/>
  <c r="AK904" i="8"/>
  <c r="AK3767" i="8"/>
  <c r="AK2731" i="8"/>
  <c r="AK1633" i="8"/>
  <c r="AK3506" i="8"/>
  <c r="AK1841" i="8"/>
  <c r="AK1310" i="8"/>
  <c r="AK1625" i="8"/>
  <c r="B3874" i="8"/>
  <c r="G1565" i="33"/>
  <c r="H1565" i="33" s="1"/>
  <c r="AK509" i="8"/>
  <c r="F48" i="31"/>
  <c r="AK1178" i="8"/>
  <c r="AK3259" i="8"/>
  <c r="AK3799" i="8"/>
  <c r="AK1186" i="8"/>
  <c r="G388" i="33"/>
  <c r="H388" i="33" s="1"/>
  <c r="G1508" i="33"/>
  <c r="H1508" i="33" s="1"/>
  <c r="AK2707" i="8"/>
  <c r="AK530" i="8"/>
  <c r="AK1146" i="8"/>
  <c r="AK1490" i="8"/>
  <c r="AK3775" i="8"/>
  <c r="AK2059" i="8"/>
  <c r="AK382" i="8"/>
  <c r="T1937" i="8"/>
  <c r="AH278" i="8"/>
  <c r="AK278" i="8"/>
  <c r="AK1809" i="8"/>
  <c r="AK3783" i="8"/>
  <c r="AK3028" i="8"/>
  <c r="AK1518" i="8"/>
  <c r="AK2961" i="8"/>
  <c r="AK1108" i="8"/>
  <c r="AK3426" i="8"/>
  <c r="F20" i="31"/>
  <c r="AK1400" i="8"/>
  <c r="F3563" i="8"/>
  <c r="B2102" i="8"/>
  <c r="G831" i="33"/>
  <c r="H831" i="33" s="1"/>
  <c r="AK1609" i="8"/>
  <c r="G944" i="33"/>
  <c r="H944" i="33" s="1"/>
  <c r="B2344" i="8"/>
  <c r="B1733" i="8"/>
  <c r="G666" i="33"/>
  <c r="H666" i="33" s="1"/>
  <c r="F56" i="31"/>
  <c r="B3374" i="8"/>
  <c r="G1336" i="33"/>
  <c r="H1336" i="33" s="1"/>
  <c r="G1396" i="33"/>
  <c r="H1396" i="33" s="1"/>
  <c r="B3409" i="8"/>
  <c r="G1278" i="33"/>
  <c r="H1278" i="33" s="1"/>
  <c r="G886" i="33"/>
  <c r="H886" i="33" s="1"/>
  <c r="B2235" i="8"/>
  <c r="AK2972" i="8"/>
  <c r="AK292" i="8"/>
  <c r="AK1154" i="8"/>
  <c r="AK2723" i="8"/>
  <c r="AK1138" i="8"/>
  <c r="AK2194" i="8"/>
  <c r="AI1898" i="8"/>
  <c r="AJ1898" i="8" s="1"/>
  <c r="AH1898" i="8"/>
  <c r="AK2739" i="8"/>
  <c r="AK732" i="8"/>
  <c r="AK2940" i="8"/>
  <c r="AK3674" i="8"/>
  <c r="AK3235" i="8"/>
  <c r="G1168" i="33"/>
  <c r="H1168" i="33" s="1"/>
  <c r="B2881" i="8"/>
  <c r="AK2155" i="8"/>
  <c r="AK3149" i="8"/>
  <c r="AK1289" i="8"/>
  <c r="AK3555" i="8"/>
  <c r="AK417" i="8"/>
  <c r="AH3497" i="8"/>
  <c r="AK3497" i="8"/>
  <c r="AK3017" i="8"/>
  <c r="AK2470" i="8"/>
  <c r="AK3243" i="8"/>
  <c r="AK516" i="8"/>
  <c r="AK1086" i="8"/>
  <c r="AK3807" i="8"/>
  <c r="G1680" i="33"/>
  <c r="H1680" i="33" s="1"/>
  <c r="B4068" i="8"/>
  <c r="F40" i="31"/>
  <c r="AH1369" i="8"/>
  <c r="AK1369" i="8"/>
  <c r="G1053" i="33"/>
  <c r="H1053" i="33" s="1"/>
  <c r="F42" i="31"/>
  <c r="AK502" i="8"/>
  <c r="AK895" i="8"/>
  <c r="B2794" i="8"/>
  <c r="G1109" i="33"/>
  <c r="H1109" i="33" s="1"/>
  <c r="AK3401" i="8"/>
  <c r="T1410" i="8"/>
  <c r="AK2389" i="8"/>
  <c r="G336" i="33"/>
  <c r="H336" i="33" s="1"/>
  <c r="B914" i="8"/>
  <c r="AK938" i="8"/>
  <c r="AK3490" i="8"/>
  <c r="AK1093" i="8"/>
  <c r="AK2926" i="8"/>
  <c r="AK3267" i="8"/>
  <c r="AK1355" i="8"/>
  <c r="AK3198" i="8"/>
  <c r="AK3526" i="8"/>
  <c r="G279" i="33"/>
  <c r="H279" i="33" s="1"/>
  <c r="B781" i="8"/>
  <c r="T278" i="8"/>
  <c r="F5454" i="8"/>
  <c r="F5468" i="8"/>
  <c r="F370" i="8"/>
  <c r="B1203" i="8"/>
  <c r="G442" i="33"/>
  <c r="H442" i="33" s="1"/>
  <c r="AK2322" i="8"/>
  <c r="AH555" i="8"/>
  <c r="AK555" i="8"/>
  <c r="AK3037" i="8"/>
  <c r="F1410" i="8"/>
  <c r="AK573" i="8"/>
  <c r="AK2580" i="8"/>
  <c r="AK1641" i="8"/>
  <c r="AK4039" i="8"/>
  <c r="H1222" i="33" l="1"/>
  <c r="B485" i="8"/>
  <c r="AJ5453" i="8"/>
  <c r="B1785" i="8"/>
  <c r="AK564" i="8"/>
  <c r="AK4085" i="8"/>
  <c r="B4147" i="8"/>
  <c r="F24" i="1"/>
  <c r="E24" i="1" s="1"/>
  <c r="G1735" i="33"/>
  <c r="H1735" i="33" s="1"/>
  <c r="B3047" i="8"/>
  <c r="B2492" i="8"/>
  <c r="B1937" i="8"/>
  <c r="B638" i="8"/>
  <c r="G223" i="33"/>
  <c r="H223" i="33" s="1"/>
  <c r="AH5453" i="8"/>
  <c r="AH5465" i="8" s="1"/>
  <c r="F5464" i="8"/>
  <c r="F23" i="1"/>
  <c r="AK1898" i="8"/>
  <c r="B3563" i="8"/>
  <c r="G1452" i="33"/>
  <c r="H1452" i="33" s="1"/>
  <c r="G109" i="33"/>
  <c r="H109" i="33" s="1"/>
  <c r="F4234" i="8"/>
  <c r="F5470" i="8"/>
  <c r="B1410" i="8"/>
  <c r="G555" i="33"/>
  <c r="H555" i="33" s="1"/>
  <c r="T5454" i="8"/>
  <c r="T5468" i="8"/>
  <c r="B5468" i="8" s="1"/>
  <c r="T370" i="8"/>
  <c r="B370" i="8" s="1"/>
  <c r="F28" i="31"/>
  <c r="H78" i="31" s="1"/>
  <c r="H233" i="31" s="1"/>
  <c r="AK5453" i="8" l="1"/>
  <c r="A24" i="1"/>
  <c r="B24" i="1"/>
  <c r="F35" i="1"/>
  <c r="C73" i="1"/>
  <c r="E23" i="1"/>
  <c r="E35" i="1" s="1"/>
  <c r="AJ5454" i="8"/>
  <c r="AJ5464" i="8" s="1"/>
  <c r="T23" i="1"/>
  <c r="T35" i="1" s="1"/>
  <c r="T39" i="1" s="1"/>
  <c r="T5464" i="8"/>
  <c r="B5454" i="8"/>
  <c r="F5472" i="8"/>
  <c r="T5470" i="8"/>
  <c r="B5470" i="8" s="1"/>
  <c r="T4234" i="8"/>
  <c r="T5472" i="8" s="1"/>
  <c r="H1790" i="33"/>
  <c r="H237" i="31"/>
  <c r="H239" i="31" s="1"/>
  <c r="H241" i="31" s="1"/>
  <c r="H243" i="31" s="1"/>
  <c r="B35" i="1"/>
  <c r="D35" i="1" l="1"/>
  <c r="A23" i="1"/>
  <c r="B19" i="1" s="1"/>
  <c r="B23" i="1"/>
  <c r="B4234" i="8"/>
  <c r="E22" i="18"/>
  <c r="F76" i="1"/>
  <c r="R84" i="1" s="1"/>
  <c r="Q19" i="1" s="1"/>
  <c r="Q15" i="1"/>
  <c r="F73" i="1"/>
  <c r="AK5464" i="8"/>
  <c r="AK5465" i="8" s="1"/>
  <c r="AJ5465" i="8"/>
  <c r="Q16" i="1"/>
  <c r="B5472" i="8"/>
  <c r="F75"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987" authorId="0" shapeId="0" xr:uid="{3E95BE3C-C940-438C-A08A-597B25C9039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29" authorId="0" shapeId="0" xr:uid="{B109ACCC-5E00-4FB4-BE3D-467CB0078CB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446" authorId="0" shapeId="0" xr:uid="{85B60186-EDB5-418C-9C94-E630DB92531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56" authorId="0" shapeId="0" xr:uid="{735C7142-0B96-446C-AC2C-5B3265D84DD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1973" authorId="0" shapeId="0" xr:uid="{D2E5172D-0C35-41BB-857C-0D2F9B136FE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33" authorId="0" shapeId="0" xr:uid="{C90AF3C9-F305-4189-B821-EC7BC57723F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2550" authorId="0" shapeId="0" xr:uid="{68DB1B50-BE54-4D4D-9EF1-10E2DDDA3B8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66" authorId="0" shapeId="0" xr:uid="{2C1662BE-1ED9-4C1D-9D19-A64C01137CD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083" authorId="0" shapeId="0" xr:uid="{35C52AE0-6B61-4AFF-BE37-0A93DEE293C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3595" authorId="0" shapeId="0" xr:uid="{7595C54C-3C7D-4341-9D2B-5ECF767C541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199" authorId="0" shapeId="0" xr:uid="{F93D9487-CD9E-4AB8-8453-506C4BFBE0AD}">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368" authorId="0" shapeId="0" xr:uid="{96C48927-2272-46EF-AB9B-DF777BF8FEAD}">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384" authorId="0" shapeId="0" xr:uid="{B0EF11DF-B284-4070-A94A-FB1B6127D94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16" authorId="0" shapeId="0" xr:uid="{2AF8E8C8-C6C6-4A4D-91FC-54915233BF0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56" authorId="0" shapeId="0" xr:uid="{D38CC911-EC74-47EA-9266-CF33693CDC0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72" authorId="0" shapeId="0" xr:uid="{01A0A4EB-BE28-4724-BDCD-A475C4AB9EAE}">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494" authorId="0" shapeId="0" xr:uid="{0767F96E-BDE0-4D70-922E-F192E038CEB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538" authorId="0" shapeId="0" xr:uid="{FC81C39B-1BD0-4F4A-8A75-7636A1F8C44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554" authorId="0" shapeId="0" xr:uid="{BAECA38F-1CD9-4CDA-84BF-274B1D8A68E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576" authorId="0" shapeId="0" xr:uid="{636FF1D8-9BD0-4A8A-B6A1-1A450E04F390}">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620" authorId="0" shapeId="0" xr:uid="{67D15281-05E3-4D05-831F-4D92577D4F5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636" authorId="0" shapeId="0" xr:uid="{59A95439-5B01-43C6-B1F1-BA4C670892B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658" authorId="0" shapeId="0" xr:uid="{41410404-C78F-46C7-9825-4722AB6A6C2D}">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696" authorId="0" shapeId="0" xr:uid="{FD50783D-010C-4C46-B370-5751E6796605}">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712" authorId="0" shapeId="0" xr:uid="{4F509172-DA85-4C63-B7E7-25ADD2911BD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740" authorId="0" shapeId="0" xr:uid="{1BB2E00B-A412-48B8-9A3A-9E3BAC36CF59}">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778" authorId="0" shapeId="0" xr:uid="{C1BE9AF9-2BA5-418A-95AC-11D9EE1CAB5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794" authorId="0" shapeId="0" xr:uid="{CC84D32D-3ADB-4555-BF3D-2493EA6DF57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816" authorId="0" shapeId="0" xr:uid="{ECF6AC4F-1C7C-46C8-B5AE-486017165AB1}">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860" authorId="0" shapeId="0" xr:uid="{27E890DB-EB91-4929-8274-DE19AF9FD1E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882" authorId="0" shapeId="0" xr:uid="{2F5B8862-6180-4B16-8D4F-2F00A92B2E5A}">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4914" authorId="0" shapeId="0" xr:uid="{1FF172AB-5D03-488C-815C-45BB87AF15B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34" authorId="0" shapeId="0" xr:uid="{0DDAF0C6-C644-4613-8952-55B4FE6F2E5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050" authorId="0" shapeId="0" xr:uid="{5BA97484-A2B7-4C6B-9D70-584382CADD9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00" authorId="0" shapeId="0" xr:uid="{88887B1A-854B-4D86-86D6-B529BC522EF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16" authorId="0" shapeId="0" xr:uid="{E988028A-03BE-44AD-BDEB-D7C2207DAA7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48" authorId="0" shapeId="0" xr:uid="{8C897B79-CFB0-45E1-89A9-117ABD4E9F3C}">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74" authorId="0" shapeId="0" xr:uid="{E0D45689-2951-46B2-8229-0F152A1CD1D7}">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190" authorId="0" shapeId="0" xr:uid="{F7E68198-D93D-472A-8922-51C632F8AD5D}">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216" authorId="0" shapeId="0" xr:uid="{62A7F2E7-A15D-4899-BDDB-EABC28176A6B}">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242" authorId="0" shapeId="0" xr:uid="{AEBF6D37-036D-4354-AD6C-EF648A1876EF}">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268" authorId="0" shapeId="0" xr:uid="{CCC2153D-3A6C-4B4C-B0F8-4157C8F5D234}">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320" authorId="0" shapeId="0" xr:uid="{55ECEF4D-3F4C-46E4-91CE-76467B3C5712}">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336" authorId="0" shapeId="0" xr:uid="{B3A1D96F-AEE0-4229-AD0A-76140F827E53}">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5352" authorId="0" shapeId="0" xr:uid="{4D373344-1386-4773-9ABC-C0CF8F834EB6}">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5453" authorId="0" shapeId="0" xr:uid="{AB733E2E-F5CB-45C2-A86E-86CBF9286A4B}">
      <text>
        <r>
          <rPr>
            <b/>
            <sz val="10"/>
            <color indexed="81"/>
            <rFont val="Tahoma"/>
            <family val="2"/>
          </rPr>
          <t>Michael Vella:</t>
        </r>
        <r>
          <rPr>
            <sz val="10"/>
            <color indexed="81"/>
            <rFont val="Tahoma"/>
            <family val="2"/>
          </rPr>
          <t xml:space="preserve">
This cell should be exactly equal to the MU SUMMARY TOTAL.</t>
        </r>
      </text>
    </comment>
    <comment ref="AH5465" authorId="0" shapeId="0" xr:uid="{E26A3DAA-3573-40BC-92C7-A0FE7D818822}">
      <text>
        <r>
          <rPr>
            <b/>
            <sz val="10"/>
            <color indexed="81"/>
            <rFont val="Tahoma"/>
            <family val="2"/>
          </rPr>
          <t>Michael Vella:</t>
        </r>
        <r>
          <rPr>
            <sz val="10"/>
            <color indexed="81"/>
            <rFont val="Tahoma"/>
            <family val="2"/>
          </rPr>
          <t xml:space="preserve">
This discrepancy must be small</t>
        </r>
      </text>
    </comment>
    <comment ref="AJ5465" authorId="0" shapeId="0" xr:uid="{DED36CF2-F81B-41A9-A686-4FD7D66403D5}">
      <text>
        <r>
          <rPr>
            <b/>
            <sz val="10"/>
            <color indexed="81"/>
            <rFont val="Tahoma"/>
            <family val="2"/>
          </rPr>
          <t>Michael Vella:</t>
        </r>
        <r>
          <rPr>
            <sz val="10"/>
            <color indexed="81"/>
            <rFont val="Tahoma"/>
            <family val="2"/>
          </rPr>
          <t xml:space="preserve">
This discrepancy must be small</t>
        </r>
      </text>
    </comment>
    <comment ref="AK5465" authorId="0" shapeId="0" xr:uid="{4C282A99-2023-4C95-9B0F-F7E5B1D37428}">
      <text>
        <r>
          <rPr>
            <b/>
            <sz val="10"/>
            <color indexed="81"/>
            <rFont val="Tahoma"/>
            <family val="2"/>
          </rPr>
          <t>Michael Vella:</t>
        </r>
        <r>
          <rPr>
            <sz val="10"/>
            <color indexed="81"/>
            <rFont val="Tahoma"/>
            <family val="2"/>
          </rPr>
          <t xml:space="preserve">
This discrepancy must be small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3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3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3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3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3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3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3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3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3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3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3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3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3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3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300-00000F000000}">
      <text>
        <r>
          <rPr>
            <b/>
            <sz val="8"/>
            <color indexed="81"/>
            <rFont val="Tahoma"/>
            <family val="2"/>
          </rPr>
          <t>Michael Vella:</t>
        </r>
        <r>
          <rPr>
            <sz val="8"/>
            <color indexed="81"/>
            <rFont val="Tahoma"/>
            <family val="2"/>
          </rPr>
          <t xml:space="preserve">
Press &lt;CTRL :&gt; to enter the current date.</t>
        </r>
      </text>
    </comment>
    <comment ref="D42" authorId="0" shapeId="0" xr:uid="{5D3DF1F5-4C34-41F9-B1B5-0E68DF4267A8}">
      <text>
        <r>
          <rPr>
            <b/>
            <sz val="8"/>
            <color indexed="81"/>
            <rFont val="Tahoma"/>
            <family val="2"/>
          </rPr>
          <t>Michael Vella:</t>
        </r>
        <r>
          <rPr>
            <sz val="8"/>
            <color indexed="81"/>
            <rFont val="Tahoma"/>
            <family val="2"/>
          </rPr>
          <t xml:space="preserve">
Press &lt;CTRL :&gt; to enter the current date.</t>
        </r>
      </text>
    </comment>
    <comment ref="D43" authorId="0" shapeId="0" xr:uid="{E4344586-7C8A-42CC-AAA0-8433758AFB52}">
      <text>
        <r>
          <rPr>
            <b/>
            <sz val="8"/>
            <color indexed="81"/>
            <rFont val="Tahoma"/>
            <family val="2"/>
          </rPr>
          <t>Michael Vella:</t>
        </r>
        <r>
          <rPr>
            <sz val="8"/>
            <color indexed="81"/>
            <rFont val="Tahoma"/>
            <family val="2"/>
          </rPr>
          <t xml:space="preserve">
Press &lt;CTRL :&gt; to enter the current date.</t>
        </r>
      </text>
    </comment>
    <comment ref="D44" authorId="0" shapeId="0" xr:uid="{AD067610-7DE5-4701-91BA-AAEDA8B37158}">
      <text>
        <r>
          <rPr>
            <b/>
            <sz val="8"/>
            <color indexed="81"/>
            <rFont val="Tahoma"/>
            <family val="2"/>
          </rPr>
          <t>Michael Vella:</t>
        </r>
        <r>
          <rPr>
            <sz val="8"/>
            <color indexed="81"/>
            <rFont val="Tahoma"/>
            <family val="2"/>
          </rPr>
          <t xml:space="preserve">
Press &lt;CTRL :&gt; to enter the current date.</t>
        </r>
      </text>
    </comment>
    <comment ref="D45" authorId="0" shapeId="0" xr:uid="{8A672C56-54C1-4C3F-9DCC-D8D731940214}">
      <text>
        <r>
          <rPr>
            <b/>
            <sz val="8"/>
            <color indexed="81"/>
            <rFont val="Tahoma"/>
            <family val="2"/>
          </rPr>
          <t>Michael Vella:</t>
        </r>
        <r>
          <rPr>
            <sz val="8"/>
            <color indexed="81"/>
            <rFont val="Tahoma"/>
            <family val="2"/>
          </rPr>
          <t xml:space="preserve">
Press &lt;CTRL :&gt; to enter the current date.</t>
        </r>
      </text>
    </comment>
  </commentList>
</comments>
</file>

<file path=xl/sharedStrings.xml><?xml version="1.0" encoding="utf-8"?>
<sst xmlns="http://schemas.openxmlformats.org/spreadsheetml/2006/main" count="25562" uniqueCount="1992">
  <si>
    <t xml:space="preserve">CLIENT: </t>
  </si>
  <si>
    <t>R/Lab Cont</t>
  </si>
  <si>
    <t xml:space="preserve">PROJECT: </t>
  </si>
  <si>
    <t>mu_A</t>
  </si>
  <si>
    <t xml:space="preserve">JOB DESC: </t>
  </si>
  <si>
    <t>mu_B</t>
  </si>
  <si>
    <t xml:space="preserve">QUOTE No: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</si>
  <si>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</si>
  <si>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</si>
  <si>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</si>
  <si>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</si>
  <si>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</si>
  <si>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</si>
  <si>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</si>
  <si>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</si>
  <si>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</si>
  <si>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</si>
  <si>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</si>
  <si>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</si>
  <si>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</si>
  <si>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</si>
  <si>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</si>
  <si>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</si>
  <si>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</si>
  <si>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</si>
  <si>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</si>
  <si>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</si>
  <si>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</si>
  <si>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</si>
  <si>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</si>
  <si>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</si>
  <si>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</si>
  <si>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</si>
  <si>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</si>
  <si>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</si>
  <si>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</si>
  <si>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</si>
  <si>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</si>
  <si>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</si>
  <si>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</si>
  <si>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</si>
  <si>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</si>
  <si>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</si>
  <si>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</si>
  <si>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</si>
  <si>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</si>
  <si>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</si>
  <si>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</si>
  <si>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</si>
  <si>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</si>
  <si>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</si>
  <si>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</si>
  <si>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</si>
  <si>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</si>
  <si>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</si>
  <si>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</si>
  <si>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</si>
  <si>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</si>
  <si>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</si>
  <si>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</si>
  <si>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</si>
  <si>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</si>
  <si>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</si>
  <si>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</si>
  <si>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</si>
  <si>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</si>
  <si>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</si>
  <si>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</si>
  <si>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</si>
  <si>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</si>
  <si>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</si>
  <si>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</si>
  <si>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</si>
  <si>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</si>
  <si>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</si>
  <si>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</si>
  <si>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</si>
  <si>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</si>
  <si>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</si>
  <si>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</si>
  <si>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</si>
  <si>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</si>
  <si>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</si>
  <si>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</si>
  <si>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</si>
  <si>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</si>
  <si>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</si>
  <si>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</si>
  <si>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</si>
  <si>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</si>
  <si>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</si>
  <si>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</si>
  <si>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</si>
  <si>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</si>
  <si>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</si>
  <si>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</si>
  <si>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</si>
  <si>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</si>
  <si>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</si>
  <si>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</si>
  <si>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</si>
  <si>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</si>
  <si>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</si>
  <si>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</si>
  <si>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</si>
  <si>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</si>
  <si>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</si>
  <si>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</si>
  <si>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</si>
  <si>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</si>
  <si>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</si>
  <si>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</si>
  <si>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</si>
  <si>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</si>
  <si>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</si>
  <si>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</si>
  <si>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</si>
  <si>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</si>
  <si>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</si>
  <si>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</si>
  <si>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</si>
  <si>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</si>
  <si>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</si>
  <si>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</si>
  <si>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</si>
  <si>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</si>
  <si>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</si>
  <si>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</si>
  <si>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</si>
  <si>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</si>
  <si>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</si>
  <si>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</si>
  <si>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</si>
  <si>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</si>
  <si>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</si>
  <si>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</si>
  <si>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Sell Rate</t>
  </si>
  <si>
    <t>Sell Total</t>
  </si>
  <si>
    <t>IB</t>
  </si>
  <si>
    <t>ISELL</t>
  </si>
  <si>
    <t>ITEM</t>
  </si>
  <si>
    <t>n</t>
  </si>
  <si>
    <t>d&gt;</t>
  </si>
  <si>
    <t>ICOST</t>
  </si>
  <si>
    <t>SB!</t>
  </si>
  <si>
    <t>SB</t>
  </si>
  <si>
    <t>END!</t>
  </si>
  <si>
    <t>COSTCODE TOTAL</t>
  </si>
  <si>
    <t>Cables accessories</t>
  </si>
  <si>
    <t>Fix 1</t>
  </si>
  <si>
    <t>Fix 2</t>
  </si>
  <si>
    <t>Fix 3</t>
  </si>
  <si>
    <t>Others</t>
  </si>
  <si>
    <t>TOTAL</t>
  </si>
  <si>
    <t>PAGE</t>
  </si>
  <si>
    <t>PAGE SELL</t>
  </si>
  <si>
    <t>PAGE MAT</t>
  </si>
  <si>
    <t>PAGE LAB</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</si>
  <si>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</si>
  <si>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</si>
  <si>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</si>
  <si>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</si>
  <si>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</si>
  <si>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</si>
  <si>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</si>
  <si>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</si>
  <si>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</si>
  <si>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</si>
  <si>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</si>
  <si>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</si>
  <si>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</si>
  <si>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</si>
  <si>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</si>
  <si>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</si>
  <si>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</si>
  <si>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</si>
  <si>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</si>
  <si>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</si>
  <si>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</si>
  <si>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</si>
  <si>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</si>
  <si>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</si>
  <si>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</si>
  <si>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</si>
  <si>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</si>
  <si>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</si>
  <si>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</si>
  <si>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</si>
  <si>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</si>
  <si>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</si>
  <si>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</si>
  <si>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</si>
  <si>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</si>
  <si>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</si>
  <si>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</si>
  <si>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</si>
  <si>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</si>
  <si>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</si>
  <si>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</si>
  <si>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</si>
  <si>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</si>
  <si>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</si>
  <si>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</si>
  <si>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</si>
  <si>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</si>
  <si>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</si>
  <si>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</si>
  <si>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</si>
  <si>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</si>
  <si>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</si>
  <si>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</si>
  <si>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</si>
  <si>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</si>
  <si>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</si>
  <si>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</si>
  <si>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</si>
  <si>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</si>
  <si>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</si>
  <si>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</si>
  <si>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</si>
  <si>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</si>
  <si>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</si>
  <si>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</si>
  <si>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</si>
  <si>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</si>
  <si>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</si>
  <si>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t>
  </si>
  <si>
    <t>Pair Hrs.</t>
  </si>
  <si>
    <t>Pair.Hrs</t>
  </si>
  <si>
    <t>Final Sell after Discounts excl.VAT (€):</t>
  </si>
  <si>
    <t>Estim.Sell before Discounts excl.VAT (€):</t>
  </si>
  <si>
    <t>Overall Discount:</t>
  </si>
  <si>
    <t>MAT CONT &gt;&gt;</t>
  </si>
  <si>
    <t>BOQ TOTAL</t>
  </si>
  <si>
    <t>ELECTRICAL</t>
  </si>
  <si>
    <t>PRINT</t>
  </si>
  <si>
    <t xml:space="preserve">VAT: </t>
  </si>
  <si>
    <t xml:space="preserve">LAB. COST: </t>
  </si>
  <si>
    <t>Mechanical for Electrical</t>
  </si>
  <si>
    <t>Ext. Ref:</t>
  </si>
  <si>
    <t xml:space="preserve">INT. QUOT No: </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</si>
  <si>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</si>
  <si>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</si>
  <si>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</si>
  <si>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</si>
  <si>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</si>
  <si>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</si>
  <si>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</si>
  <si>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</si>
  <si>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</si>
  <si>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</si>
  <si>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</si>
  <si>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</si>
  <si>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</si>
  <si>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</si>
  <si>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</si>
  <si>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</si>
  <si>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Sub-Contracting Installation Elec</t>
  </si>
  <si>
    <t>Mr. K. Micallef</t>
  </si>
  <si>
    <t>Unit</t>
  </si>
  <si>
    <t>Total</t>
  </si>
  <si>
    <t>Unit Lab phr.</t>
  </si>
  <si>
    <t>Mr. A. Sciberras</t>
  </si>
  <si>
    <t>Ms. S. Magri</t>
  </si>
  <si>
    <t>A. Sciberras</t>
  </si>
  <si>
    <t>BILL OF QUANTITIES</t>
  </si>
  <si>
    <t>PRELIMINARIES</t>
  </si>
  <si>
    <t>Item</t>
  </si>
  <si>
    <t>Description</t>
  </si>
  <si>
    <t>Qty</t>
  </si>
  <si>
    <t>Rate in €</t>
  </si>
  <si>
    <t>Mobilisation and demobilisation including setting up of workshop storage facilities and their security.</t>
  </si>
  <si>
    <t>LS</t>
  </si>
  <si>
    <t>Safety clothing for all site personnel in accordance with statutory requirements.</t>
  </si>
  <si>
    <t>Allowance for weekly progress meetings within project execution period.</t>
  </si>
  <si>
    <t>Provision of instrumentation used for commissioning purposes including evidence of associated valid calibration certificates.</t>
  </si>
  <si>
    <t>Two copies of a complete set of installation drawings allowing for coordination with sub-contractors, client, interior designer, etc. as applicable.</t>
  </si>
  <si>
    <t>Provision for a quality control engineer to ensure that the items being proposed are in accordance with technical specification and will fulfil the project requirements.</t>
  </si>
  <si>
    <t>Provision for a Quality Control Engineer to certify that the equipment and materials are installed, tested and commissioned in accordance with manufacturer's recommendations and / or relevant statutory requirements and / or CIBSE and / or equal and approved documents.</t>
  </si>
  <si>
    <t>Provision to identify access requirements for maintenance purposes in accordance with manufacturer's guidelines and common practice.</t>
  </si>
  <si>
    <t>Provision of signing of commissioning documentation by an independent Warranted Engineer.</t>
  </si>
  <si>
    <t>Provision of signing of as-fitted drawings by an independent Warranted Engineer.</t>
  </si>
  <si>
    <t>Total carried forward to summary page</t>
  </si>
  <si>
    <t>To allow for builders works in accordance to the preamble section of the technical specifications.</t>
  </si>
  <si>
    <t>Provision for a recognised Health and Safety Officer.</t>
  </si>
  <si>
    <t>Provision for completing the necessary risk assessment and method statements required.</t>
  </si>
  <si>
    <t>Provision for an initial Program of Works and monthly updates</t>
  </si>
  <si>
    <t>Provision of Submittal Form for materials and Supply of Samples</t>
  </si>
  <si>
    <t>Provision for Housekeeping and Waste Management</t>
  </si>
  <si>
    <t>Provision of Local Council Permits to be charged at cost against receipts</t>
  </si>
  <si>
    <t>ELECTRICAL SYSTEM</t>
  </si>
  <si>
    <t>MAIN INFRASTRUCTURE</t>
  </si>
  <si>
    <t xml:space="preserve">SWITCHGEAR AND OTHER APPARATUS </t>
  </si>
  <si>
    <t>Supply only the following switchgear and other accessories.</t>
  </si>
  <si>
    <t>a.</t>
  </si>
  <si>
    <r>
      <t xml:space="preserve">Incomer Switchgear Panel </t>
    </r>
    <r>
      <rPr>
        <b/>
        <sz val="10"/>
        <rFont val="Arial"/>
        <family val="2"/>
      </rPr>
      <t>SP-INC</t>
    </r>
    <r>
      <rPr>
        <sz val="10"/>
        <rFont val="Arial"/>
        <family val="2"/>
      </rPr>
      <t xml:space="preserve"> complete with Shunt Trip and Adjustable Earth Fault Relay</t>
    </r>
  </si>
  <si>
    <t>b.</t>
  </si>
  <si>
    <r>
      <t xml:space="preserve">Main Switchgear Panel </t>
    </r>
    <r>
      <rPr>
        <b/>
        <sz val="10"/>
        <rFont val="Arial"/>
        <family val="2"/>
      </rPr>
      <t>MSP-NE</t>
    </r>
    <r>
      <rPr>
        <sz val="10"/>
        <rFont val="Arial"/>
        <family val="2"/>
      </rPr>
      <t xml:space="preserve"> including Transient Surge Protection</t>
    </r>
  </si>
  <si>
    <t>c.</t>
  </si>
  <si>
    <r>
      <t xml:space="preserve">Main Switchgear Panel </t>
    </r>
    <r>
      <rPr>
        <b/>
        <sz val="10"/>
        <rFont val="Arial"/>
        <family val="2"/>
      </rPr>
      <t>MSP-ES</t>
    </r>
  </si>
  <si>
    <t>d.</t>
  </si>
  <si>
    <r>
      <t xml:space="preserve">60kVAR Power Factor Correction Unit </t>
    </r>
    <r>
      <rPr>
        <b/>
        <sz val="10"/>
        <rFont val="Arial"/>
        <family val="2"/>
      </rPr>
      <t>(PFCU)</t>
    </r>
  </si>
  <si>
    <t>e.</t>
  </si>
  <si>
    <r>
      <t xml:space="preserve">Switchgear Panel for Generator </t>
    </r>
    <r>
      <rPr>
        <b/>
        <sz val="10"/>
        <rFont val="Arial"/>
        <family val="2"/>
      </rPr>
      <t>SP-GEN</t>
    </r>
    <r>
      <rPr>
        <sz val="10"/>
        <rFont val="Arial"/>
        <family val="2"/>
      </rPr>
      <t xml:space="preserve"> including Transient Surge Protection</t>
    </r>
  </si>
  <si>
    <t>Install and connect only the following switchgear and other accessories.</t>
  </si>
  <si>
    <t>POWER CABLING</t>
  </si>
  <si>
    <t>m/r</t>
  </si>
  <si>
    <t>f.</t>
  </si>
  <si>
    <t>g.</t>
  </si>
  <si>
    <t>h.</t>
  </si>
  <si>
    <t>i.</t>
  </si>
  <si>
    <t>j.</t>
  </si>
  <si>
    <t>k.</t>
  </si>
  <si>
    <t>l.</t>
  </si>
  <si>
    <t>m.</t>
  </si>
  <si>
    <t>n.</t>
  </si>
  <si>
    <t>o.</t>
  </si>
  <si>
    <t>p.</t>
  </si>
  <si>
    <t>q.</t>
  </si>
  <si>
    <t>r.</t>
  </si>
  <si>
    <t>s.</t>
  </si>
  <si>
    <t>t.</t>
  </si>
  <si>
    <t>u.</t>
  </si>
  <si>
    <t>v.</t>
  </si>
  <si>
    <t>CABLE MANAGEMENT</t>
  </si>
  <si>
    <t xml:space="preserve">100mm </t>
  </si>
  <si>
    <t>m</t>
  </si>
  <si>
    <t>200mm</t>
  </si>
  <si>
    <t>300mm</t>
  </si>
  <si>
    <t>400mm</t>
  </si>
  <si>
    <t>500mm</t>
  </si>
  <si>
    <t>BASEMENT LEVEL -1</t>
  </si>
  <si>
    <t>LIGHTING INSTALLATION</t>
  </si>
  <si>
    <r>
      <t xml:space="preserve">Supply and install the following lighting points as specified. </t>
    </r>
    <r>
      <rPr>
        <b/>
        <sz val="10"/>
        <rFont val="Arial"/>
        <family val="2"/>
      </rPr>
      <t>(Moulded Plastic Installation)</t>
    </r>
  </si>
  <si>
    <t>One light point controlled by one switch</t>
  </si>
  <si>
    <t>No.</t>
  </si>
  <si>
    <t>Eight light points controlled by one switch</t>
  </si>
  <si>
    <t>One light point controlled by two two-way switches</t>
  </si>
  <si>
    <t>Two light points controlled by two two-way switches</t>
  </si>
  <si>
    <t>Four light points controlled by two two-way switches</t>
  </si>
  <si>
    <t>One light point controlled by one movement detector</t>
  </si>
  <si>
    <t>Two light points controlled by one movement detector</t>
  </si>
  <si>
    <t>Three light points and one extractor fan controlled by one movement detector</t>
  </si>
  <si>
    <t>Four light points controlled by one movement detector</t>
  </si>
  <si>
    <t>Maintained emergency light points</t>
  </si>
  <si>
    <t>Supply only the following light fittings and accessories</t>
  </si>
  <si>
    <t>600mm x 600mm, 40W Soffit Recessed LED Panel</t>
  </si>
  <si>
    <t xml:space="preserve">No. </t>
  </si>
  <si>
    <t>Type 'E1' - Single Sided, Wall Mounted, Directional Exit Signage</t>
  </si>
  <si>
    <t>Type 'E2' - Double Sided, Ceiling Mounted/ Soffit Recessed, Directional Exit Signage</t>
  </si>
  <si>
    <t xml:space="preserve">Battery Backup Kit for Type 'LT-02' and Type 'LT-15' </t>
  </si>
  <si>
    <t>Install and connect only the following light fittings and accessories. Light Fittings to be supplied by client.</t>
  </si>
  <si>
    <t>Type 'LT-02' - 11W Soffit Recessed Light Fitting</t>
  </si>
  <si>
    <t>Type 'LT-03' - Wall Light</t>
  </si>
  <si>
    <t>Type 'LT-15' - 8.5W Soffit Recessed Downlighter</t>
  </si>
  <si>
    <t>Type 'LT-16' - 8.5W Soffit Recessed Downlighter</t>
  </si>
  <si>
    <t>Type ' LD-11' - Hallway Wall Light</t>
  </si>
  <si>
    <t>Type 'LD-16' - Toilets Wall Light</t>
  </si>
  <si>
    <t>POWER INSTALLATION</t>
  </si>
  <si>
    <t>13Amp BS1363 Single Socket Outlet</t>
  </si>
  <si>
    <t>13Amp BS1363 Double Socket Outlet</t>
  </si>
  <si>
    <t>13Amp BS1363 Double Socket Outlet complete with Type 'A' and Type 'C' USBs</t>
  </si>
  <si>
    <t>13Amp BS1363 Weatherproof Double Socket Outlet</t>
  </si>
  <si>
    <t>13Amp Switched Fuse Connection Unit</t>
  </si>
  <si>
    <t>13Amp Unswitched Fuse Connection Unit</t>
  </si>
  <si>
    <t>Distribution Board DB-B1 in Staff Area Corridor</t>
  </si>
  <si>
    <t>Distribution Board DB-K in Kitchen</t>
  </si>
  <si>
    <t>16Amp Double Pole Rotary Isolator, IP65</t>
  </si>
  <si>
    <t>16Amp Four Pole Rotary Isolator, IP65</t>
  </si>
  <si>
    <t>32Amp Four Pole Rotary Isolator, IP65</t>
  </si>
  <si>
    <t>16Amp 3Pin Female Trailing Industrial Socket Outlet</t>
  </si>
  <si>
    <t>32Amp 5Pin Female Trailing Industrial Socket Outlet</t>
  </si>
  <si>
    <t>Supply and install the following galvanised steel cable trunking.  Cost is to include all bracketing to wall or ceiling as necessary.</t>
  </si>
  <si>
    <t>75mm x 50mm</t>
  </si>
  <si>
    <t>75mm x 75mm</t>
  </si>
  <si>
    <t>GROUND FLOOR</t>
  </si>
  <si>
    <r>
      <t xml:space="preserve">Supply and install the following </t>
    </r>
    <r>
      <rPr>
        <b/>
        <sz val="10"/>
        <rFont val="Arial"/>
        <family val="2"/>
      </rPr>
      <t>DALI</t>
    </r>
    <r>
      <rPr>
        <sz val="10"/>
        <rFont val="Arial"/>
        <family val="2"/>
      </rPr>
      <t xml:space="preserve"> lighting points </t>
    </r>
    <r>
      <rPr>
        <b/>
        <sz val="10"/>
        <rFont val="Arial"/>
        <family val="2"/>
      </rPr>
      <t>(Moulded Plastic Installation)</t>
    </r>
  </si>
  <si>
    <t>Internal light points</t>
  </si>
  <si>
    <t>External light points</t>
  </si>
  <si>
    <r>
      <t xml:space="preserve">Supply and install the following </t>
    </r>
    <r>
      <rPr>
        <b/>
        <sz val="10"/>
        <rFont val="Arial"/>
        <family val="2"/>
      </rPr>
      <t xml:space="preserve">DALI </t>
    </r>
    <r>
      <rPr>
        <sz val="10"/>
        <rFont val="Arial"/>
        <family val="2"/>
      </rPr>
      <t>switches / controllers.</t>
    </r>
  </si>
  <si>
    <t>8-Button Keypad to control corridor lighting from reception</t>
  </si>
  <si>
    <t>5Amp Socket Outlet for Lighting</t>
  </si>
  <si>
    <t>Type 'E2' - Double Sided, Soffit Recessed, Directional Exit Signage</t>
  </si>
  <si>
    <t>Type ' LT-04' - 6W Wall Mounted Spotlight, Dimmable</t>
  </si>
  <si>
    <t>Type 'LT-09' - 300mm x 300mm LED Panel Soffit Recessed</t>
  </si>
  <si>
    <t>Type 'LT-12' - 6W Recessed Floor Spotlight, Dimmable, IP65</t>
  </si>
  <si>
    <t>Type 'LT-14' - Dimmable Strip Light</t>
  </si>
  <si>
    <t>Type 'LT-15' - 8.5W Soffit Recessed Downlighter, Dimmable</t>
  </si>
  <si>
    <t>Type 'LD-02' - Common Areas Art Light</t>
  </si>
  <si>
    <t>Type 'LD-03' - Wall light fitting in Lobby</t>
  </si>
  <si>
    <t>Type 'LD-10' - Armchair Reading Light</t>
  </si>
  <si>
    <t>Type 'LD-11' - Hallway Wall Light</t>
  </si>
  <si>
    <t>Battery Backup Kit for Type 'LT-09'</t>
  </si>
  <si>
    <t>Supply and install the following power points in LSZH Conduit, chased in wall.</t>
  </si>
  <si>
    <t>13Amp BS1363 Single Socket Outlet complete with Type 'A' and Type 'C' USBs</t>
  </si>
  <si>
    <t>13Amp BS1363 Double Socket Outlet in Floor Box</t>
  </si>
  <si>
    <t>13Amp BS1363 Double Socket Outlet complete with Type 'A' and Type 'C' USBs in Floor Box</t>
  </si>
  <si>
    <t>Distribution Board DB-L0</t>
  </si>
  <si>
    <t>Distribution Board DB-CA</t>
  </si>
  <si>
    <t>5 Module Floor Box</t>
  </si>
  <si>
    <t>FIRST FLOOR</t>
  </si>
  <si>
    <t>Two light points controlled by one switch</t>
  </si>
  <si>
    <t>Four light points and one extractor fan controlled by one switch (one light point with battery back up)</t>
  </si>
  <si>
    <t>Five light points and one extractor fan controlled by one switch (one light point with battery back up)</t>
  </si>
  <si>
    <t>Six light points controlled by three switches</t>
  </si>
  <si>
    <t>Eight light points controlled by three switches</t>
  </si>
  <si>
    <t>One light point for reading lights</t>
  </si>
  <si>
    <t>One light point for wardrobe lights</t>
  </si>
  <si>
    <t>Ceiling Fan point and controller</t>
  </si>
  <si>
    <t>One light point for magnifying mirror</t>
  </si>
  <si>
    <t>Three light points controlled by three switches, 3 occupancy sensors and relay (one light point with battery back up)</t>
  </si>
  <si>
    <t>1-Button Keypad for external lighting</t>
  </si>
  <si>
    <t>4-Button Keypad to control corridor lighting from reception</t>
  </si>
  <si>
    <t>Type ' LT-01' - 11W Soffit Recessed Light Fitting</t>
  </si>
  <si>
    <t>Type ' LT-02' - 11W Soffit Recessed Light Fitting</t>
  </si>
  <si>
    <t>Type ' LT-04' - 6W Wall Mounted Spotlight</t>
  </si>
  <si>
    <t>Type ' LT-05' - 6W Wall Mounted Spotlight</t>
  </si>
  <si>
    <t>Type ' LT-06' - 6W Wall Mounted Spotlight</t>
  </si>
  <si>
    <t>Type ' LT-08' - 5.9W Mini Soffit Recessed Downlighter</t>
  </si>
  <si>
    <t>Type ' LT-12' - 6W Recessed Floor Spotlight, Dimmable, IP65</t>
  </si>
  <si>
    <t>Type ' LT-13' - Dimmable Strip Light</t>
  </si>
  <si>
    <t>Type ' LT-15' - 8.5W Soffit Recessed Downlighter</t>
  </si>
  <si>
    <t>Type ' LD-12' - Bed Reading Light</t>
  </si>
  <si>
    <t>Type ' LD-15' - Bathrooms Wall Light</t>
  </si>
  <si>
    <t>Battery Backup Kit for Type 'LT-01', Type 'LT-02' and Type 'LT-06'</t>
  </si>
  <si>
    <t>Magnifying Mirror in Bathroom</t>
  </si>
  <si>
    <t>Universal/ Continental Double Socket Outlet</t>
  </si>
  <si>
    <t>Universal/ Continental Double Socket Outlet complete with Type 'A' USB and Type 'C' USB</t>
  </si>
  <si>
    <t>Shaver Unit</t>
  </si>
  <si>
    <t>Distribution Board DB-L1</t>
  </si>
  <si>
    <t>Consumer Unit CU-G01</t>
  </si>
  <si>
    <t>Consumer Unit CU-G02</t>
  </si>
  <si>
    <t>Consumer Unit CU-G03</t>
  </si>
  <si>
    <t>SECOND FLOOR</t>
  </si>
  <si>
    <t>Three light points controlled by one switch</t>
  </si>
  <si>
    <t>Three light points and one extractor fan controlled by one switch (one light point with battery back up)</t>
  </si>
  <si>
    <t>Eight light points and one extractor fan controlled by one switch (one light point with battery back up)</t>
  </si>
  <si>
    <t>Ten light points and one extractor fan controlled by one switch (one light point with battery back up)</t>
  </si>
  <si>
    <t>Type ' LT-09' - 300mm x 300mm Soffit Recessed LED Panel</t>
  </si>
  <si>
    <t>Type ' LD-05' - Lantern</t>
  </si>
  <si>
    <t>Type ' LD-12' - Chandelier</t>
  </si>
  <si>
    <t>Battery Backup Kit for Type 'LT-01', Type 'LT-02', Type 'LT-06' and Type 'LT-09'</t>
  </si>
  <si>
    <t>13Amp BS1363 Double Socket Outlet complete with Type 'A' USB and Type 'C' USB</t>
  </si>
  <si>
    <t>Distribution Board DB-L2</t>
  </si>
  <si>
    <t>Consumer Unit CU-G04</t>
  </si>
  <si>
    <t>Consumer Unit CU-G05</t>
  </si>
  <si>
    <t>Consumer Unit CU-G06</t>
  </si>
  <si>
    <t>THIRD FLOOR</t>
  </si>
  <si>
    <t>Two light points controlled by three switches</t>
  </si>
  <si>
    <t>Two light points controlled by three switches, 3 occupancy sensors and relay (one light point with battery back up)</t>
  </si>
  <si>
    <t>Battery Backup Kit for Type 'LT-01' and Type 'LT-02'</t>
  </si>
  <si>
    <t>Distribution Board DB-L3</t>
  </si>
  <si>
    <t>Consumer Unit CU-G07</t>
  </si>
  <si>
    <t>Consumer Unit CU-G08</t>
  </si>
  <si>
    <t>Consumer Unit CU-G09</t>
  </si>
  <si>
    <t>FOURTH FLOOR</t>
  </si>
  <si>
    <t>Six light points controlled by one switch</t>
  </si>
  <si>
    <t>Four light points controlled by three switches</t>
  </si>
  <si>
    <t>Distribution Board DB-L4</t>
  </si>
  <si>
    <t>Consumer Unit CU-G10</t>
  </si>
  <si>
    <t>Consumer Unit CU-G11</t>
  </si>
  <si>
    <t>Consumer Unit CU-G12</t>
  </si>
  <si>
    <t>FIFTH FLOOR</t>
  </si>
  <si>
    <t>Four light points controlled by one switch</t>
  </si>
  <si>
    <t>Four light points controlled by two switches</t>
  </si>
  <si>
    <t>Nine light points controlled by two switches</t>
  </si>
  <si>
    <t>Seven light points controlled by three switches</t>
  </si>
  <si>
    <t>Eight light points controlled by one weatherproof switch</t>
  </si>
  <si>
    <t>Three light points controlled by one movement detector</t>
  </si>
  <si>
    <t>Four light points controlled by two switches, 2 occupancy sensors and relay (one light point with battery back up)</t>
  </si>
  <si>
    <t>1-Button Keypad for corridor lighting, controlled from reception</t>
  </si>
  <si>
    <t>Outdoor wall lights for technical area, IP65</t>
  </si>
  <si>
    <t>Type ' LT-11' - 6W Pole Light</t>
  </si>
  <si>
    <t>Type ' LD-01' - Rooms Art Light</t>
  </si>
  <si>
    <t>Type ' LD-14' - Terrace Wall Light</t>
  </si>
  <si>
    <t>20Amp Double Pole Switch</t>
  </si>
  <si>
    <t>Distribution Board DB-L5</t>
  </si>
  <si>
    <t>Distribution Board DB-SF</t>
  </si>
  <si>
    <t>Consumer Unit CU-G13</t>
  </si>
  <si>
    <t>32Amp Double Pole Rotary Isolator, IP65 for Jacuzzi</t>
  </si>
  <si>
    <t>32Amp Four Pole Rotary Isolator, Fire Rated for Lift</t>
  </si>
  <si>
    <t>40Amp Four Pole Rotary isolator, IP65</t>
  </si>
  <si>
    <t>32Amp TPN Automatic Transfer Switch for Fire Fighting Lift</t>
  </si>
  <si>
    <t>32Amp TPN Automatic Transfer Switch for Smoke Fans</t>
  </si>
  <si>
    <t>16Amp Four Pole Rotary Isolator, Fire Rated for Smoke Fans</t>
  </si>
  <si>
    <t>32Amp Double Pole Rotary Isolator, IP65</t>
  </si>
  <si>
    <t>32Amp Four Pole Rotary Isolator for Lift, Fire Rated</t>
  </si>
  <si>
    <t>COMMON AREA</t>
  </si>
  <si>
    <t>Seventeen light points controlled by two movement detectors</t>
  </si>
  <si>
    <t>Thirty-Six light points controlled by six movement detectors</t>
  </si>
  <si>
    <t>Type ' LT-07' - 2W Wall Recessed Step Light, IP65</t>
  </si>
  <si>
    <t>Type ' LD-08' - Staircase Wall Light</t>
  </si>
  <si>
    <t>GENERAL</t>
  </si>
  <si>
    <t>Supply and install an earth electrode network to an ohmage value of not more than 5 ohms.  Cost is to include all the works and cabling up to the main switchgear panel .</t>
  </si>
  <si>
    <t>Supply and install 300mm x 50mm x 5mm Copper Earth Bar in Electrical Room</t>
  </si>
  <si>
    <t>Supply and install labels on all switchgear.</t>
  </si>
  <si>
    <t>Supply and install connecting schedules on distribution boards and consumer units.</t>
  </si>
  <si>
    <t>Supply and install circuit labels on all  multicore cables.</t>
  </si>
  <si>
    <t>Test the entire electrical installation, including the balancing of load on the electrical voltage phases</t>
  </si>
  <si>
    <t>Prepare and submit Enemalta Corporation Application Forms and co-ordinate the provision of the electrical supply for this project.  The application fee is to be included in the cost of this item.</t>
  </si>
  <si>
    <t xml:space="preserve">Bonding of all the metallic structures to the power earthing system, using suitably rated PVC insulated cables or copper tape, as necessary. </t>
  </si>
  <si>
    <t>EMERGENCY STANDBY GENERATOR</t>
  </si>
  <si>
    <t>Supply, deliver to site and place in its final location one prime rated power (PRP) 135kVA/ 400V/ 50Hz, diesel auto start stand-by generator set, complete as specified (excluding cost of ATS)</t>
  </si>
  <si>
    <t>Supply and deliver to site 250Amp TPN Automatic Transfer Switch (ATS)</t>
  </si>
  <si>
    <t>Install and connect 250Amp TPN Automatic Transfer Switch (ATS)</t>
  </si>
  <si>
    <t>FIRE STOPPING</t>
  </si>
  <si>
    <t>Fire barrier provisions to maintain fire compartmentation as required around and within all M&amp;E services.  Contractor to provide itemised cost breakdown under this sheet.</t>
  </si>
  <si>
    <t>FIRE DETECTION &amp; ALARM SYSTEM</t>
  </si>
  <si>
    <t>FIRE DETECTION AND ALARM</t>
  </si>
  <si>
    <t>Supply, install, connect, test, commission and certify the following:</t>
  </si>
  <si>
    <t>Basement Level -1</t>
  </si>
  <si>
    <t>Analogue addressable optical smoke detectors c/w base</t>
  </si>
  <si>
    <t>Analogue addressable optical smoke detectors c/w base sounder</t>
  </si>
  <si>
    <t>Analogue addressable heat detectors c/w base</t>
  </si>
  <si>
    <t>Open area sounder plus beacon</t>
  </si>
  <si>
    <t>Remote LED Alarm Indicators</t>
  </si>
  <si>
    <t>Manual call points as specified</t>
  </si>
  <si>
    <t>Interface modules</t>
  </si>
  <si>
    <t>Cabling in 'Standard' fire alarm cable</t>
  </si>
  <si>
    <t>Fire Blanket</t>
  </si>
  <si>
    <t>Four loop analogue addressable fire alarm control panel, c/w auto dialer, power supply unit &amp; backup batteries</t>
  </si>
  <si>
    <t>Magnetic Door Holders</t>
  </si>
  <si>
    <t>Nurse Call System</t>
  </si>
  <si>
    <t>Nurse Call system to be interfaced with Fire Alarm System including Pull Chord, Reset Button, etc.</t>
  </si>
  <si>
    <t>CCTV SYSTEM</t>
  </si>
  <si>
    <t>IP CCTV SYSTEM</t>
  </si>
  <si>
    <t>IP Dome Cameras</t>
  </si>
  <si>
    <t>Ground Floor</t>
  </si>
  <si>
    <t>External type IP Dome Cameras</t>
  </si>
  <si>
    <t>16-Channel Network Video Recorder (NVR) with PoE ports</t>
  </si>
  <si>
    <t>First Floor</t>
  </si>
  <si>
    <t>Fifth Floor</t>
  </si>
  <si>
    <t>Note: Data points for CCTV are included in the data bill.</t>
  </si>
  <si>
    <t>STRUCTURED CABLING</t>
  </si>
  <si>
    <t>RJ45 Cat 6 Single socket outlets.</t>
  </si>
  <si>
    <t>RJ45 Cat 6 Double socket outlets.</t>
  </si>
  <si>
    <t>Cat 6 cable from patch panel cabinet to data points</t>
  </si>
  <si>
    <t>20U 600x600mm Floor Standing Data Cabinet</t>
  </si>
  <si>
    <t>Rack mount 24 port RJ45 Cat 6  patch panel</t>
  </si>
  <si>
    <t>19" 1U Patchcord management panel</t>
  </si>
  <si>
    <t>Rack mount power distribution unit with 6No. 13Amp BS socket outlets, including in built surge protection</t>
  </si>
  <si>
    <t>Second Floor</t>
  </si>
  <si>
    <t>Third Floor</t>
  </si>
  <si>
    <t>Fourth Floor</t>
  </si>
  <si>
    <t>ACCESS CONTROL</t>
  </si>
  <si>
    <t xml:space="preserve">Main Controller, inclusive of Software License Module including any licenses for the door readers, contacts etc. for a complete working solution.  </t>
  </si>
  <si>
    <t>Proximity Card Reader</t>
  </si>
  <si>
    <t>Magnetic Lock</t>
  </si>
  <si>
    <t>Door Release Button</t>
  </si>
  <si>
    <t>Cabling as necessary</t>
  </si>
  <si>
    <t>Access control cards</t>
  </si>
  <si>
    <t>AC CUT-OUT SWITCHES</t>
  </si>
  <si>
    <t>Magnetic reed switch set (normally closed) for windows and doors, surface mount type, suitable for integration with AC cut-off control system</t>
  </si>
  <si>
    <t>Low voltage control cable for signal connection between switches and AC thermostat</t>
  </si>
  <si>
    <t>COMMISSIONING AND DOCUMENTATION</t>
  </si>
  <si>
    <t xml:space="preserve">Carry out all necessary testing and commissioning to the satisfaction of the Engineer.  All commissioning documentation is to be certified for correctness and signed by a Warranted Engineer. </t>
  </si>
  <si>
    <t>Provide sufficient training on the operation and maintenance of all plant and systems to the Employer's representatives.</t>
  </si>
  <si>
    <r>
      <t xml:space="preserve">Supply and hand-over two complete sets of operation and maintenance manuals together with drawings of works "As Fitted".  These shall include: wiring diagrams; test / commissioning data and certificates; equipment data, including manufacturer's details, schedules, specifications and selection / performance data and parts lists.  In addition an electronic copy of the "As Fitted" drawings and manuals are to be furnished in both ACAD and pdf format. (An unlocked electronic version of the tender drawings as listed in the 'List of Drawings' can be made available to the successful Tenderer who is awarded the contract against a fee of 0.2% of the contract value or a minimum charge of </t>
    </r>
    <r>
      <rPr>
        <sz val="10"/>
        <rFont val="Calibri"/>
        <family val="2"/>
      </rPr>
      <t>€</t>
    </r>
    <r>
      <rPr>
        <sz val="10"/>
        <rFont val="Arial"/>
        <family val="2"/>
      </rPr>
      <t>30 excluding VAT, which ever is the greatest).</t>
    </r>
  </si>
  <si>
    <t>SUMMARY OF BILLS</t>
  </si>
  <si>
    <t xml:space="preserve">    </t>
  </si>
  <si>
    <t>Collection from page 2</t>
  </si>
  <si>
    <t>Collection from page 3</t>
  </si>
  <si>
    <t>Collection from page 4</t>
  </si>
  <si>
    <t>Collection from page 5</t>
  </si>
  <si>
    <t>Collection from page 6</t>
  </si>
  <si>
    <t>Collection from page 7</t>
  </si>
  <si>
    <t>Collection from page 8</t>
  </si>
  <si>
    <t>Collection from page 9</t>
  </si>
  <si>
    <t>Collection from page 10</t>
  </si>
  <si>
    <t>Collection from page 11</t>
  </si>
  <si>
    <t>Collection from page 12</t>
  </si>
  <si>
    <t>Collection from page 13</t>
  </si>
  <si>
    <t>Collection from page 14</t>
  </si>
  <si>
    <t>Collection from page 15</t>
  </si>
  <si>
    <t>Collection from page 16</t>
  </si>
  <si>
    <t>Collection from page 17</t>
  </si>
  <si>
    <t>Collection from page 18</t>
  </si>
  <si>
    <t>Collection from page 19</t>
  </si>
  <si>
    <t>Collection from page 20</t>
  </si>
  <si>
    <t>Collection from page 21</t>
  </si>
  <si>
    <t>Collection from page 22</t>
  </si>
  <si>
    <t>Collection from page 23</t>
  </si>
  <si>
    <t>Collection from page 24</t>
  </si>
  <si>
    <t>Collection from page 25</t>
  </si>
  <si>
    <t>Collection from page 26</t>
  </si>
  <si>
    <t>Collection from page 27</t>
  </si>
  <si>
    <t>Collection from page 28</t>
  </si>
  <si>
    <t>Collection from page 29</t>
  </si>
  <si>
    <t>Collection from page 30</t>
  </si>
  <si>
    <t>Collection from page 31</t>
  </si>
  <si>
    <t>Collection from page 32</t>
  </si>
  <si>
    <t>Collection from page 33</t>
  </si>
  <si>
    <t>Collection from page 34</t>
  </si>
  <si>
    <t>Collection from page 35</t>
  </si>
  <si>
    <t>Collection from page 36</t>
  </si>
  <si>
    <t>HVAC</t>
  </si>
  <si>
    <t>Collection from page 37</t>
  </si>
  <si>
    <t>Collection from page 38</t>
  </si>
  <si>
    <t>Collection from page 39</t>
  </si>
  <si>
    <t>Collection from page 40</t>
  </si>
  <si>
    <t>Collection from page 41</t>
  </si>
  <si>
    <t>Collection from page 42</t>
  </si>
  <si>
    <t>Collection from page 43</t>
  </si>
  <si>
    <t>Collection from page 44</t>
  </si>
  <si>
    <t>Collection from page 45</t>
  </si>
  <si>
    <t>Collection from page 46</t>
  </si>
  <si>
    <t>Collection from page 47</t>
  </si>
  <si>
    <t>Collection from page 48</t>
  </si>
  <si>
    <t>Collection from page 49</t>
  </si>
  <si>
    <t>Collection from page 50</t>
  </si>
  <si>
    <t>Collection from page 51</t>
  </si>
  <si>
    <t>Collection from page 52</t>
  </si>
  <si>
    <t>Collection from page 53</t>
  </si>
  <si>
    <t>Collection from page 54</t>
  </si>
  <si>
    <t>Collection from page 55</t>
  </si>
  <si>
    <t>Collection from page 56</t>
  </si>
  <si>
    <t>Collection from page 57</t>
  </si>
  <si>
    <t>Collection from page 58</t>
  </si>
  <si>
    <t>Collection from page 59</t>
  </si>
  <si>
    <t>Collection from page 60</t>
  </si>
  <si>
    <t>Collection from page 61</t>
  </si>
  <si>
    <t>Collection from page 62</t>
  </si>
  <si>
    <t>PLUMBING</t>
  </si>
  <si>
    <t>Collection from page 63</t>
  </si>
  <si>
    <t>Collection from page 64</t>
  </si>
  <si>
    <t>Collection from page 65</t>
  </si>
  <si>
    <t>Collection from page 66</t>
  </si>
  <si>
    <t>Collection from page 67</t>
  </si>
  <si>
    <t>Collection from page 68</t>
  </si>
  <si>
    <t>Collection from page 69</t>
  </si>
  <si>
    <t>Collection from page 70</t>
  </si>
  <si>
    <t>Collection from page 71</t>
  </si>
  <si>
    <t>Collection from page 72</t>
  </si>
  <si>
    <t>Collection from page 73</t>
  </si>
  <si>
    <t>Collection from page 74</t>
  </si>
  <si>
    <t>RAINWATER AND DRAINAGE</t>
  </si>
  <si>
    <t>Collection from page 75</t>
  </si>
  <si>
    <t>Collection from page 76</t>
  </si>
  <si>
    <t>Collection from page 77</t>
  </si>
  <si>
    <t>Collection from page 78</t>
  </si>
  <si>
    <t>FIRE SAFETY AND FIRE FIGHTING</t>
  </si>
  <si>
    <t>Collection from page 79</t>
  </si>
  <si>
    <t>Collection from page 80</t>
  </si>
  <si>
    <t>Collection from page 81</t>
  </si>
  <si>
    <t>Collection from page 82</t>
  </si>
  <si>
    <t>Collection from page 83</t>
  </si>
  <si>
    <t>Collection from page 84</t>
  </si>
  <si>
    <t>Collection from page 85</t>
  </si>
  <si>
    <t>Collection from page 86</t>
  </si>
  <si>
    <t>CCTV</t>
  </si>
  <si>
    <t>Collection from page 87</t>
  </si>
  <si>
    <t>Collection from page 88</t>
  </si>
  <si>
    <t>Collection from page 89</t>
  </si>
  <si>
    <t>Collection from page 90</t>
  </si>
  <si>
    <t>Collection from page 91</t>
  </si>
  <si>
    <t>COMMISSIONING</t>
  </si>
  <si>
    <t>Collection from page 92</t>
  </si>
  <si>
    <t>Total for all services:</t>
  </si>
  <si>
    <t>Add / Omit (to specify):</t>
  </si>
  <si>
    <t xml:space="preserve">1% Measurement Fee </t>
  </si>
  <si>
    <t>Total:</t>
  </si>
  <si>
    <t>V.A.T. @ 18%</t>
  </si>
  <si>
    <t xml:space="preserve">Overall Total in Euro: </t>
  </si>
  <si>
    <t>Signature:</t>
  </si>
  <si>
    <t>Name in Block:</t>
  </si>
  <si>
    <t>Occupation:</t>
  </si>
  <si>
    <t>I.D. Card No.:</t>
  </si>
  <si>
    <t>VAT Reg. No.:</t>
  </si>
  <si>
    <t>For and on behalf of:</t>
  </si>
  <si>
    <t>Company Reg. No.:</t>
  </si>
  <si>
    <t>Address:</t>
  </si>
  <si>
    <t>Telephone No.:</t>
  </si>
  <si>
    <t>Fax No.:</t>
  </si>
  <si>
    <t>E-mail Address:</t>
  </si>
  <si>
    <t>Date:</t>
  </si>
  <si>
    <t/>
  </si>
  <si>
    <t>ItemDescription</t>
  </si>
  <si>
    <t>9</t>
  </si>
  <si>
    <t>39</t>
  </si>
  <si>
    <t>57</t>
  </si>
  <si>
    <t>70</t>
  </si>
  <si>
    <t>71</t>
  </si>
  <si>
    <t>72</t>
  </si>
  <si>
    <t>73</t>
  </si>
  <si>
    <t>75</t>
  </si>
  <si>
    <t>76</t>
  </si>
  <si>
    <t>77</t>
  </si>
  <si>
    <t>Supply and install the following power cables. Cost is to, include all cable terminations and fixing accessories as, necessary.</t>
  </si>
  <si>
    <t>From SP-INC to MSP-NE, 2 x (5 core x 70 mm2 ) XLPE/SWA/LSZH/Cu Cable</t>
  </si>
  <si>
    <t>From SP-GEN to ATS, 2 x (5 core x 50 mm2 ) FG16(O)M16 Cable</t>
  </si>
  <si>
    <t>From MSP-NE to ATS, 2 x (5 core x 50 mm2 ) FG16(O)M16 Cable</t>
  </si>
  <si>
    <t>From ATS to MSP-ES, 2 x (5 core x 50 mm2 ) FG16(O)M16 Cable</t>
  </si>
  <si>
    <t>From MSP-NE to PFCU, 5 core x 70 mm2 FG16(O)M16 Cable</t>
  </si>
  <si>
    <t>From MSP-NE to DB-OU, 5 core x 25 mm2 FG16(O)M16 Cable</t>
  </si>
  <si>
    <t>From MSP-NE to Fire Fighting Lift ATS, 5 core x 6.0 mm2 Fire Rated F120 Cable</t>
  </si>
  <si>
    <t>From SP-GEN to Smoke Fans ATS, 5 core x 6.0 mm2 Fire Rated F120 Cable</t>
  </si>
  <si>
    <t>From SP-GEN to Fire Fighting Lift ATS, 5 core x 6.0 mm2 Fire Rated F120 Cable</t>
  </si>
  <si>
    <t>From MSP-ES to DB-B1, 5 core x 10 mm2 FG16(O)M16 Cable</t>
  </si>
  <si>
    <t>From MSP-ES to DB-K, 5 core x 25 mm2 FG16(O)M16 Cable</t>
  </si>
  <si>
    <t>From MSP-ES to DB-L0, 5 core x 10 mm2 FG16(O)M16 Cable</t>
  </si>
  <si>
    <t>From MSP-ES to DB-L1, 5 core x 10 mm2 FG16(O)M16 Cable</t>
  </si>
  <si>
    <t>From MSP-ES to DB-L2, 5 core x 10 mm2 FG16(O)M16 Cable</t>
  </si>
  <si>
    <t>P</t>
  </si>
  <si>
    <t>T</t>
  </si>
  <si>
    <t>3T</t>
  </si>
  <si>
    <t>1T</t>
  </si>
  <si>
    <t>2T</t>
  </si>
  <si>
    <t>From MSP-ES to DB-L3, 5 core x 10 mm2 FG16(O)M16 Cable</t>
  </si>
  <si>
    <t>From MSP-ES to DB-L4, 5 core x 10 mm2 FG16(O)M16 Cable</t>
  </si>
  <si>
    <t>From MSP-ES to DB-L5, 5 core x 10 mm2 FG16(O)M16 Cable</t>
  </si>
  <si>
    <t>From MSP-ES to DB-CA, 5 core x 10 mm2 FG16(O)M16 Cable</t>
  </si>
  <si>
    <t>From MSP-ES to Fire Alarm Panel, 3 core x 2.5 mm2 Fire Rated F120 Cable</t>
  </si>
  <si>
    <t>From MSP-ES to Fire Damper Control Panel, 3 core x 2.5 mm2 Fire Rated F120 Cable</t>
  </si>
  <si>
    <t>From MSP-ES to Kitchen Hood Suppression System, 3 core x 2.5 mm2 Fire Rated F120 Cable</t>
  </si>
  <si>
    <t>From MSP-NE to Smoke Fans ATS, 5 core x 6.0 mm2 Fire Rated F120 Cable</t>
  </si>
  <si>
    <t>Supply and install the following galvanised steel cable, tray. The cost is to include all bracketing as necessary.</t>
  </si>
  <si>
    <t>4T</t>
  </si>
  <si>
    <t>5T</t>
  </si>
  <si>
    <t>6T</t>
  </si>
  <si>
    <t>7T</t>
  </si>
  <si>
    <t>Supply and install the following power points in LSZH, conduit chased in wall.</t>
  </si>
  <si>
    <t>8T</t>
  </si>
  <si>
    <t>10T</t>
  </si>
  <si>
    <t>11T</t>
  </si>
  <si>
    <t>From DB-B1 to Ventilation Supply Fan, 3 core x 2.5 mm2 FG16(O)M16 Cable</t>
  </si>
  <si>
    <t>From DB-B1 to Drainage Lifting Station, 5 core x 2.5 mm2 FG16(O)M16 Cable</t>
  </si>
  <si>
    <t>12T</t>
  </si>
  <si>
    <t>13T</t>
  </si>
  <si>
    <t>14T</t>
  </si>
  <si>
    <t>15T</t>
  </si>
  <si>
    <t>16T</t>
  </si>
  <si>
    <t>17T</t>
  </si>
  <si>
    <t>18T</t>
  </si>
  <si>
    <t>19T</t>
  </si>
  <si>
    <t>20T</t>
  </si>
  <si>
    <t>21T</t>
  </si>
  <si>
    <t>22T</t>
  </si>
  <si>
    <t>23T</t>
  </si>
  <si>
    <t>24T</t>
  </si>
  <si>
    <t>25T</t>
  </si>
  <si>
    <t>26T</t>
  </si>
  <si>
    <t>27T</t>
  </si>
  <si>
    <t>28T</t>
  </si>
  <si>
    <t>From DB-L1 to CU-G01, 3 core x 4mm2 FG16(O)M16</t>
  </si>
  <si>
    <t>From DB-L1 to CU-G02, 3 core x 4mm2 FG16(O)M16</t>
  </si>
  <si>
    <t>From DB-L1 to CU-G03, 3 core x 4mm2 FG16(O)M16</t>
  </si>
  <si>
    <t>30T</t>
  </si>
  <si>
    <t>31T</t>
  </si>
  <si>
    <t>32T</t>
  </si>
  <si>
    <t>33T</t>
  </si>
  <si>
    <t>34T</t>
  </si>
  <si>
    <t>35T</t>
  </si>
  <si>
    <t>36T</t>
  </si>
  <si>
    <t>37T</t>
  </si>
  <si>
    <t>38T</t>
  </si>
  <si>
    <t>From DB-L2 to CU-G04, 3 core x 4mm2 FG16(O)M16</t>
  </si>
  <si>
    <t>From DB-L2 to CU-G05, 3 core x 4mm2 FG16(O)M16</t>
  </si>
  <si>
    <t>From DB-L2 to CU-G06, 3 core x 4mm2 FG16(O)M16</t>
  </si>
  <si>
    <t>40T</t>
  </si>
  <si>
    <t>41T</t>
  </si>
  <si>
    <t>42T</t>
  </si>
  <si>
    <t>43T</t>
  </si>
  <si>
    <t>45T</t>
  </si>
  <si>
    <t>44T</t>
  </si>
  <si>
    <t>46T</t>
  </si>
  <si>
    <t>47T</t>
  </si>
  <si>
    <t>48T</t>
  </si>
  <si>
    <t>49T</t>
  </si>
  <si>
    <t>50T</t>
  </si>
  <si>
    <t>51T</t>
  </si>
  <si>
    <t>52T</t>
  </si>
  <si>
    <t>53T</t>
  </si>
  <si>
    <t>Supply and install the following power points in PVC, conduit chased in wall.</t>
  </si>
  <si>
    <t>54T</t>
  </si>
  <si>
    <t>55T</t>
  </si>
  <si>
    <t>56T</t>
  </si>
  <si>
    <t>From DB-L4 to CU-G10, 3 core x 4mm2 FG16(O)M16</t>
  </si>
  <si>
    <t>From DB-L4 to CU-G11, 3 core x 4mm2 FG16(O)M16</t>
  </si>
  <si>
    <t>From DB-L4 to CU-G12, 3 core x 4mm2 FG16(O)M16</t>
  </si>
  <si>
    <t>58T</t>
  </si>
  <si>
    <t>59T</t>
  </si>
  <si>
    <t>60T</t>
  </si>
  <si>
    <t>61T</t>
  </si>
  <si>
    <t>62T</t>
  </si>
  <si>
    <t>63T</t>
  </si>
  <si>
    <t>64T</t>
  </si>
  <si>
    <t>65T</t>
  </si>
  <si>
    <t>From DB-L5 to CU-GR13, 3 core x 6.0mm2 FG16(O)M16 Cable</t>
  </si>
  <si>
    <t>From DB-OU to Heat Pump, 5 core x 10mm2 FG16(O)M16 Cable</t>
  </si>
  <si>
    <t>66T</t>
  </si>
  <si>
    <t>From DB-OU to Airconditioning Outdoor Unit OU-01, 5 core x 6.0mm2 FG16(O)M16 Cable</t>
  </si>
  <si>
    <t>From DB-OU to Airconditioning Outdoor Unit OU-02, 5 core x 6.0mm2 FG16(O)M16 Cable</t>
  </si>
  <si>
    <t>From DB-OU to Airconditioning Outdoor Unit OU-03, 5 core x 6.0mm2 FG16(O)M16 Cable</t>
  </si>
  <si>
    <t>From DB-OU to Airconditioning Outdoor Unit OU-04, 3 core x 2.5mm2 FG16(O)M16 Cable</t>
  </si>
  <si>
    <t>67T</t>
  </si>
  <si>
    <t>68T</t>
  </si>
  <si>
    <t>69T</t>
  </si>
  <si>
    <t>74T</t>
  </si>
  <si>
    <t>From DB-L3 to CU-G07, 3 core x 4mm2 FG16(O)M16</t>
  </si>
  <si>
    <t>From DB-L3 to CU-G08, 3 core x 4mm2 FG16(O)M16</t>
  </si>
  <si>
    <t>From DB-L3 to CU-G09, 3 core x 4mm2 FG16(O)M16</t>
  </si>
  <si>
    <t>Install, test and commission the 135kVA/ 400V/ 50Hz prime rated power (PRP) Generator Set, and associated switchgear in accordance with manufacturer's instructions and Enemalta Corporation Regulations, , Cost shall include all the necessary small power (battery charging) and control cables between the generator set and the ATS change-over panel, complete as specified., All commissioning documentation is to be certified for correctness and signed by a Warranted Engineer.</t>
  </si>
  <si>
    <t>SWITCHGEAR AND OTHER APPARATUS</t>
  </si>
  <si>
    <t>Item: 1</t>
  </si>
  <si>
    <t>Item: a.</t>
  </si>
  <si>
    <t>Incomer Switchgear Panel SP-INC complete with Shunt Trip and Adjustable Earth Fault Relay</t>
  </si>
  <si>
    <t>Item: b.</t>
  </si>
  <si>
    <t>Main Switchgear Panel MSP-NE including Transient Surge Protection</t>
  </si>
  <si>
    <t>Item: c.</t>
  </si>
  <si>
    <t>Main Switchgear Panel MSP-ES</t>
  </si>
  <si>
    <t>Item: d.</t>
  </si>
  <si>
    <t>60kVAR Power Factor Correction Unit (PFCU)</t>
  </si>
  <si>
    <t>Item: e.</t>
  </si>
  <si>
    <t>Switchgear Panel for Generator SP-GEN including Transient Surge Protection</t>
  </si>
  <si>
    <t>Item: 2</t>
  </si>
  <si>
    <t xml:space="preserve">PAGE:  </t>
  </si>
  <si>
    <t>Discy:</t>
  </si>
  <si>
    <t xml:space="preserve"> PAGE: </t>
  </si>
  <si>
    <t>Item: 3</t>
  </si>
  <si>
    <t>Item: f.</t>
  </si>
  <si>
    <t>Item: g.</t>
  </si>
  <si>
    <t>Item: h.</t>
  </si>
  <si>
    <t>Item: i.</t>
  </si>
  <si>
    <t>Item: j.</t>
  </si>
  <si>
    <t>Item: k.</t>
  </si>
  <si>
    <t>Item: l.</t>
  </si>
  <si>
    <t>Item: m.</t>
  </si>
  <si>
    <t>Item: n.</t>
  </si>
  <si>
    <t>Item: o.</t>
  </si>
  <si>
    <t>Item: p.</t>
  </si>
  <si>
    <t>Item: q.</t>
  </si>
  <si>
    <t>Item: r.</t>
  </si>
  <si>
    <t>Item: s.</t>
  </si>
  <si>
    <t>Item: t.</t>
  </si>
  <si>
    <t>Item: u.</t>
  </si>
  <si>
    <t>Item: v.</t>
  </si>
  <si>
    <t>Item: 4</t>
  </si>
  <si>
    <t>100mm</t>
  </si>
  <si>
    <t>Item: 5</t>
  </si>
  <si>
    <t>Supply and install the following lighting points as specified. (Moulded Plastic Installation)</t>
  </si>
  <si>
    <t>Item: 6</t>
  </si>
  <si>
    <t>Battery Backup Kit for Type 'LT-02' and Type 'LT-15'</t>
  </si>
  <si>
    <t>Item: 7</t>
  </si>
  <si>
    <t>Item: 8</t>
  </si>
  <si>
    <t>Item: 9</t>
  </si>
  <si>
    <t>Item: 10</t>
  </si>
  <si>
    <t>Item: 11</t>
  </si>
  <si>
    <t>Item: 12</t>
  </si>
  <si>
    <t>Item: 13</t>
  </si>
  <si>
    <t>Item: 14</t>
  </si>
  <si>
    <t>Supply and install the following DALI lighting points (Moulded Plastic Installation)</t>
  </si>
  <si>
    <t>Item: 15</t>
  </si>
  <si>
    <t>Supply and install the following DALI switches / controllers.</t>
  </si>
  <si>
    <t>Item: 16</t>
  </si>
  <si>
    <t>Item: 17</t>
  </si>
  <si>
    <t>Item: 18</t>
  </si>
  <si>
    <t>Item: 19</t>
  </si>
  <si>
    <t>Item: 20</t>
  </si>
  <si>
    <t>Item: 21</t>
  </si>
  <si>
    <t>Item: 22</t>
  </si>
  <si>
    <t>Item: 23</t>
  </si>
  <si>
    <t>Item: 24</t>
  </si>
  <si>
    <t>Item: 25</t>
  </si>
  <si>
    <t>Item: 26</t>
  </si>
  <si>
    <t>Item: 27</t>
  </si>
  <si>
    <t>Item: 28</t>
  </si>
  <si>
    <t>Item: 29</t>
  </si>
  <si>
    <t>Item: 30</t>
  </si>
  <si>
    <t>Item: 31</t>
  </si>
  <si>
    <t>Item: 32</t>
  </si>
  <si>
    <t>Item: 33</t>
  </si>
  <si>
    <t>Item: 34</t>
  </si>
  <si>
    <t>Item: 35</t>
  </si>
  <si>
    <t>Item: 36</t>
  </si>
  <si>
    <t>Item: 37</t>
  </si>
  <si>
    <t>Item: 38</t>
  </si>
  <si>
    <t>Item: 39</t>
  </si>
  <si>
    <t>Item: 40</t>
  </si>
  <si>
    <t>Item: 41</t>
  </si>
  <si>
    <t>Item: 42</t>
  </si>
  <si>
    <t>Item: 43</t>
  </si>
  <si>
    <t>Item: 44</t>
  </si>
  <si>
    <t>Item: 45</t>
  </si>
  <si>
    <t>Item: 46</t>
  </si>
  <si>
    <t>Item: 47</t>
  </si>
  <si>
    <t>Item: 48</t>
  </si>
  <si>
    <t>Item: 49</t>
  </si>
  <si>
    <t>Item: 50</t>
  </si>
  <si>
    <t>Item: 51</t>
  </si>
  <si>
    <t>Item: 52</t>
  </si>
  <si>
    <t>Item: 53</t>
  </si>
  <si>
    <t>Item: 54</t>
  </si>
  <si>
    <t>Item: 55</t>
  </si>
  <si>
    <t>Item: 56</t>
  </si>
  <si>
    <t>Item: 57</t>
  </si>
  <si>
    <t>Item: 58</t>
  </si>
  <si>
    <t>Item: 59</t>
  </si>
  <si>
    <t>Item: 60</t>
  </si>
  <si>
    <t>Item: 61</t>
  </si>
  <si>
    <t>Item: 62</t>
  </si>
  <si>
    <t>Item: 63</t>
  </si>
  <si>
    <t>Item: 64</t>
  </si>
  <si>
    <t>Item: 65</t>
  </si>
  <si>
    <t>Item: 66</t>
  </si>
  <si>
    <t>Item: 67</t>
  </si>
  <si>
    <t>Item: 68</t>
  </si>
  <si>
    <t>Item: 69</t>
  </si>
  <si>
    <t>Item: 70</t>
  </si>
  <si>
    <t>Item: 71</t>
  </si>
  <si>
    <t>Item: 72</t>
  </si>
  <si>
    <t>Item: 73</t>
  </si>
  <si>
    <t>Item: 74</t>
  </si>
  <si>
    <t>Item: 75</t>
  </si>
  <si>
    <t>Item: 76</t>
  </si>
  <si>
    <t>Item: 77</t>
  </si>
  <si>
    <t>Bonding of all the metallic structures to the power earthing system, using suitably rated PVC insulated cables or copper tape, as necessary.</t>
  </si>
  <si>
    <t>29T</t>
  </si>
  <si>
    <t>SECTION:</t>
  </si>
  <si>
    <t>SECT</t>
  </si>
  <si>
    <t>SECT SELL</t>
  </si>
  <si>
    <t>SECT MAT</t>
  </si>
  <si>
    <t>SECT LAB</t>
  </si>
  <si>
    <t>EMERGENCY STANDBY GENERATOR Total</t>
  </si>
  <si>
    <t>FIRE STOPPING Total</t>
  </si>
  <si>
    <t>ELECTRICAL SYSTEM Total</t>
  </si>
  <si>
    <t>PRELIMINARIES Total</t>
  </si>
  <si>
    <t>FIRE DETECTION &amp; ALARM SYSTEM Total</t>
  </si>
  <si>
    <t>CCTV SYSTEM Total</t>
  </si>
  <si>
    <t>STRUCTURED CABLING Total</t>
  </si>
  <si>
    <t>Main Controller, inclusive of Software License Module including any licenses for the door readers, contacts etc. for a complete working solution.</t>
  </si>
  <si>
    <t>ACCESS CONTROL Total</t>
  </si>
  <si>
    <t>Carry out all necessary testing and commissioning to the satisfaction of the Engineer.  All commissioning documentation is to be certified for correctness and signed by a Warranted Engineer.</t>
  </si>
  <si>
    <t>Supply and hand-over two complete sets of operation and maintenance manuals together with drawings of works "As Fitted".  These shall include: wiring diagrams; test / commissioning data and certificates; equipment data, including manufacturer's details, schedules, specifications and selection / performance data and parts lists.  In addition an electronic copy of the "As Fitted" drawings and manuals are to be furnished in both ACAD and pdf format. (An unlocked electronic version of the tender drawings as listed in the 'List of Drawings' can be made available to the successful Tenderer who is awarded the contract against a fee of 0.2% of the contract value or a minimum charge of €30 excluding VAT, which ever is the greatest).</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</si>
  <si>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</si>
  <si>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</si>
  <si>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</si>
  <si>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</si>
  <si>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</si>
  <si>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</si>
  <si>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</si>
  <si>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</si>
  <si>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</si>
  <si>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</si>
  <si>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</si>
  <si>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</si>
  <si>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RATE TOTALS IN CURRENT SHEET</t>
  </si>
  <si>
    <t>R.Farrugia</t>
  </si>
  <si>
    <t>Battery Street Limited</t>
  </si>
  <si>
    <t>Electrical and ELV Systems</t>
  </si>
  <si>
    <t>No</t>
  </si>
  <si>
    <t>SWLV_001</t>
  </si>
  <si>
    <t>(__)</t>
  </si>
  <si>
    <t>01-001</t>
  </si>
  <si>
    <r>
      <rPr>
        <b/>
        <sz val="9"/>
        <rFont val="MS Sans Serif"/>
      </rPr>
      <t>Panel SP-INC:</t>
    </r>
    <r>
      <rPr>
        <sz val="9"/>
        <rFont val="MS Sans Serif"/>
      </rPr>
      <t xml:space="preserve"> 250A 4P MCCB complete with Shunt Trip and Adjustable Earth Fault Relay</t>
    </r>
  </si>
  <si>
    <t xml:space="preserve">Rawl Bolt  6mm </t>
  </si>
  <si>
    <t>CONS_024</t>
  </si>
  <si>
    <t>03-001</t>
  </si>
  <si>
    <t xml:space="preserve">Label Large  </t>
  </si>
  <si>
    <t>CONS_020</t>
  </si>
  <si>
    <t>05-001</t>
  </si>
  <si>
    <r>
      <rPr>
        <b/>
        <sz val="9"/>
        <rFont val="MS Sans Serif"/>
      </rPr>
      <t>Panel MSP-NE:</t>
    </r>
    <r>
      <rPr>
        <sz val="9"/>
        <rFont val="MS Sans Serif"/>
      </rPr>
      <t xml:space="preserve"> 250A 4P MCCB Panel 8 Way</t>
    </r>
  </si>
  <si>
    <t xml:space="preserve">Label Small  </t>
  </si>
  <si>
    <t>CONS_021</t>
  </si>
  <si>
    <t>05-002</t>
  </si>
  <si>
    <r>
      <rPr>
        <b/>
        <sz val="9"/>
        <rFont val="MS Sans Serif"/>
      </rPr>
      <t>Panel MSP-NE:</t>
    </r>
    <r>
      <rPr>
        <sz val="9"/>
        <rFont val="MS Sans Serif"/>
      </rPr>
      <t xml:space="preserve"> Metering Section c/w extension box</t>
    </r>
  </si>
  <si>
    <t xml:space="preserve">Screw Wood S6 </t>
  </si>
  <si>
    <t>CONS_035</t>
  </si>
  <si>
    <t>02-008</t>
  </si>
  <si>
    <t xml:space="preserve">Rawl Plug S6 </t>
  </si>
  <si>
    <t>CONS_030</t>
  </si>
  <si>
    <t>02-009</t>
  </si>
  <si>
    <t xml:space="preserve">Rawl Bolt 10mm </t>
  </si>
  <si>
    <t>CONS_025</t>
  </si>
  <si>
    <t>03-002</t>
  </si>
  <si>
    <r>
      <rPr>
        <b/>
        <sz val="9"/>
        <rFont val="MS Sans Serif"/>
      </rPr>
      <t>Panel MSP-ES:</t>
    </r>
    <r>
      <rPr>
        <sz val="9"/>
        <rFont val="MS Sans Serif"/>
      </rPr>
      <t xml:space="preserve"> 250A 4P MCCB Panel 16 Way</t>
    </r>
  </si>
  <si>
    <r>
      <rPr>
        <b/>
        <sz val="9"/>
        <rFont val="MS Sans Serif"/>
      </rPr>
      <t>Panel MSP-ES:</t>
    </r>
    <r>
      <rPr>
        <sz val="9"/>
        <rFont val="MS Sans Serif"/>
      </rPr>
      <t xml:space="preserve"> Metering Section c/w extension box</t>
    </r>
  </si>
  <si>
    <r>
      <rPr>
        <b/>
        <sz val="9"/>
        <rFont val="MS Sans Serif"/>
      </rPr>
      <t>Install and connect - Panel SP-INC:</t>
    </r>
    <r>
      <rPr>
        <sz val="9"/>
        <rFont val="MS Sans Serif"/>
      </rPr>
      <t xml:space="preserve"> 250A 4P MCCB complete with Shunt Trip and Adjustable Earth Fault Relay</t>
    </r>
  </si>
  <si>
    <r>
      <rPr>
        <b/>
        <sz val="9"/>
        <rFont val="MS Sans Serif"/>
      </rPr>
      <t>Install and connect - Panel MSP-NE:</t>
    </r>
    <r>
      <rPr>
        <sz val="9"/>
        <rFont val="MS Sans Serif"/>
      </rPr>
      <t xml:space="preserve"> 250A 4P MCCB Panel 8 Way</t>
    </r>
  </si>
  <si>
    <r>
      <rPr>
        <b/>
        <sz val="9"/>
        <rFont val="MS Sans Serif"/>
      </rPr>
      <t>Install and connect - Panel MSP-NE:</t>
    </r>
    <r>
      <rPr>
        <sz val="9"/>
        <rFont val="MS Sans Serif"/>
      </rPr>
      <t xml:space="preserve"> Metering Section c/w extension box</t>
    </r>
  </si>
  <si>
    <r>
      <rPr>
        <b/>
        <sz val="9"/>
        <rFont val="MS Sans Serif"/>
      </rPr>
      <t>Install and connect - Panel MSP-ES:</t>
    </r>
    <r>
      <rPr>
        <sz val="9"/>
        <rFont val="MS Sans Serif"/>
      </rPr>
      <t xml:space="preserve"> 250A 4P MCCB Panel 16 Way</t>
    </r>
  </si>
  <si>
    <r>
      <rPr>
        <b/>
        <sz val="9"/>
        <rFont val="MS Sans Serif"/>
      </rPr>
      <t>Install and connect - Panel MSP-ES:</t>
    </r>
    <r>
      <rPr>
        <sz val="9"/>
        <rFont val="MS Sans Serif"/>
      </rPr>
      <t xml:space="preserve"> Metering Section c/w extension box</t>
    </r>
  </si>
  <si>
    <t>SWLV_115</t>
  </si>
  <si>
    <t>02-036</t>
  </si>
  <si>
    <t>CRAI_002</t>
  </si>
  <si>
    <t>MISC</t>
  </si>
  <si>
    <t>Transportation</t>
  </si>
  <si>
    <t>Install and connect - 60kVAR Power Factor Correction Unit (PFCU)</t>
  </si>
  <si>
    <t>Install and connect - Switchgear Panel for Generator SP-GEN including Transient Surge Protection</t>
  </si>
  <si>
    <t>Cranage and Transportation</t>
  </si>
  <si>
    <t>001# 5 core x 70 mm2 XLPE/SWA/LSZH/Cu Cable</t>
  </si>
  <si>
    <t>CAMC_028</t>
  </si>
  <si>
    <t>CRO</t>
  </si>
  <si>
    <t>70mm2</t>
  </si>
  <si>
    <t>5 core x 70 mm2 XLPE/SWA/LSZH/Cu Cable</t>
  </si>
  <si>
    <t>Gland Indoor 50S BWL  4*95mm2</t>
  </si>
  <si>
    <t>CAAC_047</t>
  </si>
  <si>
    <t>CMP</t>
  </si>
  <si>
    <t>Cable Lug  70  mm2</t>
  </si>
  <si>
    <t>CAAC_013</t>
  </si>
  <si>
    <t>CTT</t>
  </si>
  <si>
    <t>Cable Marker Wrap Around Type</t>
  </si>
  <si>
    <t>CAAC_025</t>
  </si>
  <si>
    <t xml:space="preserve">Cable Tie 225mm  </t>
  </si>
  <si>
    <t>CONS_009</t>
  </si>
  <si>
    <t>01-003</t>
  </si>
  <si>
    <t>AJQ41321</t>
  </si>
  <si>
    <t>h</t>
  </si>
  <si>
    <t>RATE_AAA</t>
  </si>
  <si>
    <t>RTLO_002</t>
  </si>
  <si>
    <t>002# 5 core x 70 mm2 FG16(O)M16 Cable</t>
  </si>
  <si>
    <t>003# 5 core x 50 mm2 FG16(O)M16 Cable</t>
  </si>
  <si>
    <t>004# 5 core x 25 mm2 FG16(O)M16 Cable</t>
  </si>
  <si>
    <t>005# 5 core x 10 mm2 FG16(O)M16 Cable</t>
  </si>
  <si>
    <t>006# 5 core x 6.0 mm2 FG16(O)M16 Cable</t>
  </si>
  <si>
    <t>007# 5 core x 2.5 mm2 FG16(O)M16 Cable</t>
  </si>
  <si>
    <t>008# 3 core x 6.0 mm2 FG16(O)M16 Cable</t>
  </si>
  <si>
    <t>M63 PVC Gland</t>
  </si>
  <si>
    <t>CAAC_027</t>
  </si>
  <si>
    <t>CAMC_029</t>
  </si>
  <si>
    <t>95mm2</t>
  </si>
  <si>
    <t>5 core x 70 mm2 FG16(O)M16 Cable</t>
  </si>
  <si>
    <t>5 core x 50 mm2 FG16(O)M16 Cable</t>
  </si>
  <si>
    <t xml:space="preserve">Cable Lug  50  mm2   </t>
  </si>
  <si>
    <t>CAAC_012</t>
  </si>
  <si>
    <t>CAMC_097</t>
  </si>
  <si>
    <t>25mm2</t>
  </si>
  <si>
    <t>M40 PVC Gland</t>
  </si>
  <si>
    <t xml:space="preserve">Cable Lug  25  mm2   </t>
  </si>
  <si>
    <t>CAAC_010</t>
  </si>
  <si>
    <t>CAMC_082</t>
  </si>
  <si>
    <t>07-006</t>
  </si>
  <si>
    <t>5 core x 25 mm2 FG16(O)M16 Cable</t>
  </si>
  <si>
    <t>5 core x 10 mm2 FG16(O)M16 Cable</t>
  </si>
  <si>
    <t>M32 PVC Gland</t>
  </si>
  <si>
    <t>Cable Lug  10  mm2</t>
  </si>
  <si>
    <t>CAAC_008</t>
  </si>
  <si>
    <t>5 core x 6.0 mm2 FG16(O)M16 Cable</t>
  </si>
  <si>
    <t>Cable Lug   6.0  mm2</t>
  </si>
  <si>
    <t>CAAC_007</t>
  </si>
  <si>
    <t>5 core x 2.5 mm2 FG16(O)M16 Cable</t>
  </si>
  <si>
    <t>M20 PVC Gland</t>
  </si>
  <si>
    <t xml:space="preserve">Cable Lug   2.5  mm2   </t>
  </si>
  <si>
    <t>CAAC_005</t>
  </si>
  <si>
    <t>3 core x 6.0 mm2 FG16(O)M16 Cable</t>
  </si>
  <si>
    <t>M25 PVC Gland</t>
  </si>
  <si>
    <t>3 core 2.5mm² CU/XLPE/LSZH Cable</t>
  </si>
  <si>
    <t>010# 3 core x 2.5 mm2 FG16(O)M16 Cable</t>
  </si>
  <si>
    <t>009# 3 core x 4.0 mm2 FG16(O)M16 Cable</t>
  </si>
  <si>
    <t>Cable Lug   4.0  mm2</t>
  </si>
  <si>
    <t>3 core x 4.0 mm2 FG16(O)M16 Cable</t>
  </si>
  <si>
    <t>011# 5 core x 6.0 mm2 Fire Rated F120 Cable</t>
  </si>
  <si>
    <t>CAMC_070</t>
  </si>
  <si>
    <t>BATT</t>
  </si>
  <si>
    <t>6.0mm2</t>
  </si>
  <si>
    <t>5G 6.0sqmm (Cl2 CU) BS7846-F120 MGT/XLPE/LSZH/SWA/LSZH BLACK 0.6/1kV</t>
  </si>
  <si>
    <t>Gland Outdoor 20  CW  4*4/6mm2</t>
  </si>
  <si>
    <t>CAAC_053</t>
  </si>
  <si>
    <t>012# 3 core x 2.5 mm2 Fire Rated F120 Cable</t>
  </si>
  <si>
    <t>3G 4.0sqmm (Cl2 CU) BS7846-F120 MGT/XLPE/LSZH/SWA/LSZH BLACK 0.6/1kV</t>
  </si>
  <si>
    <t>TRGV_009</t>
  </si>
  <si>
    <t>100mm x 50mm Tray Coupler</t>
  </si>
  <si>
    <t>Tray Coupling Joint Bolts, Nuts &amp; Washers</t>
  </si>
  <si>
    <t>Tray Earth Links</t>
  </si>
  <si>
    <t>013# HDG Cable Tray Size 100mm x 50mm</t>
  </si>
  <si>
    <t>100mm x 50mm Cable Tray  HDG</t>
  </si>
  <si>
    <t>014# HDG Cable Tray Size 200mm x 50mm</t>
  </si>
  <si>
    <t>TRGV_023</t>
  </si>
  <si>
    <t>015# HDG Cable Tray Size 300mm x 50mm</t>
  </si>
  <si>
    <t>TRGV_030</t>
  </si>
  <si>
    <t>200mm x 50mm Cable Tray HDG</t>
  </si>
  <si>
    <t>300mm x 50mm Cable Tray HDG</t>
  </si>
  <si>
    <t>016# HDG Cable Tray Size 400mm x 50mm</t>
  </si>
  <si>
    <t>017# HDG Cable Tray Size 500mm x 50mm</t>
  </si>
  <si>
    <t>400mm x 50mm Cable Tray HDG</t>
  </si>
  <si>
    <t>500mm x 50mm Cable Tray HDG</t>
  </si>
  <si>
    <t>50mm Tray Coupler</t>
  </si>
  <si>
    <t>018# Cable Containment Supports</t>
  </si>
  <si>
    <t>TRAY BRACKETS CALCULATOR</t>
  </si>
  <si>
    <t>PROJECT:</t>
  </si>
  <si>
    <t>AREA:</t>
  </si>
  <si>
    <t>All Areas</t>
  </si>
  <si>
    <t>Wall (W)</t>
  </si>
  <si>
    <t>Ceiling (C)</t>
  </si>
  <si>
    <t>Floor (F)</t>
  </si>
  <si>
    <t>Riser (R)</t>
  </si>
  <si>
    <t>Brackets intervals @ (M)</t>
  </si>
  <si>
    <t>Distance from tray side to wall (M)</t>
  </si>
  <si>
    <t>Distance from ceiling (M)</t>
  </si>
  <si>
    <t>Distance from floor (M)</t>
  </si>
  <si>
    <t>LABOUR FACTOR</t>
  </si>
  <si>
    <t>Total (M)</t>
  </si>
  <si>
    <t>900mm Tray (Length M)</t>
  </si>
  <si>
    <t>700mm Tray (Length M)</t>
  </si>
  <si>
    <t>600mm Tray (Length M)</t>
  </si>
  <si>
    <t>500mm Tray (Length M)</t>
  </si>
  <si>
    <t>400mm Tray (Length M)</t>
  </si>
  <si>
    <t>300mm Tray (Length M)</t>
  </si>
  <si>
    <t>200mm Tray (Length M)</t>
  </si>
  <si>
    <t>150mm Tray (Length M)</t>
  </si>
  <si>
    <t>100mm Tray (Length M)</t>
  </si>
  <si>
    <t>HILTI Material Description</t>
  </si>
  <si>
    <t>Part No.</t>
  </si>
  <si>
    <t>Total Qty</t>
  </si>
  <si>
    <t>Unit Cost €</t>
  </si>
  <si>
    <t>Total Cost €</t>
  </si>
  <si>
    <t>Per M / Each</t>
  </si>
  <si>
    <t>Channel DEEP MQ-41-F 3m</t>
  </si>
  <si>
    <t>Channel SHALLOW MQ-21-F 3m</t>
  </si>
  <si>
    <t>Channel 40x20 Endcap MQZ-E21</t>
  </si>
  <si>
    <t>Channel 40x40 Endcap MQZ-E41</t>
  </si>
  <si>
    <t>Three hole angle Hilti 90deg MQW-3-F</t>
  </si>
  <si>
    <t>Two Hole Angle Hilti 90deg MQW-2-F</t>
  </si>
  <si>
    <t>Long Angle Brace MQK-SL-F</t>
  </si>
  <si>
    <t>HLC Sleeve Anchor 10mm  HLC 10x50/15</t>
  </si>
  <si>
    <t>Push Button Hilti M10 MQN-F</t>
  </si>
  <si>
    <t>Pipe Ring Saddle MQA-M 8-F</t>
  </si>
  <si>
    <t>Anchor 8mm HKD M8X30</t>
  </si>
  <si>
    <t>Wing Nut Hilti  M8 MQM-M8-F</t>
  </si>
  <si>
    <t xml:space="preserve">Hex.Set Screw  M8x25 </t>
  </si>
  <si>
    <t xml:space="preserve">Threaded Rod Galv. 8mm </t>
  </si>
  <si>
    <t>Hex.Set Screw  M10x25-F</t>
  </si>
  <si>
    <t>Galv. Nut  10mm M10-F</t>
  </si>
  <si>
    <t>Washer M10</t>
  </si>
  <si>
    <t>Galv. Nut  8mm M8-F</t>
  </si>
  <si>
    <t>Tray Washers M8</t>
  </si>
  <si>
    <t>Total labour pair hours</t>
  </si>
  <si>
    <t>Britannia Hotel</t>
  </si>
  <si>
    <t>EMAT_083</t>
  </si>
  <si>
    <t>02-022</t>
  </si>
  <si>
    <t>Labour to manufacture and to install  brackets</t>
  </si>
  <si>
    <t xml:space="preserve">Conduit PVC 20mm   HG RATE  </t>
  </si>
  <si>
    <t>COPV_003</t>
  </si>
  <si>
    <t>GEN</t>
  </si>
  <si>
    <t>20mm</t>
  </si>
  <si>
    <t>KOUVIDS HF Conduit System</t>
  </si>
  <si>
    <t>FCA</t>
  </si>
  <si>
    <t>Unit Price</t>
  </si>
  <si>
    <t>Total Price</t>
  </si>
  <si>
    <t>3m x 20mm HF Medium type Conduit (Ref. 1005020)</t>
  </si>
  <si>
    <t>Lenghts</t>
  </si>
  <si>
    <t>20mm HF Coupler (Ref. 4001020)</t>
  </si>
  <si>
    <t>20mm HF Bend (Ref. 4015020)</t>
  </si>
  <si>
    <t>82x82x43mm HF Watertight Box (Ref. 3001020)</t>
  </si>
  <si>
    <t>20mm HF Adaptor for Watertight Box (Ref. 4005020)</t>
  </si>
  <si>
    <t>20mm HF Conduit Clip (Ref. 4003020)</t>
  </si>
  <si>
    <t>3m x 25mm HF Medium type Conduit (Ref. 1005025)</t>
  </si>
  <si>
    <t>25mm HF Coupler (Ref. 4001025)</t>
  </si>
  <si>
    <t>25mm HF Bend (Ref. 4015025)</t>
  </si>
  <si>
    <t>101x101x51mm HF Watertight Box (Ref. 3001025)</t>
  </si>
  <si>
    <t>25mm HF Adaptor for Watertight Box (Ref. 4005025)</t>
  </si>
  <si>
    <t>25mm HF Conduit Clip (Ref. 4003025)</t>
  </si>
  <si>
    <t>20mm Flexible Conduit (MEDIFLEX HF  33442) Part No. 2005020</t>
  </si>
  <si>
    <t>25mm Flexible Conduit (MEDIFLEX HF  33442) Part No. 2005025</t>
  </si>
  <si>
    <t>cost/total</t>
  </si>
  <si>
    <t>cost/m</t>
  </si>
  <si>
    <t>20mm HF Medium type Conduit</t>
  </si>
  <si>
    <t>/m</t>
  </si>
  <si>
    <t>25mm HF Medium type Conduit</t>
  </si>
  <si>
    <t>Stock Order</t>
  </si>
  <si>
    <t>For MFA</t>
  </si>
  <si>
    <t>KOUVIDIS PO 100033</t>
  </si>
  <si>
    <t>Cost excluding the shipping</t>
  </si>
  <si>
    <t>Shipping and Delivery Cost</t>
  </si>
  <si>
    <t>Shipping cost</t>
  </si>
  <si>
    <t>Multiplying factor for the shipping</t>
  </si>
  <si>
    <t>KOUVIDIS - MEDISOL HF CONDUIT (For MFA Project)</t>
  </si>
  <si>
    <t>Wiring Cable  1c    1.5 mm2 PVC Non-Arm</t>
  </si>
  <si>
    <t>CASC_017</t>
  </si>
  <si>
    <t>02-002</t>
  </si>
  <si>
    <t>1Pt x 1Sw</t>
  </si>
  <si>
    <t>8Pt x 1Sw</t>
  </si>
  <si>
    <t>1Pt x 2,2Way Sw</t>
  </si>
  <si>
    <t>2Pt x 2,2Way Sw</t>
  </si>
  <si>
    <t>4Pt x 2,2Way Sw</t>
  </si>
  <si>
    <t>020# Movement Detector</t>
  </si>
  <si>
    <t>Movement detector (Surface Mounted)</t>
  </si>
  <si>
    <t>WACC_165</t>
  </si>
  <si>
    <t>2Pt x 1Sw</t>
  </si>
  <si>
    <t>4Pt x 1Sw</t>
  </si>
  <si>
    <t>Emer</t>
  </si>
  <si>
    <t>Wiring Cable  3c    1.5 mm2 PVC Non-Arm</t>
  </si>
  <si>
    <t>WHITE Switch 1G 2W</t>
  </si>
  <si>
    <t>WACC_054</t>
  </si>
  <si>
    <t>BG</t>
  </si>
  <si>
    <t>912</t>
  </si>
  <si>
    <t>WHITE Switch 2G 2W</t>
  </si>
  <si>
    <t>WACC_055</t>
  </si>
  <si>
    <t>942</t>
  </si>
  <si>
    <t>WACC_056</t>
  </si>
  <si>
    <t>943</t>
  </si>
  <si>
    <t>021# Supply Only - Type 600x600mm, 40W Soffit Recessed LED Panel</t>
  </si>
  <si>
    <t>LIGH_075</t>
  </si>
  <si>
    <t>Supply Only - Type 600x600mm, 40W Soffit Recessed LED Panel</t>
  </si>
  <si>
    <t>022# Supply Only - Type 'E1' - Single Sided, Wall Mounted, Directional Exit Signage</t>
  </si>
  <si>
    <t>Supply Only - Type 'E1' - Single Sided, Wall Mounted, Directional Exit Signage</t>
  </si>
  <si>
    <t>023# Supply Only - Type 'E2' - Double Sided, Ceiling Mounted/ Soffit Recessed, Directional Exit Signage.</t>
  </si>
  <si>
    <t>Supply Only - Type 'E2' - Double Sided, Ceiling Mounted/ Soffit Recessed, Directional Exit Signage.</t>
  </si>
  <si>
    <t>BOQ Item 6.0d</t>
  </si>
  <si>
    <t>No Quote</t>
  </si>
  <si>
    <t>Install and connect Only - Type 600x600mm, 40W Soffit Recessed LED Panel</t>
  </si>
  <si>
    <t>Install and connect Only - Type 'E2' - Double Sided, Ceiling Mounted/ Soffit Recessed, Directional Exit Signage.</t>
  </si>
  <si>
    <t>Install and connect Only - Battery Backup Kit for the light fittings supplied by others</t>
  </si>
  <si>
    <t xml:space="preserve">Install and connect Only - Type 'LD-02' </t>
  </si>
  <si>
    <t xml:space="preserve">Install and connect Only - Type 'LD-03' </t>
  </si>
  <si>
    <t xml:space="preserve">Install and connect Only - Type 'LD-10' </t>
  </si>
  <si>
    <t xml:space="preserve">Install and connect Only - Type 'LD-11' </t>
  </si>
  <si>
    <t xml:space="preserve">Install and connect Only - Type 'LD-16' </t>
  </si>
  <si>
    <t xml:space="preserve">Install and connect Only - Type 'LT-02' </t>
  </si>
  <si>
    <t xml:space="preserve">Install and connect Only - Type 'LT-03' </t>
  </si>
  <si>
    <t xml:space="preserve">Install and connect Only - Type 'LT-09' </t>
  </si>
  <si>
    <t xml:space="preserve">Install and connect Only - Type 'LT-12' </t>
  </si>
  <si>
    <t>GW</t>
  </si>
  <si>
    <t>Enclosure PVC IP56  240*190*160</t>
  </si>
  <si>
    <t>CPAN_161</t>
  </si>
  <si>
    <t>44218</t>
  </si>
  <si>
    <t>Cable Connectors PVC</t>
  </si>
  <si>
    <t>CONS_008</t>
  </si>
  <si>
    <t>01-009</t>
  </si>
  <si>
    <t>Install and connect Only - Type 'LT-14' - Dimmable Strip Light</t>
  </si>
  <si>
    <t xml:space="preserve">Install and connect Only - Type 'LT-15' </t>
  </si>
  <si>
    <t xml:space="preserve">Install and connect Only - Type 'LT-16' </t>
  </si>
  <si>
    <t>COPV_007</t>
  </si>
  <si>
    <t>25mm</t>
  </si>
  <si>
    <t xml:space="preserve">20mm Conduit LSZH - RATE  </t>
  </si>
  <si>
    <t xml:space="preserve">25mm Conduit LSZH - RATE  </t>
  </si>
  <si>
    <t>Wiring Cable  1c    2.5 mm2 PVC Non-Arm</t>
  </si>
  <si>
    <t>CASC_018</t>
  </si>
  <si>
    <t>02-003</t>
  </si>
  <si>
    <t>Wiring Cable  1c    4.0 mm2 PVC Non-Arm</t>
  </si>
  <si>
    <t>CASC_019</t>
  </si>
  <si>
    <t>02-004</t>
  </si>
  <si>
    <t>WACC_049</t>
  </si>
  <si>
    <t>921</t>
  </si>
  <si>
    <t>13Amp Single DP Switched Socket Outlet white</t>
  </si>
  <si>
    <t>13Amp Twin DP Switched Socket Outlet white</t>
  </si>
  <si>
    <t xml:space="preserve">13Amp Twin DP Switched Socket Outlet complete with Type 'A' and Type 'C' USBs </t>
  </si>
  <si>
    <t>13Amp Twin DP Switched Socket Outlet Weather Proof (IP66)</t>
  </si>
  <si>
    <t>13Amp DP Switched Fused Connection Unit with neon indicator</t>
  </si>
  <si>
    <t>13Amp Unswitched Fused Connection Unit with neon indicator</t>
  </si>
  <si>
    <t xml:space="preserve">Distribution Board Schedule  </t>
  </si>
  <si>
    <t>DOCS_011</t>
  </si>
  <si>
    <t>Sleeve Anchor  8mm Hilti HLC 8x40/12-H</t>
  </si>
  <si>
    <t>CONS_037</t>
  </si>
  <si>
    <t>HIL</t>
  </si>
  <si>
    <t>HLC 8x40/12-H</t>
  </si>
  <si>
    <t>SWLV_177</t>
  </si>
  <si>
    <t>KM</t>
  </si>
  <si>
    <t>P3-63/I/N</t>
  </si>
  <si>
    <t>WACC_025</t>
  </si>
  <si>
    <t>CONT</t>
  </si>
  <si>
    <t>3356</t>
  </si>
  <si>
    <t>PZ-209162</t>
  </si>
  <si>
    <t>ESS SQ060933</t>
  </si>
  <si>
    <t>PZ-209164</t>
  </si>
  <si>
    <t>PZ-209324</t>
  </si>
  <si>
    <t>PZ-730126</t>
  </si>
  <si>
    <t>PZ-730246</t>
  </si>
  <si>
    <t>Supply only Modular Distribution Board 'DB-B1' 10 Way 40Amp TP&amp;N</t>
  </si>
  <si>
    <t>Install and connect only Modular Distribution Board 'DB-B1' 10 Way 40Amp TP&amp;N</t>
  </si>
  <si>
    <t>Install and connect only Modular Distribution Board 'DB-K' 10 Way 80Amp TP&amp;N</t>
  </si>
  <si>
    <t xml:space="preserve">Supply only Surface Isolator  16A 2-Pole </t>
  </si>
  <si>
    <t xml:space="preserve">Supply only Surface Isolator  32A 4-Pole </t>
  </si>
  <si>
    <t xml:space="preserve">Install and connect only Surface Isolator  16A 2-Pole </t>
  </si>
  <si>
    <t xml:space="preserve">Install and connect only Surface Isolator  32A 4-Pole </t>
  </si>
  <si>
    <t>Install and connect FEM TRG 3P 16A 230V IP67</t>
  </si>
  <si>
    <t>Supply only FEM TRG 3P 16A 230V IP67</t>
  </si>
  <si>
    <t>Supply only FEM TRG 5P 32A 415V IP67</t>
  </si>
  <si>
    <t>Install and connect only FEM TRG 5P 32A 415V IP67</t>
  </si>
  <si>
    <t>Local Rate</t>
  </si>
  <si>
    <t>50mm x 75mm Galv. Cable Trunking c/w Cover</t>
  </si>
  <si>
    <t>TKGV_003</t>
  </si>
  <si>
    <t>TIP</t>
  </si>
  <si>
    <t>50mm x 75mm Cable Trunking Coupler</t>
  </si>
  <si>
    <t>50mm x 75mm Cable Trunking 90Deg Bend</t>
  </si>
  <si>
    <t>50mm x 75mm Cable Trunking Inside Riser Bend</t>
  </si>
  <si>
    <t>50mm x 75mm Cable Trunking Tee</t>
  </si>
  <si>
    <t>Trunking Coupling Joint Bolts, Nuts &amp; Washers</t>
  </si>
  <si>
    <t>75mm x 75mm Galv. Cable Trunking c/w Cover</t>
  </si>
  <si>
    <t>75mm x 75mm Cable Trunking Coupler</t>
  </si>
  <si>
    <t>75mm x 75mm Cable Trunking 90Deg Bend</t>
  </si>
  <si>
    <t>75mm x 75mm Cable Trunking Inside Riser Bend</t>
  </si>
  <si>
    <t>75mm x 75mm Cable Trunking Tee</t>
  </si>
  <si>
    <t>Red</t>
  </si>
  <si>
    <t>White</t>
  </si>
  <si>
    <t>Supply only 5Amp Socket Outlet</t>
  </si>
  <si>
    <t xml:space="preserve">Install and connect Only - Type 'LT-04' </t>
  </si>
  <si>
    <t>Install and connect only 5Amp Socket Outlet</t>
  </si>
  <si>
    <t>Install and connect only Modular Distribution Board 'DB-L0' 12 Way 40Amp TP&amp;N</t>
  </si>
  <si>
    <t>Supply only Modular Distribution Board 'DB-L0' 12 Way 40Amp TP&amp;N</t>
  </si>
  <si>
    <t>Supply only Modular Distribution Board 'DB-CA' 4 Way 40Amp TP&amp;N</t>
  </si>
  <si>
    <t>Install and connect only Modular Distribution Board 'DB-CA' 4 Way 40Amp TP&amp;N</t>
  </si>
  <si>
    <t>3 Compartment Floor Outlet Box IP44</t>
  </si>
  <si>
    <t>2 Compartment Floor Outlet Box IP44</t>
  </si>
  <si>
    <t>1Pt x 1 Sw</t>
  </si>
  <si>
    <t>2Pt x 1 Sw</t>
  </si>
  <si>
    <t>5Pt x 1 Sw</t>
  </si>
  <si>
    <t>6Pt x 1 Sw</t>
  </si>
  <si>
    <t>6Pt x 3 Sw</t>
  </si>
  <si>
    <t>8Pt x 3 Sw</t>
  </si>
  <si>
    <t>5Amp Socket Outlet</t>
  </si>
  <si>
    <t>CPAN_180</t>
  </si>
  <si>
    <t>Contactor  16Amp 2Pole Modular</t>
  </si>
  <si>
    <t xml:space="preserve">Install and connect Only - Type 'LT-01' </t>
  </si>
  <si>
    <t xml:space="preserve">Install and connect Only - Type 'LT-05' </t>
  </si>
  <si>
    <t xml:space="preserve">Install and connect Only - Type 'LT-06' </t>
  </si>
  <si>
    <t xml:space="preserve">Install and connect Only - Type 'LT-08' </t>
  </si>
  <si>
    <t>Install and connect Only - Type 'LT-13' - Dimmable Strip Light</t>
  </si>
  <si>
    <t xml:space="preserve">Install and connect Only - Type 'LD-15' </t>
  </si>
  <si>
    <t>Install and connect Only - Magnifying Mirror in Bathroom</t>
  </si>
  <si>
    <t>Supply only Modular Distribution Board 'DB-L1' 6 Way 40Amp TP&amp;N</t>
  </si>
  <si>
    <t>Install and connect only Modular Distribution Board 'DB-L1' 6 Way 40Amp TP&amp;N</t>
  </si>
  <si>
    <t xml:space="preserve">Consumer Unit Schedule  </t>
  </si>
  <si>
    <t>DOCS_010</t>
  </si>
  <si>
    <t>Install and connect  only Modular Consumer Unit CU-G01</t>
  </si>
  <si>
    <t>Install and connect  only Modular Consumer Unit CU-G02</t>
  </si>
  <si>
    <t>Install and connect  only Modular Consumer Unit CU-G03</t>
  </si>
  <si>
    <t>3Pt x 1Sw</t>
  </si>
  <si>
    <t>9Pt x 1Sw</t>
  </si>
  <si>
    <t>10Pt x 1Sw</t>
  </si>
  <si>
    <t xml:space="preserve">Rawl Hook  6mm </t>
  </si>
  <si>
    <t>CONS_027</t>
  </si>
  <si>
    <t>03-004</t>
  </si>
  <si>
    <t>Install and connect Only - Type 'LD-12' Chandelier</t>
  </si>
  <si>
    <t>Install and connect Only - Type 'LD-12' Reading Lights</t>
  </si>
  <si>
    <t>Supply only Modular Distribution Board 'DB-L2' 6 Way 40Amp TP&amp;N</t>
  </si>
  <si>
    <t>Install and connect only Modular Distribution Board 'DB-L2' 6 Way 40Amp TP&amp;N</t>
  </si>
  <si>
    <t>Install and connect  only Modular Consumer Unit CU-G04</t>
  </si>
  <si>
    <t>Install and connect  only Modular Consumer Unit CU-G05</t>
  </si>
  <si>
    <t>Install and connect  only Modular Consumer Unit CU-G06</t>
  </si>
  <si>
    <t>8Pt x 3Sw</t>
  </si>
  <si>
    <t>2Pt x 3Sw</t>
  </si>
  <si>
    <t>6Pt x 1Sw</t>
  </si>
  <si>
    <t>5Pt x 1Sw</t>
  </si>
  <si>
    <t>Included in item 21h</t>
  </si>
  <si>
    <t>Included in item 31i</t>
  </si>
  <si>
    <t>Included in item 40l</t>
  </si>
  <si>
    <t>Included in item 49k</t>
  </si>
  <si>
    <t>Included in item 58n</t>
  </si>
  <si>
    <t>Supply only Modular Consumer Unit 'CU-G09'</t>
  </si>
  <si>
    <t>Supply only Modular Consumer Unit 'CU-G04'</t>
  </si>
  <si>
    <t>Supply only Modular Consumer Unit 'CU-G08'</t>
  </si>
  <si>
    <t>Install and connect only Modular Distribution Board 'DB-L3' 12 Way 40Amp TP&amp;N</t>
  </si>
  <si>
    <t>Install and connect  only Modular Consumer Unit CU-G07</t>
  </si>
  <si>
    <t>Install and connect  only Modular Consumer Unit CU-G08</t>
  </si>
  <si>
    <t>Install and connect  only Modular Consumer Unit CU-G09</t>
  </si>
  <si>
    <t>Supply only Modular Consumer Unit 'CU-G07'</t>
  </si>
  <si>
    <t>4Pt x 3Sw</t>
  </si>
  <si>
    <t>6Pt x 3Sw</t>
  </si>
  <si>
    <t>Supply only Modular Distribution Board 'DB-L3' 12 Way 40Amp TP&amp;N</t>
  </si>
  <si>
    <t>Supply only Modular Consumer Unit 'CU-G10'</t>
  </si>
  <si>
    <t>Supply only Modular Consumer Unit 'CU-G11'</t>
  </si>
  <si>
    <t>Supply only Modular Consumer Unit 'CU-G12'</t>
  </si>
  <si>
    <t>Install and connect only Modular Distribution Board 'DB-L4' 10 Way 40Amp TP&amp;N</t>
  </si>
  <si>
    <t>Install and connect  only Modular Consumer Unit CU-G10</t>
  </si>
  <si>
    <t>Install and connect  only Modular Consumer Unit CU-G11</t>
  </si>
  <si>
    <t>Install and connect  only Modular Consumer Unit CU-G12</t>
  </si>
  <si>
    <t>4Pt x 1 Sw</t>
  </si>
  <si>
    <t>4Pt x 2 Sw</t>
  </si>
  <si>
    <t>9Pt x 2 Sw</t>
  </si>
  <si>
    <t>7Pt x 3 Sw</t>
  </si>
  <si>
    <t>8Pt x 1 Sw</t>
  </si>
  <si>
    <t>Switch 1G 2W IP65</t>
  </si>
  <si>
    <t xml:space="preserve">Install and connect Only - Type 'LT-11' </t>
  </si>
  <si>
    <t xml:space="preserve">Install and connect Only - Type 'LD-01' </t>
  </si>
  <si>
    <t>Install and connect Only - Type 'LD-14'</t>
  </si>
  <si>
    <t>Supply Only - Outdoor wall lights for technical area, IP65</t>
  </si>
  <si>
    <t>Type F Lamb Brand Factory</t>
  </si>
  <si>
    <t>019# Lighting point in LSZH Conduit</t>
  </si>
  <si>
    <t>024# Supply Only - Outdoor wall lights for technical area, IP65</t>
  </si>
  <si>
    <t>025# Install and connect Only - Type 600x600mm, 40W Soffit Recessed LED Panel</t>
  </si>
  <si>
    <t>026# Install and connect Only - Type 'E1' - Single Sided, Wall Mounted, Directional Exit Signage</t>
  </si>
  <si>
    <t>027# Install and connect Only - Type 'E2' - Double Sided, Ceiling Mounted/ Soffit Recessed, Directional Exit Signage.</t>
  </si>
  <si>
    <t>028# Install and connect Only - Outdoor wall lights for technical area, IP65</t>
  </si>
  <si>
    <t>029# Install and connect Only - Battery Backup Kit for the light fittings supplied by others</t>
  </si>
  <si>
    <t>030# Install and connect Only - Type 'LD-01' - Rooms Art Light</t>
  </si>
  <si>
    <t>031# Install and connect Only - Type 'LD-02' - Common Areas Art Light</t>
  </si>
  <si>
    <t>032# Install and connect Only - Type 'LD-03' - Wall light fitting in Lobby</t>
  </si>
  <si>
    <t>033# Install and connect Only - Type 'LD-5' - Lantern</t>
  </si>
  <si>
    <t>20A DP Switch</t>
  </si>
  <si>
    <t>Supply only Modular Distribution Board 'DB-L5' 4 Way 40Amp TP&amp;N</t>
  </si>
  <si>
    <t>Supply only Modular Distribution Board 'DB-SF' 6 Way 32Amp TP&amp;N</t>
  </si>
  <si>
    <t>Supply only Modular Consumer Unit 'CU-G13'</t>
  </si>
  <si>
    <t xml:space="preserve">Install and connect only Surface Isolator  32A 2-Pole </t>
  </si>
  <si>
    <t xml:space="preserve">Supply only Surface Isolator  32A 2-Pole </t>
  </si>
  <si>
    <t>PZ-209322</t>
  </si>
  <si>
    <t xml:space="preserve">Supply only Surface Fire Rated Isolator  32A 4-Pole </t>
  </si>
  <si>
    <t>FEM3205.U</t>
  </si>
  <si>
    <t xml:space="preserve">Supply only Surface Isolator  63A 4-Pole </t>
  </si>
  <si>
    <t>PZ-209634</t>
  </si>
  <si>
    <t>SWLV_365</t>
  </si>
  <si>
    <t>01-010</t>
  </si>
  <si>
    <t>MODULAR AUTO CHANGE OVER 63A 4P</t>
  </si>
  <si>
    <t>GS DELAY ALARM</t>
  </si>
  <si>
    <t>18M KAEDRA ENCLOSURE 1X18 IP65</t>
  </si>
  <si>
    <t xml:space="preserve">Supply only Surface Fire Rated Isolator  20A 4-Pole </t>
  </si>
  <si>
    <t>FEM2005</t>
  </si>
  <si>
    <t>Install and connect only Modular Distribution Board 'DB-L5' 4 Way 40Amp TP&amp;N</t>
  </si>
  <si>
    <t>Install and connect only Modular Distribution Board 'DB-SF' 6 Way 40Amp TP&amp;N</t>
  </si>
  <si>
    <t>Install and connect  only Modular Consumer Unit CU-G13</t>
  </si>
  <si>
    <t xml:space="preserve">Install and connect only Surface Fire Rated Isolator  32A 5-Pole </t>
  </si>
  <si>
    <t>fem3205.u</t>
  </si>
  <si>
    <t xml:space="preserve">Install and connect only Surface Isolator  63A 4-Pole </t>
  </si>
  <si>
    <t>Install and connect only 32Amp TPN Automatic Transfer Switch</t>
  </si>
  <si>
    <t>17Pt x 1Sw</t>
  </si>
  <si>
    <t>36Pt x 1Sw</t>
  </si>
  <si>
    <t xml:space="preserve">Install and connect Only - Type 'LT-07' </t>
  </si>
  <si>
    <t xml:space="preserve">Install and connect Only - Type 'LD-08' </t>
  </si>
  <si>
    <t>Included</t>
  </si>
  <si>
    <t>Testing &amp; Commissioning (by Electrician)</t>
  </si>
  <si>
    <t>COMM_003</t>
  </si>
  <si>
    <t>Enemalta 3Ph Application</t>
  </si>
  <si>
    <t>Enemalta Application Form 'A'</t>
  </si>
  <si>
    <t>ENEM_002</t>
  </si>
  <si>
    <t>BOND_032</t>
  </si>
  <si>
    <t>A.N. Wallis</t>
  </si>
  <si>
    <t>ERU238</t>
  </si>
  <si>
    <t>Inspection pit with cast iron cover, as specified</t>
  </si>
  <si>
    <t>Wiring Cable  1c   70 mm2 PVC Non-Arm</t>
  </si>
  <si>
    <t>CASC_026</t>
  </si>
  <si>
    <t>02-011</t>
  </si>
  <si>
    <t>12-way copper earth bar as specified</t>
  </si>
  <si>
    <t>BOQ Item 77</t>
  </si>
  <si>
    <t>Trips</t>
  </si>
  <si>
    <t>Bolt car service for office employees for attending site meetings</t>
  </si>
  <si>
    <t>PROV_001</t>
  </si>
  <si>
    <t>Since in the tender documents the bonding points to the metallic structures are not indicated, we have allowed for 20No bonding points. Each bond consists of 2m x 10sqmm LSZH Single core cable complete with cable termination.</t>
  </si>
  <si>
    <t>CASC_021</t>
  </si>
  <si>
    <t>02-006</t>
  </si>
  <si>
    <t>Borsan 1c 10mm LSZH 100m Yellow/Green</t>
  </si>
  <si>
    <t>LABO_006</t>
  </si>
  <si>
    <t>Labour only (Bonding to metal structure)</t>
  </si>
  <si>
    <t>Method statement and Risk assessment</t>
  </si>
  <si>
    <t>Toilets</t>
  </si>
  <si>
    <r>
      <t xml:space="preserve">Hire of Mobile Toilet including delivery and weekly cleaning @ </t>
    </r>
    <r>
      <rPr>
        <sz val="9"/>
        <rFont val="Aptos Narrow"/>
        <family val="2"/>
      </rPr>
      <t>€</t>
    </r>
    <r>
      <rPr>
        <sz val="9"/>
        <rFont val="MS Sans Serif"/>
      </rPr>
      <t>5.00/day/Toilet</t>
    </r>
  </si>
  <si>
    <t>1No. Skip per floor</t>
  </si>
  <si>
    <t>Supply only Modular Distribution Board 'DB-L4' 10 Way 40Amp TP&amp;N</t>
  </si>
  <si>
    <t>Supply only Modular Distribution Board 'DB-K' 10 Way 80Amp TP&amp;N</t>
  </si>
  <si>
    <t>Supply only Modular Consumer Unit 'CU-G02'</t>
  </si>
  <si>
    <t>Supply only Modular Consumer Unit 'CU-G03'</t>
  </si>
  <si>
    <t>Supply only Modular Consumer Unit 'CU-G05'</t>
  </si>
  <si>
    <t>Supply only Modular Consumer Unit 'CU-G06'</t>
  </si>
  <si>
    <t>Supply only Modular Consumer Unit 'CU-G01'</t>
  </si>
  <si>
    <t xml:space="preserve">No </t>
  </si>
  <si>
    <t>GENS_002</t>
  </si>
  <si>
    <t>Crainage of Generator Set</t>
  </si>
  <si>
    <t>Cable termination fishplates</t>
  </si>
  <si>
    <t>Install. 140kVA/ 400V/ 50Hz, diesel auto start stand-by generator set (PRP) VSS G Q 495</t>
  </si>
  <si>
    <t>Supply, 140kVA/ 400V/ 50Hz, diesel auto start stand-by generator set (PRP) VSS G Q 495</t>
  </si>
  <si>
    <t>GENS_022</t>
  </si>
  <si>
    <t>Generator Set - 100lt Diesel Fuel for commissioning</t>
  </si>
  <si>
    <t>Generator Set - 300lt Diesel Fuel for filling the day tank</t>
  </si>
  <si>
    <t>lt</t>
  </si>
  <si>
    <t>Supply, 250Amp TPN Automatic Transfer Switch (ATS) VSS G Q 495</t>
  </si>
  <si>
    <t>Install, 250Amp TPN Automatic Transfer Switch (ATS) VSS G Q 495</t>
  </si>
  <si>
    <t>WACC_082</t>
  </si>
  <si>
    <t xml:space="preserve">Magnetic reed switch set </t>
  </si>
  <si>
    <t>FIRE_002</t>
  </si>
  <si>
    <t>NCAL_018</t>
  </si>
  <si>
    <t>CCTV_002</t>
  </si>
  <si>
    <t>G&amp;E</t>
  </si>
  <si>
    <t>ELV Sub-Contractor - APCO</t>
  </si>
  <si>
    <t>ELV Sub-Contractor - DATA</t>
  </si>
  <si>
    <t>DATA_009</t>
  </si>
  <si>
    <t>ACCE_012</t>
  </si>
  <si>
    <t>FIBA_002</t>
  </si>
  <si>
    <t>Firestop foam CFS-F FX</t>
  </si>
  <si>
    <t>Firestop board white 1200x600x50mm CFS-CT HDB</t>
  </si>
  <si>
    <t>Firestop coating 5kg</t>
  </si>
  <si>
    <t>Firestop sealant (310ml)</t>
  </si>
  <si>
    <t>Firestop Intumescent Graphite Sealant (310ml)</t>
  </si>
  <si>
    <t>Firestop Intumescent Graphite Brick</t>
  </si>
  <si>
    <t>Labour to install Firestop Material</t>
  </si>
  <si>
    <t>Discrepancy</t>
  </si>
  <si>
    <t>SUBI</t>
  </si>
  <si>
    <t>&gt;&gt;&gt; mu_A material here &gt;&gt;&gt;</t>
  </si>
  <si>
    <t>&gt;&gt;&gt; mu_B material here &gt;&gt;&gt;</t>
  </si>
  <si>
    <t>WHITE Switch 4G 2W</t>
  </si>
  <si>
    <t>034# Install and connect Only - Type 'LD-08' - Staircase Wall Light</t>
  </si>
  <si>
    <t>035# Install and connect Only - Type 'LD-10' - Armchair Reading Light</t>
  </si>
  <si>
    <t>036# Install and connect Only - Type 'LD-11' - Hallway Wall Light</t>
  </si>
  <si>
    <t>037# Install and connect Only - Type 'LD-12' - Reading Lights</t>
  </si>
  <si>
    <t>038# Install and connect Only - Type 'LD-12' - Chandelier</t>
  </si>
  <si>
    <t>039# Install and connect Only - Type 'LD-14' - Terrace Wall Light</t>
  </si>
  <si>
    <t>040# Install and connect Only - Type 'LD-15' - Bathrooms Wall Light</t>
  </si>
  <si>
    <t>041# Install and connect Only - Type 'LD-16' - Toilets Wall Light</t>
  </si>
  <si>
    <t>042# Install and connect Only - Type 'LT-01' - 11W Soffit Recessed Light Fitting</t>
  </si>
  <si>
    <t>043# Install and connect Only - Type 'LT-02' - 11W Soffit Recessed Light Fitting</t>
  </si>
  <si>
    <t>044# Install and connect Only - Type 'LT-03' - Wall Light</t>
  </si>
  <si>
    <t>045# Install and connect Only - Type 'LT-04' - Wall Light</t>
  </si>
  <si>
    <t>046# Install and connect Only - Type 'LT-05' - Wall Light</t>
  </si>
  <si>
    <t>047# Install and connect Only - Type 'LT-06' - Wall Light</t>
  </si>
  <si>
    <t>048# Install and connect Only - Type 'LT-07' - 2W Wall Recessed Step Light, IP65</t>
  </si>
  <si>
    <t>049# Install and connect Only - Type 'LT-08' - Mini Soffit Recessed Downlighter</t>
  </si>
  <si>
    <t>050# Install and connect Only - Type 'LT-09' - 300mm x 300mm LED Panel Soffit Recessed</t>
  </si>
  <si>
    <t>051# Install and connect Only - Type 'LT-11' - 6W Pole Light</t>
  </si>
  <si>
    <t>052# Install and connect Only - Type 'LT-12' - 6W Recessed Floor Spotlight, Dimmable, IP65</t>
  </si>
  <si>
    <t>053# Install and connect Only - Type 'LT-13 - Dimmable Strip Light</t>
  </si>
  <si>
    <t>054# Install and connect Only - Type 'LT-14' - Dimmable Strip Light</t>
  </si>
  <si>
    <t>055# Install and connect Only - Type 'LT-15' - 8.5W Soffit Recessed Downlighter</t>
  </si>
  <si>
    <t>056# Install and connect Only - Type 'LT-16' - 8.5W Soffit Recessed Downlighter</t>
  </si>
  <si>
    <t>057# Install and connect Only - Magnifying Mirror in Bathroom</t>
  </si>
  <si>
    <t>058# General Power Point in LSZH Conduit</t>
  </si>
  <si>
    <t>059# Galvanized Steel Cable Trunking Size 75 x 50mm</t>
  </si>
  <si>
    <t>060# Galvanized Steel Cable Trunking Size 75 x 75mm</t>
  </si>
  <si>
    <t>061# DALI Wiring cables</t>
  </si>
  <si>
    <t>062# 230V 2P 16A Contactor</t>
  </si>
  <si>
    <t>ESS Q0395603</t>
  </si>
  <si>
    <t>BOQ Item 19.0c</t>
  </si>
  <si>
    <t>We have allowed for two floor outlet boxes, 1No 3 Compartment and 1No 2 Compartment. The floor outlet boxes are suitable for cleaning with a damp cloth.</t>
  </si>
  <si>
    <t>Refer to covering letter.</t>
  </si>
  <si>
    <t>Submittal form for materials are included.  However, samples if required will be charged at cost.</t>
  </si>
  <si>
    <t>CONS_001</t>
  </si>
  <si>
    <t xml:space="preserve"> Mobilisation and demobilisation</t>
  </si>
  <si>
    <t>COMM_004</t>
  </si>
  <si>
    <t>Provision for a Quality Control Engineer</t>
  </si>
  <si>
    <t>Provision of signing of commissioning documentation by an independent Warranted Engineer</t>
  </si>
  <si>
    <t>Provision of signing of as-fitted drawings by an independent Warranted Engineer</t>
  </si>
  <si>
    <t>Provision of Local Council Permits will be charged at cost against receipts</t>
  </si>
  <si>
    <t>WB. Neil Ciantar email dated 21/10/25</t>
  </si>
  <si>
    <t>Anytronics</t>
  </si>
  <si>
    <t>AMD 1 gang</t>
  </si>
  <si>
    <t>8-Button Keypad</t>
  </si>
  <si>
    <t>WHITE Switch 1G Push</t>
  </si>
  <si>
    <t>DALI Push Button Interface</t>
  </si>
  <si>
    <t>4-Button Keypad</t>
  </si>
  <si>
    <t>FIRESTOPS FOR ELECTRICAL SERVICES ONLY</t>
  </si>
  <si>
    <t>We have not quoted to supply the Battery Backup Kit for the light fittings supplied by others Type 'LT-02' and Type 'LT-15'. Also because, for other floors there are only BOQ items for installation and connect only.</t>
  </si>
  <si>
    <t>Various BOQ Items</t>
  </si>
  <si>
    <t>Cable containment Tray and Trunking. The tray and trunking fittings will be fabricated on site because the building contour in general is not at a 90deg angle.</t>
  </si>
  <si>
    <t>BOQ Item 11</t>
  </si>
  <si>
    <t>BOQ Item 15</t>
  </si>
  <si>
    <t>BOQ Item 17</t>
  </si>
  <si>
    <t>Provision of Local Council Permits will be charged at cost against receipts.</t>
  </si>
  <si>
    <t>EMERGENCY STANDBY GENERATOR BOQ BOQ:</t>
  </si>
  <si>
    <t>ELECTRICAL BOQ:</t>
  </si>
  <si>
    <t>PRELIMINARIES BOQ:</t>
  </si>
  <si>
    <t>NOTES:</t>
  </si>
  <si>
    <t>Emergency Standby Generator BOQ Itemes 1 &amp; 2</t>
  </si>
  <si>
    <t>Cost for 2026</t>
  </si>
  <si>
    <t>We have allowed for wall penetrations up to 300x300mm. For safety reason, larger openings are to be carried out by the building contractor.</t>
  </si>
  <si>
    <t>Submittal forms for materials are included.  However, samples if required will be charged at cost.</t>
  </si>
  <si>
    <t>The Generator support structure or plinth is excluded.</t>
  </si>
  <si>
    <t>We have allowed for the diesel for the commissioning and for filling the day tank after the commissioning.</t>
  </si>
  <si>
    <t>Note: The 1% measuring fee is included directly in the client BOQ Summary Page.</t>
  </si>
  <si>
    <t>Pair Technician</t>
  </si>
  <si>
    <t>Single Engineer</t>
  </si>
  <si>
    <t>Controls Section (DALI)</t>
  </si>
  <si>
    <t>Controls Section Engineer (DALI)</t>
  </si>
  <si>
    <t>DALI Controller Lv.0</t>
  </si>
  <si>
    <t>DALI Controller Lv.1</t>
  </si>
  <si>
    <t>DALI Controller Lv.2</t>
  </si>
  <si>
    <t>DALI Controller Lv.3</t>
  </si>
  <si>
    <t>DALI Controller Lv.4</t>
  </si>
  <si>
    <t>Testing &amp; Commissioning (DALI by Engineer) Level 0</t>
  </si>
  <si>
    <t>Testing &amp; Commissioning (DALI by Engineer) Level 1</t>
  </si>
  <si>
    <t>Testing &amp; Commissioning (DALI by Engineer) Level 2</t>
  </si>
  <si>
    <t>Testing &amp; Commissioning (DALI by Engineer) Level 3</t>
  </si>
  <si>
    <t>Testing &amp; Commissioning (DALI by Engineer) Level 4&amp;5</t>
  </si>
  <si>
    <t>MEP REVISED</t>
  </si>
  <si>
    <t>20mm diameter x 3.6m solid copper earth electrode</t>
  </si>
  <si>
    <t>6-core cable</t>
  </si>
  <si>
    <t>Site vists (2 floors per visit)</t>
  </si>
  <si>
    <t>EL25-0662B</t>
  </si>
  <si>
    <t>QTY</t>
  </si>
  <si>
    <t>UNIT</t>
  </si>
  <si>
    <t>MATERIAL DESCRIPTION</t>
  </si>
  <si>
    <t>C/CODE</t>
  </si>
  <si>
    <t xml:space="preserve">Contactor  16Amp 2Pole Modular  </t>
  </si>
  <si>
    <t xml:space="preserve">Enclosure PVC IP56  240*190*160  </t>
  </si>
  <si>
    <t xml:space="preserve">Wiring Cable  1c    1.5 mm2 PVC Non-Arm  </t>
  </si>
  <si>
    <t xml:space="preserve">Wiring Cable  1c    2.5 mm2 PVC Non-Arm  </t>
  </si>
  <si>
    <t xml:space="preserve">Wiring Cable  1c    4.0 mm2 PVC Non-Arm  </t>
  </si>
  <si>
    <t xml:space="preserve">Wiring Cable  3c    1.5 mm2 PVC Non-Arm  </t>
  </si>
  <si>
    <t xml:space="preserve">3 core 2.5mm² CU/XLPE/LSZH Cable  </t>
  </si>
  <si>
    <t xml:space="preserve">3 core x 4.0 mm2 FG16(O)M16 Cable  </t>
  </si>
  <si>
    <t xml:space="preserve">3 core x 6.0 mm2 FG16(O)M16 Cable  </t>
  </si>
  <si>
    <t xml:space="preserve">3G 4.0sqmm (Cl2 CU) BS7846-F120 MGT/XLPE/LSZH/SWA/LSZH BLACK 0.6/1kV  </t>
  </si>
  <si>
    <t xml:space="preserve">5 core x 10 mm2 FG16(O)M16 Cable  </t>
  </si>
  <si>
    <t xml:space="preserve">5 core x 2.5 mm2 FG16(O)M16 Cable  </t>
  </si>
  <si>
    <t xml:space="preserve">5 core x 25 mm2 FG16(O)M16 Cable  </t>
  </si>
  <si>
    <t xml:space="preserve">5 core x 50 mm2 FG16(O)M16 Cable  </t>
  </si>
  <si>
    <t xml:space="preserve">5 core x 6.0 mm2 FG16(O)M16 Cable  </t>
  </si>
  <si>
    <t xml:space="preserve">5 core x 70 mm2 FG16(O)M16 Cable  </t>
  </si>
  <si>
    <t xml:space="preserve">5G 6.0sqmm (Cl2 CU) BS7846-F120 MGT/XLPE/LSZH/SWA/LSZH BLACK 0.6/1kV  </t>
  </si>
  <si>
    <t xml:space="preserve">Cable Lug   2.5  mm2     </t>
  </si>
  <si>
    <t xml:space="preserve">Cable Lug   4.0  mm2  </t>
  </si>
  <si>
    <t xml:space="preserve">Cable Lug   6.0  mm2  </t>
  </si>
  <si>
    <t xml:space="preserve">Cable Lug  10  mm2  </t>
  </si>
  <si>
    <t xml:space="preserve">Cable Lug  25  mm2     </t>
  </si>
  <si>
    <t xml:space="preserve">Cable Lug  50  mm2     </t>
  </si>
  <si>
    <t xml:space="preserve">Cable Lug  70  mm2  </t>
  </si>
  <si>
    <t xml:space="preserve">Cable Marker Wrap Around Type  </t>
  </si>
  <si>
    <t xml:space="preserve">Gland Indoor 50S BWL  4*95mm2  </t>
  </si>
  <si>
    <t xml:space="preserve">Gland Outdoor 20  CW  4*4/6mm2  </t>
  </si>
  <si>
    <t xml:space="preserve">M20 PVC Gland  </t>
  </si>
  <si>
    <t xml:space="preserve">M25 PVC Gland  </t>
  </si>
  <si>
    <t xml:space="preserve">M32 PVC Gland  </t>
  </si>
  <si>
    <t xml:space="preserve">M40 PVC Gland  </t>
  </si>
  <si>
    <t xml:space="preserve">M63 PVC Gland  </t>
  </si>
  <si>
    <t xml:space="preserve">100mm x 50mm Cable Tray  HDG  </t>
  </si>
  <si>
    <t xml:space="preserve">100mm x 50mm Tray Coupler  </t>
  </si>
  <si>
    <t xml:space="preserve">200mm x 50mm Cable Tray HDG  </t>
  </si>
  <si>
    <t xml:space="preserve">300mm x 50mm Cable Tray HDG  </t>
  </si>
  <si>
    <t xml:space="preserve">400mm x 50mm Cable Tray HDG  </t>
  </si>
  <si>
    <t xml:space="preserve">500mm x 50mm Cable Tray HDG  </t>
  </si>
  <si>
    <t xml:space="preserve">50mm Tray Coupler  </t>
  </si>
  <si>
    <t xml:space="preserve">Tray Coupling Joint Bolts, Nuts &amp; Washers  </t>
  </si>
  <si>
    <t xml:space="preserve">Tray Earth Links  </t>
  </si>
  <si>
    <t xml:space="preserve">50mm x 75mm Cable Trunking 90Deg Bend  </t>
  </si>
  <si>
    <t xml:space="preserve">50mm x 75mm Cable Trunking Coupler  </t>
  </si>
  <si>
    <t xml:space="preserve">50mm x 75mm Cable Trunking Inside Riser Bend  </t>
  </si>
  <si>
    <t xml:space="preserve">50mm x 75mm Cable Trunking Tee  </t>
  </si>
  <si>
    <t xml:space="preserve">50mm x 75mm Galv. Cable Trunking c/w Cover  </t>
  </si>
  <si>
    <t xml:space="preserve">75mm x 75mm Cable Trunking 90Deg Bend  </t>
  </si>
  <si>
    <t xml:space="preserve">75mm x 75mm Cable Trunking Coupler  </t>
  </si>
  <si>
    <t xml:space="preserve">75mm x 75mm Cable Trunking Inside Riser Bend  </t>
  </si>
  <si>
    <t xml:space="preserve">75mm x 75mm Galv. Cable Trunking c/w Cover  </t>
  </si>
  <si>
    <t xml:space="preserve">Trunking Coupling Joint Bolts, Nuts &amp; Washers  </t>
  </si>
  <si>
    <t xml:space="preserve">20mm Conduit LSZH - RATE    </t>
  </si>
  <si>
    <t xml:space="preserve">25mm Conduit LSZH - RATE    </t>
  </si>
  <si>
    <t xml:space="preserve">Conduit PVC 20mm   HG RATE    </t>
  </si>
  <si>
    <t xml:space="preserve">Supply Only - Outdoor wall lights for technical area, IP65  </t>
  </si>
  <si>
    <t xml:space="preserve">Supply Only - Type 600x600mm, 40W Soffit Recessed LED Panel  </t>
  </si>
  <si>
    <t xml:space="preserve">Supply Only - Type 'E1' - Single Sided, Wall Mounted, Directional Exit Signage  </t>
  </si>
  <si>
    <t xml:space="preserve">Supply Only - Type 'E2' - Double Sided, Ceiling Mounted/ Soffit Recessed, Directional Exit Signage.  </t>
  </si>
  <si>
    <t xml:space="preserve">Cable Connectors PVC  </t>
  </si>
  <si>
    <t xml:space="preserve">Cable Tie 225mm    </t>
  </si>
  <si>
    <t xml:space="preserve">Rawl Hook  6mm   </t>
  </si>
  <si>
    <t xml:space="preserve">Rawl Plug S6   </t>
  </si>
  <si>
    <t xml:space="preserve">Screw Wood S6   </t>
  </si>
  <si>
    <t>Anchor 8mm HKD M8X30  376959</t>
  </si>
  <si>
    <t>Channel 40x20 Endcap MQZ-E21  370598</t>
  </si>
  <si>
    <t>Channel 40x40 Endcap MQZ-E41  369685</t>
  </si>
  <si>
    <t>Channel DEEP MQ-41-F 3m  304099</t>
  </si>
  <si>
    <t>Channel SHALLOW MQ-21-F 3m  304096</t>
  </si>
  <si>
    <t>Galv. Nut  8mm M8-F  304764</t>
  </si>
  <si>
    <t>Hex.Set Screw  M8x25   216448</t>
  </si>
  <si>
    <t>HLC Sleeve Anchor 10mm  HLC 10x50/15  385820</t>
  </si>
  <si>
    <t>Pipe Ring Saddle MQA-M 8-F  304138</t>
  </si>
  <si>
    <t>Push Button Hilti M10 MQN-F  304130</t>
  </si>
  <si>
    <t>Threaded Rod Galv. 8mm   339793</t>
  </si>
  <si>
    <t>Three hole angle Hilti 90deg MQW-3-F  304172</t>
  </si>
  <si>
    <t>Tray Washers M8  304769</t>
  </si>
  <si>
    <t>Wing Nut Hilti  M8 MQM-M8-F  304132</t>
  </si>
  <si>
    <t xml:space="preserve">18M KAEDRA ENCLOSURE 1X18 IP65  </t>
  </si>
  <si>
    <t xml:space="preserve">60kVAR Power Factor Correction Unit (PFCU)  </t>
  </si>
  <si>
    <t xml:space="preserve">GS DELAY ALARM  </t>
  </si>
  <si>
    <t xml:space="preserve">MODULAR AUTO CHANGE OVER 63A 4P  </t>
  </si>
  <si>
    <t xml:space="preserve">Panel MSP-ES: 250A 4P MCCB Panel 16 Way  </t>
  </si>
  <si>
    <t xml:space="preserve">Panel MSP-ES: Metering Section c/w extension box  </t>
  </si>
  <si>
    <t xml:space="preserve">Panel MSP-NE: 250A 4P MCCB Panel 8 Way  </t>
  </si>
  <si>
    <t xml:space="preserve">Panel MSP-NE: Metering Section c/w extension box  </t>
  </si>
  <si>
    <t xml:space="preserve">Panel SP-INC: 250A 4P MCCB complete with Shunt Trip and Adjustable Earth Fault Relay  </t>
  </si>
  <si>
    <t xml:space="preserve">Supply only Modular Consumer Unit 'CU-G01'  </t>
  </si>
  <si>
    <t xml:space="preserve">Supply only Modular Consumer Unit 'CU-G02'  </t>
  </si>
  <si>
    <t xml:space="preserve">Supply only Modular Consumer Unit 'CU-G03'  </t>
  </si>
  <si>
    <t xml:space="preserve">Supply only Modular Consumer Unit 'CU-G04'  </t>
  </si>
  <si>
    <t xml:space="preserve">Supply only Modular Consumer Unit 'CU-G05'  </t>
  </si>
  <si>
    <t xml:space="preserve">Supply only Modular Consumer Unit 'CU-G06'  </t>
  </si>
  <si>
    <t xml:space="preserve">Supply only Modular Consumer Unit 'CU-G07'  </t>
  </si>
  <si>
    <t xml:space="preserve">Supply only Modular Consumer Unit 'CU-G08'  </t>
  </si>
  <si>
    <t xml:space="preserve">Supply only Modular Consumer Unit 'CU-G09'  </t>
  </si>
  <si>
    <t xml:space="preserve">Supply only Modular Consumer Unit 'CU-G10'  </t>
  </si>
  <si>
    <t xml:space="preserve">Supply only Modular Consumer Unit 'CU-G11'  </t>
  </si>
  <si>
    <t xml:space="preserve">Supply only Modular Consumer Unit 'CU-G12'  </t>
  </si>
  <si>
    <t xml:space="preserve">Supply only Modular Consumer Unit 'CU-G13'  </t>
  </si>
  <si>
    <t xml:space="preserve">Supply only Modular Distribution Board 'DB-B1' 10 Way 40Amp TP&amp;N  </t>
  </si>
  <si>
    <t xml:space="preserve">Supply only Modular Distribution Board 'DB-CA' 4 Way 40Amp TP&amp;N  </t>
  </si>
  <si>
    <t xml:space="preserve">Supply only Modular Distribution Board 'DB-K' 10 Way 80Amp TP&amp;N  </t>
  </si>
  <si>
    <t xml:space="preserve">Supply only Modular Distribution Board 'DB-L0' 12 Way 40Amp TP&amp;N  </t>
  </si>
  <si>
    <t xml:space="preserve">Supply only Modular Distribution Board 'DB-L1' 6 Way 40Amp TP&amp;N  </t>
  </si>
  <si>
    <t xml:space="preserve">Supply only Modular Distribution Board 'DB-L2' 6 Way 40Amp TP&amp;N  </t>
  </si>
  <si>
    <t xml:space="preserve">Supply only Modular Distribution Board 'DB-L3' 12 Way 40Amp TP&amp;N  </t>
  </si>
  <si>
    <t xml:space="preserve">Supply only Modular Distribution Board 'DB-L4' 10 Way 40Amp TP&amp;N  </t>
  </si>
  <si>
    <t xml:space="preserve">Supply only Modular Distribution Board 'DB-L5' 4 Way 40Amp TP&amp;N  </t>
  </si>
  <si>
    <t xml:space="preserve">Supply only Modular Distribution Board 'DB-SF' 6 Way 32Amp TP&amp;N  </t>
  </si>
  <si>
    <t>Supply only Surface Fire Rated Isolator  20A 4-Pole  FEM2005 ESS SQ060933</t>
  </si>
  <si>
    <t>Supply only Surface Fire Rated Isolator  32A 4-Pole  FEM3205.U ESS SQ060933</t>
  </si>
  <si>
    <t>Supply only Surface Isolator  16A 2-Pole  PZ-209162 ESS SQ060933</t>
  </si>
  <si>
    <t>Supply only Surface Isolator  32A 2-Pole  PZ-209322 ESS SQ060933</t>
  </si>
  <si>
    <t>Supply only Surface Isolator  32A 4-Pole  PZ-209164 ESS SQ060933</t>
  </si>
  <si>
    <t>Supply only Surface Isolator  32A 4-Pole  PZ-209324 ESS SQ060933</t>
  </si>
  <si>
    <t>Supply only Surface Isolator  63A 4-Pole  PZ-209634 ESS SQ060933</t>
  </si>
  <si>
    <t xml:space="preserve">Switchgear Panel for Generator SP-GEN including Transient Surge Protection  </t>
  </si>
  <si>
    <t xml:space="preserve">Borsan 1c 10mm LSZH 100m Yellow/Green  </t>
  </si>
  <si>
    <t>Wiring Cable  1c    1.5 mm2 PVC Non-Arm  Red</t>
  </si>
  <si>
    <t>Wiring Cable  1c    1.5 mm2 PVC Non-Arm  White</t>
  </si>
  <si>
    <t xml:space="preserve">Wiring Cable  1c   70 mm2 PVC Non-Arm  </t>
  </si>
  <si>
    <t>5 core x 70 mm2 XLPE/SWA/LSZH/Cu Cable  AJQ41321</t>
  </si>
  <si>
    <t xml:space="preserve">13Amp BS1363 Double Socket Outlet complete with Type 'A' USB and Type 'C' USB  </t>
  </si>
  <si>
    <t xml:space="preserve">13Amp BS1363 Weatherproof Double Socket Outlet  </t>
  </si>
  <si>
    <t xml:space="preserve">13Amp DP Switched Fused Connection Unit with neon indicator  </t>
  </si>
  <si>
    <t>13Amp Single DP Switched Socket Outlet white  ESS Q0395603</t>
  </si>
  <si>
    <t xml:space="preserve">13Amp Twin DP Switched Socket Outlet complete with Type 'A' and Type 'C' USBs   </t>
  </si>
  <si>
    <t xml:space="preserve">13Amp Twin DP Switched Socket Outlet Weather Proof (IP66)  </t>
  </si>
  <si>
    <t xml:space="preserve">13Amp Twin DP Switched Socket Outlet white  </t>
  </si>
  <si>
    <t xml:space="preserve">13Amp Unswitched Fused Connection Unit with neon indicator  </t>
  </si>
  <si>
    <t xml:space="preserve">2 Compartment Floor Outlet Box IP44  </t>
  </si>
  <si>
    <t xml:space="preserve">20A DP Switch  </t>
  </si>
  <si>
    <t xml:space="preserve">3 Compartment Floor Outlet Box IP44  </t>
  </si>
  <si>
    <t xml:space="preserve">5Amp Socket Outlet  </t>
  </si>
  <si>
    <t xml:space="preserve">Magnetic reed switch set   </t>
  </si>
  <si>
    <t>Movement detector (Surface Mounted)  ESS Q0395603</t>
  </si>
  <si>
    <t xml:space="preserve">Shaver Unit  </t>
  </si>
  <si>
    <t xml:space="preserve">Supply only 5Amp Socket Outlet  </t>
  </si>
  <si>
    <t>Supply only FEM TRG 3P 16A 230V IP67 PZ-730126 ESS SQ060933</t>
  </si>
  <si>
    <t>Supply only FEM TRG 5P 32A 415V IP67 PZ-730246 ESS SQ060933</t>
  </si>
  <si>
    <t xml:space="preserve">Switch 1G 2W IP65  </t>
  </si>
  <si>
    <t xml:space="preserve">Universal/ Continental Double Socket Outlet  </t>
  </si>
  <si>
    <t xml:space="preserve">Universal/ Continental Double Socket Outlet complete with Type 'A' USB and Type 'C' USB  </t>
  </si>
  <si>
    <t>WHITE Switch 1G 2W  ESS Q0395603</t>
  </si>
  <si>
    <t>WHITE Switch 1G Push  ESS Q0395603</t>
  </si>
  <si>
    <t>WHITE Switch 2G 2W  ESS Q0395603</t>
  </si>
  <si>
    <t>WHITE Switch 4G 2W  ESS Q0395603</t>
  </si>
  <si>
    <t xml:space="preserve">4-Button Keypad  </t>
  </si>
  <si>
    <t xml:space="preserve">8-Button Keypad  </t>
  </si>
  <si>
    <t xml:space="preserve">DALI Controller Lv.0  </t>
  </si>
  <si>
    <t xml:space="preserve">DALI Controller Lv.1  </t>
  </si>
  <si>
    <t xml:space="preserve">DALI Controller Lv.2  </t>
  </si>
  <si>
    <t xml:space="preserve">DALI Controller Lv.3  </t>
  </si>
  <si>
    <t xml:space="preserve">DALI Controller Lv.4  </t>
  </si>
  <si>
    <t xml:space="preserve">DALI Push Button Interface  </t>
  </si>
  <si>
    <t xml:space="preserve">Analogue addressable heat detectors c/w base  </t>
  </si>
  <si>
    <t xml:space="preserve">Analogue addressable optical smoke detectors c/w base  </t>
  </si>
  <si>
    <t xml:space="preserve">Analogue addressable optical smoke detectors c/w base sounder  </t>
  </si>
  <si>
    <t xml:space="preserve">Cabling in 'Standard' fire alarm cable  </t>
  </si>
  <si>
    <t xml:space="preserve">Fire Blanket  </t>
  </si>
  <si>
    <t xml:space="preserve">Four loop analogue addressable fire alarm control panel, c/w auto dialer, power supply unit &amp; backup batteries  </t>
  </si>
  <si>
    <t xml:space="preserve">Interface modules  </t>
  </si>
  <si>
    <t xml:space="preserve">Magnetic Door Holders  </t>
  </si>
  <si>
    <t xml:space="preserve">Manual call points as specified  </t>
  </si>
  <si>
    <t xml:space="preserve">Open area sounder plus beacon  </t>
  </si>
  <si>
    <t xml:space="preserve">Remote LED Alarm Indicators  </t>
  </si>
  <si>
    <t xml:space="preserve">Firestop board white 1200x600x50mm CFS-CT HDB  </t>
  </si>
  <si>
    <t xml:space="preserve">Firestop coating 5kg  </t>
  </si>
  <si>
    <t xml:space="preserve">Firestop foam CFS-F FX  </t>
  </si>
  <si>
    <t xml:space="preserve">Firestop Intumescent Graphite Brick  </t>
  </si>
  <si>
    <t xml:space="preserve">Firestop Intumescent Graphite Sealant (310ml)  </t>
  </si>
  <si>
    <t xml:space="preserve">Firestop sealant (310ml)  </t>
  </si>
  <si>
    <t xml:space="preserve">6-core cable  </t>
  </si>
  <si>
    <t xml:space="preserve">Access control cards  </t>
  </si>
  <si>
    <t xml:space="preserve">Door Release Button  </t>
  </si>
  <si>
    <t xml:space="preserve">Magnetic Lock  </t>
  </si>
  <si>
    <t xml:space="preserve">Proximity Card Reader  </t>
  </si>
  <si>
    <t xml:space="preserve">12-way copper earth bar as specified  </t>
  </si>
  <si>
    <t xml:space="preserve">20mm diameter x 3.6m solid copper earth electrode  </t>
  </si>
  <si>
    <t xml:space="preserve">Inspection pit with cast iron cover, as specified  </t>
  </si>
  <si>
    <t xml:space="preserve">19" 1U Patchcord management panel  </t>
  </si>
  <si>
    <t xml:space="preserve">20U 600x600mm Floor Standing Data Cabinet  </t>
  </si>
  <si>
    <t xml:space="preserve">Cat 6 cable from patch panel cabinet to data points  </t>
  </si>
  <si>
    <t xml:space="preserve">Rack mount 24 port RJ45 Cat 6  patch panel  </t>
  </si>
  <si>
    <t xml:space="preserve">Rack mount power distribution unit with 6No. 13Amp BS socket outlets, including in built surge protection  </t>
  </si>
  <si>
    <t xml:space="preserve">RJ45 Cat 6 Double socket outlets.  </t>
  </si>
  <si>
    <t xml:space="preserve">RJ45 Cat 6 Single socket outlets.  </t>
  </si>
  <si>
    <t xml:space="preserve">Cable termination fishplates  </t>
  </si>
  <si>
    <t xml:space="preserve">Generator Set - 100lt Diesel Fuel for commissioning  </t>
  </si>
  <si>
    <t xml:space="preserve">Generator Set - 300lt Diesel Fuel for filling the day tank  </t>
  </si>
  <si>
    <t xml:space="preserve">Supply, 140kVA/ 400V/ 50Hz, diesel auto start stand-by generator set (PRP) VSS G Q 495  </t>
  </si>
  <si>
    <t xml:space="preserve">Supply, 250Amp TPN Automatic Transfer Switch (ATS) VSS G Q 495  </t>
  </si>
  <si>
    <t xml:space="preserve">Nurse Call system to be interfaced with Fire Alarm System including Pull Chord, Reset Button, etc.  </t>
  </si>
  <si>
    <t xml:space="preserve">16-Channel Network Video Recorder (NVR) with PoE ports  </t>
  </si>
  <si>
    <t xml:space="preserve">External type IP Dome Cameras  </t>
  </si>
  <si>
    <t xml:space="preserve">IP Dome Cameras  </t>
  </si>
  <si>
    <t xml:space="preserve">Label Large    </t>
  </si>
  <si>
    <t xml:space="preserve">Label Small    </t>
  </si>
  <si>
    <t xml:space="preserve">Rawl Bolt  6mm   </t>
  </si>
  <si>
    <t xml:space="preserve">Rawl Bolt 10mm   </t>
  </si>
  <si>
    <t xml:space="preserve">Sleeve Anchor  8mm Hilti HLC 8x40/12-H  </t>
  </si>
  <si>
    <t xml:space="preserve">Consumer Unit Schedule    </t>
  </si>
  <si>
    <t xml:space="preserve">Distribution Board Schedule    </t>
  </si>
  <si>
    <t xml:space="preserve">Method statement and Risk assessment  </t>
  </si>
  <si>
    <t xml:space="preserve">Site vists (2 floors per visit)  </t>
  </si>
  <si>
    <t xml:space="preserve">Enemalta Application Form 'A'  </t>
  </si>
  <si>
    <t>Crainage of Generator Set  WB. Neil Ciantar email dated 21/10/25</t>
  </si>
  <si>
    <t xml:space="preserve">Cranage and Transportation  </t>
  </si>
  <si>
    <t xml:space="preserve">Transportation  </t>
  </si>
  <si>
    <t xml:space="preserve">1No. Skip per floor  </t>
  </si>
  <si>
    <t xml:space="preserve">Hire of Mobile Toilet including delivery and weekly cleaning @ €5.00/day/Toilet  </t>
  </si>
  <si>
    <t xml:space="preserve">Anchor 8mm HKD M8X30  376959 </t>
  </si>
  <si>
    <t xml:space="preserve">Channel 40x20 Endcap MQZ-E21  370598 </t>
  </si>
  <si>
    <t xml:space="preserve">Channel 40x40 Endcap MQZ-E41  369685 </t>
  </si>
  <si>
    <t xml:space="preserve">Channel DEEP MQ-41-F 3m  304099 </t>
  </si>
  <si>
    <t xml:space="preserve">Channel SHALLOW MQ-21-F 3m  304096 </t>
  </si>
  <si>
    <t xml:space="preserve">Galv. Nut  8mm M8-F  304764 </t>
  </si>
  <si>
    <t xml:space="preserve">Hex.Set Screw  M8x25   216448 </t>
  </si>
  <si>
    <t xml:space="preserve">HLC Sleeve Anchor 10mm  HLC 10x50/15  385820 </t>
  </si>
  <si>
    <t xml:space="preserve">Pipe Ring Saddle MQA-M 8-F  304138 </t>
  </si>
  <si>
    <t xml:space="preserve">Push Button Hilti M10 MQN-F  304130 </t>
  </si>
  <si>
    <t xml:space="preserve">Threaded Rod Galv. 8mm   339793 </t>
  </si>
  <si>
    <t xml:space="preserve">Three hole angle Hilti 90deg MQW-3-F  304172 </t>
  </si>
  <si>
    <t xml:space="preserve">Tray Washers M8  304769 </t>
  </si>
  <si>
    <t xml:space="preserve">Wing Nut Hilti  M8 MQM-M8-F  304132 </t>
  </si>
  <si>
    <t xml:space="preserve">18M KAEDRA ENCLOSURE 1X18 IP65   </t>
  </si>
  <si>
    <t xml:space="preserve">60kVAR Power Factor Correction Unit (PFCU)   </t>
  </si>
  <si>
    <t xml:space="preserve">GS DELAY ALARM   </t>
  </si>
  <si>
    <t xml:space="preserve">MODULAR AUTO CHANGE OVER 63A 4P   </t>
  </si>
  <si>
    <t xml:space="preserve">Panel MSP-ES: 250A 4P MCCB Panel 16 Way   </t>
  </si>
  <si>
    <t xml:space="preserve">Panel MSP-ES: Metering Section c/w extension box   </t>
  </si>
  <si>
    <t xml:space="preserve">Panel MSP-NE: 250A 4P MCCB Panel 8 Way   </t>
  </si>
  <si>
    <t xml:space="preserve">Panel MSP-NE: Metering Section c/w extension box   </t>
  </si>
  <si>
    <t xml:space="preserve">Panel SP-INC: 250A 4P MCCB complete with Shunt Trip and Adjustable Earth Fault Relay   </t>
  </si>
  <si>
    <t xml:space="preserve">Supply only Modular Consumer Unit 'CU-G01'   </t>
  </si>
  <si>
    <t xml:space="preserve">Supply only Modular Consumer Unit 'CU-G02'   </t>
  </si>
  <si>
    <t xml:space="preserve">Supply only Modular Consumer Unit 'CU-G03'   </t>
  </si>
  <si>
    <t xml:space="preserve">Supply only Modular Consumer Unit 'CU-G04'   </t>
  </si>
  <si>
    <t xml:space="preserve">Supply only Modular Consumer Unit 'CU-G05'   </t>
  </si>
  <si>
    <t xml:space="preserve">Supply only Modular Consumer Unit 'CU-G06'   </t>
  </si>
  <si>
    <t xml:space="preserve">Supply only Modular Consumer Unit 'CU-G07'   </t>
  </si>
  <si>
    <t xml:space="preserve">Supply only Modular Consumer Unit 'CU-G08'   </t>
  </si>
  <si>
    <t xml:space="preserve">Supply only Modular Consumer Unit 'CU-G09'   </t>
  </si>
  <si>
    <t xml:space="preserve">Supply only Modular Consumer Unit 'CU-G10'   </t>
  </si>
  <si>
    <t xml:space="preserve">Supply only Modular Consumer Unit 'CU-G11'   </t>
  </si>
  <si>
    <t xml:space="preserve">Supply only Modular Consumer Unit 'CU-G12'   </t>
  </si>
  <si>
    <t xml:space="preserve">Supply only Modular Consumer Unit 'CU-G13'   </t>
  </si>
  <si>
    <t xml:space="preserve">Supply only Modular Distribution Board 'DB-B1' 10 Way 40Amp TP&amp;N   </t>
  </si>
  <si>
    <t xml:space="preserve">Supply only Modular Distribution Board 'DB-CA' 4 Way 40Amp TP&amp;N   </t>
  </si>
  <si>
    <t xml:space="preserve">Supply only Modular Distribution Board 'DB-K' 10 Way 80Amp TP&amp;N   </t>
  </si>
  <si>
    <t xml:space="preserve">Supply only Modular Distribution Board 'DB-L0' 12 Way 40Amp TP&amp;N   </t>
  </si>
  <si>
    <t xml:space="preserve">Supply only Modular Distribution Board 'DB-L1' 6 Way 40Amp TP&amp;N   </t>
  </si>
  <si>
    <t xml:space="preserve">Supply only Modular Distribution Board 'DB-L2' 6 Way 40Amp TP&amp;N   </t>
  </si>
  <si>
    <t xml:space="preserve">Supply only Modular Distribution Board 'DB-L3' 12 Way 40Amp TP&amp;N   </t>
  </si>
  <si>
    <t xml:space="preserve">Supply only Modular Distribution Board 'DB-L4' 10 Way 40Amp TP&amp;N   </t>
  </si>
  <si>
    <t xml:space="preserve">Supply only Modular Distribution Board 'DB-L5' 4 Way 40Amp TP&amp;N   </t>
  </si>
  <si>
    <t xml:space="preserve">Supply only Modular Distribution Board 'DB-SF' 6 Way 32Amp TP&amp;N   </t>
  </si>
  <si>
    <t xml:space="preserve">Supply only Surface Fire Rated Isolator  20A 4-Pole  FEM2005 ESS SQ060933 </t>
  </si>
  <si>
    <t xml:space="preserve">Supply only Surface Fire Rated Isolator  32A 4-Pole  FEM3205.U ESS SQ060933 </t>
  </si>
  <si>
    <t xml:space="preserve">Supply only Surface Isolator  16A 2-Pole  PZ-209162 ESS SQ060933 </t>
  </si>
  <si>
    <t xml:space="preserve">Supply only Surface Isolator  32A 2-Pole  PZ-209322 ESS SQ060933 </t>
  </si>
  <si>
    <t xml:space="preserve">Supply only Surface Isolator  32A 4-Pole  PZ-209164 ESS SQ060933 </t>
  </si>
  <si>
    <t xml:space="preserve">Supply only Surface Isolator  32A 4-Pole  PZ-209324 ESS SQ060933 </t>
  </si>
  <si>
    <t xml:space="preserve">Supply only Surface Isolator  63A 4-Pole  PZ-209634 ESS SQ060933 </t>
  </si>
  <si>
    <t xml:space="preserve">Switchgear Panel for Generator SP-GEN including Transient Surge Protection   </t>
  </si>
  <si>
    <t xml:space="preserve">Contactor  16Amp 2Pole Modular   </t>
  </si>
  <si>
    <t xml:space="preserve">Enclosure PVC IP56  240*190*160   </t>
  </si>
  <si>
    <t xml:space="preserve">Borsan 1c 10mm LSZH 100m Yellow/Green   </t>
  </si>
  <si>
    <t xml:space="preserve">Wiring Cable  1c    1.5 mm2 PVC Non-Arm   </t>
  </si>
  <si>
    <t xml:space="preserve">Wiring Cable  1c    1.5 mm2 PVC Non-Arm  Red </t>
  </si>
  <si>
    <t xml:space="preserve">Wiring Cable  1c    1.5 mm2 PVC Non-Arm  White </t>
  </si>
  <si>
    <t xml:space="preserve">Wiring Cable  1c    2.5 mm2 PVC Non-Arm   </t>
  </si>
  <si>
    <t xml:space="preserve">Wiring Cable  1c    4.0 mm2 PVC Non-Arm   </t>
  </si>
  <si>
    <t xml:space="preserve">Wiring Cable  1c   70 mm2 PVC Non-Arm   </t>
  </si>
  <si>
    <t xml:space="preserve">Wiring Cable  3c    1.5 mm2 PVC Non-Arm   </t>
  </si>
  <si>
    <t xml:space="preserve">3 core 2.5mm² CU/XLPE/LSZH Cable   </t>
  </si>
  <si>
    <t xml:space="preserve">3 core x 4.0 mm2 FG16(O)M16 Cable   </t>
  </si>
  <si>
    <t xml:space="preserve">3 core x 6.0 mm2 FG16(O)M16 Cable   </t>
  </si>
  <si>
    <t xml:space="preserve">3G 4.0sqmm (Cl2 CU) BS7846-F120 MGT/XLPE/LSZH/SWA/LSZH BLACK 0.6/1kV   </t>
  </si>
  <si>
    <t xml:space="preserve">5 core x 10 mm2 FG16(O)M16 Cable   </t>
  </si>
  <si>
    <t xml:space="preserve">5 core x 2.5 mm2 FG16(O)M16 Cable   </t>
  </si>
  <si>
    <t xml:space="preserve">5 core x 25 mm2 FG16(O)M16 Cable   </t>
  </si>
  <si>
    <t xml:space="preserve">5 core x 50 mm2 FG16(O)M16 Cable   </t>
  </si>
  <si>
    <t xml:space="preserve">5 core x 6.0 mm2 FG16(O)M16 Cable   </t>
  </si>
  <si>
    <t xml:space="preserve">5 core x 70 mm2 FG16(O)M16 Cable   </t>
  </si>
  <si>
    <t xml:space="preserve">5 core x 70 mm2 XLPE/SWA/LSZH/Cu Cable  AJQ41321 </t>
  </si>
  <si>
    <t xml:space="preserve">5G 6.0sqmm (Cl2 CU) BS7846-F120 MGT/XLPE/LSZH/SWA/LSZH BLACK 0.6/1kV   </t>
  </si>
  <si>
    <t xml:space="preserve">Cable Lug   2.5  mm2      </t>
  </si>
  <si>
    <t xml:space="preserve">Cable Lug   4.0  mm2   </t>
  </si>
  <si>
    <t xml:space="preserve">Cable Lug   6.0  mm2   </t>
  </si>
  <si>
    <t xml:space="preserve">Cable Lug  10  mm2   </t>
  </si>
  <si>
    <t xml:space="preserve">Cable Lug  25  mm2      </t>
  </si>
  <si>
    <t xml:space="preserve">Cable Lug  50  mm2      </t>
  </si>
  <si>
    <t xml:space="preserve">Cable Lug  70  mm2   </t>
  </si>
  <si>
    <t xml:space="preserve">Cable Marker Wrap Around Type   </t>
  </si>
  <si>
    <t xml:space="preserve">Gland Indoor 50S BWL  4*95mm2   </t>
  </si>
  <si>
    <t xml:space="preserve">Gland Outdoor 20  CW  4*4/6mm2   </t>
  </si>
  <si>
    <t xml:space="preserve">M20 PVC Gland   </t>
  </si>
  <si>
    <t xml:space="preserve">M25 PVC Gland   </t>
  </si>
  <si>
    <t xml:space="preserve">M32 PVC Gland   </t>
  </si>
  <si>
    <t xml:space="preserve">M40 PVC Gland   </t>
  </si>
  <si>
    <t xml:space="preserve">M63 PVC Gland   </t>
  </si>
  <si>
    <t xml:space="preserve">100mm x 50mm Cable Tray  HDG   </t>
  </si>
  <si>
    <t xml:space="preserve">100mm x 50mm Tray Coupler   </t>
  </si>
  <si>
    <t xml:space="preserve">200mm x 50mm Cable Tray HDG   </t>
  </si>
  <si>
    <t xml:space="preserve">300mm x 50mm Cable Tray HDG   </t>
  </si>
  <si>
    <t xml:space="preserve">400mm x 50mm Cable Tray HDG   </t>
  </si>
  <si>
    <t xml:space="preserve">500mm x 50mm Cable Tray HDG   </t>
  </si>
  <si>
    <t xml:space="preserve">50mm Tray Coupler   </t>
  </si>
  <si>
    <t xml:space="preserve">Tray Coupling Joint Bolts, Nuts &amp; Washers   </t>
  </si>
  <si>
    <t xml:space="preserve">Tray Earth Links   </t>
  </si>
  <si>
    <t xml:space="preserve">50mm x 75mm Cable Trunking 90Deg Bend   </t>
  </si>
  <si>
    <t xml:space="preserve">50mm x 75mm Cable Trunking Coupler   </t>
  </si>
  <si>
    <t xml:space="preserve">50mm x 75mm Cable Trunking Inside Riser Bend   </t>
  </si>
  <si>
    <t xml:space="preserve">50mm x 75mm Cable Trunking Tee   </t>
  </si>
  <si>
    <t xml:space="preserve">50mm x 75mm Galv. Cable Trunking c/w Cover   </t>
  </si>
  <si>
    <t xml:space="preserve">75mm x 75mm Cable Trunking 90Deg Bend   </t>
  </si>
  <si>
    <t xml:space="preserve">75mm x 75mm Cable Trunking Coupler   </t>
  </si>
  <si>
    <t xml:space="preserve">75mm x 75mm Cable Trunking Inside Riser Bend   </t>
  </si>
  <si>
    <t xml:space="preserve">75mm x 75mm Galv. Cable Trunking c/w Cover   </t>
  </si>
  <si>
    <t xml:space="preserve">Trunking Coupling Joint Bolts, Nuts &amp; Washers   </t>
  </si>
  <si>
    <t xml:space="preserve">20mm Conduit LSZH - RATE     </t>
  </si>
  <si>
    <t xml:space="preserve">25mm Conduit LSZH - RATE     </t>
  </si>
  <si>
    <t xml:space="preserve">Conduit PVC 20mm   HG RATE     </t>
  </si>
  <si>
    <t xml:space="preserve">13Amp BS1363 Double Socket Outlet complete with Type 'A' USB and Type 'C' USB   </t>
  </si>
  <si>
    <t xml:space="preserve">13Amp BS1363 Weatherproof Double Socket Outlet   </t>
  </si>
  <si>
    <t xml:space="preserve">13Amp DP Switched Fused Connection Unit with neon indicator   </t>
  </si>
  <si>
    <t xml:space="preserve">13Amp Single DP Switched Socket Outlet white  ESS Q0395603 </t>
  </si>
  <si>
    <t xml:space="preserve">13Amp Twin DP Switched Socket Outlet complete with Type 'A' and Type 'C' USBs    </t>
  </si>
  <si>
    <t xml:space="preserve">13Amp Twin DP Switched Socket Outlet Weather Proof (IP66)   </t>
  </si>
  <si>
    <t xml:space="preserve">13Amp Twin DP Switched Socket Outlet white   </t>
  </si>
  <si>
    <t xml:space="preserve">13Amp Unswitched Fused Connection Unit with neon indicator   </t>
  </si>
  <si>
    <t xml:space="preserve">2 Compartment Floor Outlet Box IP44   </t>
  </si>
  <si>
    <t xml:space="preserve">20A DP Switch   </t>
  </si>
  <si>
    <t xml:space="preserve">3 Compartment Floor Outlet Box IP44   </t>
  </si>
  <si>
    <t xml:space="preserve">5Amp Socket Outlet   </t>
  </si>
  <si>
    <t xml:space="preserve">Magnetic reed switch set    </t>
  </si>
  <si>
    <t xml:space="preserve">Movement detector (Surface Mounted)  ESS Q0395603 </t>
  </si>
  <si>
    <t xml:space="preserve">Shaver Unit   </t>
  </si>
  <si>
    <t xml:space="preserve">Supply only 5Amp Socket Outlet   </t>
  </si>
  <si>
    <t xml:space="preserve">Supply only FEM TRG 3P 16A 230V IP67 PZ-730126 ESS SQ060933 </t>
  </si>
  <si>
    <t xml:space="preserve">Supply only FEM TRG 5P 32A 415V IP67 PZ-730246 ESS SQ060933 </t>
  </si>
  <si>
    <t xml:space="preserve">Switch 1G 2W IP65   </t>
  </si>
  <si>
    <t xml:space="preserve">Universal/ Continental Double Socket Outlet   </t>
  </si>
  <si>
    <t xml:space="preserve">Universal/ Continental Double Socket Outlet complete with Type 'A' USB and Type 'C' USB   </t>
  </si>
  <si>
    <t xml:space="preserve">WHITE Switch 1G 2W  ESS Q0395603 </t>
  </si>
  <si>
    <t xml:space="preserve">WHITE Switch 1G Push  ESS Q0395603 </t>
  </si>
  <si>
    <t xml:space="preserve">WHITE Switch 2G 2W  ESS Q0395603 </t>
  </si>
  <si>
    <t xml:space="preserve">WHITE Switch 4G 2W  ESS Q0395603 </t>
  </si>
  <si>
    <t xml:space="preserve">4-Button Keypad   </t>
  </si>
  <si>
    <t xml:space="preserve">8-Button Keypad   </t>
  </si>
  <si>
    <t xml:space="preserve">DALI Controller Lv.0   </t>
  </si>
  <si>
    <t xml:space="preserve">DALI Controller Lv.1   </t>
  </si>
  <si>
    <t xml:space="preserve">DALI Controller Lv.2   </t>
  </si>
  <si>
    <t xml:space="preserve">DALI Controller Lv.3   </t>
  </si>
  <si>
    <t xml:space="preserve">DALI Controller Lv.4   </t>
  </si>
  <si>
    <t xml:space="preserve">DALI Push Button Interface   </t>
  </si>
  <si>
    <t xml:space="preserve">Analogue addressable heat detectors c/w base   </t>
  </si>
  <si>
    <t xml:space="preserve">Analogue addressable optical smoke detectors c/w base   </t>
  </si>
  <si>
    <t xml:space="preserve">Analogue addressable optical smoke detectors c/w base sounder   </t>
  </si>
  <si>
    <t xml:space="preserve">Cabling in 'Standard' fire alarm cable   </t>
  </si>
  <si>
    <t xml:space="preserve">Fire Blanket   </t>
  </si>
  <si>
    <t xml:space="preserve">Four loop analogue addressable fire alarm control panel, c/w auto dialer, power supply unit &amp; backup batteries   </t>
  </si>
  <si>
    <t xml:space="preserve">Interface modules   </t>
  </si>
  <si>
    <t xml:space="preserve">Magnetic Door Holders   </t>
  </si>
  <si>
    <t xml:space="preserve">Manual call points as specified   </t>
  </si>
  <si>
    <t xml:space="preserve">Open area sounder plus beacon   </t>
  </si>
  <si>
    <t xml:space="preserve">Remote LED Alarm Indicators   </t>
  </si>
  <si>
    <t xml:space="preserve">Firestop board white 1200x600x50mm CFS-CT HDB   </t>
  </si>
  <si>
    <t xml:space="preserve">Firestop coating 5kg   </t>
  </si>
  <si>
    <t xml:space="preserve">Firestop foam CFS-F FX   </t>
  </si>
  <si>
    <t xml:space="preserve">Firestop Intumescent Graphite Brick   </t>
  </si>
  <si>
    <t xml:space="preserve">Firestop Intumescent Graphite Sealant (310ml)   </t>
  </si>
  <si>
    <t xml:space="preserve">Firestop sealant (310ml)   </t>
  </si>
  <si>
    <t xml:space="preserve">6-core cable   </t>
  </si>
  <si>
    <t xml:space="preserve">Access control cards   </t>
  </si>
  <si>
    <t xml:space="preserve">Door Release Button   </t>
  </si>
  <si>
    <t xml:space="preserve">Magnetic Lock   </t>
  </si>
  <si>
    <t xml:space="preserve">Main Controller, inclusive of Software License Module including any licenses for the door readers, contacts etc. for a complete working solution.   </t>
  </si>
  <si>
    <t xml:space="preserve">Proximity Card Reader   </t>
  </si>
  <si>
    <t xml:space="preserve">12-way copper earth bar as specified   </t>
  </si>
  <si>
    <t xml:space="preserve">20mm diameter x 3.6m solid copper earth electrode   </t>
  </si>
  <si>
    <t xml:space="preserve">Inspection pit with cast iron cover, as specified   </t>
  </si>
  <si>
    <t xml:space="preserve">19" 1U Patchcord management panel   </t>
  </si>
  <si>
    <t xml:space="preserve">20U 600x600mm Floor Standing Data Cabinet   </t>
  </si>
  <si>
    <t xml:space="preserve">Cat 6 cable from patch panel cabinet to data points   </t>
  </si>
  <si>
    <t xml:space="preserve">Rack mount 24 port RJ45 Cat 6  patch panel   </t>
  </si>
  <si>
    <t xml:space="preserve">Rack mount power distribution unit with 6No. 13Amp BS socket outlets, including in built surge protection   </t>
  </si>
  <si>
    <t xml:space="preserve">RJ45 Cat 6 Double socket outlets.   </t>
  </si>
  <si>
    <t xml:space="preserve">RJ45 Cat 6 Single socket outlets.   </t>
  </si>
  <si>
    <t xml:space="preserve">Supply Only - Outdoor wall lights for technical area, IP65   </t>
  </si>
  <si>
    <t xml:space="preserve">Supply Only - Type 600x600mm, 40W Soffit Recessed LED Panel   </t>
  </si>
  <si>
    <t xml:space="preserve">Supply Only - Type 'E1' - Single Sided, Wall Mounted, Directional Exit Signage   </t>
  </si>
  <si>
    <t xml:space="preserve">Supply Only - Type 'E2' - Double Sided, Ceiling Mounted/ Soffit Recessed, Directional Exit Signage.   </t>
  </si>
  <si>
    <t xml:space="preserve">Cable termination fishplates   </t>
  </si>
  <si>
    <t xml:space="preserve">Generator Set - 100lt Diesel Fuel for commissioning   </t>
  </si>
  <si>
    <t xml:space="preserve">Generator Set - 300lt Diesel Fuel for filling the day tank   </t>
  </si>
  <si>
    <t xml:space="preserve">Supply, 140kVA/ 400V/ 50Hz, diesel auto start stand-by generator set (PRP) VSS G Q 495   </t>
  </si>
  <si>
    <t xml:space="preserve">Supply, 250Amp TPN Automatic Transfer Switch (ATS) VSS G Q 495   </t>
  </si>
  <si>
    <t xml:space="preserve">Nurse Call system to be interfaced with Fire Alarm System including Pull Chord, Reset Button, etc.   </t>
  </si>
  <si>
    <t xml:space="preserve">16-Channel Network Video Recorder (NVR) with PoE ports   </t>
  </si>
  <si>
    <t xml:space="preserve">External type IP Dome Cameras   </t>
  </si>
  <si>
    <t xml:space="preserve">IP Dome Cameras   </t>
  </si>
  <si>
    <t xml:space="preserve">Cable Connectors PVC   </t>
  </si>
  <si>
    <t xml:space="preserve">Cable Tie 225mm     </t>
  </si>
  <si>
    <t xml:space="preserve">Label Large     </t>
  </si>
  <si>
    <t xml:space="preserve">Label Small     </t>
  </si>
  <si>
    <t xml:space="preserve">Rawl Bolt  6mm    </t>
  </si>
  <si>
    <t xml:space="preserve">Rawl Bolt 10mm    </t>
  </si>
  <si>
    <t xml:space="preserve">Rawl Hook  6mm    </t>
  </si>
  <si>
    <t xml:space="preserve">Rawl Plug S6    </t>
  </si>
  <si>
    <t xml:space="preserve">Screw Wood S6    </t>
  </si>
  <si>
    <t xml:space="preserve">Sleeve Anchor  8mm Hilti HLC 8x40/12-H   </t>
  </si>
  <si>
    <t xml:space="preserve">Consumer Unit Schedule     </t>
  </si>
  <si>
    <t xml:space="preserve">Distribution Board Schedule     </t>
  </si>
  <si>
    <t xml:space="preserve">Method statement and Risk assessment   </t>
  </si>
  <si>
    <t xml:space="preserve">Site vists (2 floors per visit)   </t>
  </si>
  <si>
    <t xml:space="preserve">Enemalta Application Form 'A'   </t>
  </si>
  <si>
    <t xml:space="preserve">Crainage of Generator Set  WB. Neil Ciantar email dated 21/10/25 </t>
  </si>
  <si>
    <t xml:space="preserve">Cranage and Transportation   </t>
  </si>
  <si>
    <t xml:space="preserve">Transportation   </t>
  </si>
  <si>
    <t xml:space="preserve">1No. Skip per floor   </t>
  </si>
  <si>
    <t xml:space="preserve">Hire of Mobile Toilet including delivery and weekly cleaning @ €5.00/day/Toilet   </t>
  </si>
  <si>
    <t>MEP Works British Hotel</t>
  </si>
  <si>
    <t>BMSE_004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</si>
</sst>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2]\ #,##0.00"/>
    <numFmt numFmtId="171" formatCode="0.0000"/>
    <numFmt numFmtId="172" formatCode="0.0000000"/>
    <numFmt numFmtId="173" formatCode="&quot;€/Prhr &quot;#,##0.00_);[Red]\(&quot;Lm &quot;#,##0.00\)"/>
    <numFmt numFmtId="174" formatCode="&quot;€/Prhr &quot;#,##0.000_);[Red]\(&quot;Lm &quot;#,##0.000\)"/>
    <numFmt numFmtId="175" formatCode="0.0"/>
    <numFmt numFmtId="176" formatCode="0.00_)"/>
    <numFmt numFmtId="177" formatCode="#,##0.000_ ;\-#,##0.000\ "/>
  </numFmts>
  <fonts count="192">
    <font>
      <sz val="10"/>
      <name val="Arial"/>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sz val="9"/>
      <color indexed="13"/>
      <name val="Arial"/>
      <family val="2"/>
    </font>
    <font>
      <b/>
      <sz val="9"/>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b/>
      <sz val="9"/>
      <color indexed="63"/>
      <name val="Arial Narrow"/>
      <family val="2"/>
    </font>
    <font>
      <sz val="8"/>
      <color rgb="FF000000"/>
      <name val="Tahoma"/>
      <family val="2"/>
    </font>
    <font>
      <sz val="10"/>
      <color rgb="FF000000"/>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10"/>
      <color theme="1"/>
      <name val="Arial"/>
      <family val="2"/>
    </font>
    <font>
      <sz val="10"/>
      <name val="AvantGarde"/>
    </font>
    <font>
      <sz val="14"/>
      <name val="Arial"/>
      <family val="2"/>
    </font>
    <font>
      <b/>
      <sz val="10"/>
      <name val="AvantGarde"/>
    </font>
    <font>
      <sz val="10"/>
      <name val="Calibri"/>
      <family val="2"/>
    </font>
    <font>
      <b/>
      <sz val="10"/>
      <color rgb="FFFF0000"/>
      <name val="Arial"/>
      <family val="2"/>
    </font>
    <font>
      <b/>
      <i/>
      <sz val="10"/>
      <color rgb="FFFF0000"/>
      <name val="Arial"/>
      <family val="2"/>
    </font>
    <font>
      <i/>
      <sz val="10"/>
      <color rgb="FFFF0000"/>
      <name val="Arial"/>
      <family val="2"/>
    </font>
    <font>
      <b/>
      <sz val="10"/>
      <name val="Arial"/>
      <family val="2"/>
    </font>
    <font>
      <sz val="10"/>
      <color rgb="FFFF0000"/>
      <name val="Arial"/>
      <family val="2"/>
    </font>
    <font>
      <b/>
      <sz val="9"/>
      <color rgb="FFFF0000"/>
      <name val="Arial"/>
      <family val="2"/>
    </font>
    <font>
      <b/>
      <sz val="10"/>
      <color rgb="FF00B0F0"/>
      <name val="Arial"/>
      <family val="2"/>
    </font>
    <font>
      <sz val="10"/>
      <color rgb="FF00B0F0"/>
      <name val="Arial"/>
      <family val="2"/>
    </font>
    <font>
      <b/>
      <i/>
      <sz val="8"/>
      <name val="Arial"/>
      <family val="2"/>
    </font>
    <font>
      <b/>
      <i/>
      <sz val="11"/>
      <name val="Arial"/>
      <family val="2"/>
    </font>
    <font>
      <b/>
      <sz val="9"/>
      <color indexed="13"/>
      <name val="Arial"/>
      <family val="2"/>
    </font>
    <font>
      <sz val="9"/>
      <color indexed="34"/>
      <name val="Arial"/>
      <family val="2"/>
    </font>
    <font>
      <b/>
      <sz val="10"/>
      <color indexed="81"/>
      <name val="Tahoma"/>
      <family val="2"/>
    </font>
    <font>
      <sz val="10"/>
      <color indexed="81"/>
      <name val="Tahoma"/>
      <family val="2"/>
    </font>
    <font>
      <b/>
      <i/>
      <sz val="8"/>
      <color indexed="33"/>
      <name val="Arial"/>
      <family val="2"/>
    </font>
    <font>
      <sz val="9"/>
      <name val="MS Sans Serif"/>
    </font>
    <font>
      <b/>
      <sz val="9"/>
      <name val="MS Sans Serif"/>
    </font>
    <font>
      <b/>
      <sz val="11"/>
      <color theme="1"/>
      <name val="Calibri"/>
      <family val="2"/>
      <scheme val="minor"/>
    </font>
    <font>
      <sz val="10"/>
      <color indexed="42"/>
      <name val="Arial"/>
      <family val="2"/>
    </font>
    <font>
      <sz val="9"/>
      <name val="MS Sans Serif"/>
      <family val="2"/>
    </font>
    <font>
      <sz val="8"/>
      <name val="MS Sans Serif"/>
      <family val="2"/>
    </font>
    <font>
      <b/>
      <sz val="16"/>
      <color theme="1"/>
      <name val="Calibri"/>
      <family val="2"/>
      <scheme val="minor"/>
    </font>
    <font>
      <b/>
      <sz val="11"/>
      <color rgb="FF0070C0"/>
      <name val="Calibri"/>
      <family val="2"/>
      <scheme val="minor"/>
    </font>
    <font>
      <sz val="11"/>
      <color rgb="FF0070C0"/>
      <name val="Calibri"/>
      <family val="2"/>
      <scheme val="minor"/>
    </font>
    <font>
      <b/>
      <sz val="11"/>
      <color rgb="FFFF0000"/>
      <name val="Calibri"/>
      <family val="2"/>
      <scheme val="minor"/>
    </font>
    <font>
      <sz val="9"/>
      <name val="Aptos Narrow"/>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
      <b/>
      <sz val="10"/>
      <color indexed="60"/>
      <name val="Arial Narrow"/>
      <family val="2"/>
    </font>
    <font>
      <b/>
      <sz val="10"/>
      <color indexed="50"/>
      <name val="Arial"/>
      <family val="2"/>
    </font>
  </fonts>
  <fills count="30">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lightUp"/>
    </fill>
    <fill>
      <patternFill patternType="solid">
        <fgColor indexed="47"/>
        <bgColor indexed="8"/>
      </patternFill>
    </fill>
    <fill>
      <patternFill patternType="lightGray">
        <bgColor indexed="15"/>
      </patternFill>
    </fill>
    <fill>
      <patternFill patternType="lightGray">
        <bgColor indexed="26"/>
      </patternFill>
    </fill>
    <fill>
      <patternFill patternType="lightGray">
        <bgColor indexed="51"/>
      </patternFill>
    </fill>
    <fill>
      <patternFill patternType="solid">
        <fgColor theme="5" tint="0.59999389629810485"/>
        <bgColor indexed="64"/>
      </patternFill>
    </fill>
    <fill>
      <patternFill patternType="solid">
        <fgColor theme="0" tint="-4.9989318521683403E-2"/>
        <bgColor indexed="64"/>
      </patternFill>
    </fill>
    <fill>
      <patternFill patternType="solid">
        <fgColor rgb="FFE3E3E3"/>
        <bgColor rgb="FF000000"/>
      </patternFill>
    </fill>
  </fills>
  <borders count="76">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style="double">
        <color indexed="64"/>
      </top>
      <bottom style="thin">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style="medium">
        <color indexed="64"/>
      </left>
      <right/>
      <top style="medium">
        <color indexed="64"/>
      </top>
      <bottom/>
      <diagonal/>
    </border>
    <border>
      <left/>
      <right style="thick">
        <color indexed="64"/>
      </right>
      <top style="medium">
        <color indexed="64"/>
      </top>
      <bottom/>
      <diagonal/>
    </border>
    <border>
      <left style="medium">
        <color indexed="64"/>
      </left>
      <right/>
      <top/>
      <bottom/>
      <diagonal/>
    </border>
    <border>
      <left/>
      <right style="thick">
        <color indexed="64"/>
      </right>
      <top/>
      <bottom/>
      <diagonal/>
    </border>
    <border>
      <left style="medium">
        <color indexed="64"/>
      </left>
      <right/>
      <top/>
      <bottom style="thick">
        <color indexed="64"/>
      </bottom>
      <diagonal/>
    </border>
    <border>
      <left/>
      <right/>
      <top/>
      <bottom style="thick">
        <color indexed="64"/>
      </bottom>
      <diagonal/>
    </border>
    <border>
      <left/>
      <right/>
      <top style="thin">
        <color indexed="64"/>
      </top>
      <bottom style="thick">
        <color indexed="64"/>
      </bottom>
      <diagonal/>
    </border>
    <border>
      <left/>
      <right style="thick">
        <color indexed="64"/>
      </right>
      <top/>
      <bottom style="thick">
        <color indexed="64"/>
      </bottom>
      <diagonal/>
    </border>
    <border>
      <left style="medium">
        <color indexed="64"/>
      </left>
      <right style="thick">
        <color indexed="64"/>
      </right>
      <top style="medium">
        <color indexed="64"/>
      </top>
      <bottom style="thick">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18">
    <xf numFmtId="0" fontId="0" fillId="0" borderId="0"/>
    <xf numFmtId="43" fontId="5" fillId="0" borderId="0" applyFont="0" applyFill="0" applyBorder="0" applyAlignment="0" applyProtection="0"/>
    <xf numFmtId="164" fontId="5" fillId="0" borderId="0" applyFont="0" applyFill="0" applyBorder="0" applyAlignment="0" applyProtection="0"/>
    <xf numFmtId="0" fontId="5" fillId="0" borderId="0"/>
    <xf numFmtId="1" fontId="9" fillId="0" borderId="0"/>
    <xf numFmtId="0" fontId="5" fillId="0" borderId="0"/>
    <xf numFmtId="1" fontId="9" fillId="0" borderId="0"/>
    <xf numFmtId="0" fontId="8" fillId="0" borderId="0"/>
    <xf numFmtId="0" fontId="27" fillId="0" borderId="0"/>
    <xf numFmtId="0" fontId="141" fillId="0" borderId="0"/>
    <xf numFmtId="1" fontId="5" fillId="0" borderId="0"/>
    <xf numFmtId="0" fontId="5" fillId="0" borderId="0"/>
    <xf numFmtId="0" fontId="148" fillId="0" borderId="0"/>
    <xf numFmtId="0" fontId="148" fillId="0" borderId="0"/>
    <xf numFmtId="1" fontId="5" fillId="0" borderId="0"/>
    <xf numFmtId="0" fontId="1" fillId="0" borderId="0"/>
    <xf numFmtId="0" fontId="183" fillId="0" borderId="0"/>
    <xf numFmtId="176" fontId="184" fillId="0" borderId="0"/>
  </cellStyleXfs>
  <cellXfs count="1408">
    <xf numFmtId="0" fontId="0" fillId="0" borderId="0" xfId="0"/>
    <xf numFmtId="0" fontId="13" fillId="0" borderId="0" xfId="3" applyFont="1"/>
    <xf numFmtId="1" fontId="16" fillId="0" borderId="0" xfId="6" applyFont="1" applyProtection="1">
      <protection locked="0"/>
    </xf>
    <xf numFmtId="0" fontId="5" fillId="0" borderId="0" xfId="3"/>
    <xf numFmtId="1" fontId="13" fillId="0" borderId="0" xfId="6" applyFont="1" applyProtection="1">
      <protection locked="0"/>
    </xf>
    <xf numFmtId="2" fontId="13" fillId="0" borderId="0" xfId="6" applyNumberFormat="1" applyFont="1" applyProtection="1">
      <protection locked="0"/>
    </xf>
    <xf numFmtId="1" fontId="22" fillId="0" borderId="0" xfId="6" applyFont="1" applyAlignment="1" applyProtection="1">
      <alignment horizontal="center"/>
      <protection locked="0"/>
    </xf>
    <xf numFmtId="0" fontId="33"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5" fillId="0" borderId="1" xfId="3" applyBorder="1"/>
    <xf numFmtId="1" fontId="13" fillId="0" borderId="0" xfId="6" applyFont="1" applyAlignment="1" applyProtection="1">
      <alignment horizontal="centerContinuous"/>
      <protection locked="0"/>
    </xf>
    <xf numFmtId="1" fontId="13" fillId="0" borderId="0" xfId="6" applyFont="1" applyAlignment="1" applyProtection="1">
      <alignment horizontal="left"/>
      <protection locked="0"/>
    </xf>
    <xf numFmtId="0" fontId="14" fillId="0" borderId="0" xfId="2" applyNumberFormat="1" applyFont="1" applyBorder="1" applyAlignment="1" applyProtection="1">
      <protection locked="0"/>
    </xf>
    <xf numFmtId="0" fontId="14" fillId="0" borderId="0" xfId="3" applyFont="1" applyAlignment="1" applyProtection="1">
      <alignment horizontal="left"/>
      <protection locked="0"/>
    </xf>
    <xf numFmtId="15" fontId="14" fillId="0" borderId="0" xfId="6" applyNumberFormat="1" applyFont="1" applyAlignment="1" applyProtection="1">
      <alignment horizontal="left"/>
      <protection locked="0"/>
    </xf>
    <xf numFmtId="0" fontId="14" fillId="0" borderId="0" xfId="2" applyNumberFormat="1" applyFont="1" applyFill="1" applyBorder="1" applyAlignment="1" applyProtection="1">
      <alignment horizontal="left"/>
      <protection locked="0"/>
    </xf>
    <xf numFmtId="0" fontId="28" fillId="0" borderId="0" xfId="2" applyNumberFormat="1" applyFont="1" applyBorder="1" applyAlignment="1" applyProtection="1">
      <alignment horizontal="centerContinuous"/>
      <protection locked="0"/>
    </xf>
    <xf numFmtId="0" fontId="10" fillId="2" borderId="2" xfId="3" applyFont="1" applyFill="1" applyBorder="1" applyAlignment="1">
      <alignment horizontal="center"/>
    </xf>
    <xf numFmtId="0" fontId="10" fillId="3" borderId="3" xfId="3" applyFont="1" applyFill="1" applyBorder="1" applyAlignment="1">
      <alignment horizontal="center"/>
    </xf>
    <xf numFmtId="0" fontId="10" fillId="4" borderId="3" xfId="3" applyFont="1" applyFill="1" applyBorder="1" applyAlignment="1">
      <alignment horizontal="center"/>
    </xf>
    <xf numFmtId="0" fontId="54" fillId="5" borderId="3" xfId="3" applyFont="1" applyFill="1" applyBorder="1" applyAlignment="1">
      <alignment horizontal="center"/>
    </xf>
    <xf numFmtId="0" fontId="10" fillId="6" borderId="3" xfId="3" applyFont="1" applyFill="1" applyBorder="1" applyAlignment="1">
      <alignment horizontal="center"/>
    </xf>
    <xf numFmtId="0" fontId="10" fillId="2" borderId="3" xfId="3" applyFont="1" applyFill="1" applyBorder="1" applyAlignment="1">
      <alignment horizontal="center"/>
    </xf>
    <xf numFmtId="0" fontId="10" fillId="7" borderId="3" xfId="3" applyFont="1" applyFill="1" applyBorder="1" applyAlignment="1">
      <alignment horizontal="center"/>
    </xf>
    <xf numFmtId="0" fontId="10" fillId="8" borderId="3" xfId="3" applyFont="1" applyFill="1" applyBorder="1" applyAlignment="1">
      <alignment horizontal="center"/>
    </xf>
    <xf numFmtId="0" fontId="10" fillId="9" borderId="3" xfId="3" applyFont="1" applyFill="1" applyBorder="1" applyAlignment="1">
      <alignment horizontal="center"/>
    </xf>
    <xf numFmtId="0" fontId="10" fillId="10" borderId="3" xfId="3" applyFont="1" applyFill="1" applyBorder="1" applyAlignment="1">
      <alignment horizontal="center"/>
    </xf>
    <xf numFmtId="0" fontId="10" fillId="11" borderId="3" xfId="3" applyFont="1" applyFill="1" applyBorder="1" applyAlignment="1">
      <alignment horizontal="center"/>
    </xf>
    <xf numFmtId="0" fontId="52" fillId="2" borderId="4" xfId="2" applyNumberFormat="1" applyFont="1" applyFill="1" applyBorder="1" applyAlignment="1" applyProtection="1">
      <alignment horizontal="center" vertical="center"/>
    </xf>
    <xf numFmtId="0" fontId="52" fillId="2" borderId="5" xfId="3" applyFont="1" applyFill="1" applyBorder="1" applyAlignment="1">
      <alignment horizontal="center" vertical="center"/>
    </xf>
    <xf numFmtId="0" fontId="52" fillId="2" borderId="6" xfId="0" applyFont="1" applyFill="1" applyBorder="1" applyAlignment="1">
      <alignment horizontal="center" vertical="center"/>
    </xf>
    <xf numFmtId="0" fontId="52" fillId="2" borderId="7" xfId="0" applyFont="1" applyFill="1" applyBorder="1" applyAlignment="1">
      <alignment horizontal="center" vertical="center"/>
    </xf>
    <xf numFmtId="0" fontId="12" fillId="0" borderId="0" xfId="0" applyFont="1" applyProtection="1">
      <protection locked="0"/>
    </xf>
    <xf numFmtId="0" fontId="13" fillId="0" borderId="0" xfId="3" applyFont="1" applyProtection="1">
      <protection locked="0"/>
    </xf>
    <xf numFmtId="0" fontId="5" fillId="0" borderId="0" xfId="3" applyProtection="1">
      <protection locked="0"/>
    </xf>
    <xf numFmtId="1" fontId="13" fillId="0" borderId="0" xfId="3" applyNumberFormat="1" applyFont="1" applyProtection="1">
      <protection locked="0"/>
    </xf>
    <xf numFmtId="0" fontId="0" fillId="0" borderId="0" xfId="0" applyProtection="1">
      <protection locked="0"/>
    </xf>
    <xf numFmtId="0" fontId="15" fillId="0" borderId="0" xfId="3" applyFont="1" applyProtection="1">
      <protection locked="0"/>
    </xf>
    <xf numFmtId="0" fontId="16" fillId="0" borderId="0" xfId="3" applyFont="1" applyAlignment="1" applyProtection="1">
      <alignment horizontal="right"/>
      <protection locked="0"/>
    </xf>
    <xf numFmtId="0" fontId="8" fillId="0" borderId="1" xfId="3" applyFont="1" applyBorder="1" applyProtection="1">
      <protection locked="0"/>
    </xf>
    <xf numFmtId="0" fontId="14" fillId="0" borderId="0" xfId="3" applyFont="1" applyAlignment="1" applyProtection="1">
      <alignment horizontal="center"/>
      <protection locked="0"/>
    </xf>
    <xf numFmtId="0" fontId="14" fillId="0" borderId="0" xfId="3" applyFont="1" applyAlignment="1" applyProtection="1">
      <alignment horizontal="right"/>
      <protection locked="0"/>
    </xf>
    <xf numFmtId="1" fontId="13" fillId="0" borderId="0" xfId="6" applyFont="1" applyAlignment="1" applyProtection="1">
      <alignment horizontal="center"/>
      <protection locked="0"/>
    </xf>
    <xf numFmtId="1" fontId="13" fillId="0" borderId="8" xfId="6" applyFont="1" applyBorder="1" applyAlignment="1" applyProtection="1">
      <alignment horizontal="right"/>
      <protection locked="0"/>
    </xf>
    <xf numFmtId="2" fontId="13" fillId="0" borderId="9" xfId="6" applyNumberFormat="1" applyFont="1" applyBorder="1" applyAlignment="1" applyProtection="1">
      <alignment horizontal="left"/>
      <protection locked="0"/>
    </xf>
    <xf numFmtId="1" fontId="13" fillId="0" borderId="1" xfId="6" applyFont="1" applyBorder="1" applyProtection="1">
      <protection locked="0"/>
    </xf>
    <xf numFmtId="2" fontId="13" fillId="0" borderId="1" xfId="6" applyNumberFormat="1" applyFont="1" applyBorder="1" applyProtection="1">
      <protection locked="0"/>
    </xf>
    <xf numFmtId="0" fontId="17" fillId="0" borderId="0" xfId="3" applyFont="1" applyProtection="1">
      <protection locked="0"/>
    </xf>
    <xf numFmtId="0" fontId="16" fillId="0" borderId="11" xfId="3" applyFont="1" applyBorder="1" applyAlignment="1" applyProtection="1">
      <alignment horizontal="center"/>
      <protection locked="0"/>
    </xf>
    <xf numFmtId="0" fontId="13" fillId="0" borderId="1" xfId="3" applyFont="1" applyBorder="1" applyProtection="1">
      <protection locked="0"/>
    </xf>
    <xf numFmtId="0" fontId="8" fillId="0" borderId="0" xfId="3" applyFont="1" applyProtection="1">
      <protection locked="0"/>
    </xf>
    <xf numFmtId="1" fontId="8" fillId="0" borderId="0" xfId="3" applyNumberFormat="1" applyFont="1" applyProtection="1">
      <protection locked="0"/>
    </xf>
    <xf numFmtId="0" fontId="16" fillId="0" borderId="0" xfId="3" applyFont="1" applyProtection="1">
      <protection locked="0"/>
    </xf>
    <xf numFmtId="0" fontId="17" fillId="0" borderId="1" xfId="3" applyFont="1" applyBorder="1" applyProtection="1">
      <protection locked="0"/>
    </xf>
    <xf numFmtId="0" fontId="8" fillId="0" borderId="13" xfId="0" applyFont="1" applyBorder="1" applyAlignment="1" applyProtection="1">
      <alignment horizontal="right"/>
      <protection locked="0"/>
    </xf>
    <xf numFmtId="0" fontId="4"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2" fillId="0" borderId="13" xfId="0" applyFont="1" applyBorder="1" applyProtection="1">
      <protection locked="0"/>
    </xf>
    <xf numFmtId="2" fontId="2" fillId="2" borderId="14" xfId="0" applyNumberFormat="1" applyFont="1" applyFill="1" applyBorder="1" applyAlignment="1" applyProtection="1">
      <alignment horizontal="right"/>
      <protection locked="0"/>
    </xf>
    <xf numFmtId="165" fontId="2" fillId="2" borderId="14" xfId="0" applyNumberFormat="1" applyFont="1" applyFill="1" applyBorder="1" applyProtection="1">
      <protection locked="0"/>
    </xf>
    <xf numFmtId="0" fontId="8" fillId="0" borderId="0" xfId="0" applyFont="1" applyAlignment="1" applyProtection="1">
      <alignment horizontal="right"/>
      <protection locked="0"/>
    </xf>
    <xf numFmtId="0" fontId="2" fillId="0" borderId="0" xfId="0" applyFont="1" applyAlignment="1" applyProtection="1">
      <alignment horizontal="center"/>
      <protection locked="0"/>
    </xf>
    <xf numFmtId="1" fontId="0" fillId="0" borderId="0" xfId="0" applyNumberFormat="1" applyProtection="1">
      <protection locked="0"/>
    </xf>
    <xf numFmtId="2" fontId="9" fillId="0" borderId="0" xfId="0" applyNumberFormat="1" applyFont="1" applyProtection="1">
      <protection locked="0"/>
    </xf>
    <xf numFmtId="165" fontId="0" fillId="0" borderId="0" xfId="0" applyNumberFormat="1" applyProtection="1">
      <protection locked="0"/>
    </xf>
    <xf numFmtId="0" fontId="13" fillId="0" borderId="0" xfId="0" applyFont="1" applyProtection="1">
      <protection locked="0"/>
    </xf>
    <xf numFmtId="0" fontId="8" fillId="0" borderId="1" xfId="0" applyFont="1" applyBorder="1" applyAlignment="1" applyProtection="1">
      <alignment horizontal="right"/>
      <protection locked="0"/>
    </xf>
    <xf numFmtId="0" fontId="23" fillId="0" borderId="1" xfId="0" applyFont="1" applyBorder="1" applyAlignment="1" applyProtection="1">
      <alignment horizontal="left"/>
      <protection locked="0"/>
    </xf>
    <xf numFmtId="1" fontId="22" fillId="0" borderId="1" xfId="6" applyFont="1" applyBorder="1" applyAlignment="1" applyProtection="1">
      <alignment horizontal="center"/>
      <protection locked="0"/>
    </xf>
    <xf numFmtId="0" fontId="13" fillId="0" borderId="1" xfId="0" applyFont="1" applyBorder="1" applyProtection="1">
      <protection locked="0"/>
    </xf>
    <xf numFmtId="0" fontId="0" fillId="0" borderId="1" xfId="0" applyBorder="1" applyProtection="1">
      <protection locked="0"/>
    </xf>
    <xf numFmtId="0" fontId="2" fillId="0" borderId="1" xfId="0" applyFont="1" applyBorder="1" applyAlignment="1" applyProtection="1">
      <alignment horizontal="center"/>
      <protection locked="0"/>
    </xf>
    <xf numFmtId="1" fontId="0" fillId="0" borderId="1" xfId="0" applyNumberFormat="1" applyBorder="1" applyProtection="1">
      <protection locked="0"/>
    </xf>
    <xf numFmtId="2" fontId="9" fillId="0" borderId="1" xfId="0" applyNumberFormat="1" applyFont="1" applyBorder="1" applyProtection="1">
      <protection locked="0"/>
    </xf>
    <xf numFmtId="165" fontId="0" fillId="0" borderId="1" xfId="0" applyNumberFormat="1" applyBorder="1" applyProtection="1">
      <protection locked="0"/>
    </xf>
    <xf numFmtId="0" fontId="21" fillId="0" borderId="0" xfId="0" applyFont="1" applyAlignment="1" applyProtection="1">
      <alignment horizontal="center"/>
      <protection locked="0"/>
    </xf>
    <xf numFmtId="0" fontId="24" fillId="0" borderId="0" xfId="0" applyFont="1" applyProtection="1">
      <protection locked="0"/>
    </xf>
    <xf numFmtId="0" fontId="21" fillId="0" borderId="0" xfId="0" applyFont="1" applyAlignment="1" applyProtection="1">
      <alignment horizontal="left"/>
      <protection locked="0"/>
    </xf>
    <xf numFmtId="0" fontId="25"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24" fillId="0" borderId="1" xfId="0" applyFont="1" applyBorder="1" applyProtection="1">
      <protection locked="0"/>
    </xf>
    <xf numFmtId="0" fontId="21" fillId="0" borderId="15" xfId="0" applyFont="1" applyBorder="1" applyAlignment="1" applyProtection="1">
      <alignment horizontal="left"/>
      <protection locked="0"/>
    </xf>
    <xf numFmtId="0" fontId="26"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5"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2" fontId="13" fillId="2" borderId="0" xfId="3" applyNumberFormat="1" applyFont="1" applyFill="1" applyAlignment="1" applyProtection="1">
      <alignment vertical="top"/>
      <protection locked="0"/>
    </xf>
    <xf numFmtId="2" fontId="16" fillId="14" borderId="3" xfId="6" applyNumberFormat="1" applyFont="1" applyFill="1" applyBorder="1" applyAlignment="1" applyProtection="1">
      <alignment horizontal="center" vertical="top"/>
      <protection locked="0"/>
    </xf>
    <xf numFmtId="1" fontId="13" fillId="0" borderId="0" xfId="6" applyFont="1" applyAlignment="1" applyProtection="1">
      <alignment horizontal="center" vertical="top"/>
      <protection locked="0"/>
    </xf>
    <xf numFmtId="1" fontId="57" fillId="0" borderId="0" xfId="6" applyFont="1" applyAlignment="1" applyProtection="1">
      <alignment horizontal="left" vertical="top"/>
      <protection locked="0"/>
    </xf>
    <xf numFmtId="1" fontId="15" fillId="0" borderId="0" xfId="6" applyFont="1" applyAlignment="1" applyProtection="1">
      <alignment vertical="top"/>
      <protection locked="0"/>
    </xf>
    <xf numFmtId="1" fontId="16" fillId="0" borderId="0" xfId="6" applyFont="1" applyAlignment="1" applyProtection="1">
      <alignment vertical="top"/>
      <protection locked="0"/>
    </xf>
    <xf numFmtId="2" fontId="16" fillId="0" borderId="0" xfId="6" applyNumberFormat="1" applyFont="1" applyAlignment="1" applyProtection="1">
      <alignment vertical="top"/>
      <protection locked="0"/>
    </xf>
    <xf numFmtId="1" fontId="8" fillId="0" borderId="0" xfId="6" applyFont="1" applyAlignment="1" applyProtection="1">
      <alignment horizontal="center" vertical="top"/>
      <protection locked="0"/>
    </xf>
    <xf numFmtId="1" fontId="8"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59" fillId="15" borderId="1" xfId="6" applyNumberFormat="1" applyFont="1" applyFill="1" applyBorder="1" applyAlignment="1">
      <alignment horizontal="center" vertical="top"/>
    </xf>
    <xf numFmtId="2" fontId="13" fillId="0" borderId="0" xfId="6" applyNumberFormat="1" applyFont="1" applyAlignment="1" applyProtection="1">
      <alignment vertical="top"/>
      <protection locked="0"/>
    </xf>
    <xf numFmtId="0" fontId="24" fillId="0" borderId="0" xfId="3" applyFont="1"/>
    <xf numFmtId="1" fontId="5" fillId="0" borderId="0" xfId="3" applyNumberFormat="1"/>
    <xf numFmtId="2" fontId="13" fillId="3" borderId="0" xfId="6" applyNumberFormat="1" applyFont="1" applyFill="1"/>
    <xf numFmtId="2" fontId="13" fillId="17" borderId="0" xfId="6" applyNumberFormat="1" applyFont="1" applyFill="1"/>
    <xf numFmtId="1" fontId="29" fillId="0" borderId="1" xfId="6" applyFont="1" applyBorder="1" applyAlignment="1" applyProtection="1">
      <alignment horizontal="right"/>
      <protection locked="0"/>
    </xf>
    <xf numFmtId="1" fontId="13" fillId="0" borderId="1" xfId="6" applyFont="1" applyBorder="1" applyAlignment="1" applyProtection="1">
      <alignment horizontal="center"/>
      <protection locked="0"/>
    </xf>
    <xf numFmtId="1" fontId="13" fillId="0" borderId="1" xfId="6" applyFont="1" applyBorder="1"/>
    <xf numFmtId="1" fontId="8" fillId="0" borderId="1" xfId="6" applyFont="1" applyBorder="1" applyAlignment="1" applyProtection="1">
      <alignment horizontal="center"/>
      <protection locked="0"/>
    </xf>
    <xf numFmtId="2" fontId="60" fillId="3" borderId="15" xfId="6" applyNumberFormat="1" applyFont="1" applyFill="1" applyBorder="1" applyAlignment="1">
      <alignment horizontal="right"/>
    </xf>
    <xf numFmtId="1" fontId="8" fillId="0" borderId="1" xfId="6" applyFont="1" applyBorder="1" applyAlignment="1" applyProtection="1">
      <alignment horizontal="right"/>
      <protection locked="0"/>
    </xf>
    <xf numFmtId="1" fontId="0" fillId="0" borderId="0" xfId="0" applyNumberFormat="1"/>
    <xf numFmtId="0" fontId="42" fillId="0" borderId="0" xfId="3" applyFont="1" applyProtection="1">
      <protection locked="0"/>
    </xf>
    <xf numFmtId="0" fontId="16" fillId="0" borderId="1" xfId="3" applyFont="1" applyBorder="1" applyAlignment="1">
      <alignment horizontal="center"/>
    </xf>
    <xf numFmtId="0" fontId="16" fillId="0" borderId="1" xfId="3" applyFont="1" applyBorder="1" applyAlignment="1" applyProtection="1">
      <alignment horizontal="right"/>
      <protection locked="0"/>
    </xf>
    <xf numFmtId="1" fontId="13" fillId="0" borderId="0" xfId="3" applyNumberFormat="1" applyFont="1"/>
    <xf numFmtId="0" fontId="16" fillId="0" borderId="0" xfId="3" applyFont="1"/>
    <xf numFmtId="1" fontId="16" fillId="0" borderId="0" xfId="3" applyNumberFormat="1" applyFont="1"/>
    <xf numFmtId="2" fontId="13" fillId="0" borderId="12" xfId="3" applyNumberFormat="1" applyFont="1" applyBorder="1"/>
    <xf numFmtId="0" fontId="13" fillId="0" borderId="12" xfId="3" applyFont="1" applyBorder="1" applyProtection="1">
      <protection locked="0"/>
    </xf>
    <xf numFmtId="2" fontId="13" fillId="13" borderId="12" xfId="6" applyNumberFormat="1" applyFont="1" applyFill="1" applyBorder="1"/>
    <xf numFmtId="1" fontId="13" fillId="0" borderId="12" xfId="6" applyFont="1" applyBorder="1" applyProtection="1">
      <protection locked="0"/>
    </xf>
    <xf numFmtId="1" fontId="5" fillId="0" borderId="1" xfId="3" applyNumberFormat="1" applyBorder="1"/>
    <xf numFmtId="0" fontId="0" fillId="14" borderId="0" xfId="0" applyFill="1" applyAlignment="1" applyProtection="1">
      <alignment horizontal="center"/>
      <protection locked="0"/>
    </xf>
    <xf numFmtId="0" fontId="70" fillId="7" borderId="0" xfId="0" applyFont="1" applyFill="1" applyAlignment="1" applyProtection="1">
      <alignment horizontal="center"/>
      <protection locked="0"/>
    </xf>
    <xf numFmtId="0" fontId="72" fillId="14" borderId="0" xfId="0" applyFont="1" applyFill="1" applyAlignment="1" applyProtection="1">
      <alignment horizontal="center"/>
      <protection locked="0"/>
    </xf>
    <xf numFmtId="0" fontId="72" fillId="2" borderId="0" xfId="0" applyFont="1" applyFill="1" applyAlignment="1">
      <alignment horizontal="center"/>
    </xf>
    <xf numFmtId="0" fontId="72" fillId="12" borderId="0" xfId="0" applyFont="1" applyFill="1" applyAlignment="1" applyProtection="1">
      <alignment horizontal="center"/>
      <protection locked="0"/>
    </xf>
    <xf numFmtId="0" fontId="73" fillId="0" borderId="0" xfId="0" applyFont="1" applyAlignment="1">
      <alignment horizontal="center"/>
    </xf>
    <xf numFmtId="0" fontId="72" fillId="0" borderId="0" xfId="0" applyFont="1" applyAlignment="1" applyProtection="1">
      <alignment horizontal="center"/>
      <protection locked="0"/>
    </xf>
    <xf numFmtId="0" fontId="28" fillId="0" borderId="13" xfId="2" applyNumberFormat="1" applyFont="1" applyBorder="1" applyAlignment="1" applyProtection="1">
      <alignment horizontal="centerContinuous"/>
      <protection locked="0"/>
    </xf>
    <xf numFmtId="0" fontId="8" fillId="0" borderId="0" xfId="7" applyProtection="1">
      <protection locked="0"/>
    </xf>
    <xf numFmtId="0" fontId="71" fillId="0" borderId="0" xfId="0" applyFont="1" applyProtection="1">
      <protection locked="0"/>
    </xf>
    <xf numFmtId="0" fontId="31" fillId="0" borderId="0" xfId="0" applyFont="1" applyProtection="1">
      <protection locked="0"/>
    </xf>
    <xf numFmtId="0" fontId="9" fillId="0" borderId="0" xfId="0" applyFont="1" applyAlignment="1" applyProtection="1">
      <alignment horizontal="centerContinuous"/>
      <protection locked="0"/>
    </xf>
    <xf numFmtId="0" fontId="0" fillId="0" borderId="0" xfId="0" applyAlignment="1" applyProtection="1">
      <alignment horizontal="left"/>
      <protection locked="0"/>
    </xf>
    <xf numFmtId="0" fontId="33" fillId="0" borderId="0" xfId="3" applyFont="1" applyAlignment="1" applyProtection="1">
      <alignment horizontal="centerContinuous"/>
      <protection locked="0"/>
    </xf>
    <xf numFmtId="0" fontId="32" fillId="0" borderId="0" xfId="0" applyFont="1" applyAlignment="1" applyProtection="1">
      <alignment horizontal="center"/>
      <protection locked="0"/>
    </xf>
    <xf numFmtId="0" fontId="0" fillId="0" borderId="0" xfId="0" applyAlignment="1" applyProtection="1">
      <alignment horizontal="right"/>
      <protection locked="0"/>
    </xf>
    <xf numFmtId="0" fontId="80" fillId="0" borderId="0" xfId="7" applyFont="1" applyAlignment="1" applyProtection="1">
      <alignment horizontal="left"/>
      <protection locked="0"/>
    </xf>
    <xf numFmtId="0" fontId="35"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8" fillId="0" borderId="0" xfId="7" applyAlignment="1" applyProtection="1">
      <alignment horizontal="left"/>
      <protection locked="0"/>
    </xf>
    <xf numFmtId="0" fontId="0" fillId="0" borderId="16" xfId="0" applyBorder="1" applyProtection="1">
      <protection locked="0"/>
    </xf>
    <xf numFmtId="0" fontId="24" fillId="0" borderId="0" xfId="7" applyFont="1" applyProtection="1">
      <protection locked="0"/>
    </xf>
    <xf numFmtId="0" fontId="61" fillId="0" borderId="0" xfId="7" applyFont="1" applyAlignment="1" applyProtection="1">
      <alignment horizontal="right"/>
      <protection locked="0"/>
    </xf>
    <xf numFmtId="2" fontId="53" fillId="0" borderId="0" xfId="1" applyNumberFormat="1" applyFont="1" applyAlignment="1" applyProtection="1">
      <alignment horizontal="right"/>
      <protection locked="0"/>
    </xf>
    <xf numFmtId="0" fontId="37" fillId="0" borderId="0" xfId="8" applyFont="1" applyProtection="1">
      <protection locked="0"/>
    </xf>
    <xf numFmtId="0" fontId="19" fillId="0" borderId="1" xfId="7" applyFont="1" applyBorder="1" applyProtection="1">
      <protection locked="0"/>
    </xf>
    <xf numFmtId="0" fontId="8" fillId="0" borderId="1" xfId="7" applyBorder="1" applyAlignment="1" applyProtection="1">
      <alignment horizontal="left"/>
      <protection locked="0"/>
    </xf>
    <xf numFmtId="0" fontId="8" fillId="0" borderId="1" xfId="7" applyBorder="1" applyProtection="1">
      <protection locked="0"/>
    </xf>
    <xf numFmtId="0" fontId="9" fillId="0" borderId="0" xfId="7" applyFont="1" applyProtection="1">
      <protection locked="0"/>
    </xf>
    <xf numFmtId="0" fontId="8" fillId="0" borderId="13" xfId="7" applyBorder="1" applyProtection="1">
      <protection locked="0"/>
    </xf>
    <xf numFmtId="0" fontId="19" fillId="0" borderId="0" xfId="7" applyFont="1" applyProtection="1">
      <protection locked="0"/>
    </xf>
    <xf numFmtId="0" fontId="2" fillId="0" borderId="0" xfId="7" applyFont="1" applyProtection="1">
      <protection locked="0"/>
    </xf>
    <xf numFmtId="0" fontId="0" fillId="0" borderId="17" xfId="0" applyBorder="1" applyAlignment="1" applyProtection="1">
      <alignment horizontal="left"/>
      <protection locked="0"/>
    </xf>
    <xf numFmtId="0" fontId="3" fillId="0" borderId="18" xfId="0" applyFont="1" applyBorder="1" applyProtection="1">
      <protection locked="0"/>
    </xf>
    <xf numFmtId="0" fontId="21" fillId="0" borderId="0" xfId="8" applyFont="1" applyAlignment="1" applyProtection="1">
      <alignment horizontal="right"/>
      <protection locked="0"/>
    </xf>
    <xf numFmtId="0" fontId="21" fillId="0" borderId="0" xfId="0" applyFont="1" applyAlignment="1" applyProtection="1">
      <alignment horizontal="right"/>
      <protection locked="0"/>
    </xf>
    <xf numFmtId="0" fontId="4" fillId="0" borderId="0" xfId="0" applyFont="1" applyAlignment="1" applyProtection="1">
      <alignment horizontal="right"/>
      <protection locked="0"/>
    </xf>
    <xf numFmtId="0" fontId="13" fillId="12" borderId="0" xfId="0" applyFont="1" applyFill="1" applyProtection="1">
      <protection locked="0"/>
    </xf>
    <xf numFmtId="0" fontId="0" fillId="12" borderId="0" xfId="0" applyFill="1" applyProtection="1">
      <protection locked="0"/>
    </xf>
    <xf numFmtId="0" fontId="3"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6" fillId="0" borderId="0" xfId="0" applyFont="1" applyAlignment="1" applyProtection="1">
      <alignment horizontal="centerContinuous"/>
      <protection locked="0"/>
    </xf>
    <xf numFmtId="0" fontId="0" fillId="0" borderId="3" xfId="0" applyBorder="1" applyProtection="1">
      <protection locked="0"/>
    </xf>
    <xf numFmtId="0" fontId="24" fillId="0" borderId="0" xfId="0" applyFont="1" applyAlignment="1" applyProtection="1">
      <alignment horizontal="centerContinuous"/>
      <protection locked="0"/>
    </xf>
    <xf numFmtId="0" fontId="62" fillId="0" borderId="0" xfId="0" applyFont="1" applyProtection="1">
      <protection locked="0"/>
    </xf>
    <xf numFmtId="0" fontId="63" fillId="0" borderId="0" xfId="0" applyFont="1" applyProtection="1">
      <protection locked="0"/>
    </xf>
    <xf numFmtId="0" fontId="39" fillId="0" borderId="17" xfId="8" applyFont="1" applyBorder="1" applyAlignment="1" applyProtection="1">
      <alignment horizontal="left"/>
      <protection locked="0"/>
    </xf>
    <xf numFmtId="0" fontId="39" fillId="0" borderId="0" xfId="8" applyFont="1" applyProtection="1">
      <protection locked="0"/>
    </xf>
    <xf numFmtId="0" fontId="81" fillId="0" borderId="0" xfId="0" applyFont="1" applyAlignment="1" applyProtection="1">
      <alignment horizontal="right"/>
      <protection locked="0"/>
    </xf>
    <xf numFmtId="0" fontId="65" fillId="0" borderId="22" xfId="8" applyFont="1" applyBorder="1" applyAlignment="1" applyProtection="1">
      <alignment horizontal="left"/>
      <protection locked="0"/>
    </xf>
    <xf numFmtId="0" fontId="64" fillId="0" borderId="22" xfId="8" applyFont="1" applyBorder="1" applyAlignment="1" applyProtection="1">
      <alignment horizontal="centerContinuous"/>
      <protection locked="0"/>
    </xf>
    <xf numFmtId="0" fontId="64" fillId="0" borderId="22" xfId="8" applyFont="1" applyBorder="1" applyProtection="1">
      <protection locked="0"/>
    </xf>
    <xf numFmtId="0" fontId="66" fillId="0" borderId="22" xfId="0" applyFont="1" applyBorder="1" applyProtection="1">
      <protection locked="0"/>
    </xf>
    <xf numFmtId="0" fontId="66" fillId="0" borderId="0" xfId="0" applyFont="1" applyProtection="1">
      <protection locked="0"/>
    </xf>
    <xf numFmtId="0" fontId="67" fillId="0" borderId="0" xfId="0" applyFont="1" applyAlignment="1" applyProtection="1">
      <alignment horizontal="right"/>
      <protection locked="0"/>
    </xf>
    <xf numFmtId="168" fontId="67" fillId="0" borderId="0" xfId="0" applyNumberFormat="1" applyFont="1" applyAlignment="1" applyProtection="1">
      <alignment horizontal="right"/>
      <protection locked="0"/>
    </xf>
    <xf numFmtId="0" fontId="65" fillId="0" borderId="0" xfId="8" applyFont="1" applyAlignment="1" applyProtection="1">
      <alignment horizontal="left"/>
      <protection locked="0"/>
    </xf>
    <xf numFmtId="0" fontId="64" fillId="0" borderId="0" xfId="8" applyFont="1" applyAlignment="1" applyProtection="1">
      <alignment horizontal="centerContinuous"/>
      <protection locked="0"/>
    </xf>
    <xf numFmtId="0" fontId="64" fillId="0" borderId="0" xfId="8" applyFont="1" applyProtection="1">
      <protection locked="0"/>
    </xf>
    <xf numFmtId="0" fontId="24" fillId="0" borderId="23" xfId="0" applyFont="1" applyBorder="1" applyAlignment="1" applyProtection="1">
      <alignment horizontal="center"/>
      <protection locked="0"/>
    </xf>
    <xf numFmtId="0" fontId="24" fillId="0" borderId="22" xfId="0" applyFont="1" applyBorder="1" applyAlignment="1" applyProtection="1">
      <alignment horizontal="center"/>
      <protection locked="0"/>
    </xf>
    <xf numFmtId="0" fontId="31"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1"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39" fillId="0" borderId="13" xfId="8" applyFont="1" applyBorder="1" applyAlignment="1" applyProtection="1">
      <alignment horizontal="centerContinuous"/>
      <protection locked="0"/>
    </xf>
    <xf numFmtId="0" fontId="39" fillId="0" borderId="13" xfId="8" applyFont="1" applyBorder="1" applyProtection="1">
      <protection locked="0"/>
    </xf>
    <xf numFmtId="0" fontId="39" fillId="0" borderId="0" xfId="8" applyFont="1" applyAlignment="1" applyProtection="1">
      <alignment horizontal="centerContinuous"/>
      <protection locked="0"/>
    </xf>
    <xf numFmtId="9" fontId="41" fillId="2" borderId="3" xfId="8" applyNumberFormat="1" applyFont="1" applyFill="1" applyBorder="1" applyAlignment="1" applyProtection="1">
      <alignment horizontal="centerContinuous"/>
      <protection locked="0"/>
    </xf>
    <xf numFmtId="9" fontId="41" fillId="0" borderId="0" xfId="8" applyNumberFormat="1" applyFont="1" applyAlignment="1" applyProtection="1">
      <alignment horizontal="centerContinuous"/>
      <protection locked="0"/>
    </xf>
    <xf numFmtId="0" fontId="41" fillId="2" borderId="3" xfId="8" applyFont="1" applyFill="1" applyBorder="1" applyAlignment="1" applyProtection="1">
      <alignment horizontal="centerContinuous"/>
      <protection locked="0"/>
    </xf>
    <xf numFmtId="15" fontId="41" fillId="2" borderId="3" xfId="8" applyNumberFormat="1" applyFont="1" applyFill="1" applyBorder="1" applyAlignment="1" applyProtection="1">
      <alignment horizontal="centerContinuous"/>
      <protection locked="0"/>
    </xf>
    <xf numFmtId="0" fontId="42" fillId="0" borderId="0" xfId="8" applyFont="1" applyProtection="1">
      <protection locked="0"/>
    </xf>
    <xf numFmtId="0" fontId="43" fillId="0" borderId="0" xfId="8" applyFont="1" applyProtection="1">
      <protection locked="0"/>
    </xf>
    <xf numFmtId="0" fontId="39" fillId="0" borderId="0" xfId="8" applyFont="1" applyAlignment="1" applyProtection="1">
      <alignment horizontal="left"/>
      <protection locked="0"/>
    </xf>
    <xf numFmtId="15" fontId="39" fillId="0" borderId="0" xfId="8" applyNumberFormat="1" applyFont="1" applyAlignment="1" applyProtection="1">
      <alignment horizontal="centerContinuous"/>
      <protection locked="0"/>
    </xf>
    <xf numFmtId="0" fontId="44" fillId="0" borderId="0" xfId="8" applyFont="1" applyAlignment="1" applyProtection="1">
      <alignment horizontal="left"/>
      <protection locked="0"/>
    </xf>
    <xf numFmtId="15" fontId="45" fillId="0" borderId="0" xfId="0" applyNumberFormat="1" applyFont="1" applyAlignment="1" applyProtection="1">
      <alignment horizontal="left"/>
      <protection locked="0"/>
    </xf>
    <xf numFmtId="0" fontId="42" fillId="0" borderId="13" xfId="8" applyFont="1" applyBorder="1" applyProtection="1">
      <protection locked="0"/>
    </xf>
    <xf numFmtId="0" fontId="43" fillId="0" borderId="13" xfId="8" applyFont="1" applyBorder="1" applyProtection="1">
      <protection locked="0"/>
    </xf>
    <xf numFmtId="0" fontId="37" fillId="0" borderId="13" xfId="8" applyFont="1" applyBorder="1" applyProtection="1">
      <protection locked="0"/>
    </xf>
    <xf numFmtId="0" fontId="37" fillId="0" borderId="21" xfId="8" applyFont="1" applyBorder="1" applyProtection="1">
      <protection locked="0"/>
    </xf>
    <xf numFmtId="0" fontId="0" fillId="0" borderId="0" xfId="0" applyAlignment="1" applyProtection="1">
      <alignment vertical="center"/>
      <protection locked="0"/>
    </xf>
    <xf numFmtId="0" fontId="46" fillId="0" borderId="23" xfId="8" applyFont="1" applyBorder="1" applyAlignment="1" applyProtection="1">
      <alignment horizontal="left"/>
      <protection locked="0"/>
    </xf>
    <xf numFmtId="0" fontId="46"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39" fillId="0" borderId="22" xfId="8" applyNumberFormat="1" applyFont="1" applyBorder="1" applyAlignment="1" applyProtection="1">
      <alignment horizontal="centerContinuous"/>
      <protection locked="0"/>
    </xf>
    <xf numFmtId="0" fontId="39" fillId="0" borderId="22" xfId="8" applyFont="1" applyBorder="1" applyAlignment="1" applyProtection="1">
      <alignment horizontal="centerContinuous"/>
      <protection locked="0"/>
    </xf>
    <xf numFmtId="0" fontId="37" fillId="0" borderId="22" xfId="8" applyFont="1" applyBorder="1" applyAlignment="1" applyProtection="1">
      <alignment horizontal="centerContinuous"/>
      <protection locked="0"/>
    </xf>
    <xf numFmtId="0" fontId="43" fillId="0" borderId="22" xfId="8" applyFont="1" applyBorder="1" applyAlignment="1" applyProtection="1">
      <alignment horizontal="centerContinuous"/>
      <protection locked="0"/>
    </xf>
    <xf numFmtId="0" fontId="43" fillId="0" borderId="24" xfId="8" applyFont="1" applyBorder="1" applyAlignment="1" applyProtection="1">
      <alignment horizontal="centerContinuous"/>
      <protection locked="0"/>
    </xf>
    <xf numFmtId="0" fontId="21" fillId="0" borderId="20" xfId="8" applyFont="1" applyBorder="1" applyAlignment="1" applyProtection="1">
      <alignment horizontal="left"/>
      <protection locked="0"/>
    </xf>
    <xf numFmtId="0" fontId="21"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39" fillId="0" borderId="13" xfId="8" applyNumberFormat="1" applyFont="1" applyBorder="1" applyAlignment="1" applyProtection="1">
      <alignment horizontal="centerContinuous"/>
      <protection locked="0"/>
    </xf>
    <xf numFmtId="0" fontId="37" fillId="0" borderId="13" xfId="8" applyFont="1" applyBorder="1" applyAlignment="1" applyProtection="1">
      <alignment horizontal="centerContinuous"/>
      <protection locked="0"/>
    </xf>
    <xf numFmtId="0" fontId="37" fillId="0" borderId="21" xfId="8" applyFont="1" applyBorder="1" applyAlignment="1" applyProtection="1">
      <alignment horizontal="centerContinuous"/>
      <protection locked="0"/>
    </xf>
    <xf numFmtId="0" fontId="21" fillId="0" borderId="17" xfId="8" applyFont="1" applyBorder="1" applyAlignment="1" applyProtection="1">
      <alignment horizontal="left"/>
      <protection locked="0"/>
    </xf>
    <xf numFmtId="0" fontId="21" fillId="0" borderId="0" xfId="8" applyFont="1" applyAlignment="1" applyProtection="1">
      <alignment horizontal="centerContinuous"/>
      <protection locked="0"/>
    </xf>
    <xf numFmtId="0" fontId="46" fillId="0" borderId="0" xfId="8" applyFont="1" applyAlignment="1" applyProtection="1">
      <alignment horizontal="centerContinuous"/>
      <protection locked="0"/>
    </xf>
    <xf numFmtId="0" fontId="37" fillId="0" borderId="0" xfId="8" applyFont="1" applyAlignment="1" applyProtection="1">
      <alignment horizontal="centerContinuous"/>
      <protection locked="0"/>
    </xf>
    <xf numFmtId="0" fontId="37" fillId="0" borderId="19" xfId="8" applyFont="1" applyBorder="1" applyAlignment="1" applyProtection="1">
      <alignment horizontal="centerContinuous"/>
      <protection locked="0"/>
    </xf>
    <xf numFmtId="0" fontId="47" fillId="0" borderId="0" xfId="8" applyFont="1" applyAlignment="1" applyProtection="1">
      <alignment horizontal="right"/>
      <protection locked="0"/>
    </xf>
    <xf numFmtId="0" fontId="47" fillId="0" borderId="17" xfId="8" applyFont="1" applyBorder="1" applyAlignment="1" applyProtection="1">
      <alignment horizontal="left"/>
      <protection locked="0"/>
    </xf>
    <xf numFmtId="0" fontId="47" fillId="0" borderId="0" xfId="8" applyFont="1" applyAlignment="1" applyProtection="1">
      <alignment horizontal="left"/>
      <protection locked="0"/>
    </xf>
    <xf numFmtId="0" fontId="46" fillId="0" borderId="0" xfId="8" applyFont="1" applyAlignment="1" applyProtection="1">
      <alignment horizontal="left"/>
      <protection locked="0"/>
    </xf>
    <xf numFmtId="0" fontId="42" fillId="0" borderId="0" xfId="8" applyFont="1" applyAlignment="1" applyProtection="1">
      <alignment horizontal="left"/>
      <protection locked="0"/>
    </xf>
    <xf numFmtId="0" fontId="3"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0" fillId="0" borderId="17" xfId="0" applyFont="1" applyBorder="1" applyAlignment="1" applyProtection="1">
      <alignment horizontal="left"/>
      <protection locked="0"/>
    </xf>
    <xf numFmtId="0" fontId="40" fillId="0" borderId="0" xfId="0" applyFont="1" applyProtection="1">
      <protection locked="0"/>
    </xf>
    <xf numFmtId="0" fontId="5" fillId="0" borderId="19" xfId="0" applyFont="1" applyBorder="1" applyAlignment="1" applyProtection="1">
      <alignment horizontal="center"/>
      <protection locked="0"/>
    </xf>
    <xf numFmtId="0" fontId="0" fillId="0" borderId="11" xfId="0" applyBorder="1" applyProtection="1">
      <protection locked="0"/>
    </xf>
    <xf numFmtId="2" fontId="49" fillId="0" borderId="25" xfId="0" applyNumberFormat="1" applyFont="1" applyBorder="1" applyAlignment="1" applyProtection="1">
      <alignment horizontal="center"/>
      <protection locked="0"/>
    </xf>
    <xf numFmtId="0" fontId="13" fillId="0" borderId="13" xfId="0" applyFont="1" applyBorder="1" applyProtection="1">
      <protection locked="0"/>
    </xf>
    <xf numFmtId="0" fontId="2" fillId="0" borderId="13" xfId="0" applyFont="1" applyBorder="1" applyAlignment="1" applyProtection="1">
      <alignment horizontal="center"/>
      <protection locked="0"/>
    </xf>
    <xf numFmtId="0" fontId="5" fillId="0" borderId="13" xfId="3" applyBorder="1" applyProtection="1">
      <protection locked="0"/>
    </xf>
    <xf numFmtId="2" fontId="49" fillId="0" borderId="11" xfId="0" applyNumberFormat="1" applyFont="1" applyBorder="1" applyAlignment="1" applyProtection="1">
      <alignment horizontal="center"/>
      <protection locked="0"/>
    </xf>
    <xf numFmtId="0" fontId="0" fillId="0" borderId="26" xfId="0" applyBorder="1" applyProtection="1">
      <protection locked="0"/>
    </xf>
    <xf numFmtId="0" fontId="3" fillId="0" borderId="1" xfId="0" applyFont="1" applyBorder="1" applyProtection="1">
      <protection locked="0"/>
    </xf>
    <xf numFmtId="0" fontId="3" fillId="0" borderId="15" xfId="0" applyFont="1" applyBorder="1" applyProtection="1">
      <protection locked="0"/>
    </xf>
    <xf numFmtId="0" fontId="5" fillId="0" borderId="1" xfId="3" applyBorder="1" applyProtection="1">
      <protection locked="0"/>
    </xf>
    <xf numFmtId="0" fontId="5" fillId="0" borderId="27" xfId="3" applyBorder="1" applyProtection="1">
      <protection locked="0"/>
    </xf>
    <xf numFmtId="15" fontId="23" fillId="0" borderId="0" xfId="0" applyNumberFormat="1" applyFont="1" applyAlignment="1" applyProtection="1">
      <alignment horizontal="left"/>
      <protection locked="0"/>
    </xf>
    <xf numFmtId="0" fontId="8" fillId="2" borderId="14" xfId="7" applyFill="1" applyBorder="1" applyAlignment="1">
      <alignment horizontal="center"/>
    </xf>
    <xf numFmtId="0" fontId="13" fillId="2" borderId="14" xfId="7" applyFont="1" applyFill="1" applyBorder="1"/>
    <xf numFmtId="0" fontId="8" fillId="0" borderId="0" xfId="7"/>
    <xf numFmtId="0" fontId="13" fillId="16" borderId="0" xfId="0" applyFont="1" applyFill="1" applyAlignment="1">
      <alignment horizontal="left"/>
    </xf>
    <xf numFmtId="0" fontId="13" fillId="16" borderId="0" xfId="0" applyFont="1" applyFill="1"/>
    <xf numFmtId="0" fontId="5" fillId="16" borderId="0" xfId="0" applyFont="1" applyFill="1"/>
    <xf numFmtId="166" fontId="13" fillId="0" borderId="0" xfId="0" applyNumberFormat="1" applyFont="1"/>
    <xf numFmtId="0" fontId="13" fillId="16" borderId="0" xfId="8" applyFont="1" applyFill="1" applyAlignment="1">
      <alignment horizontal="left"/>
    </xf>
    <xf numFmtId="0" fontId="9" fillId="16" borderId="0" xfId="0" applyFont="1" applyFill="1"/>
    <xf numFmtId="0" fontId="39" fillId="16" borderId="0" xfId="8" applyFont="1" applyFill="1"/>
    <xf numFmtId="1" fontId="48" fillId="2" borderId="3" xfId="6" applyFont="1" applyFill="1" applyBorder="1" applyAlignment="1">
      <alignment horizontal="center"/>
    </xf>
    <xf numFmtId="165" fontId="13" fillId="2" borderId="3" xfId="6" applyNumberFormat="1" applyFont="1" applyFill="1" applyBorder="1" applyAlignment="1">
      <alignment horizontal="center"/>
    </xf>
    <xf numFmtId="0" fontId="0" fillId="0" borderId="13" xfId="0" applyBorder="1"/>
    <xf numFmtId="0" fontId="28" fillId="0" borderId="0" xfId="3" applyFont="1" applyAlignment="1" applyProtection="1">
      <alignment horizontal="left"/>
      <protection locked="0"/>
    </xf>
    <xf numFmtId="0" fontId="11" fillId="16" borderId="18" xfId="0" applyFont="1" applyFill="1" applyBorder="1" applyAlignment="1">
      <alignment horizontal="center"/>
    </xf>
    <xf numFmtId="0" fontId="82"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5" fillId="0" borderId="0" xfId="1" applyProtection="1">
      <protection locked="0"/>
    </xf>
    <xf numFmtId="43" fontId="13" fillId="18" borderId="9" xfId="1" applyFont="1" applyFill="1" applyBorder="1" applyProtection="1">
      <protection locked="0"/>
    </xf>
    <xf numFmtId="43" fontId="13"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0" fontId="13" fillId="0" borderId="0" xfId="7" applyFont="1" applyAlignment="1" applyProtection="1">
      <alignment horizontal="right"/>
      <protection locked="0"/>
    </xf>
    <xf numFmtId="0" fontId="34" fillId="16" borderId="6" xfId="2" applyNumberFormat="1" applyFont="1" applyFill="1" applyBorder="1" applyAlignment="1" applyProtection="1">
      <alignment horizontal="center" vertical="center"/>
    </xf>
    <xf numFmtId="172" fontId="8" fillId="0" borderId="0" xfId="7" applyNumberFormat="1" applyProtection="1">
      <protection locked="0"/>
    </xf>
    <xf numFmtId="0" fontId="16" fillId="0" borderId="10" xfId="7" applyFont="1" applyBorder="1" applyAlignment="1" applyProtection="1">
      <alignment horizontal="center"/>
      <protection locked="0"/>
    </xf>
    <xf numFmtId="0" fontId="13" fillId="0" borderId="11" xfId="7" applyFont="1" applyBorder="1" applyAlignment="1" applyProtection="1">
      <alignment horizontal="center"/>
      <protection locked="0"/>
    </xf>
    <xf numFmtId="0" fontId="9" fillId="0" borderId="0" xfId="0" applyFont="1" applyAlignment="1" applyProtection="1">
      <alignment horizontal="center"/>
      <protection locked="0"/>
    </xf>
    <xf numFmtId="0" fontId="13"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7" fillId="0" borderId="17" xfId="0" applyNumberFormat="1" applyFont="1" applyBorder="1" applyAlignment="1" applyProtection="1">
      <alignment horizontal="center"/>
      <protection locked="0"/>
    </xf>
    <xf numFmtId="0" fontId="87" fillId="16" borderId="14" xfId="0" applyFont="1" applyFill="1" applyBorder="1"/>
    <xf numFmtId="0" fontId="87" fillId="16" borderId="16" xfId="0" applyFont="1" applyFill="1" applyBorder="1"/>
    <xf numFmtId="0" fontId="88" fillId="16" borderId="14" xfId="0" applyFont="1" applyFill="1" applyBorder="1"/>
    <xf numFmtId="0" fontId="0" fillId="0" borderId="0" xfId="0" applyAlignment="1">
      <alignment horizontal="center"/>
    </xf>
    <xf numFmtId="0" fontId="91" fillId="0" borderId="10" xfId="0" applyFont="1" applyBorder="1" applyAlignment="1">
      <alignment horizontal="center"/>
    </xf>
    <xf numFmtId="0" fontId="91" fillId="0" borderId="11" xfId="0" applyFont="1" applyBorder="1" applyAlignment="1">
      <alignment horizontal="center"/>
    </xf>
    <xf numFmtId="10" fontId="89" fillId="12" borderId="17" xfId="0" applyNumberFormat="1" applyFont="1" applyFill="1" applyBorder="1" applyAlignment="1" applyProtection="1">
      <alignment horizontal="center"/>
      <protection locked="0"/>
    </xf>
    <xf numFmtId="2" fontId="84" fillId="12" borderId="10" xfId="0" applyNumberFormat="1" applyFont="1" applyFill="1" applyBorder="1" applyAlignment="1" applyProtection="1">
      <alignment horizontal="center"/>
      <protection locked="0"/>
    </xf>
    <xf numFmtId="0" fontId="88" fillId="16" borderId="22" xfId="0" applyFont="1" applyFill="1" applyBorder="1"/>
    <xf numFmtId="0" fontId="87" fillId="16" borderId="22" xfId="0" applyFont="1" applyFill="1" applyBorder="1"/>
    <xf numFmtId="0" fontId="87" fillId="16" borderId="24" xfId="0" applyFont="1" applyFill="1" applyBorder="1"/>
    <xf numFmtId="0" fontId="88" fillId="14" borderId="14" xfId="0" applyFont="1" applyFill="1" applyBorder="1"/>
    <xf numFmtId="0" fontId="85" fillId="14" borderId="14" xfId="0" applyFont="1" applyFill="1" applyBorder="1"/>
    <xf numFmtId="0" fontId="90" fillId="16" borderId="10" xfId="7" applyFont="1" applyFill="1" applyBorder="1" applyAlignment="1" applyProtection="1">
      <alignment horizontal="center"/>
      <protection locked="0"/>
    </xf>
    <xf numFmtId="0" fontId="92" fillId="16" borderId="25" xfId="7" applyFont="1" applyFill="1" applyBorder="1" applyAlignment="1" applyProtection="1">
      <alignment horizontal="center"/>
      <protection locked="0"/>
    </xf>
    <xf numFmtId="0" fontId="36" fillId="0" borderId="0" xfId="7" applyFont="1" applyAlignment="1" applyProtection="1">
      <alignment vertical="top"/>
      <protection locked="0"/>
    </xf>
    <xf numFmtId="10" fontId="89" fillId="12" borderId="25" xfId="0" applyNumberFormat="1" applyFont="1" applyFill="1" applyBorder="1" applyAlignment="1" applyProtection="1">
      <alignment horizontal="center"/>
      <protection locked="0"/>
    </xf>
    <xf numFmtId="171" fontId="0" fillId="0" borderId="0" xfId="0" applyNumberFormat="1"/>
    <xf numFmtId="0" fontId="6" fillId="0" borderId="0" xfId="7" applyFont="1" applyProtection="1">
      <protection locked="0"/>
    </xf>
    <xf numFmtId="0" fontId="50" fillId="0" borderId="0" xfId="0" applyFont="1" applyProtection="1">
      <protection locked="0"/>
    </xf>
    <xf numFmtId="0" fontId="50" fillId="2" borderId="29" xfId="0" applyFont="1" applyFill="1" applyBorder="1" applyProtection="1">
      <protection locked="0"/>
    </xf>
    <xf numFmtId="0" fontId="74" fillId="0" borderId="0" xfId="0" applyFont="1"/>
    <xf numFmtId="0" fontId="74" fillId="0" borderId="0" xfId="0" applyFont="1" applyProtection="1">
      <protection locked="0"/>
    </xf>
    <xf numFmtId="0" fontId="5" fillId="0" borderId="0" xfId="7" applyFont="1" applyAlignment="1">
      <alignment horizontal="centerContinuous" vertical="center"/>
    </xf>
    <xf numFmtId="0" fontId="77" fillId="0" borderId="0" xfId="2" applyNumberFormat="1" applyFont="1" applyFill="1" applyBorder="1" applyAlignment="1" applyProtection="1">
      <alignment horizontal="center"/>
    </xf>
    <xf numFmtId="2" fontId="14" fillId="16" borderId="0" xfId="4" applyNumberFormat="1" applyFont="1" applyFill="1" applyAlignment="1">
      <alignment horizontal="center"/>
    </xf>
    <xf numFmtId="1" fontId="14" fillId="16" borderId="0" xfId="4" applyFont="1" applyFill="1" applyAlignment="1">
      <alignment horizontal="center"/>
    </xf>
    <xf numFmtId="49" fontId="14" fillId="16" borderId="0" xfId="4" applyNumberFormat="1" applyFont="1" applyFill="1" applyAlignment="1">
      <alignment horizontal="center"/>
    </xf>
    <xf numFmtId="17" fontId="14" fillId="16" borderId="0" xfId="4" applyNumberFormat="1" applyFont="1" applyFill="1" applyAlignment="1">
      <alignment horizontal="center"/>
    </xf>
    <xf numFmtId="169" fontId="14" fillId="16" borderId="0" xfId="4" applyNumberFormat="1" applyFont="1" applyFill="1" applyAlignment="1">
      <alignment horizontal="center"/>
    </xf>
    <xf numFmtId="0" fontId="83" fillId="2" borderId="24" xfId="7" applyFont="1" applyFill="1" applyBorder="1" applyAlignment="1">
      <alignment horizontal="centerContinuous"/>
    </xf>
    <xf numFmtId="0" fontId="30" fillId="3" borderId="24" xfId="3" applyFont="1" applyFill="1" applyBorder="1" applyAlignment="1">
      <alignment horizontal="left"/>
    </xf>
    <xf numFmtId="0" fontId="30" fillId="4" borderId="19" xfId="3" applyFont="1" applyFill="1" applyBorder="1" applyAlignment="1">
      <alignment horizontal="left"/>
    </xf>
    <xf numFmtId="0" fontId="30" fillId="5" borderId="19" xfId="3" applyFont="1" applyFill="1" applyBorder="1" applyAlignment="1">
      <alignment horizontal="left"/>
    </xf>
    <xf numFmtId="0" fontId="30" fillId="6" borderId="19" xfId="3" applyFont="1" applyFill="1" applyBorder="1" applyAlignment="1">
      <alignment horizontal="left"/>
    </xf>
    <xf numFmtId="0" fontId="30" fillId="2" borderId="19" xfId="3" applyFont="1" applyFill="1" applyBorder="1" applyAlignment="1">
      <alignment horizontal="left"/>
    </xf>
    <xf numFmtId="0" fontId="30" fillId="7" borderId="19" xfId="3" applyFont="1" applyFill="1" applyBorder="1" applyAlignment="1">
      <alignment horizontal="left"/>
    </xf>
    <xf numFmtId="0" fontId="30" fillId="8" borderId="19" xfId="3" applyFont="1" applyFill="1" applyBorder="1" applyAlignment="1">
      <alignment horizontal="left"/>
    </xf>
    <xf numFmtId="0" fontId="30" fillId="9" borderId="19" xfId="3" applyFont="1" applyFill="1" applyBorder="1" applyAlignment="1">
      <alignment horizontal="left"/>
    </xf>
    <xf numFmtId="0" fontId="30" fillId="10" borderId="19" xfId="3" applyFont="1" applyFill="1" applyBorder="1" applyAlignment="1">
      <alignment horizontal="left"/>
    </xf>
    <xf numFmtId="0" fontId="30" fillId="11" borderId="19" xfId="3" applyFont="1" applyFill="1" applyBorder="1" applyAlignment="1">
      <alignment horizontal="left"/>
    </xf>
    <xf numFmtId="38" fontId="11" fillId="2" borderId="18" xfId="0" applyNumberFormat="1" applyFont="1" applyFill="1" applyBorder="1" applyAlignment="1">
      <alignment horizontal="center"/>
    </xf>
    <xf numFmtId="0" fontId="97" fillId="2" borderId="3" xfId="0" applyFont="1" applyFill="1" applyBorder="1" applyAlignment="1">
      <alignment horizontal="center"/>
    </xf>
    <xf numFmtId="1" fontId="22" fillId="0" borderId="13" xfId="6" applyFont="1" applyBorder="1" applyAlignment="1" applyProtection="1">
      <alignment horizontal="left"/>
      <protection locked="0"/>
    </xf>
    <xf numFmtId="0" fontId="0" fillId="2" borderId="0" xfId="0" applyFill="1"/>
    <xf numFmtId="43" fontId="13" fillId="0" borderId="0" xfId="1" applyFont="1" applyFill="1" applyBorder="1" applyAlignment="1" applyProtection="1">
      <alignment horizontal="right"/>
      <protection locked="0"/>
    </xf>
    <xf numFmtId="0" fontId="100" fillId="0" borderId="0" xfId="3" applyFont="1" applyAlignment="1">
      <alignment horizontal="center" vertical="center"/>
    </xf>
    <xf numFmtId="2" fontId="11" fillId="2" borderId="3" xfId="0" applyNumberFormat="1" applyFont="1" applyFill="1" applyBorder="1" applyAlignment="1">
      <alignment horizontal="center"/>
    </xf>
    <xf numFmtId="40" fontId="11" fillId="2" borderId="18" xfId="0" applyNumberFormat="1" applyFont="1" applyFill="1" applyBorder="1" applyAlignment="1">
      <alignment horizontal="center"/>
    </xf>
    <xf numFmtId="40" fontId="10" fillId="2" borderId="2" xfId="3" applyNumberFormat="1" applyFont="1" applyFill="1" applyBorder="1" applyAlignment="1">
      <alignment horizontal="center"/>
    </xf>
    <xf numFmtId="0" fontId="21" fillId="0" borderId="30" xfId="0" applyFont="1" applyBorder="1" applyAlignment="1" applyProtection="1">
      <alignment horizontal="center"/>
      <protection locked="0"/>
    </xf>
    <xf numFmtId="0" fontId="21" fillId="0" borderId="26" xfId="0" applyFont="1" applyBorder="1" applyAlignment="1" applyProtection="1">
      <alignment horizontal="center"/>
      <protection locked="0"/>
    </xf>
    <xf numFmtId="0" fontId="62" fillId="0" borderId="0" xfId="0" applyFont="1" applyAlignment="1" applyProtection="1">
      <alignment horizontal="center"/>
      <protection locked="0"/>
    </xf>
    <xf numFmtId="0" fontId="62" fillId="0" borderId="21" xfId="0" applyFont="1" applyBorder="1" applyAlignment="1" applyProtection="1">
      <alignment horizontal="center"/>
      <protection locked="0"/>
    </xf>
    <xf numFmtId="0" fontId="103" fillId="0" borderId="19" xfId="0" applyFont="1" applyBorder="1" applyAlignment="1" applyProtection="1">
      <alignment horizontal="center"/>
      <protection locked="0"/>
    </xf>
    <xf numFmtId="0" fontId="0" fillId="14" borderId="16" xfId="0" applyFill="1" applyBorder="1"/>
    <xf numFmtId="2" fontId="9" fillId="16" borderId="31" xfId="0" applyNumberFormat="1" applyFont="1" applyFill="1" applyBorder="1"/>
    <xf numFmtId="2" fontId="9" fillId="16" borderId="19" xfId="0" applyNumberFormat="1" applyFont="1" applyFill="1" applyBorder="1"/>
    <xf numFmtId="2" fontId="9" fillId="16" borderId="0" xfId="0" applyNumberFormat="1" applyFont="1" applyFill="1"/>
    <xf numFmtId="2" fontId="5" fillId="18" borderId="15" xfId="0" applyNumberFormat="1" applyFont="1" applyFill="1" applyBorder="1" applyAlignment="1">
      <alignment horizontal="right"/>
    </xf>
    <xf numFmtId="2" fontId="5" fillId="18" borderId="9" xfId="0" applyNumberFormat="1" applyFont="1" applyFill="1" applyBorder="1" applyAlignment="1">
      <alignment horizontal="right"/>
    </xf>
    <xf numFmtId="0" fontId="0" fillId="16" borderId="32" xfId="0" applyFill="1" applyBorder="1" applyAlignment="1">
      <alignment horizontal="left"/>
    </xf>
    <xf numFmtId="0" fontId="2" fillId="16" borderId="0" xfId="0" applyFont="1" applyFill="1" applyAlignment="1">
      <alignment horizontal="center"/>
    </xf>
    <xf numFmtId="0" fontId="14" fillId="0" borderId="0" xfId="3" applyFont="1" applyAlignment="1">
      <alignment horizontal="left"/>
    </xf>
    <xf numFmtId="0" fontId="9" fillId="0" borderId="0" xfId="7" applyFont="1"/>
    <xf numFmtId="0" fontId="19" fillId="0" borderId="0" xfId="7" applyFont="1"/>
    <xf numFmtId="49" fontId="74" fillId="0" borderId="0" xfId="2" applyNumberFormat="1" applyFont="1" applyFill="1" applyBorder="1" applyAlignment="1" applyProtection="1">
      <alignment horizontal="right"/>
      <protection locked="0"/>
    </xf>
    <xf numFmtId="49" fontId="105" fillId="0" borderId="0" xfId="2" applyNumberFormat="1" applyFont="1" applyFill="1" applyBorder="1" applyAlignment="1" applyProtection="1">
      <alignment horizontal="right" vertical="center"/>
    </xf>
    <xf numFmtId="0" fontId="106" fillId="0" borderId="0" xfId="0" applyFont="1" applyAlignment="1">
      <alignment horizontal="right"/>
    </xf>
    <xf numFmtId="0" fontId="88" fillId="2" borderId="3" xfId="7" applyFont="1" applyFill="1" applyBorder="1" applyAlignment="1">
      <alignment horizontal="center"/>
    </xf>
    <xf numFmtId="43" fontId="0" fillId="0" borderId="0" xfId="1" applyFont="1" applyAlignment="1" applyProtection="1">
      <alignment horizontal="right"/>
    </xf>
    <xf numFmtId="0" fontId="102" fillId="16" borderId="11" xfId="3" applyFont="1" applyFill="1" applyBorder="1" applyAlignment="1" applyProtection="1">
      <alignment horizontal="left" vertical="center"/>
      <protection locked="0"/>
    </xf>
    <xf numFmtId="0" fontId="110" fillId="16" borderId="6" xfId="3" applyFont="1" applyFill="1" applyBorder="1" applyAlignment="1">
      <alignment horizontal="center" vertical="center"/>
    </xf>
    <xf numFmtId="0" fontId="111" fillId="16" borderId="3" xfId="2" applyNumberFormat="1" applyFont="1" applyFill="1" applyBorder="1" applyAlignment="1" applyProtection="1">
      <alignment horizontal="center" vertical="center"/>
    </xf>
    <xf numFmtId="0" fontId="24" fillId="0" borderId="0" xfId="7" applyFont="1" applyAlignment="1" applyProtection="1">
      <alignment horizontal="left"/>
      <protection locked="0"/>
    </xf>
    <xf numFmtId="0" fontId="94" fillId="0" borderId="0" xfId="7" applyFont="1" applyAlignment="1">
      <alignment vertical="center"/>
    </xf>
    <xf numFmtId="0" fontId="107" fillId="2" borderId="18" xfId="7" applyFont="1" applyFill="1" applyBorder="1" applyAlignment="1">
      <alignment horizontal="right"/>
    </xf>
    <xf numFmtId="0" fontId="93" fillId="12" borderId="10" xfId="0" applyFont="1" applyFill="1" applyBorder="1" applyAlignment="1" applyProtection="1">
      <alignment horizontal="center"/>
      <protection locked="0"/>
    </xf>
    <xf numFmtId="0" fontId="79" fillId="2" borderId="16" xfId="3" applyFont="1" applyFill="1" applyBorder="1" applyAlignment="1">
      <alignment horizontal="left"/>
    </xf>
    <xf numFmtId="0" fontId="93" fillId="12" borderId="25" xfId="0" applyFont="1" applyFill="1" applyBorder="1" applyAlignment="1" applyProtection="1">
      <alignment horizontal="center"/>
      <protection locked="0"/>
    </xf>
    <xf numFmtId="0" fontId="93" fillId="12" borderId="11" xfId="0" applyFont="1" applyFill="1" applyBorder="1" applyAlignment="1" applyProtection="1">
      <alignment horizontal="center"/>
      <protection locked="0"/>
    </xf>
    <xf numFmtId="0" fontId="69" fillId="0" borderId="0" xfId="3" applyFont="1" applyAlignment="1">
      <alignment horizontal="right"/>
    </xf>
    <xf numFmtId="0" fontId="86" fillId="14" borderId="14" xfId="0" applyFont="1" applyFill="1" applyBorder="1"/>
    <xf numFmtId="0" fontId="86" fillId="14" borderId="16" xfId="0" applyFont="1" applyFill="1" applyBorder="1"/>
    <xf numFmtId="2" fontId="87" fillId="2" borderId="10" xfId="3" applyNumberFormat="1" applyFont="1" applyFill="1" applyBorder="1" applyAlignment="1">
      <alignment horizontal="center"/>
    </xf>
    <xf numFmtId="2" fontId="87" fillId="2" borderId="25" xfId="3" applyNumberFormat="1" applyFont="1" applyFill="1" applyBorder="1" applyAlignment="1">
      <alignment horizontal="center"/>
    </xf>
    <xf numFmtId="2" fontId="87" fillId="2" borderId="11" xfId="3" applyNumberFormat="1" applyFont="1" applyFill="1" applyBorder="1" applyAlignment="1">
      <alignment horizontal="center"/>
    </xf>
    <xf numFmtId="2" fontId="14" fillId="12" borderId="0" xfId="3" applyNumberFormat="1" applyFont="1" applyFill="1" applyAlignment="1">
      <alignment horizontal="center"/>
    </xf>
    <xf numFmtId="0" fontId="68" fillId="12" borderId="3" xfId="3" applyFont="1" applyFill="1" applyBorder="1" applyAlignment="1" applyProtection="1">
      <alignment horizontal="center"/>
      <protection locked="0"/>
    </xf>
    <xf numFmtId="43" fontId="13" fillId="17" borderId="19" xfId="1" applyFont="1" applyFill="1" applyBorder="1" applyAlignment="1" applyProtection="1">
      <alignment horizontal="center"/>
      <protection locked="0"/>
    </xf>
    <xf numFmtId="0" fontId="114" fillId="0" borderId="19" xfId="0" applyFont="1" applyBorder="1" applyAlignment="1" applyProtection="1">
      <alignment horizontal="center"/>
      <protection locked="0"/>
    </xf>
    <xf numFmtId="0" fontId="114" fillId="0" borderId="25" xfId="0" applyFont="1" applyBorder="1" applyAlignment="1" applyProtection="1">
      <alignment horizontal="center"/>
      <protection locked="0"/>
    </xf>
    <xf numFmtId="0" fontId="114" fillId="0" borderId="0" xfId="0" applyFont="1" applyAlignment="1" applyProtection="1">
      <alignment horizontal="center"/>
      <protection locked="0"/>
    </xf>
    <xf numFmtId="0" fontId="14" fillId="0" borderId="0" xfId="0" applyFont="1" applyProtection="1">
      <protection locked="0"/>
    </xf>
    <xf numFmtId="0" fontId="115" fillId="0" borderId="0" xfId="0" applyFont="1" applyAlignment="1" applyProtection="1">
      <alignment horizontal="center"/>
      <protection locked="0"/>
    </xf>
    <xf numFmtId="0" fontId="116" fillId="0" borderId="0" xfId="0" applyFont="1" applyAlignment="1" applyProtection="1">
      <alignment horizontal="center"/>
      <protection locked="0"/>
    </xf>
    <xf numFmtId="0" fontId="88" fillId="16" borderId="5" xfId="7" applyFont="1" applyFill="1" applyBorder="1" applyAlignment="1">
      <alignment horizontal="centerContinuous" vertical="center"/>
    </xf>
    <xf numFmtId="0" fontId="10" fillId="16" borderId="3" xfId="3" applyFont="1" applyFill="1" applyBorder="1" applyAlignment="1">
      <alignment horizontal="center"/>
    </xf>
    <xf numFmtId="0" fontId="31" fillId="16" borderId="4" xfId="0" applyFont="1" applyFill="1" applyBorder="1"/>
    <xf numFmtId="0" fontId="38" fillId="16" borderId="29" xfId="7" applyFont="1" applyFill="1" applyBorder="1" applyAlignment="1">
      <alignment horizontal="left" vertical="center"/>
    </xf>
    <xf numFmtId="0" fontId="0" fillId="16" borderId="29" xfId="0" applyFill="1" applyBorder="1"/>
    <xf numFmtId="0" fontId="95" fillId="16" borderId="29" xfId="7" applyFont="1" applyFill="1" applyBorder="1" applyAlignment="1">
      <alignment horizontal="center"/>
    </xf>
    <xf numFmtId="0" fontId="5" fillId="16" borderId="29" xfId="7" applyFont="1" applyFill="1" applyBorder="1" applyAlignment="1">
      <alignment horizontal="centerContinuous" vertical="center"/>
    </xf>
    <xf numFmtId="0" fontId="5" fillId="16" borderId="33" xfId="7" applyFont="1" applyFill="1" applyBorder="1" applyAlignment="1">
      <alignment horizontal="centerContinuous" vertical="center"/>
    </xf>
    <xf numFmtId="10" fontId="89" fillId="12" borderId="11" xfId="0" applyNumberFormat="1" applyFont="1" applyFill="1" applyBorder="1" applyAlignment="1" applyProtection="1">
      <alignment horizontal="center"/>
      <protection locked="0"/>
    </xf>
    <xf numFmtId="39" fontId="13" fillId="16" borderId="3" xfId="1" applyNumberFormat="1" applyFont="1" applyFill="1" applyBorder="1" applyAlignment="1" applyProtection="1">
      <alignment horizontal="right"/>
    </xf>
    <xf numFmtId="43" fontId="16" fillId="16" borderId="17" xfId="1" applyFont="1" applyFill="1" applyBorder="1" applyAlignment="1" applyProtection="1">
      <alignment horizontal="center"/>
    </xf>
    <xf numFmtId="43" fontId="16" fillId="16" borderId="0" xfId="1" applyFont="1" applyFill="1" applyBorder="1" applyAlignment="1" applyProtection="1">
      <alignment horizontal="center"/>
    </xf>
    <xf numFmtId="43" fontId="13" fillId="16" borderId="0" xfId="1" applyFont="1" applyFill="1" applyBorder="1" applyAlignment="1" applyProtection="1">
      <alignment horizontal="center"/>
    </xf>
    <xf numFmtId="43" fontId="13" fillId="0" borderId="0" xfId="1" applyFont="1" applyBorder="1" applyProtection="1"/>
    <xf numFmtId="0" fontId="117" fillId="0" borderId="0" xfId="0" applyFont="1" applyAlignment="1" applyProtection="1">
      <alignment horizontal="right"/>
      <protection locked="0"/>
    </xf>
    <xf numFmtId="10" fontId="13" fillId="16" borderId="3" xfId="0" applyNumberFormat="1" applyFont="1" applyFill="1" applyBorder="1" applyAlignment="1">
      <alignment horizontal="right" vertical="center"/>
    </xf>
    <xf numFmtId="39" fontId="16" fillId="16" borderId="3" xfId="1" applyNumberFormat="1" applyFont="1" applyFill="1" applyBorder="1" applyAlignment="1" applyProtection="1">
      <alignment horizontal="right"/>
    </xf>
    <xf numFmtId="0" fontId="118" fillId="0" borderId="0" xfId="0" applyFont="1" applyAlignment="1" applyProtection="1">
      <alignment horizontal="right" vertical="top"/>
      <protection locked="0"/>
    </xf>
    <xf numFmtId="10" fontId="119" fillId="16" borderId="18" xfId="7" applyNumberFormat="1" applyFont="1" applyFill="1" applyBorder="1" applyAlignment="1">
      <alignment horizontal="center"/>
    </xf>
    <xf numFmtId="10" fontId="119" fillId="16" borderId="23" xfId="7" applyNumberFormat="1" applyFont="1" applyFill="1" applyBorder="1" applyAlignment="1">
      <alignment horizontal="center"/>
    </xf>
    <xf numFmtId="10" fontId="120" fillId="14" borderId="18" xfId="7" applyNumberFormat="1" applyFont="1" applyFill="1" applyBorder="1" applyAlignment="1">
      <alignment horizontal="center"/>
    </xf>
    <xf numFmtId="2" fontId="120" fillId="14" borderId="18" xfId="7" applyNumberFormat="1" applyFont="1" applyFill="1" applyBorder="1" applyAlignment="1">
      <alignment horizontal="center"/>
    </xf>
    <xf numFmtId="14" fontId="53" fillId="0" borderId="0" xfId="7" applyNumberFormat="1" applyFont="1" applyAlignment="1" applyProtection="1">
      <alignment horizontal="center"/>
      <protection locked="0"/>
    </xf>
    <xf numFmtId="170" fontId="78" fillId="16" borderId="19" xfId="0" applyNumberFormat="1" applyFont="1" applyFill="1" applyBorder="1" applyAlignment="1" applyProtection="1">
      <alignment horizontal="center"/>
      <protection locked="0"/>
    </xf>
    <xf numFmtId="167" fontId="13" fillId="0" borderId="11" xfId="7" applyNumberFormat="1" applyFont="1" applyBorder="1" applyAlignment="1" applyProtection="1">
      <alignment horizontal="center"/>
      <protection locked="0"/>
    </xf>
    <xf numFmtId="39" fontId="123" fillId="0" borderId="16" xfId="1" applyNumberFormat="1" applyFont="1" applyFill="1" applyBorder="1" applyAlignment="1" applyProtection="1">
      <alignment horizontal="right"/>
    </xf>
    <xf numFmtId="39" fontId="123" fillId="0" borderId="18" xfId="1" applyNumberFormat="1" applyFont="1" applyFill="1" applyBorder="1" applyAlignment="1" applyProtection="1">
      <alignment horizontal="right"/>
    </xf>
    <xf numFmtId="0" fontId="124" fillId="0" borderId="14" xfId="7" applyFont="1" applyBorder="1" applyAlignment="1">
      <alignment horizontal="center"/>
    </xf>
    <xf numFmtId="40" fontId="20" fillId="2" borderId="14" xfId="7" applyNumberFormat="1" applyFont="1" applyFill="1" applyBorder="1" applyAlignment="1">
      <alignment horizontal="right"/>
    </xf>
    <xf numFmtId="40" fontId="20" fillId="2" borderId="16" xfId="7" applyNumberFormat="1" applyFont="1" applyFill="1" applyBorder="1" applyAlignment="1">
      <alignment horizontal="right"/>
    </xf>
    <xf numFmtId="14" fontId="53" fillId="0" borderId="0" xfId="7" applyNumberFormat="1" applyFont="1" applyAlignment="1" applyProtection="1">
      <alignment horizontal="right"/>
      <protection locked="0"/>
    </xf>
    <xf numFmtId="0" fontId="121" fillId="0" borderId="0" xfId="0" applyFont="1"/>
    <xf numFmtId="39" fontId="53" fillId="0" borderId="0" xfId="1" applyNumberFormat="1" applyFont="1" applyFill="1" applyBorder="1" applyAlignment="1" applyProtection="1">
      <alignment horizontal="right"/>
      <protection locked="0"/>
    </xf>
    <xf numFmtId="43" fontId="53" fillId="0" borderId="0" xfId="1" applyFont="1" applyFill="1" applyBorder="1" applyAlignment="1" applyProtection="1">
      <alignment horizontal="right"/>
      <protection locked="0"/>
    </xf>
    <xf numFmtId="43" fontId="53" fillId="0" borderId="0" xfId="1" applyFont="1" applyBorder="1" applyAlignment="1" applyProtection="1">
      <alignment horizontal="right"/>
      <protection locked="0"/>
    </xf>
    <xf numFmtId="173" fontId="16" fillId="16" borderId="3" xfId="1" applyNumberFormat="1" applyFont="1" applyFill="1" applyBorder="1" applyAlignment="1" applyProtection="1">
      <alignment horizontal="right"/>
    </xf>
    <xf numFmtId="167" fontId="122" fillId="16" borderId="3" xfId="7" applyNumberFormat="1" applyFont="1" applyFill="1" applyBorder="1" applyAlignment="1">
      <alignment horizontal="center"/>
    </xf>
    <xf numFmtId="0" fontId="13" fillId="0" borderId="1" xfId="3" applyFont="1" applyBorder="1"/>
    <xf numFmtId="0" fontId="110" fillId="16" borderId="25" xfId="0" applyFont="1" applyFill="1" applyBorder="1" applyAlignment="1">
      <alignment horizontal="center" vertical="center"/>
    </xf>
    <xf numFmtId="0" fontId="110" fillId="16" borderId="19" xfId="0" applyFont="1" applyFill="1" applyBorder="1" applyAlignment="1">
      <alignment horizontal="center" vertical="center"/>
    </xf>
    <xf numFmtId="0" fontId="110" fillId="16" borderId="6" xfId="0" applyFont="1" applyFill="1" applyBorder="1" applyAlignment="1">
      <alignment horizontal="right" vertical="center"/>
    </xf>
    <xf numFmtId="0" fontId="30" fillId="11" borderId="11" xfId="3" applyFont="1" applyFill="1" applyBorder="1" applyAlignment="1">
      <alignment horizontal="left"/>
    </xf>
    <xf numFmtId="0" fontId="107" fillId="2" borderId="23" xfId="7" applyFont="1" applyFill="1" applyBorder="1" applyAlignment="1">
      <alignment horizontal="center"/>
    </xf>
    <xf numFmtId="2" fontId="30" fillId="2" borderId="17" xfId="7" applyNumberFormat="1" applyFont="1" applyFill="1" applyBorder="1" applyAlignment="1">
      <alignment horizontal="center"/>
    </xf>
    <xf numFmtId="0" fontId="79" fillId="2" borderId="21" xfId="3" applyFont="1" applyFill="1" applyBorder="1" applyAlignment="1">
      <alignment horizontal="left"/>
    </xf>
    <xf numFmtId="0" fontId="14"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10" fillId="2" borderId="23" xfId="3" applyFont="1" applyFill="1" applyBorder="1" applyAlignment="1">
      <alignment horizontal="center"/>
    </xf>
    <xf numFmtId="0" fontId="0" fillId="0" borderId="3" xfId="0" applyBorder="1" applyAlignment="1" applyProtection="1">
      <alignment horizontal="center"/>
      <protection locked="0"/>
    </xf>
    <xf numFmtId="0" fontId="72" fillId="14" borderId="3" xfId="0" applyFont="1" applyFill="1" applyBorder="1" applyAlignment="1" applyProtection="1">
      <alignment horizontal="center"/>
      <protection locked="0"/>
    </xf>
    <xf numFmtId="0" fontId="72" fillId="12" borderId="3" xfId="0" applyFont="1" applyFill="1" applyBorder="1" applyAlignment="1" applyProtection="1">
      <alignment horizontal="center"/>
      <protection locked="0"/>
    </xf>
    <xf numFmtId="0" fontId="72" fillId="0" borderId="3" xfId="0" applyFont="1" applyBorder="1" applyAlignment="1" applyProtection="1">
      <alignment horizontal="center"/>
      <protection locked="0"/>
    </xf>
    <xf numFmtId="0" fontId="9" fillId="18" borderId="3" xfId="0" applyFont="1" applyFill="1" applyBorder="1" applyProtection="1">
      <protection locked="0"/>
    </xf>
    <xf numFmtId="0" fontId="21" fillId="0" borderId="0" xfId="0" applyFont="1"/>
    <xf numFmtId="0" fontId="126" fillId="0" borderId="0" xfId="0" applyFont="1"/>
    <xf numFmtId="38" fontId="127" fillId="16" borderId="18" xfId="0" applyNumberFormat="1" applyFont="1" applyFill="1" applyBorder="1" applyAlignment="1">
      <alignment horizontal="center"/>
    </xf>
    <xf numFmtId="38" fontId="28" fillId="12" borderId="14" xfId="0" applyNumberFormat="1" applyFont="1" applyFill="1" applyBorder="1" applyAlignment="1" applyProtection="1">
      <alignment horizontal="center"/>
      <protection locked="0"/>
    </xf>
    <xf numFmtId="0" fontId="58" fillId="0" borderId="0" xfId="0" applyFont="1" applyProtection="1">
      <protection locked="0"/>
    </xf>
    <xf numFmtId="0" fontId="128" fillId="0" borderId="0" xfId="7" applyFont="1" applyProtection="1">
      <protection locked="0"/>
    </xf>
    <xf numFmtId="0" fontId="129" fillId="0" borderId="0" xfId="0" applyFont="1" applyProtection="1">
      <protection locked="0"/>
    </xf>
    <xf numFmtId="0" fontId="130" fillId="0" borderId="0" xfId="0" applyFont="1" applyProtection="1">
      <protection locked="0"/>
    </xf>
    <xf numFmtId="0" fontId="46" fillId="0" borderId="0" xfId="0" applyFont="1" applyProtection="1">
      <protection locked="0"/>
    </xf>
    <xf numFmtId="0" fontId="109" fillId="0" borderId="0" xfId="0" applyFont="1" applyAlignment="1">
      <alignment vertical="center"/>
    </xf>
    <xf numFmtId="2" fontId="14" fillId="12" borderId="0" xfId="3" applyNumberFormat="1" applyFont="1" applyFill="1" applyAlignment="1">
      <alignment horizontal="center" vertical="top"/>
    </xf>
    <xf numFmtId="2" fontId="28" fillId="2" borderId="0" xfId="3" applyNumberFormat="1" applyFont="1" applyFill="1" applyAlignment="1" applyProtection="1">
      <alignment horizontal="center" vertical="top"/>
      <protection locked="0"/>
    </xf>
    <xf numFmtId="0" fontId="0" fillId="2" borderId="0" xfId="0" applyFill="1" applyProtection="1">
      <protection locked="0"/>
    </xf>
    <xf numFmtId="0" fontId="45" fillId="0" borderId="0" xfId="0" applyFont="1" applyAlignment="1" applyProtection="1">
      <alignment horizontal="center"/>
      <protection locked="0"/>
    </xf>
    <xf numFmtId="0" fontId="132" fillId="0" borderId="0" xfId="3" applyFont="1" applyAlignment="1">
      <alignment horizontal="right" vertical="top"/>
    </xf>
    <xf numFmtId="0" fontId="132" fillId="0" borderId="0" xfId="7" applyFont="1" applyAlignment="1">
      <alignment horizontal="right"/>
    </xf>
    <xf numFmtId="0" fontId="132" fillId="0" borderId="0" xfId="3" applyFont="1" applyAlignment="1">
      <alignment horizontal="right"/>
    </xf>
    <xf numFmtId="0" fontId="133" fillId="0" borderId="0" xfId="0" applyFont="1" applyAlignment="1" applyProtection="1">
      <alignment horizontal="left"/>
      <protection locked="0"/>
    </xf>
    <xf numFmtId="0" fontId="134" fillId="0" borderId="0" xfId="0" applyFont="1" applyProtection="1">
      <protection locked="0"/>
    </xf>
    <xf numFmtId="2" fontId="14" fillId="16" borderId="6" xfId="0" applyNumberFormat="1" applyFont="1" applyFill="1" applyBorder="1" applyAlignment="1">
      <alignment horizontal="center" vertical="center"/>
    </xf>
    <xf numFmtId="49" fontId="135" fillId="16" borderId="20" xfId="0" applyNumberFormat="1" applyFont="1" applyFill="1" applyBorder="1" applyAlignment="1">
      <alignment horizontal="left"/>
    </xf>
    <xf numFmtId="40" fontId="13" fillId="0" borderId="3" xfId="1" applyNumberFormat="1" applyFont="1" applyFill="1" applyBorder="1" applyAlignment="1" applyProtection="1">
      <alignment horizontal="right"/>
      <protection locked="0"/>
    </xf>
    <xf numFmtId="40" fontId="136" fillId="0" borderId="3" xfId="1" applyNumberFormat="1" applyFont="1" applyFill="1" applyBorder="1" applyAlignment="1" applyProtection="1">
      <alignment horizontal="right"/>
      <protection locked="0"/>
    </xf>
    <xf numFmtId="4" fontId="16" fillId="3" borderId="8" xfId="3" applyNumberFormat="1" applyFont="1" applyFill="1" applyBorder="1" applyAlignment="1">
      <alignment horizontal="right"/>
    </xf>
    <xf numFmtId="4" fontId="16" fillId="3" borderId="9" xfId="3" applyNumberFormat="1" applyFont="1" applyFill="1" applyBorder="1" applyAlignment="1">
      <alignment horizontal="right"/>
    </xf>
    <xf numFmtId="0" fontId="137" fillId="16" borderId="19" xfId="0" applyFont="1" applyFill="1" applyBorder="1" applyAlignment="1">
      <alignment horizontal="left"/>
    </xf>
    <xf numFmtId="0" fontId="138" fillId="0" borderId="0" xfId="0" applyFont="1" applyAlignment="1" applyProtection="1">
      <alignment horizontal="left"/>
      <protection locked="0"/>
    </xf>
    <xf numFmtId="2" fontId="14" fillId="3" borderId="3" xfId="3" applyNumberFormat="1" applyFont="1" applyFill="1" applyBorder="1" applyAlignment="1" applyProtection="1">
      <alignment horizontal="center"/>
      <protection locked="0"/>
    </xf>
    <xf numFmtId="165" fontId="14" fillId="12" borderId="2" xfId="3" applyNumberFormat="1" applyFont="1" applyFill="1" applyBorder="1" applyAlignment="1" applyProtection="1">
      <alignment horizontal="center"/>
      <protection locked="0"/>
    </xf>
    <xf numFmtId="0" fontId="12" fillId="0" borderId="0" xfId="0" applyFont="1"/>
    <xf numFmtId="0" fontId="7" fillId="0" borderId="0" xfId="7" applyFont="1" applyAlignment="1">
      <alignment horizontal="right"/>
    </xf>
    <xf numFmtId="2" fontId="6" fillId="0" borderId="0" xfId="7" applyNumberFormat="1" applyFont="1"/>
    <xf numFmtId="0" fontId="10" fillId="0" borderId="0" xfId="7" applyFont="1" applyAlignment="1">
      <alignment horizontal="left"/>
    </xf>
    <xf numFmtId="0" fontId="6" fillId="0" borderId="0" xfId="7" applyFont="1" applyAlignment="1">
      <alignment horizontal="centerContinuous" vertical="center"/>
    </xf>
    <xf numFmtId="0" fontId="96" fillId="0" borderId="0" xfId="0" applyFont="1" applyAlignment="1">
      <alignment horizontal="right"/>
    </xf>
    <xf numFmtId="1" fontId="6" fillId="0" borderId="0" xfId="6" applyFont="1" applyAlignment="1">
      <alignment horizontal="center"/>
    </xf>
    <xf numFmtId="0" fontId="6" fillId="0" borderId="0" xfId="7" applyFont="1" applyAlignment="1">
      <alignment horizontal="centerContinuous"/>
    </xf>
    <xf numFmtId="0" fontId="6" fillId="0" borderId="0" xfId="7" applyFont="1"/>
    <xf numFmtId="0" fontId="7" fillId="0" borderId="0" xfId="3" applyFont="1" applyAlignment="1">
      <alignment horizontal="right"/>
    </xf>
    <xf numFmtId="1" fontId="6" fillId="0" borderId="0" xfId="6" applyFont="1"/>
    <xf numFmtId="0" fontId="50" fillId="0" borderId="0" xfId="0" applyFont="1"/>
    <xf numFmtId="0" fontId="10" fillId="0" borderId="0" xfId="2" applyNumberFormat="1" applyFont="1" applyBorder="1" applyAlignment="1" applyProtection="1"/>
    <xf numFmtId="14" fontId="10" fillId="0" borderId="0" xfId="7" applyNumberFormat="1" applyFont="1" applyAlignment="1">
      <alignment horizontal="left"/>
    </xf>
    <xf numFmtId="0" fontId="12" fillId="0" borderId="0" xfId="3" applyFont="1"/>
    <xf numFmtId="0" fontId="12" fillId="0" borderId="0" xfId="0" applyFont="1" applyAlignment="1">
      <alignment horizontal="centerContinuous"/>
    </xf>
    <xf numFmtId="0" fontId="7" fillId="0" borderId="0" xfId="2" applyNumberFormat="1" applyFont="1" applyBorder="1" applyAlignment="1" applyProtection="1">
      <alignment horizontal="centerContinuous"/>
    </xf>
    <xf numFmtId="0" fontId="50" fillId="2" borderId="29" xfId="0" applyFont="1" applyFill="1" applyBorder="1"/>
    <xf numFmtId="0" fontId="12" fillId="2" borderId="29" xfId="0" applyFont="1" applyFill="1" applyBorder="1"/>
    <xf numFmtId="2" fontId="6" fillId="2" borderId="29" xfId="7" applyNumberFormat="1" applyFont="1" applyFill="1" applyBorder="1"/>
    <xf numFmtId="0" fontId="12" fillId="2" borderId="29" xfId="7" applyFont="1" applyFill="1" applyBorder="1" applyAlignment="1">
      <alignment horizontal="centerContinuous" vertical="center"/>
    </xf>
    <xf numFmtId="0" fontId="6" fillId="2" borderId="29" xfId="7" applyFont="1" applyFill="1" applyBorder="1" applyAlignment="1">
      <alignment horizontal="centerContinuous"/>
    </xf>
    <xf numFmtId="0" fontId="51" fillId="2" borderId="29" xfId="2" applyNumberFormat="1" applyFont="1" applyFill="1" applyBorder="1" applyAlignment="1" applyProtection="1">
      <alignment horizontal="center"/>
    </xf>
    <xf numFmtId="0" fontId="55" fillId="2" borderId="29" xfId="2" applyNumberFormat="1" applyFont="1" applyFill="1" applyBorder="1" applyAlignment="1" applyProtection="1">
      <alignment horizontal="centerContinuous"/>
    </xf>
    <xf numFmtId="0" fontId="125" fillId="0" borderId="0" xfId="0" applyFont="1" applyAlignment="1">
      <alignment horizontal="center"/>
    </xf>
    <xf numFmtId="0" fontId="72" fillId="2" borderId="3" xfId="0" applyFont="1" applyFill="1" applyBorder="1" applyAlignment="1" applyProtection="1">
      <alignment horizontal="center"/>
      <protection locked="0"/>
    </xf>
    <xf numFmtId="0" fontId="73" fillId="0" borderId="3" xfId="0" applyFont="1" applyBorder="1" applyAlignment="1" applyProtection="1">
      <alignment horizontal="center"/>
      <protection locked="0"/>
    </xf>
    <xf numFmtId="167" fontId="139" fillId="0" borderId="3" xfId="7" applyNumberFormat="1" applyFont="1" applyBorder="1" applyAlignment="1">
      <alignment horizontal="right"/>
    </xf>
    <xf numFmtId="0" fontId="9" fillId="0" borderId="0" xfId="5" applyFont="1" applyAlignment="1">
      <alignment horizontal="center"/>
    </xf>
    <xf numFmtId="0" fontId="9" fillId="0" borderId="0" xfId="5" applyFont="1" applyAlignment="1" applyProtection="1">
      <alignment horizontal="center"/>
      <protection locked="0"/>
    </xf>
    <xf numFmtId="0" fontId="16" fillId="0" borderId="0" xfId="3" applyFont="1" applyAlignment="1">
      <alignment horizontal="center"/>
    </xf>
    <xf numFmtId="0" fontId="16" fillId="0" borderId="0" xfId="3" applyFont="1" applyAlignment="1">
      <alignment horizontal="left"/>
    </xf>
    <xf numFmtId="1" fontId="16" fillId="0" borderId="0" xfId="6" applyFont="1" applyAlignment="1" applyProtection="1">
      <alignment horizontal="center" vertical="top"/>
      <protection locked="0"/>
    </xf>
    <xf numFmtId="0" fontId="16" fillId="0" borderId="42" xfId="3" applyFont="1" applyBorder="1" applyAlignment="1">
      <alignment horizontal="center"/>
    </xf>
    <xf numFmtId="0" fontId="13" fillId="0" borderId="0" xfId="3" applyFont="1" applyAlignment="1">
      <alignment horizontal="left"/>
    </xf>
    <xf numFmtId="0" fontId="16" fillId="0" borderId="43" xfId="3" applyFont="1" applyBorder="1" applyAlignment="1">
      <alignment horizontal="center"/>
    </xf>
    <xf numFmtId="2" fontId="8" fillId="0" borderId="0" xfId="10" applyNumberFormat="1" applyFont="1" applyProtection="1">
      <protection locked="0"/>
    </xf>
    <xf numFmtId="0" fontId="8" fillId="0" borderId="0" xfId="3" applyFont="1"/>
    <xf numFmtId="0" fontId="8" fillId="0" borderId="24" xfId="3" applyFont="1" applyBorder="1" applyAlignment="1">
      <alignment horizontal="right"/>
    </xf>
    <xf numFmtId="0" fontId="2" fillId="0" borderId="3" xfId="0" applyFont="1" applyBorder="1" applyAlignment="1">
      <alignment horizontal="center"/>
    </xf>
    <xf numFmtId="0" fontId="8" fillId="16" borderId="0" xfId="3" applyFont="1" applyFill="1"/>
    <xf numFmtId="4" fontId="14" fillId="3" borderId="3" xfId="3" applyNumberFormat="1" applyFont="1" applyFill="1" applyBorder="1" applyAlignment="1">
      <alignment horizontal="center"/>
    </xf>
    <xf numFmtId="2" fontId="16" fillId="3" borderId="3" xfId="3" applyNumberFormat="1" applyFont="1" applyFill="1" applyBorder="1" applyAlignment="1">
      <alignment horizontal="center"/>
    </xf>
    <xf numFmtId="2" fontId="8" fillId="0" borderId="20" xfId="3" applyNumberFormat="1" applyFont="1" applyBorder="1" applyAlignment="1">
      <alignment horizontal="right"/>
    </xf>
    <xf numFmtId="2" fontId="8" fillId="0" borderId="13" xfId="3" applyNumberFormat="1" applyFont="1" applyBorder="1" applyAlignment="1">
      <alignment horizontal="right"/>
    </xf>
    <xf numFmtId="2" fontId="8" fillId="2" borderId="21" xfId="3" applyNumberFormat="1" applyFont="1" applyFill="1" applyBorder="1" applyAlignment="1">
      <alignment horizontal="right"/>
    </xf>
    <xf numFmtId="2" fontId="8" fillId="0" borderId="0" xfId="3" applyNumberFormat="1" applyFont="1" applyProtection="1">
      <protection locked="0"/>
    </xf>
    <xf numFmtId="0" fontId="8" fillId="0" borderId="1" xfId="3" applyFont="1" applyBorder="1"/>
    <xf numFmtId="0" fontId="5" fillId="0" borderId="0" xfId="0" applyFont="1" applyProtection="1">
      <protection locked="0"/>
    </xf>
    <xf numFmtId="174" fontId="76" fillId="12" borderId="3" xfId="0" applyNumberFormat="1" applyFont="1" applyFill="1" applyBorder="1" applyAlignment="1" applyProtection="1">
      <alignment horizontal="center"/>
      <protection locked="0"/>
    </xf>
    <xf numFmtId="0" fontId="142" fillId="0" borderId="0" xfId="3" applyFont="1" applyProtection="1">
      <protection locked="0"/>
    </xf>
    <xf numFmtId="0" fontId="143" fillId="0" borderId="0" xfId="3" applyFont="1" applyAlignment="1" applyProtection="1">
      <alignment horizontal="right"/>
      <protection locked="0"/>
    </xf>
    <xf numFmtId="0" fontId="142" fillId="0" borderId="0" xfId="11" applyFont="1" applyProtection="1">
      <protection locked="0"/>
    </xf>
    <xf numFmtId="0" fontId="142" fillId="0" borderId="0" xfId="3" applyFont="1" applyAlignment="1" applyProtection="1">
      <alignment horizontal="left"/>
      <protection locked="0"/>
    </xf>
    <xf numFmtId="0" fontId="142" fillId="0" borderId="13" xfId="3" applyFont="1" applyBorder="1" applyProtection="1">
      <protection locked="0"/>
    </xf>
    <xf numFmtId="0" fontId="142" fillId="0" borderId="13" xfId="11" applyFont="1" applyBorder="1" applyProtection="1">
      <protection locked="0"/>
    </xf>
    <xf numFmtId="0" fontId="143" fillId="0" borderId="0" xfId="11" applyFont="1" applyAlignment="1" applyProtection="1">
      <alignment horizontal="right"/>
      <protection locked="0"/>
    </xf>
    <xf numFmtId="15" fontId="142" fillId="0" borderId="0" xfId="11" applyNumberFormat="1" applyFont="1" applyProtection="1">
      <protection locked="0"/>
    </xf>
    <xf numFmtId="0" fontId="142" fillId="16" borderId="0" xfId="3" applyFont="1" applyFill="1" applyAlignment="1" applyProtection="1">
      <alignment horizontal="left"/>
      <protection locked="0"/>
    </xf>
    <xf numFmtId="0" fontId="144" fillId="0" borderId="0" xfId="3" applyFont="1" applyProtection="1">
      <protection locked="0"/>
    </xf>
    <xf numFmtId="0" fontId="144" fillId="0" borderId="0" xfId="3" applyFont="1" applyAlignment="1" applyProtection="1">
      <alignment horizontal="right"/>
      <protection locked="0"/>
    </xf>
    <xf numFmtId="4" fontId="142" fillId="16" borderId="0" xfId="1" applyNumberFormat="1" applyFont="1" applyFill="1" applyBorder="1" applyAlignment="1" applyProtection="1">
      <alignment horizontal="centerContinuous"/>
      <protection locked="0"/>
    </xf>
    <xf numFmtId="0" fontId="142" fillId="0" borderId="0" xfId="11" applyFont="1"/>
    <xf numFmtId="0" fontId="143" fillId="0" borderId="0" xfId="3" applyFont="1" applyAlignment="1" applyProtection="1">
      <alignment horizontal="left"/>
      <protection locked="0"/>
    </xf>
    <xf numFmtId="0" fontId="144" fillId="0" borderId="0" xfId="3" applyFont="1" applyAlignment="1" applyProtection="1">
      <alignment horizontal="left"/>
      <protection locked="0"/>
    </xf>
    <xf numFmtId="0" fontId="143" fillId="0" borderId="0" xfId="3" applyFont="1" applyProtection="1">
      <protection locked="0"/>
    </xf>
    <xf numFmtId="0" fontId="142" fillId="0" borderId="0" xfId="3" applyFont="1" applyAlignment="1" applyProtection="1">
      <alignment horizontal="center"/>
      <protection locked="0"/>
    </xf>
    <xf numFmtId="0" fontId="142" fillId="0" borderId="22" xfId="3" applyFont="1" applyBorder="1" applyProtection="1">
      <protection locked="0"/>
    </xf>
    <xf numFmtId="0" fontId="142" fillId="0" borderId="34" xfId="3" applyFont="1" applyBorder="1" applyProtection="1">
      <protection locked="0"/>
    </xf>
    <xf numFmtId="0" fontId="142" fillId="0" borderId="35" xfId="3" applyFont="1" applyBorder="1" applyProtection="1">
      <protection locked="0"/>
    </xf>
    <xf numFmtId="0" fontId="142" fillId="0" borderId="36" xfId="3" applyFont="1" applyBorder="1" applyProtection="1">
      <protection locked="0"/>
    </xf>
    <xf numFmtId="0" fontId="142" fillId="0" borderId="37" xfId="3" applyFont="1" applyBorder="1" applyProtection="1">
      <protection locked="0"/>
    </xf>
    <xf numFmtId="0" fontId="144" fillId="0" borderId="0" xfId="7" applyFont="1" applyAlignment="1" applyProtection="1">
      <alignment horizontal="left" vertical="center"/>
      <protection locked="0"/>
    </xf>
    <xf numFmtId="0" fontId="142" fillId="0" borderId="38" xfId="3" applyFont="1" applyBorder="1" applyProtection="1">
      <protection locked="0"/>
    </xf>
    <xf numFmtId="0" fontId="142" fillId="0" borderId="39" xfId="3" applyFont="1" applyBorder="1" applyProtection="1">
      <protection locked="0"/>
    </xf>
    <xf numFmtId="0" fontId="145" fillId="0" borderId="0" xfId="3" applyFont="1" applyProtection="1">
      <protection locked="0"/>
    </xf>
    <xf numFmtId="0" fontId="143" fillId="0" borderId="0" xfId="7" applyFont="1" applyAlignment="1" applyProtection="1">
      <alignment horizontal="right"/>
      <protection locked="0"/>
    </xf>
    <xf numFmtId="0" fontId="143" fillId="0" borderId="13" xfId="7" applyFont="1" applyBorder="1" applyAlignment="1" applyProtection="1">
      <alignment horizontal="left"/>
      <protection locked="0"/>
    </xf>
    <xf numFmtId="0" fontId="143" fillId="0" borderId="0" xfId="7" applyFont="1" applyAlignment="1" applyProtection="1">
      <alignment horizontal="left"/>
      <protection locked="0"/>
    </xf>
    <xf numFmtId="0" fontId="146" fillId="0" borderId="0" xfId="3" applyFont="1" applyAlignment="1" applyProtection="1">
      <alignment horizontal="right"/>
      <protection locked="0"/>
    </xf>
    <xf numFmtId="0" fontId="145" fillId="0" borderId="0" xfId="3" applyFont="1" applyAlignment="1" applyProtection="1">
      <alignment horizontal="left"/>
      <protection locked="0"/>
    </xf>
    <xf numFmtId="175" fontId="2" fillId="0" borderId="23" xfId="12" applyNumberFormat="1" applyFont="1" applyBorder="1" applyAlignment="1">
      <alignment horizontal="centerContinuous"/>
    </xf>
    <xf numFmtId="175" fontId="2" fillId="0" borderId="22" xfId="12" applyNumberFormat="1" applyFont="1" applyBorder="1" applyAlignment="1">
      <alignment horizontal="centerContinuous"/>
    </xf>
    <xf numFmtId="0" fontId="149" fillId="0" borderId="22" xfId="12" applyFont="1" applyBorder="1" applyAlignment="1">
      <alignment horizontal="centerContinuous"/>
    </xf>
    <xf numFmtId="1" fontId="149" fillId="0" borderId="22" xfId="12" applyNumberFormat="1" applyFont="1" applyBorder="1" applyAlignment="1">
      <alignment horizontal="centerContinuous"/>
    </xf>
    <xf numFmtId="0" fontId="149" fillId="0" borderId="22" xfId="12" applyFont="1" applyBorder="1" applyAlignment="1" applyProtection="1">
      <alignment horizontal="centerContinuous"/>
      <protection locked="0"/>
    </xf>
    <xf numFmtId="0" fontId="149" fillId="0" borderId="24" xfId="12" applyFont="1" applyBorder="1" applyAlignment="1" applyProtection="1">
      <alignment horizontal="centerContinuous"/>
      <protection locked="0"/>
    </xf>
    <xf numFmtId="0" fontId="148" fillId="0" borderId="0" xfId="12"/>
    <xf numFmtId="175" fontId="2" fillId="0" borderId="17" xfId="12" applyNumberFormat="1" applyFont="1" applyBorder="1" applyAlignment="1">
      <alignment horizontal="centerContinuous"/>
    </xf>
    <xf numFmtId="175" fontId="2" fillId="0" borderId="0" xfId="12" applyNumberFormat="1" applyFont="1" applyAlignment="1">
      <alignment horizontal="centerContinuous"/>
    </xf>
    <xf numFmtId="0" fontId="5" fillId="0" borderId="0" xfId="12" applyFont="1" applyAlignment="1">
      <alignment horizontal="centerContinuous"/>
    </xf>
    <xf numFmtId="1" fontId="5" fillId="0" borderId="0" xfId="12" applyNumberFormat="1" applyFont="1" applyAlignment="1">
      <alignment horizontal="centerContinuous"/>
    </xf>
    <xf numFmtId="0" fontId="5" fillId="0" borderId="0" xfId="12" applyFont="1" applyAlignment="1" applyProtection="1">
      <alignment horizontal="centerContinuous"/>
      <protection locked="0"/>
    </xf>
    <xf numFmtId="0" fontId="5" fillId="0" borderId="19" xfId="12" applyFont="1" applyBorder="1" applyAlignment="1" applyProtection="1">
      <alignment horizontal="centerContinuous"/>
      <protection locked="0"/>
    </xf>
    <xf numFmtId="0" fontId="5" fillId="0" borderId="19" xfId="12" applyFont="1" applyBorder="1" applyAlignment="1" applyProtection="1">
      <alignment horizontal="center"/>
      <protection locked="0"/>
    </xf>
    <xf numFmtId="175" fontId="16" fillId="0" borderId="17" xfId="12" applyNumberFormat="1" applyFont="1" applyBorder="1"/>
    <xf numFmtId="0" fontId="5" fillId="0" borderId="0" xfId="12" applyFont="1"/>
    <xf numFmtId="1" fontId="5" fillId="0" borderId="0" xfId="12" applyNumberFormat="1" applyFont="1"/>
    <xf numFmtId="0" fontId="5" fillId="0" borderId="0" xfId="12" applyFont="1" applyProtection="1">
      <protection locked="0"/>
    </xf>
    <xf numFmtId="175" fontId="2" fillId="0" borderId="4" xfId="12" applyNumberFormat="1" applyFont="1" applyBorder="1" applyAlignment="1">
      <alignment horizontal="center"/>
    </xf>
    <xf numFmtId="4" fontId="2" fillId="0" borderId="33" xfId="12" applyNumberFormat="1" applyFont="1" applyBorder="1" applyAlignment="1">
      <alignment horizontal="centerContinuous"/>
    </xf>
    <xf numFmtId="4" fontId="2" fillId="0" borderId="4" xfId="12" applyNumberFormat="1" applyFont="1" applyBorder="1" applyAlignment="1">
      <alignment horizontal="center"/>
    </xf>
    <xf numFmtId="1" fontId="2" fillId="0" borderId="4" xfId="12" applyNumberFormat="1" applyFont="1" applyBorder="1" applyAlignment="1">
      <alignment horizontal="center"/>
    </xf>
    <xf numFmtId="4" fontId="2" fillId="0" borderId="4" xfId="12" applyNumberFormat="1" applyFont="1" applyBorder="1" applyAlignment="1" applyProtection="1">
      <alignment horizontal="center"/>
      <protection locked="0"/>
    </xf>
    <xf numFmtId="4" fontId="2" fillId="0" borderId="6" xfId="12" applyNumberFormat="1" applyFont="1" applyBorder="1" applyAlignment="1" applyProtection="1">
      <alignment horizontal="center"/>
      <protection locked="0"/>
    </xf>
    <xf numFmtId="175" fontId="5" fillId="0" borderId="17" xfId="12" applyNumberFormat="1" applyFont="1" applyBorder="1" applyAlignment="1">
      <alignment horizontal="center" vertical="top"/>
    </xf>
    <xf numFmtId="4" fontId="5" fillId="0" borderId="0" xfId="12" applyNumberFormat="1" applyFont="1" applyAlignment="1">
      <alignment vertical="top" wrapText="1"/>
    </xf>
    <xf numFmtId="4" fontId="5" fillId="0" borderId="17" xfId="12" applyNumberFormat="1" applyFont="1" applyBorder="1" applyAlignment="1">
      <alignment horizontal="center"/>
    </xf>
    <xf numFmtId="1" fontId="5" fillId="0" borderId="17" xfId="12" applyNumberFormat="1" applyFont="1" applyBorder="1" applyAlignment="1">
      <alignment horizontal="center"/>
    </xf>
    <xf numFmtId="4" fontId="5" fillId="0" borderId="17" xfId="12" applyNumberFormat="1" applyFont="1" applyBorder="1" applyAlignment="1" applyProtection="1">
      <alignment horizontal="right"/>
      <protection locked="0"/>
    </xf>
    <xf numFmtId="4" fontId="5" fillId="0" borderId="25" xfId="12" applyNumberFormat="1" applyFont="1" applyBorder="1" applyAlignment="1" applyProtection="1">
      <alignment horizontal="center"/>
      <protection locked="0"/>
    </xf>
    <xf numFmtId="4" fontId="24" fillId="0" borderId="19" xfId="12" applyNumberFormat="1" applyFont="1" applyBorder="1" applyAlignment="1">
      <alignment horizontal="left" vertical="top" wrapText="1"/>
    </xf>
    <xf numFmtId="3" fontId="5" fillId="0" borderId="17" xfId="12" applyNumberFormat="1" applyFont="1" applyBorder="1" applyAlignment="1">
      <alignment horizontal="center"/>
    </xf>
    <xf numFmtId="4" fontId="5" fillId="0" borderId="25" xfId="12" applyNumberFormat="1" applyFont="1" applyBorder="1" applyAlignment="1" applyProtection="1">
      <alignment horizontal="right"/>
      <protection locked="0"/>
    </xf>
    <xf numFmtId="175" fontId="2" fillId="0" borderId="17" xfId="12" applyNumberFormat="1" applyFont="1" applyBorder="1" applyAlignment="1">
      <alignment horizontal="center" vertical="top"/>
    </xf>
    <xf numFmtId="4" fontId="5" fillId="0" borderId="19" xfId="12" applyNumberFormat="1" applyFont="1" applyBorder="1" applyAlignment="1">
      <alignment horizontal="left" vertical="top" wrapText="1"/>
    </xf>
    <xf numFmtId="4" fontId="2" fillId="0" borderId="17" xfId="12" applyNumberFormat="1" applyFont="1" applyBorder="1" applyAlignment="1" applyProtection="1">
      <alignment horizontal="right"/>
      <protection locked="0"/>
    </xf>
    <xf numFmtId="4" fontId="2" fillId="0" borderId="25" xfId="12" applyNumberFormat="1" applyFont="1" applyBorder="1" applyAlignment="1" applyProtection="1">
      <alignment horizontal="right"/>
      <protection locked="0"/>
    </xf>
    <xf numFmtId="0" fontId="150" fillId="0" borderId="0" xfId="12" applyFont="1"/>
    <xf numFmtId="4" fontId="5" fillId="0" borderId="0" xfId="12" applyNumberFormat="1" applyFont="1" applyAlignment="1">
      <alignment horizontal="left" wrapText="1"/>
    </xf>
    <xf numFmtId="1" fontId="5" fillId="0" borderId="25" xfId="12" applyNumberFormat="1" applyFont="1" applyBorder="1" applyAlignment="1">
      <alignment horizontal="center"/>
    </xf>
    <xf numFmtId="4" fontId="5" fillId="0" borderId="0" xfId="12" applyNumberFormat="1" applyFont="1" applyAlignment="1">
      <alignment horizontal="left" vertical="top" wrapText="1"/>
    </xf>
    <xf numFmtId="4" fontId="31" fillId="0" borderId="19" xfId="12" applyNumberFormat="1" applyFont="1" applyBorder="1" applyAlignment="1">
      <alignment horizontal="left" vertical="top" wrapText="1"/>
    </xf>
    <xf numFmtId="4" fontId="5" fillId="0" borderId="44" xfId="12" applyNumberFormat="1" applyFont="1" applyBorder="1" applyAlignment="1">
      <alignment horizontal="left" wrapText="1"/>
    </xf>
    <xf numFmtId="175" fontId="5" fillId="0" borderId="45" xfId="12" applyNumberFormat="1" applyFont="1" applyBorder="1" applyAlignment="1">
      <alignment horizontal="center" vertical="top"/>
    </xf>
    <xf numFmtId="4" fontId="5" fillId="0" borderId="28" xfId="12" applyNumberFormat="1" applyFont="1" applyBorder="1" applyAlignment="1">
      <alignment vertical="top" wrapText="1"/>
    </xf>
    <xf numFmtId="4" fontId="5" fillId="0" borderId="28" xfId="12" applyNumberFormat="1" applyFont="1" applyBorder="1" applyAlignment="1">
      <alignment horizontal="center"/>
    </xf>
    <xf numFmtId="1" fontId="5" fillId="0" borderId="28" xfId="12" applyNumberFormat="1" applyFont="1" applyBorder="1" applyAlignment="1">
      <alignment horizontal="center"/>
    </xf>
    <xf numFmtId="4" fontId="5" fillId="0" borderId="28" xfId="12" applyNumberFormat="1" applyFont="1" applyBorder="1" applyProtection="1">
      <protection locked="0"/>
    </xf>
    <xf numFmtId="4" fontId="5" fillId="0" borderId="46" xfId="12" applyNumberFormat="1" applyFont="1" applyBorder="1" applyAlignment="1" applyProtection="1">
      <alignment horizontal="center"/>
      <protection locked="0"/>
    </xf>
    <xf numFmtId="175" fontId="5" fillId="0" borderId="17" xfId="12" applyNumberFormat="1" applyFont="1" applyBorder="1" applyAlignment="1">
      <alignment vertical="top"/>
    </xf>
    <xf numFmtId="4" fontId="2" fillId="0" borderId="0" xfId="12" applyNumberFormat="1" applyFont="1" applyAlignment="1">
      <alignment horizontal="left" vertical="top" wrapText="1"/>
    </xf>
    <xf numFmtId="4" fontId="2" fillId="0" borderId="0" xfId="12" applyNumberFormat="1" applyFont="1" applyAlignment="1">
      <alignment horizontal="right"/>
    </xf>
    <xf numFmtId="1" fontId="2" fillId="0" borderId="0" xfId="12" applyNumberFormat="1" applyFont="1" applyAlignment="1">
      <alignment horizontal="center"/>
    </xf>
    <xf numFmtId="4" fontId="2" fillId="0" borderId="0" xfId="12" applyNumberFormat="1" applyFont="1" applyAlignment="1" applyProtection="1">
      <alignment horizontal="center"/>
      <protection locked="0"/>
    </xf>
    <xf numFmtId="4" fontId="2" fillId="0" borderId="25" xfId="12" applyNumberFormat="1" applyFont="1" applyBorder="1" applyAlignment="1" applyProtection="1">
      <alignment horizontal="center"/>
      <protection locked="0"/>
    </xf>
    <xf numFmtId="175" fontId="5" fillId="0" borderId="20" xfId="12" applyNumberFormat="1" applyFont="1" applyBorder="1" applyAlignment="1">
      <alignment vertical="top"/>
    </xf>
    <xf numFmtId="0" fontId="5" fillId="0" borderId="13" xfId="12" applyFont="1" applyBorder="1" applyAlignment="1">
      <alignment vertical="top" wrapText="1"/>
    </xf>
    <xf numFmtId="0" fontId="5" fillId="0" borderId="13" xfId="12" applyFont="1" applyBorder="1"/>
    <xf numFmtId="1" fontId="5" fillId="0" borderId="13" xfId="12" applyNumberFormat="1" applyFont="1" applyBorder="1"/>
    <xf numFmtId="0" fontId="5" fillId="0" borderId="13" xfId="12" applyFont="1" applyBorder="1" applyProtection="1">
      <protection locked="0"/>
    </xf>
    <xf numFmtId="0" fontId="5" fillId="0" borderId="11" xfId="12" applyFont="1" applyBorder="1" applyAlignment="1" applyProtection="1">
      <alignment horizontal="center"/>
      <protection locked="0"/>
    </xf>
    <xf numFmtId="175" fontId="2" fillId="0" borderId="23" xfId="12" applyNumberFormat="1" applyFont="1" applyBorder="1" applyAlignment="1">
      <alignment horizontal="centerContinuous" vertical="top"/>
    </xf>
    <xf numFmtId="0" fontId="149" fillId="0" borderId="22" xfId="12" applyFont="1" applyBorder="1" applyAlignment="1">
      <alignment horizontal="centerContinuous" vertical="top" wrapText="1"/>
    </xf>
    <xf numFmtId="0" fontId="149" fillId="0" borderId="24" xfId="12" applyFont="1" applyBorder="1" applyAlignment="1" applyProtection="1">
      <alignment horizontal="center"/>
      <protection locked="0"/>
    </xf>
    <xf numFmtId="175" fontId="2" fillId="0" borderId="17" xfId="12" applyNumberFormat="1" applyFont="1" applyBorder="1" applyAlignment="1">
      <alignment horizontal="centerContinuous" vertical="top"/>
    </xf>
    <xf numFmtId="0" fontId="5" fillId="0" borderId="0" xfId="12" applyFont="1" applyAlignment="1">
      <alignment horizontal="centerContinuous" vertical="top" wrapText="1"/>
    </xf>
    <xf numFmtId="175" fontId="5" fillId="0" borderId="0" xfId="12" applyNumberFormat="1" applyFont="1" applyAlignment="1">
      <alignment vertical="top"/>
    </xf>
    <xf numFmtId="0" fontId="5" fillId="0" borderId="0" xfId="12" applyFont="1" applyAlignment="1">
      <alignment vertical="top" wrapText="1"/>
    </xf>
    <xf numFmtId="175" fontId="2" fillId="0" borderId="4" xfId="12" applyNumberFormat="1" applyFont="1" applyBorder="1" applyAlignment="1">
      <alignment horizontal="center" vertical="top"/>
    </xf>
    <xf numFmtId="0" fontId="148" fillId="0" borderId="0" xfId="12" applyAlignment="1">
      <alignment wrapText="1"/>
    </xf>
    <xf numFmtId="175" fontId="148" fillId="0" borderId="0" xfId="12" applyNumberFormat="1"/>
    <xf numFmtId="1" fontId="148" fillId="0" borderId="0" xfId="12" applyNumberFormat="1"/>
    <xf numFmtId="0" fontId="148" fillId="0" borderId="0" xfId="12" applyProtection="1">
      <protection locked="0"/>
    </xf>
    <xf numFmtId="0" fontId="148" fillId="0" borderId="0" xfId="12" applyAlignment="1" applyProtection="1">
      <alignment horizontal="center"/>
      <protection locked="0"/>
    </xf>
    <xf numFmtId="175" fontId="2" fillId="0" borderId="22" xfId="12" applyNumberFormat="1" applyFont="1" applyBorder="1" applyAlignment="1" applyProtection="1">
      <alignment horizontal="centerContinuous"/>
      <protection locked="0"/>
    </xf>
    <xf numFmtId="175" fontId="2" fillId="0" borderId="24" xfId="12" applyNumberFormat="1" applyFont="1" applyBorder="1" applyAlignment="1" applyProtection="1">
      <alignment horizontal="centerContinuous"/>
      <protection locked="0"/>
    </xf>
    <xf numFmtId="175" fontId="2" fillId="0" borderId="0" xfId="12" applyNumberFormat="1" applyFont="1" applyAlignment="1" applyProtection="1">
      <alignment horizontal="centerContinuous"/>
      <protection locked="0"/>
    </xf>
    <xf numFmtId="175" fontId="2" fillId="0" borderId="19" xfId="12" applyNumberFormat="1" applyFont="1" applyBorder="1" applyAlignment="1" applyProtection="1">
      <alignment horizontal="centerContinuous"/>
      <protection locked="0"/>
    </xf>
    <xf numFmtId="0" fontId="5" fillId="0" borderId="0" xfId="12" applyFont="1" applyAlignment="1" applyProtection="1">
      <alignment horizontal="center"/>
      <protection locked="0"/>
    </xf>
    <xf numFmtId="175" fontId="2" fillId="0" borderId="45" xfId="12" applyNumberFormat="1" applyFont="1" applyBorder="1" applyAlignment="1">
      <alignment horizontal="center"/>
    </xf>
    <xf numFmtId="4" fontId="2" fillId="0" borderId="28" xfId="12" applyNumberFormat="1" applyFont="1" applyBorder="1" applyAlignment="1">
      <alignment horizontal="centerContinuous"/>
    </xf>
    <xf numFmtId="4" fontId="2" fillId="0" borderId="45" xfId="12" applyNumberFormat="1" applyFont="1" applyBorder="1" applyAlignment="1">
      <alignment horizontal="center"/>
    </xf>
    <xf numFmtId="1" fontId="2" fillId="0" borderId="45" xfId="12" applyNumberFormat="1" applyFont="1" applyBorder="1" applyAlignment="1">
      <alignment horizontal="center"/>
    </xf>
    <xf numFmtId="4" fontId="2" fillId="0" borderId="45" xfId="12" applyNumberFormat="1" applyFont="1" applyBorder="1" applyAlignment="1" applyProtection="1">
      <alignment horizontal="center"/>
      <protection locked="0"/>
    </xf>
    <xf numFmtId="175" fontId="2" fillId="0" borderId="17" xfId="12" applyNumberFormat="1" applyFont="1" applyBorder="1" applyAlignment="1">
      <alignment horizontal="center"/>
    </xf>
    <xf numFmtId="4" fontId="2" fillId="0" borderId="17" xfId="12" applyNumberFormat="1" applyFont="1" applyBorder="1" applyAlignment="1">
      <alignment horizontal="centerContinuous"/>
    </xf>
    <xf numFmtId="4" fontId="36" fillId="0" borderId="0" xfId="12" applyNumberFormat="1" applyFont="1" applyAlignment="1">
      <alignment horizontal="left"/>
    </xf>
    <xf numFmtId="4" fontId="2" fillId="0" borderId="17" xfId="12" applyNumberFormat="1" applyFont="1" applyBorder="1" applyAlignment="1">
      <alignment horizontal="center"/>
    </xf>
    <xf numFmtId="1" fontId="2" fillId="0" borderId="17" xfId="12" applyNumberFormat="1" applyFont="1" applyBorder="1" applyAlignment="1">
      <alignment horizontal="center"/>
    </xf>
    <xf numFmtId="4" fontId="2" fillId="0" borderId="17" xfId="12" applyNumberFormat="1" applyFont="1" applyBorder="1" applyAlignment="1" applyProtection="1">
      <alignment horizontal="center"/>
      <protection locked="0"/>
    </xf>
    <xf numFmtId="4" fontId="2" fillId="0" borderId="0" xfId="12" applyNumberFormat="1" applyFont="1" applyAlignment="1">
      <alignment horizontal="centerContinuous"/>
    </xf>
    <xf numFmtId="175" fontId="24" fillId="0" borderId="0" xfId="12" applyNumberFormat="1" applyFont="1" applyAlignment="1">
      <alignment horizontal="left" vertical="top"/>
    </xf>
    <xf numFmtId="175" fontId="5" fillId="0" borderId="17" xfId="12" applyNumberFormat="1" applyFont="1" applyBorder="1" applyAlignment="1">
      <alignment horizontal="center"/>
    </xf>
    <xf numFmtId="4" fontId="5" fillId="0" borderId="17" xfId="12" applyNumberFormat="1" applyFont="1" applyBorder="1" applyAlignment="1">
      <alignment horizontal="centerContinuous"/>
    </xf>
    <xf numFmtId="175" fontId="5" fillId="0" borderId="0" xfId="12" applyNumberFormat="1" applyFont="1" applyAlignment="1">
      <alignment horizontal="left" vertical="top"/>
    </xf>
    <xf numFmtId="4" fontId="5" fillId="0" borderId="28" xfId="12" applyNumberFormat="1" applyFont="1" applyBorder="1" applyAlignment="1" applyProtection="1">
      <alignment horizontal="center"/>
      <protection locked="0"/>
    </xf>
    <xf numFmtId="0" fontId="5" fillId="0" borderId="13" xfId="12" applyFont="1" applyBorder="1" applyAlignment="1" applyProtection="1">
      <alignment horizontal="center"/>
      <protection locked="0"/>
    </xf>
    <xf numFmtId="0" fontId="149" fillId="0" borderId="22" xfId="12" applyFont="1" applyBorder="1" applyAlignment="1" applyProtection="1">
      <alignment horizontal="center"/>
      <protection locked="0"/>
    </xf>
    <xf numFmtId="0" fontId="149" fillId="0" borderId="0" xfId="12" applyFont="1" applyAlignment="1">
      <alignment horizontal="centerContinuous" vertical="top" wrapText="1"/>
    </xf>
    <xf numFmtId="0" fontId="149" fillId="0" borderId="0" xfId="12" applyFont="1" applyAlignment="1">
      <alignment horizontal="centerContinuous"/>
    </xf>
    <xf numFmtId="1" fontId="149" fillId="0" borderId="0" xfId="12" applyNumberFormat="1" applyFont="1" applyAlignment="1">
      <alignment horizontal="centerContinuous"/>
    </xf>
    <xf numFmtId="0" fontId="149" fillId="0" borderId="0" xfId="12" applyFont="1" applyAlignment="1" applyProtection="1">
      <alignment horizontal="center"/>
      <protection locked="0"/>
    </xf>
    <xf numFmtId="0" fontId="149" fillId="0" borderId="19" xfId="12" applyFont="1" applyBorder="1" applyAlignment="1" applyProtection="1">
      <alignment horizontal="center"/>
      <protection locked="0"/>
    </xf>
    <xf numFmtId="0" fontId="5" fillId="0" borderId="21" xfId="12" applyFont="1" applyBorder="1" applyAlignment="1" applyProtection="1">
      <alignment horizontal="center"/>
      <protection locked="0"/>
    </xf>
    <xf numFmtId="4" fontId="2" fillId="0" borderId="29" xfId="12" applyNumberFormat="1" applyFont="1" applyBorder="1" applyAlignment="1">
      <alignment horizontal="center" vertical="top" wrapText="1"/>
    </xf>
    <xf numFmtId="175" fontId="5" fillId="0" borderId="17" xfId="12" applyNumberFormat="1" applyFont="1" applyBorder="1" applyAlignment="1">
      <alignment horizontal="center" vertical="top" wrapText="1"/>
    </xf>
    <xf numFmtId="175" fontId="5" fillId="0" borderId="17" xfId="12" applyNumberFormat="1" applyFont="1" applyBorder="1" applyAlignment="1">
      <alignment horizontal="center" vertical="center"/>
    </xf>
    <xf numFmtId="4" fontId="5" fillId="0" borderId="17" xfId="12" applyNumberFormat="1" applyFont="1" applyBorder="1" applyAlignment="1">
      <alignment horizontal="center" wrapText="1"/>
    </xf>
    <xf numFmtId="1" fontId="5" fillId="0" borderId="17" xfId="12" applyNumberFormat="1" applyFont="1" applyBorder="1" applyAlignment="1">
      <alignment horizontal="center" wrapText="1"/>
    </xf>
    <xf numFmtId="4" fontId="5" fillId="0" borderId="17" xfId="12" applyNumberFormat="1" applyFont="1" applyBorder="1" applyAlignment="1" applyProtection="1">
      <alignment horizontal="center" wrapText="1"/>
      <protection locked="0"/>
    </xf>
    <xf numFmtId="0" fontId="5" fillId="0" borderId="0" xfId="12" applyFont="1" applyAlignment="1">
      <alignment horizontal="left" wrapText="1"/>
    </xf>
    <xf numFmtId="175" fontId="5" fillId="0" borderId="19" xfId="12" applyNumberFormat="1" applyFont="1" applyBorder="1" applyAlignment="1">
      <alignment horizontal="left" vertical="top"/>
    </xf>
    <xf numFmtId="175" fontId="148" fillId="0" borderId="17" xfId="12" applyNumberFormat="1" applyBorder="1"/>
    <xf numFmtId="0" fontId="5" fillId="0" borderId="17" xfId="12" applyFont="1" applyBorder="1" applyAlignment="1">
      <alignment horizontal="center" wrapText="1"/>
    </xf>
    <xf numFmtId="4" fontId="5" fillId="0" borderId="17" xfId="12" applyNumberFormat="1" applyFont="1" applyBorder="1" applyAlignment="1" applyProtection="1">
      <alignment horizontal="right" wrapText="1"/>
      <protection locked="0"/>
    </xf>
    <xf numFmtId="0" fontId="148" fillId="0" borderId="25" xfId="12" applyBorder="1"/>
    <xf numFmtId="3" fontId="5" fillId="0" borderId="17" xfId="12" applyNumberFormat="1" applyFont="1" applyBorder="1" applyAlignment="1">
      <alignment horizontal="center" wrapText="1"/>
    </xf>
    <xf numFmtId="0" fontId="4" fillId="0" borderId="0" xfId="12" applyFont="1" applyAlignment="1">
      <alignment horizontal="left" wrapText="1"/>
    </xf>
    <xf numFmtId="4" fontId="5" fillId="0" borderId="47" xfId="12" applyNumberFormat="1" applyFont="1" applyBorder="1" applyAlignment="1">
      <alignment horizontal="center" wrapText="1"/>
    </xf>
    <xf numFmtId="3" fontId="5" fillId="0" borderId="47" xfId="12" applyNumberFormat="1" applyFont="1" applyBorder="1" applyAlignment="1">
      <alignment horizontal="center" wrapText="1"/>
    </xf>
    <xf numFmtId="4" fontId="5" fillId="0" borderId="0" xfId="12" applyNumberFormat="1" applyFont="1" applyAlignment="1" applyProtection="1">
      <alignment horizontal="center" wrapText="1"/>
      <protection locked="0"/>
    </xf>
    <xf numFmtId="4" fontId="5" fillId="0" borderId="17" xfId="12" applyNumberFormat="1" applyFont="1" applyBorder="1" applyAlignment="1" applyProtection="1">
      <alignment horizontal="center"/>
      <protection locked="0"/>
    </xf>
    <xf numFmtId="4" fontId="5" fillId="0" borderId="0" xfId="12" applyNumberFormat="1" applyFont="1" applyAlignment="1" applyProtection="1">
      <alignment horizontal="right"/>
      <protection locked="0"/>
    </xf>
    <xf numFmtId="4" fontId="5" fillId="0" borderId="0" xfId="12" applyNumberFormat="1" applyFont="1" applyAlignment="1" applyProtection="1">
      <alignment horizontal="center"/>
      <protection locked="0"/>
    </xf>
    <xf numFmtId="4" fontId="36" fillId="0" borderId="19" xfId="12" applyNumberFormat="1" applyFont="1" applyBorder="1" applyAlignment="1">
      <alignment horizontal="left" vertical="top" wrapText="1"/>
    </xf>
    <xf numFmtId="175" fontId="5" fillId="0" borderId="0" xfId="12" applyNumberFormat="1" applyFont="1" applyAlignment="1">
      <alignment horizontal="left" vertical="top" wrapText="1"/>
    </xf>
    <xf numFmtId="4" fontId="5" fillId="0" borderId="19" xfId="12" applyNumberFormat="1" applyFont="1" applyBorder="1" applyAlignment="1">
      <alignment horizontal="left" vertical="top"/>
    </xf>
    <xf numFmtId="175" fontId="5" fillId="0" borderId="25" xfId="12" applyNumberFormat="1" applyFont="1" applyBorder="1" applyAlignment="1">
      <alignment horizontal="center" vertical="top" wrapText="1"/>
    </xf>
    <xf numFmtId="175" fontId="5" fillId="0" borderId="45" xfId="12" applyNumberFormat="1" applyFont="1" applyBorder="1" applyAlignment="1">
      <alignment horizontal="center" vertical="top" wrapText="1"/>
    </xf>
    <xf numFmtId="175" fontId="5" fillId="0" borderId="28" xfId="12" applyNumberFormat="1" applyFont="1" applyBorder="1" applyAlignment="1">
      <alignment horizontal="left" vertical="top"/>
    </xf>
    <xf numFmtId="4" fontId="5" fillId="0" borderId="45" xfId="12" applyNumberFormat="1" applyFont="1" applyBorder="1" applyAlignment="1">
      <alignment horizontal="center" wrapText="1"/>
    </xf>
    <xf numFmtId="1" fontId="5" fillId="0" borderId="45" xfId="12" applyNumberFormat="1" applyFont="1" applyBorder="1" applyAlignment="1">
      <alignment horizontal="center" wrapText="1"/>
    </xf>
    <xf numFmtId="4" fontId="5" fillId="0" borderId="45" xfId="12" applyNumberFormat="1" applyFont="1" applyBorder="1" applyAlignment="1" applyProtection="1">
      <alignment horizontal="center" wrapText="1"/>
      <protection locked="0"/>
    </xf>
    <xf numFmtId="4" fontId="5" fillId="0" borderId="25" xfId="12" applyNumberFormat="1" applyFont="1" applyBorder="1" applyAlignment="1">
      <alignment horizontal="center" wrapText="1"/>
    </xf>
    <xf numFmtId="3" fontId="5" fillId="0" borderId="25" xfId="12" applyNumberFormat="1" applyFont="1" applyBorder="1" applyAlignment="1">
      <alignment horizontal="center" wrapText="1"/>
    </xf>
    <xf numFmtId="4" fontId="5" fillId="0" borderId="0" xfId="12" applyNumberFormat="1" applyFont="1" applyAlignment="1" applyProtection="1">
      <alignment horizontal="right" wrapText="1"/>
      <protection locked="0"/>
    </xf>
    <xf numFmtId="4" fontId="5" fillId="0" borderId="25" xfId="12" applyNumberFormat="1" applyFont="1" applyBorder="1" applyAlignment="1">
      <alignment horizontal="center"/>
    </xf>
    <xf numFmtId="4" fontId="2" fillId="0" borderId="17" xfId="12" applyNumberFormat="1" applyFont="1" applyBorder="1" applyAlignment="1" applyProtection="1">
      <alignment horizontal="center" wrapText="1"/>
      <protection locked="0"/>
    </xf>
    <xf numFmtId="4" fontId="5" fillId="0" borderId="0" xfId="12" applyNumberFormat="1" applyFont="1" applyAlignment="1">
      <alignment horizontal="center" wrapText="1"/>
    </xf>
    <xf numFmtId="0" fontId="5" fillId="0" borderId="19" xfId="12" applyFont="1" applyBorder="1" applyAlignment="1">
      <alignment horizontal="left" vertical="top" wrapText="1"/>
    </xf>
    <xf numFmtId="175" fontId="5" fillId="0" borderId="19" xfId="12" applyNumberFormat="1" applyFont="1" applyBorder="1" applyAlignment="1">
      <alignment horizontal="left" vertical="top" wrapText="1"/>
    </xf>
    <xf numFmtId="1" fontId="5" fillId="0" borderId="25" xfId="12" applyNumberFormat="1" applyFont="1" applyBorder="1" applyAlignment="1">
      <alignment horizontal="center" wrapText="1"/>
    </xf>
    <xf numFmtId="0" fontId="148" fillId="0" borderId="17" xfId="12" applyBorder="1"/>
    <xf numFmtId="4" fontId="5" fillId="0" borderId="19" xfId="12" applyNumberFormat="1" applyFont="1" applyBorder="1" applyAlignment="1">
      <alignment horizontal="center" wrapText="1"/>
    </xf>
    <xf numFmtId="3" fontId="5" fillId="0" borderId="0" xfId="12" applyNumberFormat="1" applyFont="1" applyAlignment="1">
      <alignment horizontal="center" wrapText="1"/>
    </xf>
    <xf numFmtId="175" fontId="5" fillId="0" borderId="23" xfId="12" applyNumberFormat="1" applyFont="1" applyBorder="1" applyAlignment="1">
      <alignment vertical="top"/>
    </xf>
    <xf numFmtId="0" fontId="5" fillId="0" borderId="22" xfId="12" applyFont="1" applyBorder="1" applyAlignment="1">
      <alignment vertical="top" wrapText="1"/>
    </xf>
    <xf numFmtId="0" fontId="5" fillId="0" borderId="22" xfId="12" applyFont="1" applyBorder="1"/>
    <xf numFmtId="1" fontId="5" fillId="0" borderId="22" xfId="12" applyNumberFormat="1" applyFont="1" applyBorder="1"/>
    <xf numFmtId="0" fontId="5" fillId="0" borderId="22" xfId="12" applyFont="1" applyBorder="1" applyAlignment="1" applyProtection="1">
      <alignment horizontal="center"/>
      <protection locked="0"/>
    </xf>
    <xf numFmtId="0" fontId="5" fillId="0" borderId="24" xfId="12" applyFont="1" applyBorder="1" applyAlignment="1" applyProtection="1">
      <alignment horizontal="center"/>
      <protection locked="0"/>
    </xf>
    <xf numFmtId="175" fontId="16" fillId="0" borderId="20" xfId="12" applyNumberFormat="1" applyFont="1" applyBorder="1"/>
    <xf numFmtId="175" fontId="2" fillId="0" borderId="5" xfId="12" applyNumberFormat="1" applyFont="1" applyBorder="1" applyAlignment="1">
      <alignment horizontal="center"/>
    </xf>
    <xf numFmtId="4" fontId="2" fillId="0" borderId="44" xfId="12" applyNumberFormat="1" applyFont="1" applyBorder="1" applyAlignment="1">
      <alignment horizontal="centerContinuous"/>
    </xf>
    <xf numFmtId="4" fontId="2" fillId="0" borderId="5" xfId="12" applyNumberFormat="1" applyFont="1" applyBorder="1" applyAlignment="1">
      <alignment horizontal="center"/>
    </xf>
    <xf numFmtId="1" fontId="2" fillId="0" borderId="5" xfId="12" applyNumberFormat="1" applyFont="1" applyBorder="1" applyAlignment="1">
      <alignment horizontal="center"/>
    </xf>
    <xf numFmtId="4" fontId="2" fillId="0" borderId="5" xfId="12" applyNumberFormat="1" applyFont="1" applyBorder="1" applyAlignment="1" applyProtection="1">
      <alignment horizontal="center"/>
      <protection locked="0"/>
    </xf>
    <xf numFmtId="4" fontId="2" fillId="0" borderId="47" xfId="12" applyNumberFormat="1" applyFont="1" applyBorder="1" applyAlignment="1" applyProtection="1">
      <alignment horizontal="center"/>
      <protection locked="0"/>
    </xf>
    <xf numFmtId="0" fontId="5" fillId="0" borderId="0" xfId="12" applyFont="1" applyAlignment="1">
      <alignment horizontal="left" vertical="top" wrapText="1"/>
    </xf>
    <xf numFmtId="4" fontId="2" fillId="0" borderId="17" xfId="12" applyNumberFormat="1" applyFont="1" applyBorder="1" applyAlignment="1" applyProtection="1">
      <alignment horizontal="right" wrapText="1"/>
      <protection locked="0"/>
    </xf>
    <xf numFmtId="4" fontId="5" fillId="0" borderId="47" xfId="12" applyNumberFormat="1" applyFont="1" applyBorder="1" applyAlignment="1">
      <alignment horizontal="center"/>
    </xf>
    <xf numFmtId="1" fontId="5" fillId="0" borderId="47" xfId="12" applyNumberFormat="1" applyFont="1" applyBorder="1" applyAlignment="1">
      <alignment horizontal="center"/>
    </xf>
    <xf numFmtId="175" fontId="2" fillId="0" borderId="5" xfId="12" applyNumberFormat="1" applyFont="1" applyBorder="1" applyAlignment="1">
      <alignment horizontal="center" vertical="top"/>
    </xf>
    <xf numFmtId="4" fontId="2" fillId="0" borderId="12" xfId="12" applyNumberFormat="1" applyFont="1" applyBorder="1" applyAlignment="1">
      <alignment horizontal="center" vertical="top" wrapText="1"/>
    </xf>
    <xf numFmtId="4" fontId="2" fillId="0" borderId="0" xfId="12" applyNumberFormat="1" applyFont="1" applyAlignment="1">
      <alignment horizontal="center" vertical="top" wrapText="1"/>
    </xf>
    <xf numFmtId="4" fontId="5" fillId="0" borderId="0" xfId="12" applyNumberFormat="1" applyFont="1" applyAlignment="1">
      <alignment horizontal="left" vertical="top"/>
    </xf>
    <xf numFmtId="0" fontId="5" fillId="0" borderId="22" xfId="12" applyFont="1" applyBorder="1" applyAlignment="1">
      <alignment horizontal="centerContinuous" vertical="top" wrapText="1"/>
    </xf>
    <xf numFmtId="0" fontId="5" fillId="0" borderId="22" xfId="12" applyFont="1" applyBorder="1" applyAlignment="1">
      <alignment horizontal="centerContinuous"/>
    </xf>
    <xf numFmtId="1" fontId="5" fillId="0" borderId="22" xfId="12" applyNumberFormat="1" applyFont="1" applyBorder="1" applyAlignment="1">
      <alignment horizontal="centerContinuous"/>
    </xf>
    <xf numFmtId="175" fontId="5" fillId="0" borderId="0" xfId="12" applyNumberFormat="1" applyFont="1" applyAlignment="1">
      <alignment horizontal="left" vertical="center" wrapText="1"/>
    </xf>
    <xf numFmtId="175" fontId="5" fillId="0" borderId="19" xfId="12" applyNumberFormat="1" applyFont="1" applyBorder="1" applyAlignment="1">
      <alignment vertical="top" wrapText="1"/>
    </xf>
    <xf numFmtId="175" fontId="5" fillId="0" borderId="0" xfId="12" applyNumberFormat="1" applyFont="1" applyAlignment="1">
      <alignment vertical="top" wrapText="1"/>
    </xf>
    <xf numFmtId="0" fontId="5" fillId="0" borderId="0" xfId="12" applyFont="1" applyAlignment="1">
      <alignment wrapText="1"/>
    </xf>
    <xf numFmtId="4" fontId="2" fillId="0" borderId="0" xfId="12" applyNumberFormat="1" applyFont="1" applyAlignment="1">
      <alignment horizontal="left" wrapText="1"/>
    </xf>
    <xf numFmtId="4" fontId="24" fillId="0" borderId="0" xfId="12" applyNumberFormat="1" applyFont="1" applyAlignment="1">
      <alignment horizontal="left"/>
    </xf>
    <xf numFmtId="0" fontId="149" fillId="0" borderId="0" xfId="12" applyFont="1"/>
    <xf numFmtId="4" fontId="149" fillId="0" borderId="0" xfId="12" applyNumberFormat="1" applyFont="1"/>
    <xf numFmtId="4" fontId="149" fillId="0" borderId="28" xfId="12" applyNumberFormat="1" applyFont="1" applyBorder="1"/>
    <xf numFmtId="4" fontId="5" fillId="0" borderId="0" xfId="12" applyNumberFormat="1" applyFont="1"/>
    <xf numFmtId="0" fontId="5" fillId="0" borderId="19" xfId="12" applyFont="1" applyBorder="1" applyProtection="1">
      <protection locked="0"/>
    </xf>
    <xf numFmtId="0" fontId="2" fillId="0" borderId="4" xfId="12" applyFont="1" applyBorder="1" applyAlignment="1">
      <alignment horizontal="center"/>
    </xf>
    <xf numFmtId="4" fontId="5" fillId="0" borderId="0" xfId="12" applyNumberFormat="1" applyFont="1" applyAlignment="1">
      <alignment horizontal="center"/>
    </xf>
    <xf numFmtId="0" fontId="5" fillId="0" borderId="17" xfId="12" applyFont="1" applyBorder="1" applyAlignment="1">
      <alignment horizontal="center"/>
    </xf>
    <xf numFmtId="4" fontId="5" fillId="0" borderId="0" xfId="12" applyNumberFormat="1" applyFont="1" applyAlignment="1">
      <alignment wrapText="1"/>
    </xf>
    <xf numFmtId="4" fontId="5" fillId="0" borderId="17" xfId="12" applyNumberFormat="1" applyFont="1" applyBorder="1" applyProtection="1">
      <protection locked="0"/>
    </xf>
    <xf numFmtId="4" fontId="5" fillId="0" borderId="28" xfId="12" applyNumberFormat="1" applyFont="1" applyBorder="1" applyAlignment="1">
      <alignment wrapText="1"/>
    </xf>
    <xf numFmtId="0" fontId="5" fillId="0" borderId="28" xfId="12" applyFont="1" applyBorder="1" applyAlignment="1">
      <alignment horizontal="center"/>
    </xf>
    <xf numFmtId="4" fontId="5" fillId="0" borderId="46" xfId="12" applyNumberFormat="1" applyFont="1" applyBorder="1" applyProtection="1">
      <protection locked="0"/>
    </xf>
    <xf numFmtId="0" fontId="2" fillId="0" borderId="0" xfId="12" applyFont="1" applyAlignment="1">
      <alignment horizontal="center"/>
    </xf>
    <xf numFmtId="0" fontId="5" fillId="0" borderId="13" xfId="12" applyFont="1" applyBorder="1" applyAlignment="1">
      <alignment wrapText="1"/>
    </xf>
    <xf numFmtId="0" fontId="5" fillId="0" borderId="11" xfId="12" applyFont="1" applyBorder="1" applyProtection="1">
      <protection locked="0"/>
    </xf>
    <xf numFmtId="0" fontId="5" fillId="0" borderId="0" xfId="12" applyFont="1" applyAlignment="1">
      <alignment horizontal="center"/>
    </xf>
    <xf numFmtId="4" fontId="5" fillId="0" borderId="0" xfId="12" applyNumberFormat="1" applyFont="1" applyProtection="1">
      <protection locked="0"/>
    </xf>
    <xf numFmtId="4" fontId="24" fillId="0" borderId="0" xfId="12" applyNumberFormat="1" applyFont="1" applyAlignment="1">
      <alignment horizontal="left" wrapText="1"/>
    </xf>
    <xf numFmtId="4" fontId="24" fillId="0" borderId="0" xfId="12" applyNumberFormat="1" applyFont="1" applyAlignment="1">
      <alignment horizontal="left" vertical="top" wrapText="1"/>
    </xf>
    <xf numFmtId="0" fontId="24" fillId="0" borderId="0" xfId="12" applyFont="1" applyAlignment="1">
      <alignment horizontal="left" wrapText="1"/>
    </xf>
    <xf numFmtId="4" fontId="4" fillId="0" borderId="19" xfId="12" applyNumberFormat="1" applyFont="1" applyBorder="1" applyAlignment="1">
      <alignment horizontal="left" vertical="top" wrapText="1"/>
    </xf>
    <xf numFmtId="4" fontId="5" fillId="0" borderId="19" xfId="12" applyNumberFormat="1" applyFont="1" applyBorder="1" applyAlignment="1">
      <alignment horizontal="left" vertical="center" wrapText="1"/>
    </xf>
    <xf numFmtId="175" fontId="5" fillId="0" borderId="25" xfId="12" applyNumberFormat="1" applyFont="1" applyBorder="1" applyAlignment="1">
      <alignment horizontal="center"/>
    </xf>
    <xf numFmtId="175" fontId="5" fillId="0" borderId="25" xfId="12" applyNumberFormat="1" applyFont="1" applyBorder="1" applyAlignment="1">
      <alignment horizontal="center" vertical="top"/>
    </xf>
    <xf numFmtId="175" fontId="148" fillId="0" borderId="25" xfId="12" applyNumberFormat="1" applyBorder="1"/>
    <xf numFmtId="4" fontId="5" fillId="0" borderId="0" xfId="12" applyNumberFormat="1" applyFont="1" applyAlignment="1">
      <alignment horizontal="left" vertical="center" wrapText="1"/>
    </xf>
    <xf numFmtId="4" fontId="5" fillId="0" borderId="0" xfId="13" applyNumberFormat="1" applyFont="1" applyAlignment="1">
      <alignment horizontal="left" vertical="center" wrapText="1"/>
    </xf>
    <xf numFmtId="4" fontId="5" fillId="0" borderId="0" xfId="12" applyNumberFormat="1" applyFont="1" applyAlignment="1">
      <alignment horizontal="left"/>
    </xf>
    <xf numFmtId="175" fontId="147" fillId="0" borderId="0" xfId="12" applyNumberFormat="1" applyFont="1"/>
    <xf numFmtId="175" fontId="2" fillId="0" borderId="23" xfId="13" applyNumberFormat="1" applyFont="1" applyBorder="1" applyAlignment="1">
      <alignment horizontal="centerContinuous"/>
    </xf>
    <xf numFmtId="175" fontId="2" fillId="0" borderId="22" xfId="13" applyNumberFormat="1" applyFont="1" applyBorder="1" applyAlignment="1">
      <alignment horizontal="centerContinuous"/>
    </xf>
    <xf numFmtId="175" fontId="2" fillId="0" borderId="22" xfId="13" applyNumberFormat="1" applyFont="1" applyBorder="1" applyAlignment="1" applyProtection="1">
      <alignment horizontal="centerContinuous"/>
      <protection locked="0"/>
    </xf>
    <xf numFmtId="175" fontId="2" fillId="0" borderId="24" xfId="13" applyNumberFormat="1" applyFont="1" applyBorder="1" applyAlignment="1" applyProtection="1">
      <alignment horizontal="centerContinuous"/>
      <protection locked="0"/>
    </xf>
    <xf numFmtId="0" fontId="148" fillId="0" borderId="0" xfId="13"/>
    <xf numFmtId="175" fontId="2" fillId="0" borderId="17" xfId="13" applyNumberFormat="1" applyFont="1" applyBorder="1" applyAlignment="1">
      <alignment horizontal="centerContinuous"/>
    </xf>
    <xf numFmtId="175" fontId="2" fillId="0" borderId="0" xfId="13" applyNumberFormat="1" applyFont="1" applyAlignment="1">
      <alignment horizontal="centerContinuous"/>
    </xf>
    <xf numFmtId="175" fontId="2" fillId="0" borderId="0" xfId="13" applyNumberFormat="1" applyFont="1" applyAlignment="1" applyProtection="1">
      <alignment horizontal="centerContinuous"/>
      <protection locked="0"/>
    </xf>
    <xf numFmtId="175" fontId="2" fillId="0" borderId="19" xfId="13" applyNumberFormat="1" applyFont="1" applyBorder="1" applyAlignment="1" applyProtection="1">
      <alignment horizontal="centerContinuous"/>
      <protection locked="0"/>
    </xf>
    <xf numFmtId="175" fontId="16" fillId="0" borderId="17" xfId="13" applyNumberFormat="1" applyFont="1" applyBorder="1"/>
    <xf numFmtId="0" fontId="5" fillId="0" borderId="0" xfId="13" applyFont="1"/>
    <xf numFmtId="1" fontId="5" fillId="0" borderId="0" xfId="13" applyNumberFormat="1" applyFont="1"/>
    <xf numFmtId="0" fontId="5" fillId="0" borderId="0" xfId="13" applyFont="1" applyAlignment="1" applyProtection="1">
      <alignment horizontal="center"/>
      <protection locked="0"/>
    </xf>
    <xf numFmtId="0" fontId="5" fillId="0" borderId="19" xfId="13" applyFont="1" applyBorder="1" applyAlignment="1" applyProtection="1">
      <alignment horizontal="center"/>
      <protection locked="0"/>
    </xf>
    <xf numFmtId="175" fontId="2" fillId="0" borderId="4" xfId="13" applyNumberFormat="1" applyFont="1" applyBorder="1" applyAlignment="1">
      <alignment horizontal="center"/>
    </xf>
    <xf numFmtId="4" fontId="2" fillId="0" borderId="33" xfId="13" applyNumberFormat="1" applyFont="1" applyBorder="1" applyAlignment="1">
      <alignment horizontal="centerContinuous"/>
    </xf>
    <xf numFmtId="4" fontId="2" fillId="0" borderId="4" xfId="13" applyNumberFormat="1" applyFont="1" applyBorder="1" applyAlignment="1">
      <alignment horizontal="center"/>
    </xf>
    <xf numFmtId="1" fontId="2" fillId="0" borderId="4" xfId="13" applyNumberFormat="1" applyFont="1" applyBorder="1" applyAlignment="1">
      <alignment horizontal="center"/>
    </xf>
    <xf numFmtId="4" fontId="2" fillId="0" borderId="4" xfId="13" applyNumberFormat="1" applyFont="1" applyBorder="1" applyAlignment="1" applyProtection="1">
      <alignment horizontal="center"/>
      <protection locked="0"/>
    </xf>
    <xf numFmtId="4" fontId="2" fillId="0" borderId="6" xfId="13" applyNumberFormat="1" applyFont="1" applyBorder="1" applyAlignment="1" applyProtection="1">
      <alignment horizontal="center"/>
      <protection locked="0"/>
    </xf>
    <xf numFmtId="175" fontId="2" fillId="0" borderId="45" xfId="13" applyNumberFormat="1" applyFont="1" applyBorder="1" applyAlignment="1">
      <alignment horizontal="center"/>
    </xf>
    <xf numFmtId="4" fontId="2" fillId="0" borderId="28" xfId="13" applyNumberFormat="1" applyFont="1" applyBorder="1" applyAlignment="1">
      <alignment horizontal="centerContinuous"/>
    </xf>
    <xf numFmtId="4" fontId="2" fillId="0" borderId="45" xfId="13" applyNumberFormat="1" applyFont="1" applyBorder="1" applyAlignment="1">
      <alignment horizontal="center"/>
    </xf>
    <xf numFmtId="1" fontId="2" fillId="0" borderId="45" xfId="13" applyNumberFormat="1" applyFont="1" applyBorder="1" applyAlignment="1">
      <alignment horizontal="center"/>
    </xf>
    <xf numFmtId="4" fontId="2" fillId="0" borderId="45" xfId="13" applyNumberFormat="1" applyFont="1" applyBorder="1" applyAlignment="1" applyProtection="1">
      <alignment horizontal="center"/>
      <protection locked="0"/>
    </xf>
    <xf numFmtId="4" fontId="5" fillId="0" borderId="46" xfId="13" applyNumberFormat="1" applyFont="1" applyBorder="1" applyAlignment="1" applyProtection="1">
      <alignment horizontal="center"/>
      <protection locked="0"/>
    </xf>
    <xf numFmtId="175" fontId="2" fillId="0" borderId="17" xfId="13" applyNumberFormat="1" applyFont="1" applyBorder="1" applyAlignment="1">
      <alignment horizontal="center"/>
    </xf>
    <xf numFmtId="4" fontId="24" fillId="0" borderId="0" xfId="13" applyNumberFormat="1" applyFont="1" applyAlignment="1">
      <alignment horizontal="left" vertical="top" wrapText="1"/>
    </xf>
    <xf numFmtId="4" fontId="2" fillId="0" borderId="17" xfId="13" applyNumberFormat="1" applyFont="1" applyBorder="1" applyAlignment="1">
      <alignment horizontal="center"/>
    </xf>
    <xf numFmtId="1" fontId="2" fillId="0" borderId="17" xfId="13" applyNumberFormat="1" applyFont="1" applyBorder="1" applyAlignment="1">
      <alignment horizontal="center"/>
    </xf>
    <xf numFmtId="4" fontId="2" fillId="0" borderId="17" xfId="13" applyNumberFormat="1" applyFont="1" applyBorder="1" applyAlignment="1" applyProtection="1">
      <alignment horizontal="center"/>
      <protection locked="0"/>
    </xf>
    <xf numFmtId="4" fontId="5" fillId="0" borderId="25" xfId="13" applyNumberFormat="1" applyFont="1" applyBorder="1" applyAlignment="1" applyProtection="1">
      <alignment horizontal="center"/>
      <protection locked="0"/>
    </xf>
    <xf numFmtId="4" fontId="5" fillId="0" borderId="17" xfId="13" applyNumberFormat="1" applyFont="1" applyBorder="1" applyAlignment="1">
      <alignment horizontal="center"/>
    </xf>
    <xf numFmtId="4" fontId="2" fillId="0" borderId="17" xfId="13" applyNumberFormat="1" applyFont="1" applyBorder="1" applyAlignment="1" applyProtection="1">
      <alignment horizontal="right"/>
      <protection locked="0"/>
    </xf>
    <xf numFmtId="4" fontId="5" fillId="0" borderId="25" xfId="13" applyNumberFormat="1" applyFont="1" applyBorder="1" applyAlignment="1" applyProtection="1">
      <alignment horizontal="right"/>
      <protection locked="0"/>
    </xf>
    <xf numFmtId="175" fontId="5" fillId="0" borderId="17" xfId="13" applyNumberFormat="1" applyFont="1" applyBorder="1" applyAlignment="1">
      <alignment horizontal="center"/>
    </xf>
    <xf numFmtId="4" fontId="2" fillId="0" borderId="0" xfId="13" applyNumberFormat="1" applyFont="1" applyAlignment="1">
      <alignment horizontal="left" wrapText="1"/>
    </xf>
    <xf numFmtId="4" fontId="5" fillId="0" borderId="19" xfId="13" applyNumberFormat="1" applyFont="1" applyBorder="1" applyAlignment="1">
      <alignment horizontal="left" vertical="top" wrapText="1"/>
    </xf>
    <xf numFmtId="175" fontId="5" fillId="0" borderId="17" xfId="13" applyNumberFormat="1" applyFont="1" applyBorder="1" applyAlignment="1">
      <alignment horizontal="center" vertical="top"/>
    </xf>
    <xf numFmtId="0" fontId="148" fillId="0" borderId="0" xfId="13" applyAlignment="1">
      <alignment wrapText="1"/>
    </xf>
    <xf numFmtId="1" fontId="5" fillId="0" borderId="17" xfId="13" applyNumberFormat="1" applyFont="1" applyBorder="1" applyAlignment="1">
      <alignment horizontal="center"/>
    </xf>
    <xf numFmtId="4" fontId="5" fillId="0" borderId="0" xfId="13" applyNumberFormat="1" applyFont="1" applyAlignment="1">
      <alignment horizontal="left" vertical="top" wrapText="1"/>
    </xf>
    <xf numFmtId="4" fontId="5" fillId="0" borderId="0" xfId="13" applyNumberFormat="1" applyFont="1" applyAlignment="1">
      <alignment horizontal="left" wrapText="1"/>
    </xf>
    <xf numFmtId="4" fontId="24" fillId="0" borderId="0" xfId="13" applyNumberFormat="1" applyFont="1" applyAlignment="1">
      <alignment horizontal="left"/>
    </xf>
    <xf numFmtId="175" fontId="147" fillId="0" borderId="0" xfId="13" applyNumberFormat="1" applyFont="1"/>
    <xf numFmtId="4" fontId="4" fillId="0" borderId="19" xfId="13" applyNumberFormat="1" applyFont="1" applyBorder="1" applyAlignment="1">
      <alignment horizontal="left" vertical="top" wrapText="1"/>
    </xf>
    <xf numFmtId="175" fontId="5" fillId="0" borderId="0" xfId="13" applyNumberFormat="1" applyFont="1" applyAlignment="1">
      <alignment horizontal="left" vertical="top"/>
    </xf>
    <xf numFmtId="4" fontId="5" fillId="0" borderId="17" xfId="13" applyNumberFormat="1" applyFont="1" applyBorder="1" applyAlignment="1" applyProtection="1">
      <alignment horizontal="right"/>
      <protection locked="0"/>
    </xf>
    <xf numFmtId="175" fontId="5" fillId="0" borderId="45" xfId="13" applyNumberFormat="1" applyFont="1" applyBorder="1" applyAlignment="1">
      <alignment horizontal="center" vertical="top"/>
    </xf>
    <xf numFmtId="4" fontId="5" fillId="0" borderId="28" xfId="13" applyNumberFormat="1" applyFont="1" applyBorder="1" applyAlignment="1">
      <alignment vertical="top" wrapText="1"/>
    </xf>
    <xf numFmtId="4" fontId="5" fillId="0" borderId="28" xfId="13" applyNumberFormat="1" applyFont="1" applyBorder="1" applyAlignment="1">
      <alignment horizontal="center"/>
    </xf>
    <xf numFmtId="1" fontId="5" fillId="0" borderId="28" xfId="13" applyNumberFormat="1" applyFont="1" applyBorder="1" applyAlignment="1">
      <alignment horizontal="center"/>
    </xf>
    <xf numFmtId="4" fontId="5" fillId="0" borderId="28" xfId="13" applyNumberFormat="1" applyFont="1" applyBorder="1" applyAlignment="1" applyProtection="1">
      <alignment horizontal="center"/>
      <protection locked="0"/>
    </xf>
    <xf numFmtId="175" fontId="5" fillId="0" borderId="17" xfId="13" applyNumberFormat="1" applyFont="1" applyBorder="1" applyAlignment="1">
      <alignment vertical="top"/>
    </xf>
    <xf numFmtId="4" fontId="2" fillId="0" borderId="0" xfId="13" applyNumberFormat="1" applyFont="1" applyAlignment="1">
      <alignment horizontal="left" vertical="top" wrapText="1"/>
    </xf>
    <xf numFmtId="4" fontId="2" fillId="0" borderId="0" xfId="13" applyNumberFormat="1" applyFont="1" applyAlignment="1">
      <alignment horizontal="right"/>
    </xf>
    <xf numFmtId="1" fontId="2" fillId="0" borderId="0" xfId="13" applyNumberFormat="1" applyFont="1" applyAlignment="1">
      <alignment horizontal="center"/>
    </xf>
    <xf numFmtId="4" fontId="2" fillId="0" borderId="0" xfId="13" applyNumberFormat="1" applyFont="1" applyAlignment="1" applyProtection="1">
      <alignment horizontal="center"/>
      <protection locked="0"/>
    </xf>
    <xf numFmtId="4" fontId="2" fillId="0" borderId="25" xfId="13" applyNumberFormat="1" applyFont="1" applyBorder="1" applyAlignment="1" applyProtection="1">
      <alignment horizontal="center"/>
      <protection locked="0"/>
    </xf>
    <xf numFmtId="175" fontId="5" fillId="0" borderId="20" xfId="13" applyNumberFormat="1" applyFont="1" applyBorder="1" applyAlignment="1">
      <alignment vertical="top"/>
    </xf>
    <xf numFmtId="0" fontId="5" fillId="0" borderId="13" xfId="13" applyFont="1" applyBorder="1" applyAlignment="1">
      <alignment vertical="top" wrapText="1"/>
    </xf>
    <xf numFmtId="0" fontId="5" fillId="0" borderId="13" xfId="13" applyFont="1" applyBorder="1"/>
    <xf numFmtId="1" fontId="5" fillId="0" borderId="13" xfId="13" applyNumberFormat="1" applyFont="1" applyBorder="1"/>
    <xf numFmtId="0" fontId="5" fillId="0" borderId="13" xfId="13" applyFont="1" applyBorder="1" applyAlignment="1" applyProtection="1">
      <alignment horizontal="center"/>
      <protection locked="0"/>
    </xf>
    <xf numFmtId="0" fontId="5" fillId="0" borderId="11" xfId="13" applyFont="1" applyBorder="1" applyAlignment="1" applyProtection="1">
      <alignment horizontal="center"/>
      <protection locked="0"/>
    </xf>
    <xf numFmtId="175" fontId="148" fillId="0" borderId="0" xfId="13" applyNumberFormat="1"/>
    <xf numFmtId="1" fontId="148" fillId="0" borderId="0" xfId="13" applyNumberFormat="1"/>
    <xf numFmtId="0" fontId="148" fillId="0" borderId="0" xfId="13" applyAlignment="1" applyProtection="1">
      <alignment horizontal="center"/>
      <protection locked="0"/>
    </xf>
    <xf numFmtId="0" fontId="149" fillId="0" borderId="22" xfId="13" applyFont="1" applyBorder="1" applyAlignment="1">
      <alignment horizontal="centerContinuous"/>
    </xf>
    <xf numFmtId="0" fontId="149" fillId="0" borderId="22" xfId="13" applyFont="1" applyBorder="1" applyAlignment="1" applyProtection="1">
      <alignment horizontal="centerContinuous"/>
      <protection locked="0"/>
    </xf>
    <xf numFmtId="0" fontId="149" fillId="0" borderId="24" xfId="13" applyFont="1" applyBorder="1" applyAlignment="1" applyProtection="1">
      <alignment horizontal="centerContinuous"/>
      <protection locked="0"/>
    </xf>
    <xf numFmtId="0" fontId="149" fillId="0" borderId="0" xfId="13" applyFont="1"/>
    <xf numFmtId="4" fontId="149" fillId="0" borderId="0" xfId="13" applyNumberFormat="1" applyFont="1"/>
    <xf numFmtId="4" fontId="149" fillId="0" borderId="28" xfId="13" applyNumberFormat="1" applyFont="1" applyBorder="1"/>
    <xf numFmtId="175" fontId="2" fillId="0" borderId="17" xfId="13" applyNumberFormat="1" applyFont="1" applyBorder="1" applyAlignment="1">
      <alignment horizontal="centerContinuous" vertical="top"/>
    </xf>
    <xf numFmtId="0" fontId="5" fillId="0" borderId="0" xfId="13" applyFont="1" applyAlignment="1">
      <alignment horizontal="centerContinuous"/>
    </xf>
    <xf numFmtId="0" fontId="5" fillId="0" borderId="0" xfId="13" applyFont="1" applyAlignment="1" applyProtection="1">
      <alignment horizontal="centerContinuous"/>
      <protection locked="0"/>
    </xf>
    <xf numFmtId="0" fontId="5" fillId="0" borderId="19" xfId="13" applyFont="1" applyBorder="1" applyAlignment="1" applyProtection="1">
      <alignment horizontal="centerContinuous"/>
      <protection locked="0"/>
    </xf>
    <xf numFmtId="4" fontId="5" fillId="0" borderId="0" xfId="13" applyNumberFormat="1" applyFont="1"/>
    <xf numFmtId="0" fontId="5" fillId="0" borderId="0" xfId="13" applyFont="1" applyProtection="1">
      <protection locked="0"/>
    </xf>
    <xf numFmtId="0" fontId="5" fillId="0" borderId="19" xfId="13" applyFont="1" applyBorder="1" applyProtection="1">
      <protection locked="0"/>
    </xf>
    <xf numFmtId="175" fontId="2" fillId="0" borderId="4" xfId="13" applyNumberFormat="1" applyFont="1" applyBorder="1" applyAlignment="1">
      <alignment horizontal="center" vertical="top"/>
    </xf>
    <xf numFmtId="0" fontId="2" fillId="0" borderId="4" xfId="13" applyFont="1" applyBorder="1" applyAlignment="1">
      <alignment horizontal="center"/>
    </xf>
    <xf numFmtId="4" fontId="5" fillId="0" borderId="0" xfId="13" applyNumberFormat="1" applyFont="1" applyAlignment="1">
      <alignment horizontal="center"/>
    </xf>
    <xf numFmtId="0" fontId="5" fillId="0" borderId="17" xfId="13" applyFont="1" applyBorder="1" applyAlignment="1">
      <alignment horizontal="center"/>
    </xf>
    <xf numFmtId="4" fontId="5" fillId="0" borderId="17" xfId="13" applyNumberFormat="1" applyFont="1" applyBorder="1" applyAlignment="1">
      <alignment horizontal="center" wrapText="1"/>
    </xf>
    <xf numFmtId="4" fontId="5" fillId="0" borderId="0" xfId="13" applyNumberFormat="1" applyFont="1" applyAlignment="1">
      <alignment wrapText="1"/>
    </xf>
    <xf numFmtId="4" fontId="5" fillId="0" borderId="0" xfId="13" applyNumberFormat="1" applyFont="1" applyAlignment="1">
      <alignment vertical="top" wrapText="1"/>
    </xf>
    <xf numFmtId="4" fontId="5" fillId="0" borderId="17" xfId="13" applyNumberFormat="1" applyFont="1" applyBorder="1" applyAlignment="1" applyProtection="1">
      <alignment horizontal="center"/>
      <protection locked="0"/>
    </xf>
    <xf numFmtId="4" fontId="5" fillId="0" borderId="17" xfId="13" applyNumberFormat="1" applyFont="1" applyBorder="1" applyProtection="1">
      <protection locked="0"/>
    </xf>
    <xf numFmtId="4" fontId="5" fillId="0" borderId="28" xfId="13" applyNumberFormat="1" applyFont="1" applyBorder="1" applyAlignment="1">
      <alignment wrapText="1"/>
    </xf>
    <xf numFmtId="0" fontId="5" fillId="0" borderId="28" xfId="13" applyFont="1" applyBorder="1" applyAlignment="1">
      <alignment horizontal="center"/>
    </xf>
    <xf numFmtId="4" fontId="5" fillId="0" borderId="28" xfId="13" applyNumberFormat="1" applyFont="1" applyBorder="1" applyProtection="1">
      <protection locked="0"/>
    </xf>
    <xf numFmtId="4" fontId="5" fillId="0" borderId="46" xfId="13" applyNumberFormat="1" applyFont="1" applyBorder="1" applyProtection="1">
      <protection locked="0"/>
    </xf>
    <xf numFmtId="0" fontId="2" fillId="0" borderId="0" xfId="13" applyFont="1" applyAlignment="1">
      <alignment horizontal="center"/>
    </xf>
    <xf numFmtId="0" fontId="5" fillId="0" borderId="13" xfId="13" applyFont="1" applyBorder="1" applyAlignment="1">
      <alignment wrapText="1"/>
    </xf>
    <xf numFmtId="0" fontId="5" fillId="0" borderId="13" xfId="13" applyFont="1" applyBorder="1" applyProtection="1">
      <protection locked="0"/>
    </xf>
    <xf numFmtId="0" fontId="5" fillId="0" borderId="11" xfId="13" applyFont="1" applyBorder="1" applyProtection="1">
      <protection locked="0"/>
    </xf>
    <xf numFmtId="175" fontId="5" fillId="0" borderId="0" xfId="13" applyNumberFormat="1" applyFont="1" applyAlignment="1">
      <alignment vertical="top"/>
    </xf>
    <xf numFmtId="0" fontId="5" fillId="0" borderId="0" xfId="13" applyFont="1" applyAlignment="1">
      <alignment wrapText="1"/>
    </xf>
    <xf numFmtId="0" fontId="5" fillId="0" borderId="0" xfId="13" applyFont="1" applyAlignment="1">
      <alignment horizontal="center"/>
    </xf>
    <xf numFmtId="4" fontId="5" fillId="0" borderId="0" xfId="13" applyNumberFormat="1" applyFont="1" applyProtection="1">
      <protection locked="0"/>
    </xf>
    <xf numFmtId="175" fontId="2" fillId="0" borderId="23" xfId="0" applyNumberFormat="1" applyFont="1" applyBorder="1" applyAlignment="1">
      <alignment horizontal="centerContinuous"/>
    </xf>
    <xf numFmtId="175" fontId="2" fillId="0" borderId="17" xfId="0" applyNumberFormat="1" applyFont="1" applyBorder="1" applyAlignment="1">
      <alignment horizontal="centerContinuous"/>
    </xf>
    <xf numFmtId="4" fontId="2" fillId="0" borderId="33" xfId="0" applyNumberFormat="1" applyFont="1" applyBorder="1" applyAlignment="1">
      <alignment horizontal="centerContinuous"/>
    </xf>
    <xf numFmtId="175" fontId="2" fillId="0" borderId="6" xfId="0" applyNumberFormat="1" applyFont="1" applyBorder="1" applyAlignment="1">
      <alignment horizontal="center"/>
    </xf>
    <xf numFmtId="175" fontId="2" fillId="0" borderId="46" xfId="12" applyNumberFormat="1" applyFont="1" applyBorder="1" applyAlignment="1">
      <alignment horizontal="center"/>
    </xf>
    <xf numFmtId="175" fontId="2" fillId="0" borderId="25" xfId="12" applyNumberFormat="1" applyFont="1" applyBorder="1" applyAlignment="1">
      <alignment horizontal="center"/>
    </xf>
    <xf numFmtId="4" fontId="5" fillId="0" borderId="25" xfId="12" applyNumberFormat="1" applyFont="1" applyBorder="1" applyAlignment="1">
      <alignment horizontal="centerContinuous" vertical="top"/>
    </xf>
    <xf numFmtId="175" fontId="5" fillId="0" borderId="46" xfId="12" applyNumberFormat="1" applyFont="1" applyBorder="1" applyAlignment="1">
      <alignment horizontal="center" vertical="top"/>
    </xf>
    <xf numFmtId="175" fontId="5" fillId="0" borderId="25" xfId="12" applyNumberFormat="1" applyFont="1" applyBorder="1" applyAlignment="1">
      <alignment vertical="top"/>
    </xf>
    <xf numFmtId="175" fontId="5" fillId="0" borderId="11" xfId="12" applyNumberFormat="1" applyFont="1" applyBorder="1" applyAlignment="1">
      <alignment vertical="top"/>
    </xf>
    <xf numFmtId="175" fontId="148" fillId="0" borderId="17" xfId="12" applyNumberFormat="1" applyBorder="1" applyAlignment="1">
      <alignment horizontal="center"/>
    </xf>
    <xf numFmtId="175" fontId="5" fillId="0" borderId="19" xfId="0" applyNumberFormat="1" applyFont="1" applyBorder="1" applyAlignment="1">
      <alignment horizontal="left" vertical="top"/>
    </xf>
    <xf numFmtId="0" fontId="14" fillId="0" borderId="0" xfId="3" applyFont="1" applyAlignment="1">
      <alignment horizontal="center"/>
    </xf>
    <xf numFmtId="0" fontId="14" fillId="0" borderId="23" xfId="3" applyFont="1" applyBorder="1" applyAlignment="1">
      <alignment horizontal="right"/>
    </xf>
    <xf numFmtId="0" fontId="14" fillId="0" borderId="22" xfId="3" applyFont="1" applyBorder="1" applyAlignment="1">
      <alignment horizontal="right"/>
    </xf>
    <xf numFmtId="1" fontId="16" fillId="0" borderId="3" xfId="10" applyFont="1" applyBorder="1" applyAlignment="1" applyProtection="1">
      <alignment horizontal="center"/>
      <protection locked="0"/>
    </xf>
    <xf numFmtId="0" fontId="155" fillId="0" borderId="3" xfId="0" applyFont="1" applyBorder="1" applyAlignment="1">
      <alignment horizontal="center"/>
    </xf>
    <xf numFmtId="1" fontId="8" fillId="0" borderId="0" xfId="10" applyFont="1" applyAlignment="1" applyProtection="1">
      <alignment horizontal="center"/>
      <protection locked="0"/>
    </xf>
    <xf numFmtId="1" fontId="15" fillId="0" borderId="0" xfId="10" applyFont="1" applyAlignment="1" applyProtection="1">
      <alignment horizontal="left"/>
      <protection locked="0"/>
    </xf>
    <xf numFmtId="4" fontId="16" fillId="3" borderId="18" xfId="3" applyNumberFormat="1" applyFont="1" applyFill="1" applyBorder="1" applyAlignment="1">
      <alignment horizontal="right"/>
    </xf>
    <xf numFmtId="4" fontId="16" fillId="3" borderId="16" xfId="3" applyNumberFormat="1" applyFont="1" applyFill="1" applyBorder="1" applyAlignment="1">
      <alignment horizontal="right"/>
    </xf>
    <xf numFmtId="1" fontId="16" fillId="0" borderId="0" xfId="10" applyFont="1" applyAlignment="1" applyProtection="1">
      <alignment vertical="top"/>
      <protection locked="0"/>
    </xf>
    <xf numFmtId="1" fontId="16" fillId="0" borderId="0" xfId="10" applyFont="1" applyProtection="1">
      <protection locked="0"/>
    </xf>
    <xf numFmtId="2" fontId="16" fillId="0" borderId="0" xfId="10" applyNumberFormat="1" applyFont="1" applyProtection="1">
      <protection locked="0"/>
    </xf>
    <xf numFmtId="1" fontId="16" fillId="0" borderId="0" xfId="10" applyFont="1"/>
    <xf numFmtId="2" fontId="8" fillId="3" borderId="3" xfId="3" applyNumberFormat="1" applyFont="1" applyFill="1" applyBorder="1" applyAlignment="1">
      <alignment horizontal="center"/>
    </xf>
    <xf numFmtId="165" fontId="16" fillId="0" borderId="0" xfId="10" applyNumberFormat="1" applyFont="1" applyProtection="1">
      <protection locked="0"/>
    </xf>
    <xf numFmtId="1" fontId="8" fillId="0" borderId="0" xfId="10" applyFont="1" applyProtection="1">
      <protection locked="0"/>
    </xf>
    <xf numFmtId="2" fontId="8" fillId="13" borderId="0" xfId="10" applyNumberFormat="1" applyFont="1" applyFill="1"/>
    <xf numFmtId="2" fontId="8" fillId="17" borderId="0" xfId="10" applyNumberFormat="1" applyFont="1" applyFill="1"/>
    <xf numFmtId="1" fontId="8" fillId="0" borderId="8" xfId="10" applyFont="1" applyBorder="1" applyAlignment="1" applyProtection="1">
      <alignment horizontal="right"/>
      <protection locked="0"/>
    </xf>
    <xf numFmtId="2" fontId="8" fillId="0" borderId="9" xfId="10" applyNumberFormat="1" applyFont="1" applyBorder="1" applyAlignment="1" applyProtection="1">
      <alignment horizontal="left"/>
      <protection locked="0"/>
    </xf>
    <xf numFmtId="1" fontId="8" fillId="0" borderId="1" xfId="10" applyFont="1" applyBorder="1" applyProtection="1">
      <protection locked="0"/>
    </xf>
    <xf numFmtId="1" fontId="16" fillId="0" borderId="1" xfId="10" applyFont="1" applyBorder="1" applyProtection="1">
      <protection locked="0"/>
    </xf>
    <xf numFmtId="2" fontId="8" fillId="0" borderId="1" xfId="10" applyNumberFormat="1" applyFont="1" applyBorder="1" applyProtection="1">
      <protection locked="0"/>
    </xf>
    <xf numFmtId="1" fontId="8" fillId="0" borderId="1" xfId="10" applyFont="1" applyBorder="1"/>
    <xf numFmtId="165" fontId="8" fillId="0" borderId="1" xfId="10" applyNumberFormat="1" applyFont="1" applyBorder="1" applyProtection="1">
      <protection locked="0"/>
    </xf>
    <xf numFmtId="2" fontId="8" fillId="13" borderId="15" xfId="10" applyNumberFormat="1" applyFont="1" applyFill="1" applyBorder="1"/>
    <xf numFmtId="1" fontId="8" fillId="0" borderId="0" xfId="3" applyNumberFormat="1" applyFont="1"/>
    <xf numFmtId="2" fontId="8" fillId="0" borderId="10" xfId="10" applyNumberFormat="1" applyFont="1" applyBorder="1" applyAlignment="1" applyProtection="1">
      <alignment horizontal="center"/>
      <protection locked="0"/>
    </xf>
    <xf numFmtId="1" fontId="16" fillId="0" borderId="0" xfId="10" applyFont="1" applyAlignment="1" applyProtection="1">
      <alignment horizontal="left"/>
      <protection locked="0"/>
    </xf>
    <xf numFmtId="170" fontId="14" fillId="0" borderId="0" xfId="3" applyNumberFormat="1" applyFont="1"/>
    <xf numFmtId="4" fontId="8" fillId="7" borderId="0" xfId="3" applyNumberFormat="1" applyFont="1" applyFill="1"/>
    <xf numFmtId="0" fontId="18" fillId="0" borderId="0" xfId="3" applyFont="1" applyProtection="1">
      <protection locked="0"/>
    </xf>
    <xf numFmtId="0" fontId="16" fillId="0" borderId="0" xfId="3" applyFont="1" applyAlignment="1">
      <alignment horizontal="right"/>
    </xf>
    <xf numFmtId="165" fontId="8" fillId="0" borderId="0" xfId="10" applyNumberFormat="1" applyFont="1" applyProtection="1">
      <protection locked="0"/>
    </xf>
    <xf numFmtId="2" fontId="8" fillId="0" borderId="1" xfId="3" applyNumberFormat="1" applyFont="1" applyBorder="1"/>
    <xf numFmtId="0" fontId="18" fillId="0" borderId="1" xfId="3" applyFont="1" applyBorder="1" applyProtection="1">
      <protection locked="0"/>
    </xf>
    <xf numFmtId="3" fontId="156" fillId="0" borderId="17" xfId="12" applyNumberFormat="1" applyFont="1" applyBorder="1" applyAlignment="1">
      <alignment horizontal="center" wrapText="1"/>
    </xf>
    <xf numFmtId="1" fontId="157" fillId="0" borderId="3" xfId="10" applyFont="1" applyBorder="1" applyAlignment="1" applyProtection="1">
      <alignment horizontal="center"/>
      <protection locked="0"/>
    </xf>
    <xf numFmtId="0" fontId="2" fillId="19" borderId="0" xfId="0" applyFont="1" applyFill="1" applyProtection="1">
      <protection locked="0"/>
    </xf>
    <xf numFmtId="0" fontId="8" fillId="19" borderId="0" xfId="3" applyFont="1" applyFill="1" applyProtection="1">
      <protection locked="0"/>
    </xf>
    <xf numFmtId="0" fontId="5" fillId="19" borderId="0" xfId="3" applyFill="1"/>
    <xf numFmtId="1" fontId="8" fillId="19" borderId="0" xfId="3" applyNumberFormat="1" applyFont="1" applyFill="1" applyProtection="1">
      <protection locked="0"/>
    </xf>
    <xf numFmtId="0" fontId="15" fillId="19" borderId="0" xfId="3" applyFont="1" applyFill="1" applyProtection="1">
      <protection locked="0"/>
    </xf>
    <xf numFmtId="0" fontId="16" fillId="19" borderId="0" xfId="3" applyFont="1" applyFill="1" applyAlignment="1" applyProtection="1">
      <alignment horizontal="right"/>
      <protection locked="0"/>
    </xf>
    <xf numFmtId="0" fontId="8" fillId="19" borderId="1" xfId="3" applyFont="1" applyFill="1" applyBorder="1"/>
    <xf numFmtId="1" fontId="5" fillId="19" borderId="0" xfId="3" applyNumberFormat="1" applyFill="1"/>
    <xf numFmtId="0" fontId="15" fillId="0" borderId="0" xfId="3" applyFont="1"/>
    <xf numFmtId="4" fontId="8" fillId="6" borderId="0" xfId="3" applyNumberFormat="1" applyFont="1" applyFill="1"/>
    <xf numFmtId="0" fontId="16" fillId="0" borderId="0" xfId="3" applyFont="1" applyAlignment="1" applyProtection="1">
      <alignment horizontal="center"/>
      <protection locked="0"/>
    </xf>
    <xf numFmtId="1" fontId="15" fillId="0" borderId="0" xfId="10" applyFont="1" applyAlignment="1" applyProtection="1">
      <alignment horizontal="centerContinuous" wrapText="1"/>
      <protection locked="0"/>
    </xf>
    <xf numFmtId="0" fontId="8" fillId="0" borderId="0" xfId="3" applyFont="1" applyAlignment="1">
      <alignment horizontal="centerContinuous" wrapText="1"/>
    </xf>
    <xf numFmtId="1" fontId="16" fillId="0" borderId="0" xfId="10" applyFont="1" applyAlignment="1" applyProtection="1">
      <alignment horizontal="centerContinuous" wrapText="1"/>
      <protection locked="0"/>
    </xf>
    <xf numFmtId="0" fontId="5" fillId="0" borderId="0" xfId="3" applyAlignment="1">
      <alignment horizontal="centerContinuous" wrapText="1"/>
    </xf>
    <xf numFmtId="2" fontId="16" fillId="0" borderId="0" xfId="10" applyNumberFormat="1" applyFont="1" applyAlignment="1" applyProtection="1">
      <alignment horizontal="centerContinuous" wrapText="1"/>
      <protection locked="0"/>
    </xf>
    <xf numFmtId="0" fontId="8" fillId="0" borderId="0" xfId="3" applyFont="1" applyAlignment="1" applyProtection="1">
      <alignment horizontal="centerContinuous" wrapText="1"/>
      <protection locked="0"/>
    </xf>
    <xf numFmtId="43" fontId="16" fillId="2" borderId="15" xfId="1" applyFont="1" applyFill="1" applyBorder="1"/>
    <xf numFmtId="2" fontId="14" fillId="2" borderId="0" xfId="3" applyNumberFormat="1" applyFont="1" applyFill="1" applyAlignment="1" applyProtection="1">
      <alignment horizontal="center"/>
      <protection locked="0"/>
    </xf>
    <xf numFmtId="0" fontId="160" fillId="0" borderId="0" xfId="3" applyFont="1" applyAlignment="1">
      <alignment horizontal="right"/>
    </xf>
    <xf numFmtId="4" fontId="8" fillId="13" borderId="0" xfId="10" applyNumberFormat="1" applyFont="1" applyFill="1" applyAlignment="1">
      <alignment horizontal="right"/>
    </xf>
    <xf numFmtId="2" fontId="8" fillId="0" borderId="0" xfId="10" applyNumberFormat="1" applyFont="1" applyAlignment="1">
      <alignment horizontal="right"/>
    </xf>
    <xf numFmtId="4" fontId="8" fillId="13" borderId="0" xfId="10" applyNumberFormat="1" applyFont="1" applyFill="1" applyAlignment="1" applyProtection="1">
      <alignment horizontal="right"/>
      <protection locked="0"/>
    </xf>
    <xf numFmtId="4" fontId="8" fillId="4" borderId="0" xfId="3" applyNumberFormat="1" applyFont="1" applyFill="1" applyAlignment="1">
      <alignment horizontal="right"/>
    </xf>
    <xf numFmtId="2" fontId="8" fillId="0" borderId="0" xfId="3" applyNumberFormat="1" applyFont="1" applyAlignment="1">
      <alignment horizontal="right"/>
    </xf>
    <xf numFmtId="0" fontId="8" fillId="0" borderId="0" xfId="3" applyFont="1" applyAlignment="1" applyProtection="1">
      <alignment horizontal="right"/>
      <protection locked="0"/>
    </xf>
    <xf numFmtId="4" fontId="8" fillId="4" borderId="0" xfId="3" applyNumberFormat="1" applyFont="1" applyFill="1" applyAlignment="1" applyProtection="1">
      <alignment horizontal="right"/>
      <protection locked="0"/>
    </xf>
    <xf numFmtId="4" fontId="8" fillId="5" borderId="0" xfId="3" applyNumberFormat="1" applyFont="1" applyFill="1" applyAlignment="1">
      <alignment horizontal="right"/>
    </xf>
    <xf numFmtId="1" fontId="8" fillId="0" borderId="0" xfId="10" applyFont="1"/>
    <xf numFmtId="4" fontId="8" fillId="5" borderId="0" xfId="3" applyNumberFormat="1" applyFont="1" applyFill="1" applyAlignment="1" applyProtection="1">
      <alignment horizontal="right"/>
      <protection locked="0"/>
    </xf>
    <xf numFmtId="4" fontId="8" fillId="6" borderId="0" xfId="3" applyNumberFormat="1" applyFont="1" applyFill="1" applyAlignment="1">
      <alignment horizontal="right"/>
    </xf>
    <xf numFmtId="4" fontId="8" fillId="6" borderId="0" xfId="3" applyNumberFormat="1" applyFont="1" applyFill="1" applyAlignment="1" applyProtection="1">
      <alignment horizontal="right"/>
      <protection locked="0"/>
    </xf>
    <xf numFmtId="4" fontId="8" fillId="2" borderId="0" xfId="3" applyNumberFormat="1" applyFont="1" applyFill="1" applyAlignment="1">
      <alignment horizontal="right"/>
    </xf>
    <xf numFmtId="4" fontId="8" fillId="2" borderId="0" xfId="3" applyNumberFormat="1" applyFont="1" applyFill="1" applyAlignment="1" applyProtection="1">
      <alignment horizontal="right"/>
      <protection locked="0"/>
    </xf>
    <xf numFmtId="4" fontId="8" fillId="7" borderId="0" xfId="3" applyNumberFormat="1" applyFont="1" applyFill="1" applyAlignment="1">
      <alignment horizontal="right"/>
    </xf>
    <xf numFmtId="4" fontId="8" fillId="7" borderId="0" xfId="3" applyNumberFormat="1" applyFont="1" applyFill="1" applyAlignment="1" applyProtection="1">
      <alignment horizontal="right"/>
      <protection locked="0"/>
    </xf>
    <xf numFmtId="4" fontId="8" fillId="8" borderId="0" xfId="3" applyNumberFormat="1" applyFont="1" applyFill="1" applyAlignment="1">
      <alignment horizontal="right"/>
    </xf>
    <xf numFmtId="4" fontId="8" fillId="8" borderId="0" xfId="3" applyNumberFormat="1" applyFont="1" applyFill="1" applyProtection="1">
      <protection locked="0"/>
    </xf>
    <xf numFmtId="4" fontId="8" fillId="9" borderId="0" xfId="3" applyNumberFormat="1" applyFont="1" applyFill="1" applyAlignment="1">
      <alignment horizontal="right"/>
    </xf>
    <xf numFmtId="4" fontId="8" fillId="9" borderId="0" xfId="3" applyNumberFormat="1" applyFont="1" applyFill="1" applyProtection="1">
      <protection locked="0"/>
    </xf>
    <xf numFmtId="4" fontId="8" fillId="10" borderId="0" xfId="3" applyNumberFormat="1" applyFont="1" applyFill="1" applyAlignment="1">
      <alignment horizontal="right"/>
    </xf>
    <xf numFmtId="4" fontId="8" fillId="10" borderId="0" xfId="3" applyNumberFormat="1" applyFont="1" applyFill="1" applyProtection="1">
      <protection locked="0"/>
    </xf>
    <xf numFmtId="4" fontId="8" fillId="11" borderId="13" xfId="3" applyNumberFormat="1" applyFont="1" applyFill="1" applyBorder="1" applyAlignment="1">
      <alignment horizontal="right"/>
    </xf>
    <xf numFmtId="4" fontId="8" fillId="11" borderId="0" xfId="3" applyNumberFormat="1" applyFont="1" applyFill="1" applyProtection="1">
      <protection locked="0"/>
    </xf>
    <xf numFmtId="0" fontId="16" fillId="0" borderId="1" xfId="3" applyFont="1" applyBorder="1" applyAlignment="1">
      <alignment horizontal="left"/>
    </xf>
    <xf numFmtId="0" fontId="161" fillId="0" borderId="1" xfId="3" applyFont="1" applyBorder="1" applyAlignment="1">
      <alignment horizontal="right"/>
    </xf>
    <xf numFmtId="0" fontId="4" fillId="0" borderId="1" xfId="3" applyFont="1" applyBorder="1"/>
    <xf numFmtId="0" fontId="16" fillId="0" borderId="1" xfId="3" applyFont="1" applyBorder="1" applyAlignment="1">
      <alignment horizontal="right"/>
    </xf>
    <xf numFmtId="4" fontId="16" fillId="2" borderId="1" xfId="3" applyNumberFormat="1" applyFont="1" applyFill="1" applyBorder="1" applyAlignment="1">
      <alignment horizontal="right"/>
    </xf>
    <xf numFmtId="1" fontId="16" fillId="2" borderId="1" xfId="10" applyFont="1" applyFill="1" applyBorder="1" applyProtection="1">
      <protection locked="0"/>
    </xf>
    <xf numFmtId="2" fontId="16" fillId="2" borderId="1" xfId="10" applyNumberFormat="1" applyFont="1" applyFill="1" applyBorder="1" applyProtection="1">
      <protection locked="0"/>
    </xf>
    <xf numFmtId="1" fontId="16" fillId="2" borderId="1" xfId="10" applyFont="1" applyFill="1" applyBorder="1"/>
    <xf numFmtId="2" fontId="16" fillId="2" borderId="1" xfId="3" applyNumberFormat="1" applyFont="1" applyFill="1" applyBorder="1"/>
    <xf numFmtId="0" fontId="162" fillId="2" borderId="1" xfId="3" applyFont="1" applyFill="1" applyBorder="1" applyProtection="1">
      <protection locked="0"/>
    </xf>
    <xf numFmtId="43" fontId="16" fillId="0" borderId="1" xfId="1" applyFont="1" applyFill="1" applyBorder="1"/>
    <xf numFmtId="0" fontId="161" fillId="0" borderId="0" xfId="3" applyFont="1" applyAlignment="1">
      <alignment horizontal="right"/>
    </xf>
    <xf numFmtId="0" fontId="4" fillId="0" borderId="0" xfId="3" applyFont="1" applyAlignment="1">
      <alignment horizontal="right"/>
    </xf>
    <xf numFmtId="2" fontId="16" fillId="0" borderId="0" xfId="3" applyNumberFormat="1" applyFont="1"/>
    <xf numFmtId="2" fontId="16" fillId="0" borderId="0" xfId="10" applyNumberFormat="1" applyFont="1"/>
    <xf numFmtId="2" fontId="162" fillId="0" borderId="0" xfId="3" applyNumberFormat="1" applyFont="1" applyProtection="1">
      <protection locked="0"/>
    </xf>
    <xf numFmtId="43" fontId="20" fillId="0" borderId="48" xfId="3" applyNumberFormat="1" applyFont="1" applyBorder="1"/>
    <xf numFmtId="0" fontId="16" fillId="12" borderId="0" xfId="3" applyFont="1" applyFill="1" applyAlignment="1" applyProtection="1">
      <alignment horizontal="left"/>
      <protection locked="0"/>
    </xf>
    <xf numFmtId="0" fontId="16" fillId="12" borderId="0" xfId="3" applyFont="1" applyFill="1" applyAlignment="1" applyProtection="1">
      <alignment horizontal="center"/>
      <protection locked="0"/>
    </xf>
    <xf numFmtId="2" fontId="8" fillId="0" borderId="0" xfId="3" applyNumberFormat="1" applyFont="1"/>
    <xf numFmtId="2" fontId="8" fillId="0" borderId="12" xfId="3" applyNumberFormat="1" applyFont="1" applyBorder="1"/>
    <xf numFmtId="2" fontId="8" fillId="0" borderId="12" xfId="3" applyNumberFormat="1" applyFont="1" applyBorder="1" applyProtection="1">
      <protection locked="0"/>
    </xf>
    <xf numFmtId="0" fontId="20" fillId="12" borderId="0" xfId="3" applyFont="1" applyFill="1" applyProtection="1">
      <protection locked="0"/>
    </xf>
    <xf numFmtId="2" fontId="8" fillId="2" borderId="0" xfId="3" applyNumberFormat="1" applyFont="1" applyFill="1" applyAlignment="1" applyProtection="1">
      <alignment horizontal="center"/>
      <protection locked="0"/>
    </xf>
    <xf numFmtId="4" fontId="8" fillId="13" borderId="12" xfId="10" applyNumberFormat="1" applyFont="1" applyFill="1" applyBorder="1" applyAlignment="1">
      <alignment horizontal="right"/>
    </xf>
    <xf numFmtId="2" fontId="8" fillId="13" borderId="12" xfId="10" applyNumberFormat="1" applyFont="1" applyFill="1" applyBorder="1"/>
    <xf numFmtId="2" fontId="8" fillId="0" borderId="12" xfId="10" applyNumberFormat="1" applyFont="1" applyBorder="1" applyProtection="1">
      <protection locked="0"/>
    </xf>
    <xf numFmtId="0" fontId="8" fillId="2" borderId="0" xfId="3" applyFont="1" applyFill="1" applyAlignment="1" applyProtection="1">
      <alignment horizontal="center"/>
      <protection locked="0"/>
    </xf>
    <xf numFmtId="1" fontId="2" fillId="0" borderId="0" xfId="10" applyFont="1" applyProtection="1">
      <protection locked="0"/>
    </xf>
    <xf numFmtId="1" fontId="16" fillId="0" borderId="0" xfId="10" applyFont="1" applyAlignment="1" applyProtection="1">
      <alignment horizontal="right"/>
      <protection locked="0"/>
    </xf>
    <xf numFmtId="4" fontId="8" fillId="7" borderId="12" xfId="3" applyNumberFormat="1" applyFont="1" applyFill="1" applyBorder="1"/>
    <xf numFmtId="2" fontId="8" fillId="7" borderId="12" xfId="3" applyNumberFormat="1" applyFont="1" applyFill="1" applyBorder="1"/>
    <xf numFmtId="2" fontId="18" fillId="0" borderId="12" xfId="3" applyNumberFormat="1" applyFont="1" applyBorder="1" applyProtection="1">
      <protection locked="0"/>
    </xf>
    <xf numFmtId="0" fontId="163" fillId="12" borderId="0" xfId="3" applyFont="1" applyFill="1" applyProtection="1">
      <protection locked="0"/>
    </xf>
    <xf numFmtId="4" fontId="8" fillId="6" borderId="12" xfId="3" applyNumberFormat="1" applyFont="1" applyFill="1" applyBorder="1"/>
    <xf numFmtId="2" fontId="8" fillId="6" borderId="12" xfId="3" applyNumberFormat="1" applyFont="1" applyFill="1" applyBorder="1"/>
    <xf numFmtId="2" fontId="16" fillId="0" borderId="1" xfId="3" applyNumberFormat="1" applyFont="1" applyBorder="1" applyAlignment="1">
      <alignment horizontal="right"/>
    </xf>
    <xf numFmtId="2" fontId="8" fillId="0" borderId="1" xfId="3" applyNumberFormat="1" applyFont="1" applyBorder="1" applyProtection="1">
      <protection locked="0"/>
    </xf>
    <xf numFmtId="2" fontId="16" fillId="0" borderId="1" xfId="3" applyNumberFormat="1" applyFont="1" applyBorder="1" applyAlignment="1" applyProtection="1">
      <alignment horizontal="right"/>
      <protection locked="0"/>
    </xf>
    <xf numFmtId="0" fontId="8" fillId="0" borderId="13" xfId="0" applyFont="1" applyBorder="1" applyAlignment="1">
      <alignment horizontal="right"/>
    </xf>
    <xf numFmtId="49" fontId="166" fillId="0" borderId="14" xfId="0" applyNumberFormat="1" applyFont="1" applyBorder="1" applyAlignment="1">
      <alignment horizontal="left"/>
    </xf>
    <xf numFmtId="1" fontId="22" fillId="0" borderId="0" xfId="10" applyFont="1" applyAlignment="1" applyProtection="1">
      <alignment horizontal="center"/>
      <protection locked="0"/>
    </xf>
    <xf numFmtId="0" fontId="4" fillId="0" borderId="13" xfId="0" applyFont="1" applyBorder="1"/>
    <xf numFmtId="0" fontId="16" fillId="0" borderId="13" xfId="0" applyFont="1" applyBorder="1" applyAlignment="1">
      <alignment horizontal="right"/>
    </xf>
    <xf numFmtId="1" fontId="0" fillId="0" borderId="13" xfId="0" applyNumberFormat="1" applyBorder="1"/>
    <xf numFmtId="0" fontId="2" fillId="0" borderId="13" xfId="0" applyFont="1" applyBorder="1"/>
    <xf numFmtId="2" fontId="2" fillId="2" borderId="14" xfId="0" applyNumberFormat="1" applyFont="1" applyFill="1" applyBorder="1" applyAlignment="1">
      <alignment horizontal="right"/>
    </xf>
    <xf numFmtId="165" fontId="2" fillId="2" borderId="14" xfId="0" applyNumberFormat="1" applyFont="1" applyFill="1" applyBorder="1"/>
    <xf numFmtId="0" fontId="8" fillId="0" borderId="0" xfId="0" applyFont="1"/>
    <xf numFmtId="0" fontId="8" fillId="0" borderId="0" xfId="0" applyFont="1" applyAlignment="1">
      <alignment horizontal="right"/>
    </xf>
    <xf numFmtId="0" fontId="137" fillId="0" borderId="0" xfId="0" applyFont="1" applyAlignment="1">
      <alignment horizontal="left"/>
    </xf>
    <xf numFmtId="0" fontId="2" fillId="0" borderId="0" xfId="0" applyFont="1" applyAlignment="1">
      <alignment horizontal="center"/>
    </xf>
    <xf numFmtId="2" fontId="5" fillId="0" borderId="0" xfId="0" applyNumberFormat="1" applyFont="1"/>
    <xf numFmtId="165" fontId="0" fillId="0" borderId="0" xfId="0" applyNumberFormat="1"/>
    <xf numFmtId="0" fontId="5" fillId="0" borderId="0" xfId="0" applyFont="1"/>
    <xf numFmtId="0" fontId="8" fillId="0" borderId="1" xfId="0" applyFont="1" applyBorder="1" applyAlignment="1">
      <alignment horizontal="right"/>
    </xf>
    <xf numFmtId="0" fontId="23" fillId="0" borderId="1" xfId="0" applyFont="1" applyBorder="1" applyAlignment="1">
      <alignment horizontal="left"/>
    </xf>
    <xf numFmtId="1" fontId="22" fillId="0" borderId="1" xfId="10" applyFont="1" applyBorder="1" applyAlignment="1" applyProtection="1">
      <alignment horizontal="center"/>
      <protection locked="0"/>
    </xf>
    <xf numFmtId="0" fontId="8" fillId="0" borderId="1" xfId="0" applyFont="1" applyBorder="1"/>
    <xf numFmtId="0" fontId="0" fillId="0" borderId="1" xfId="0" applyBorder="1"/>
    <xf numFmtId="0" fontId="2" fillId="0" borderId="1" xfId="0" applyFont="1" applyBorder="1" applyAlignment="1">
      <alignment horizontal="center"/>
    </xf>
    <xf numFmtId="1" fontId="0" fillId="0" borderId="1" xfId="0" applyNumberFormat="1" applyBorder="1"/>
    <xf numFmtId="2" fontId="5" fillId="0" borderId="1" xfId="0" applyNumberFormat="1" applyFont="1" applyBorder="1"/>
    <xf numFmtId="165" fontId="0" fillId="0" borderId="1" xfId="0" applyNumberFormat="1" applyBorder="1"/>
    <xf numFmtId="0" fontId="24" fillId="0" borderId="0" xfId="0" applyFont="1"/>
    <xf numFmtId="0" fontId="2" fillId="0" borderId="0" xfId="0" applyFont="1" applyAlignment="1">
      <alignment horizontal="left"/>
    </xf>
    <xf numFmtId="0" fontId="25" fillId="0" borderId="0" xfId="0" applyFont="1" applyAlignment="1">
      <alignment horizontal="center"/>
    </xf>
    <xf numFmtId="0" fontId="24" fillId="0" borderId="1" xfId="0" applyFont="1" applyBorder="1"/>
    <xf numFmtId="0" fontId="2" fillId="0" borderId="15" xfId="0" applyFont="1" applyBorder="1" applyAlignment="1">
      <alignment horizontal="left"/>
    </xf>
    <xf numFmtId="0" fontId="26" fillId="0" borderId="15" xfId="0" applyFont="1" applyBorder="1" applyAlignment="1">
      <alignment horizontal="center"/>
    </xf>
    <xf numFmtId="0" fontId="0" fillId="0" borderId="15" xfId="0" applyBorder="1"/>
    <xf numFmtId="1" fontId="0" fillId="0" borderId="15" xfId="0" applyNumberFormat="1" applyBorder="1"/>
    <xf numFmtId="2" fontId="5" fillId="0" borderId="15" xfId="0" applyNumberFormat="1" applyFont="1" applyBorder="1" applyAlignment="1">
      <alignment horizontal="right"/>
    </xf>
    <xf numFmtId="165" fontId="0" fillId="0" borderId="15" xfId="0" applyNumberFormat="1" applyBorder="1"/>
    <xf numFmtId="4" fontId="0" fillId="0" borderId="0" xfId="0" applyNumberFormat="1" applyProtection="1">
      <protection locked="0"/>
    </xf>
    <xf numFmtId="0" fontId="15" fillId="0" borderId="0" xfId="0" applyFont="1"/>
    <xf numFmtId="2" fontId="8" fillId="14" borderId="3" xfId="3" applyNumberFormat="1" applyFont="1" applyFill="1" applyBorder="1"/>
    <xf numFmtId="1" fontId="57" fillId="0" borderId="0" xfId="0" applyNumberFormat="1" applyFont="1"/>
    <xf numFmtId="4" fontId="16" fillId="6" borderId="18" xfId="3" applyNumberFormat="1" applyFont="1" applyFill="1" applyBorder="1" applyAlignment="1">
      <alignment horizontal="right"/>
    </xf>
    <xf numFmtId="4" fontId="16" fillId="6" borderId="16" xfId="3" applyNumberFormat="1" applyFont="1" applyFill="1" applyBorder="1" applyAlignment="1">
      <alignment horizontal="right"/>
    </xf>
    <xf numFmtId="2" fontId="14" fillId="6" borderId="3" xfId="3" applyNumberFormat="1" applyFont="1" applyFill="1" applyBorder="1" applyAlignment="1" applyProtection="1">
      <alignment horizontal="center"/>
      <protection locked="0"/>
    </xf>
    <xf numFmtId="4" fontId="14" fillId="6" borderId="3" xfId="3" applyNumberFormat="1" applyFont="1" applyFill="1" applyBorder="1" applyAlignment="1">
      <alignment horizontal="center"/>
    </xf>
    <xf numFmtId="2" fontId="16" fillId="6" borderId="3" xfId="3" applyNumberFormat="1" applyFont="1" applyFill="1" applyBorder="1" applyAlignment="1">
      <alignment horizontal="center"/>
    </xf>
    <xf numFmtId="2" fontId="8" fillId="6" borderId="3" xfId="3" applyNumberFormat="1" applyFont="1" applyFill="1" applyBorder="1" applyAlignment="1">
      <alignment horizontal="center"/>
    </xf>
    <xf numFmtId="4" fontId="16" fillId="16" borderId="18" xfId="3" applyNumberFormat="1" applyFont="1" applyFill="1" applyBorder="1" applyAlignment="1">
      <alignment horizontal="right"/>
    </xf>
    <xf numFmtId="4" fontId="16" fillId="16" borderId="16" xfId="3" applyNumberFormat="1" applyFont="1" applyFill="1" applyBorder="1" applyAlignment="1">
      <alignment horizontal="right"/>
    </xf>
    <xf numFmtId="2" fontId="14" fillId="16" borderId="3" xfId="3" applyNumberFormat="1" applyFont="1" applyFill="1" applyBorder="1" applyAlignment="1" applyProtection="1">
      <alignment horizontal="center"/>
      <protection locked="0"/>
    </xf>
    <xf numFmtId="4" fontId="14" fillId="16" borderId="3" xfId="3" applyNumberFormat="1" applyFont="1" applyFill="1" applyBorder="1" applyAlignment="1">
      <alignment horizontal="center"/>
    </xf>
    <xf numFmtId="2" fontId="16" fillId="16" borderId="3" xfId="3" applyNumberFormat="1" applyFont="1" applyFill="1" applyBorder="1" applyAlignment="1">
      <alignment horizontal="center"/>
    </xf>
    <xf numFmtId="2" fontId="8" fillId="16" borderId="3" xfId="3" applyNumberFormat="1" applyFont="1" applyFill="1" applyBorder="1" applyAlignment="1">
      <alignment horizontal="center"/>
    </xf>
    <xf numFmtId="0" fontId="167" fillId="0" borderId="0" xfId="0" applyFont="1"/>
    <xf numFmtId="0" fontId="167" fillId="16" borderId="0" xfId="0" applyFont="1" applyFill="1"/>
    <xf numFmtId="0" fontId="167" fillId="16" borderId="0" xfId="0" applyFont="1" applyFill="1" applyAlignment="1">
      <alignment horizontal="center"/>
    </xf>
    <xf numFmtId="0" fontId="168" fillId="16" borderId="0" xfId="0" applyFont="1" applyFill="1" applyAlignment="1">
      <alignment horizontal="center"/>
    </xf>
    <xf numFmtId="169" fontId="167" fillId="0" borderId="0" xfId="0" applyNumberFormat="1" applyFont="1"/>
    <xf numFmtId="2" fontId="167" fillId="0" borderId="0" xfId="0" applyNumberFormat="1" applyFont="1"/>
    <xf numFmtId="2" fontId="167" fillId="3" borderId="0" xfId="0" applyNumberFormat="1" applyFont="1" applyFill="1"/>
    <xf numFmtId="2" fontId="167" fillId="17" borderId="0" xfId="0" applyNumberFormat="1" applyFont="1" applyFill="1"/>
    <xf numFmtId="0" fontId="167" fillId="0" borderId="0" xfId="0" applyFont="1" applyAlignment="1">
      <alignment horizontal="centerContinuous" wrapText="1"/>
    </xf>
    <xf numFmtId="2" fontId="24" fillId="0" borderId="0" xfId="13" applyNumberFormat="1" applyFont="1" applyAlignment="1">
      <alignment horizontal="centerContinuous"/>
    </xf>
    <xf numFmtId="2" fontId="5" fillId="0" borderId="0" xfId="13" applyNumberFormat="1" applyFont="1"/>
    <xf numFmtId="2" fontId="2" fillId="0" borderId="0" xfId="13" applyNumberFormat="1" applyFont="1" applyAlignment="1">
      <alignment horizontal="right"/>
    </xf>
    <xf numFmtId="2" fontId="2" fillId="0" borderId="0" xfId="13" applyNumberFormat="1" applyFont="1"/>
    <xf numFmtId="2" fontId="148" fillId="0" borderId="13" xfId="13" applyNumberFormat="1" applyBorder="1"/>
    <xf numFmtId="2" fontId="148" fillId="0" borderId="0" xfId="13" applyNumberFormat="1"/>
    <xf numFmtId="2" fontId="2" fillId="0" borderId="12" xfId="13" applyNumberFormat="1" applyFont="1" applyBorder="1"/>
    <xf numFmtId="2" fontId="5" fillId="0" borderId="13" xfId="13" applyNumberFormat="1" applyFont="1" applyBorder="1"/>
    <xf numFmtId="2" fontId="158" fillId="0" borderId="0" xfId="13" applyNumberFormat="1" applyFont="1"/>
    <xf numFmtId="2" fontId="159" fillId="0" borderId="0" xfId="13" applyNumberFormat="1" applyFont="1"/>
    <xf numFmtId="2" fontId="2" fillId="0" borderId="13" xfId="13" applyNumberFormat="1" applyFont="1" applyBorder="1"/>
    <xf numFmtId="2" fontId="152" fillId="0" borderId="0" xfId="13" applyNumberFormat="1" applyFont="1"/>
    <xf numFmtId="2" fontId="153" fillId="0" borderId="0" xfId="13" applyNumberFormat="1" applyFont="1"/>
    <xf numFmtId="2" fontId="154" fillId="0" borderId="0" xfId="13" applyNumberFormat="1" applyFont="1"/>
    <xf numFmtId="2" fontId="2" fillId="0" borderId="1" xfId="13" applyNumberFormat="1" applyFont="1" applyBorder="1"/>
    <xf numFmtId="2" fontId="5" fillId="0" borderId="0" xfId="13" applyNumberFormat="1" applyFont="1" applyAlignment="1">
      <alignment horizontal="left"/>
    </xf>
    <xf numFmtId="0" fontId="168" fillId="0" borderId="0" xfId="0" applyFont="1"/>
    <xf numFmtId="2" fontId="16" fillId="0" borderId="0" xfId="14" applyNumberFormat="1" applyFont="1" applyProtection="1">
      <protection locked="0"/>
    </xf>
    <xf numFmtId="1" fontId="16" fillId="0" borderId="0" xfId="14" applyFont="1" applyProtection="1">
      <protection locked="0"/>
    </xf>
    <xf numFmtId="1" fontId="16" fillId="2" borderId="0" xfId="14" applyFont="1" applyFill="1" applyProtection="1">
      <protection locked="0"/>
    </xf>
    <xf numFmtId="17" fontId="16" fillId="2" borderId="0" xfId="14" applyNumberFormat="1" applyFont="1" applyFill="1" applyProtection="1">
      <protection locked="0"/>
    </xf>
    <xf numFmtId="1" fontId="16" fillId="0" borderId="0" xfId="14" applyFont="1" applyAlignment="1" applyProtection="1">
      <alignment horizontal="center"/>
      <protection locked="0"/>
    </xf>
    <xf numFmtId="2" fontId="57" fillId="0" borderId="0" xfId="14" applyNumberFormat="1" applyFont="1"/>
    <xf numFmtId="2" fontId="8" fillId="3" borderId="0" xfId="14" applyNumberFormat="1" applyFont="1" applyFill="1"/>
    <xf numFmtId="2" fontId="8" fillId="3" borderId="0" xfId="10" applyNumberFormat="1" applyFont="1" applyFill="1"/>
    <xf numFmtId="1" fontId="8" fillId="0" borderId="0" xfId="14" applyFont="1" applyProtection="1">
      <protection locked="0"/>
    </xf>
    <xf numFmtId="1" fontId="8" fillId="0" borderId="0" xfId="14" applyFont="1" applyAlignment="1" applyProtection="1">
      <alignment horizontal="right"/>
      <protection locked="0"/>
    </xf>
    <xf numFmtId="2" fontId="8" fillId="0" borderId="0" xfId="14" applyNumberFormat="1" applyFont="1" applyProtection="1">
      <protection locked="0"/>
    </xf>
    <xf numFmtId="1" fontId="57" fillId="0" borderId="0" xfId="14" applyFont="1" applyProtection="1">
      <protection locked="0"/>
    </xf>
    <xf numFmtId="1" fontId="8" fillId="2" borderId="0" xfId="14" applyFont="1" applyFill="1" applyProtection="1">
      <protection locked="0"/>
    </xf>
    <xf numFmtId="17" fontId="8" fillId="2" borderId="0" xfId="14" applyNumberFormat="1" applyFont="1" applyFill="1" applyProtection="1">
      <protection locked="0"/>
    </xf>
    <xf numFmtId="1" fontId="8" fillId="0" borderId="0" xfId="14" applyFont="1" applyAlignment="1" applyProtection="1">
      <alignment horizontal="center"/>
      <protection locked="0"/>
    </xf>
    <xf numFmtId="2" fontId="57" fillId="3" borderId="0" xfId="14" applyNumberFormat="1" applyFont="1" applyFill="1"/>
    <xf numFmtId="0" fontId="8" fillId="0" borderId="0" xfId="0" applyFont="1" applyProtection="1">
      <protection locked="0"/>
    </xf>
    <xf numFmtId="2" fontId="8" fillId="2" borderId="0" xfId="3" applyNumberFormat="1" applyFont="1" applyFill="1" applyAlignment="1" applyProtection="1">
      <alignment vertical="top"/>
      <protection locked="0"/>
    </xf>
    <xf numFmtId="2" fontId="16" fillId="14" borderId="3" xfId="10" applyNumberFormat="1" applyFont="1" applyFill="1" applyBorder="1" applyAlignment="1" applyProtection="1">
      <alignment horizontal="center" vertical="top"/>
      <protection locked="0"/>
    </xf>
    <xf numFmtId="1" fontId="8" fillId="0" borderId="0" xfId="10" applyFont="1" applyAlignment="1" applyProtection="1">
      <alignment horizontal="center" vertical="top"/>
      <protection locked="0"/>
    </xf>
    <xf numFmtId="1" fontId="57" fillId="0" borderId="0" xfId="10" applyFont="1" applyAlignment="1" applyProtection="1">
      <alignment horizontal="left" vertical="top"/>
      <protection locked="0"/>
    </xf>
    <xf numFmtId="1" fontId="15" fillId="0" borderId="0" xfId="10" applyFont="1" applyAlignment="1" applyProtection="1">
      <alignment vertical="top"/>
      <protection locked="0"/>
    </xf>
    <xf numFmtId="2" fontId="16" fillId="0" borderId="0" xfId="10" applyNumberFormat="1" applyFont="1" applyAlignment="1" applyProtection="1">
      <alignment vertical="top"/>
      <protection locked="0"/>
    </xf>
    <xf numFmtId="1" fontId="8" fillId="0" borderId="0" xfId="10" applyFont="1" applyAlignment="1" applyProtection="1">
      <alignment vertical="top"/>
      <protection locked="0"/>
    </xf>
    <xf numFmtId="2" fontId="16" fillId="3" borderId="0" xfId="3" applyNumberFormat="1" applyFont="1" applyFill="1" applyAlignment="1" applyProtection="1">
      <alignment vertical="top"/>
      <protection locked="0"/>
    </xf>
    <xf numFmtId="2" fontId="57" fillId="15" borderId="1" xfId="10" applyNumberFormat="1" applyFont="1" applyFill="1" applyBorder="1" applyAlignment="1">
      <alignment horizontal="right" vertical="top"/>
    </xf>
    <xf numFmtId="2" fontId="8" fillId="0" borderId="0" xfId="10" applyNumberFormat="1" applyFont="1" applyAlignment="1" applyProtection="1">
      <alignment horizontal="right" vertical="top"/>
      <protection locked="0"/>
    </xf>
    <xf numFmtId="1" fontId="14" fillId="0" borderId="1" xfId="10" applyFont="1" applyBorder="1" applyAlignment="1" applyProtection="1">
      <alignment horizontal="right"/>
      <protection locked="0"/>
    </xf>
    <xf numFmtId="1" fontId="8" fillId="0" borderId="1" xfId="10" applyFont="1" applyBorder="1" applyAlignment="1" applyProtection="1">
      <alignment horizontal="center"/>
      <protection locked="0"/>
    </xf>
    <xf numFmtId="2" fontId="60" fillId="3" borderId="15" xfId="10" applyNumberFormat="1" applyFont="1" applyFill="1" applyBorder="1" applyAlignment="1">
      <alignment horizontal="right"/>
    </xf>
    <xf numFmtId="1" fontId="8" fillId="0" borderId="1" xfId="10" applyFont="1" applyBorder="1" applyAlignment="1" applyProtection="1">
      <alignment horizontal="right"/>
      <protection locked="0"/>
    </xf>
    <xf numFmtId="0" fontId="38" fillId="12" borderId="51" xfId="11" applyFont="1" applyFill="1" applyBorder="1"/>
    <xf numFmtId="0" fontId="5" fillId="0" borderId="0" xfId="11"/>
    <xf numFmtId="0" fontId="5" fillId="18" borderId="52" xfId="11" applyFill="1" applyBorder="1"/>
    <xf numFmtId="0" fontId="5" fillId="18" borderId="28" xfId="11" applyFill="1" applyBorder="1"/>
    <xf numFmtId="0" fontId="5" fillId="18" borderId="53" xfId="11" applyFill="1" applyBorder="1"/>
    <xf numFmtId="0" fontId="5" fillId="18" borderId="54" xfId="11" applyFill="1" applyBorder="1"/>
    <xf numFmtId="0" fontId="2" fillId="18" borderId="13" xfId="11" applyFont="1" applyFill="1" applyBorder="1"/>
    <xf numFmtId="0" fontId="5" fillId="18" borderId="0" xfId="11" applyFill="1" applyProtection="1">
      <protection locked="0"/>
    </xf>
    <xf numFmtId="0" fontId="5" fillId="18" borderId="0" xfId="11" applyFill="1"/>
    <xf numFmtId="0" fontId="5" fillId="18" borderId="55" xfId="11" applyFill="1" applyBorder="1"/>
    <xf numFmtId="0" fontId="5" fillId="18" borderId="22" xfId="11" applyFill="1" applyBorder="1"/>
    <xf numFmtId="0" fontId="5" fillId="18" borderId="56" xfId="11" applyFill="1" applyBorder="1"/>
    <xf numFmtId="0" fontId="5" fillId="18" borderId="57" xfId="11" applyFill="1" applyBorder="1"/>
    <xf numFmtId="0" fontId="5" fillId="18" borderId="58" xfId="11" applyFill="1" applyBorder="1"/>
    <xf numFmtId="0" fontId="5" fillId="18" borderId="59" xfId="11" applyFill="1" applyBorder="1"/>
    <xf numFmtId="0" fontId="2" fillId="18" borderId="3" xfId="11" applyFont="1" applyFill="1" applyBorder="1" applyAlignment="1">
      <alignment horizontal="center"/>
    </xf>
    <xf numFmtId="49" fontId="2" fillId="18" borderId="3" xfId="11" applyNumberFormat="1" applyFont="1" applyFill="1" applyBorder="1" applyAlignment="1">
      <alignment horizontal="center"/>
    </xf>
    <xf numFmtId="0" fontId="2" fillId="18" borderId="0" xfId="11" applyFont="1" applyFill="1" applyAlignment="1">
      <alignment horizontal="center"/>
    </xf>
    <xf numFmtId="0" fontId="8" fillId="18" borderId="0" xfId="11" applyFont="1" applyFill="1"/>
    <xf numFmtId="2" fontId="5" fillId="7" borderId="3" xfId="11" applyNumberFormat="1" applyFill="1" applyBorder="1" applyAlignment="1" applyProtection="1">
      <alignment horizontal="center"/>
      <protection locked="0"/>
    </xf>
    <xf numFmtId="2" fontId="5" fillId="7" borderId="0" xfId="11" applyNumberFormat="1" applyFill="1" applyAlignment="1">
      <alignment horizontal="center"/>
    </xf>
    <xf numFmtId="2" fontId="5" fillId="18" borderId="3" xfId="11" applyNumberFormat="1" applyFill="1" applyBorder="1" applyAlignment="1">
      <alignment horizontal="center"/>
    </xf>
    <xf numFmtId="0" fontId="5" fillId="18" borderId="3" xfId="11" applyFill="1" applyBorder="1"/>
    <xf numFmtId="0" fontId="170" fillId="7" borderId="3" xfId="11" applyFont="1" applyFill="1" applyBorder="1"/>
    <xf numFmtId="2" fontId="5" fillId="7" borderId="3" xfId="11" applyNumberFormat="1" applyFill="1" applyBorder="1" applyAlignment="1">
      <alignment horizontal="center"/>
    </xf>
    <xf numFmtId="0" fontId="5" fillId="2" borderId="3" xfId="11" applyFill="1" applyBorder="1"/>
    <xf numFmtId="0" fontId="5" fillId="2" borderId="0" xfId="11" applyFill="1"/>
    <xf numFmtId="0" fontId="5" fillId="18" borderId="3" xfId="11" applyFill="1" applyBorder="1" applyAlignment="1">
      <alignment horizontal="center"/>
    </xf>
    <xf numFmtId="49" fontId="2" fillId="18" borderId="0" xfId="11" applyNumberFormat="1" applyFont="1" applyFill="1" applyAlignment="1">
      <alignment horizontal="center"/>
    </xf>
    <xf numFmtId="0" fontId="5" fillId="7" borderId="3" xfId="11" applyFill="1" applyBorder="1" applyAlignment="1" applyProtection="1">
      <alignment horizontal="center"/>
      <protection locked="0"/>
    </xf>
    <xf numFmtId="2" fontId="5" fillId="6" borderId="3" xfId="11" applyNumberFormat="1" applyFill="1" applyBorder="1" applyAlignment="1">
      <alignment horizontal="center"/>
    </xf>
    <xf numFmtId="0" fontId="5" fillId="7" borderId="3" xfId="11" applyFill="1" applyBorder="1" applyAlignment="1">
      <alignment horizontal="center"/>
    </xf>
    <xf numFmtId="0" fontId="2" fillId="7" borderId="3" xfId="11" applyFont="1" applyFill="1" applyBorder="1" applyAlignment="1">
      <alignment horizontal="center"/>
    </xf>
    <xf numFmtId="0" fontId="5" fillId="12" borderId="3" xfId="11" applyFill="1" applyBorder="1" applyAlignment="1">
      <alignment horizontal="center"/>
    </xf>
    <xf numFmtId="2" fontId="5" fillId="12" borderId="3" xfId="11" applyNumberFormat="1" applyFill="1" applyBorder="1" applyAlignment="1">
      <alignment horizontal="right"/>
    </xf>
    <xf numFmtId="0" fontId="5" fillId="18" borderId="0" xfId="11" applyFill="1" applyAlignment="1">
      <alignment horizontal="center"/>
    </xf>
    <xf numFmtId="2" fontId="5" fillId="18" borderId="0" xfId="11" applyNumberFormat="1" applyFill="1" applyAlignment="1">
      <alignment horizontal="right"/>
    </xf>
    <xf numFmtId="0" fontId="2" fillId="18" borderId="0" xfId="11" applyFont="1" applyFill="1"/>
    <xf numFmtId="0" fontId="5" fillId="12" borderId="10" xfId="11" applyFill="1" applyBorder="1" applyAlignment="1">
      <alignment horizontal="center"/>
    </xf>
    <xf numFmtId="0" fontId="5" fillId="12" borderId="24" xfId="11" applyFill="1" applyBorder="1" applyAlignment="1">
      <alignment horizontal="center"/>
    </xf>
    <xf numFmtId="0" fontId="5" fillId="12" borderId="0" xfId="11" applyFill="1" applyAlignment="1">
      <alignment horizontal="center"/>
    </xf>
    <xf numFmtId="0" fontId="8" fillId="18" borderId="54" xfId="11" applyFont="1" applyFill="1" applyBorder="1"/>
    <xf numFmtId="0" fontId="8" fillId="12" borderId="11" xfId="11" applyFont="1" applyFill="1" applyBorder="1"/>
    <xf numFmtId="0" fontId="8" fillId="12" borderId="11" xfId="11" applyFont="1" applyFill="1" applyBorder="1" applyAlignment="1">
      <alignment horizontal="center"/>
    </xf>
    <xf numFmtId="0" fontId="8" fillId="12" borderId="21" xfId="11" applyFont="1" applyFill="1" applyBorder="1" applyAlignment="1">
      <alignment horizontal="center"/>
    </xf>
    <xf numFmtId="0" fontId="8" fillId="12" borderId="21" xfId="11" applyFont="1" applyFill="1" applyBorder="1"/>
    <xf numFmtId="0" fontId="8" fillId="12" borderId="0" xfId="11" applyFont="1" applyFill="1"/>
    <xf numFmtId="0" fontId="171" fillId="0" borderId="3" xfId="11" applyFont="1" applyBorder="1" applyProtection="1">
      <protection locked="0"/>
    </xf>
    <xf numFmtId="0" fontId="8" fillId="0" borderId="11" xfId="11" applyFont="1" applyBorder="1"/>
    <xf numFmtId="2" fontId="8" fillId="7" borderId="11" xfId="11" applyNumberFormat="1" applyFont="1" applyFill="1" applyBorder="1"/>
    <xf numFmtId="0" fontId="8" fillId="7" borderId="11" xfId="11" applyFont="1" applyFill="1" applyBorder="1"/>
    <xf numFmtId="2" fontId="171" fillId="0" borderId="11" xfId="11" applyNumberFormat="1" applyFont="1" applyBorder="1" applyProtection="1">
      <protection locked="0"/>
    </xf>
    <xf numFmtId="2" fontId="171" fillId="0" borderId="11" xfId="11" applyNumberFormat="1" applyFont="1" applyBorder="1"/>
    <xf numFmtId="2" fontId="8" fillId="0" borderId="11" xfId="11" applyNumberFormat="1" applyFont="1" applyBorder="1"/>
    <xf numFmtId="2" fontId="8" fillId="0" borderId="0" xfId="11" applyNumberFormat="1" applyFont="1"/>
    <xf numFmtId="0" fontId="8" fillId="0" borderId="3" xfId="11" applyFont="1" applyBorder="1"/>
    <xf numFmtId="0" fontId="8" fillId="7" borderId="3" xfId="11" applyFont="1" applyFill="1" applyBorder="1"/>
    <xf numFmtId="2" fontId="171" fillId="0" borderId="3" xfId="11" applyNumberFormat="1" applyFont="1" applyBorder="1" applyProtection="1">
      <protection locked="0"/>
    </xf>
    <xf numFmtId="2" fontId="171" fillId="0" borderId="3" xfId="11" applyNumberFormat="1" applyFont="1" applyBorder="1"/>
    <xf numFmtId="2" fontId="8" fillId="0" borderId="3" xfId="11" applyNumberFormat="1" applyFont="1" applyBorder="1"/>
    <xf numFmtId="2" fontId="8" fillId="7" borderId="3" xfId="11" applyNumberFormat="1" applyFont="1" applyFill="1" applyBorder="1"/>
    <xf numFmtId="0" fontId="171" fillId="0" borderId="3" xfId="11" applyFont="1" applyBorder="1"/>
    <xf numFmtId="0" fontId="172" fillId="0" borderId="3" xfId="11" applyFont="1" applyBorder="1" applyAlignment="1">
      <alignment horizontal="left"/>
    </xf>
    <xf numFmtId="2" fontId="8" fillId="0" borderId="3" xfId="11" applyNumberFormat="1" applyFont="1" applyBorder="1" applyProtection="1">
      <protection locked="0"/>
    </xf>
    <xf numFmtId="0" fontId="5" fillId="0" borderId="3" xfId="11" applyBorder="1"/>
    <xf numFmtId="2" fontId="22" fillId="0" borderId="49" xfId="11" applyNumberFormat="1" applyFont="1" applyBorder="1" applyAlignment="1">
      <alignment horizontal="center"/>
    </xf>
    <xf numFmtId="2" fontId="5" fillId="0" borderId="51" xfId="11" applyNumberFormat="1" applyBorder="1" applyAlignment="1">
      <alignment horizontal="center"/>
    </xf>
    <xf numFmtId="170" fontId="5" fillId="0" borderId="60" xfId="11" applyNumberFormat="1" applyBorder="1"/>
    <xf numFmtId="0" fontId="8" fillId="0" borderId="0" xfId="11" applyFont="1"/>
    <xf numFmtId="0" fontId="1" fillId="0" borderId="0" xfId="15"/>
    <xf numFmtId="0" fontId="1" fillId="0" borderId="63" xfId="15" applyBorder="1"/>
    <xf numFmtId="0" fontId="1" fillId="0" borderId="46" xfId="15" applyBorder="1"/>
    <xf numFmtId="0" fontId="1" fillId="0" borderId="45" xfId="15" applyBorder="1"/>
    <xf numFmtId="0" fontId="1" fillId="0" borderId="67" xfId="15" applyBorder="1"/>
    <xf numFmtId="0" fontId="1" fillId="0" borderId="25" xfId="15" applyBorder="1"/>
    <xf numFmtId="0" fontId="1" fillId="0" borderId="25" xfId="15" applyBorder="1" applyAlignment="1">
      <alignment horizontal="center"/>
    </xf>
    <xf numFmtId="0" fontId="174" fillId="0" borderId="25" xfId="15" applyFont="1" applyBorder="1"/>
    <xf numFmtId="0" fontId="1" fillId="0" borderId="68" xfId="15" applyBorder="1"/>
    <xf numFmtId="0" fontId="169" fillId="0" borderId="67" xfId="15" applyFont="1" applyBorder="1" applyAlignment="1">
      <alignment horizontal="center"/>
    </xf>
    <xf numFmtId="0" fontId="169" fillId="0" borderId="25" xfId="15" applyFont="1" applyBorder="1" applyAlignment="1">
      <alignment horizontal="center"/>
    </xf>
    <xf numFmtId="0" fontId="174" fillId="0" borderId="25" xfId="15" applyFont="1" applyBorder="1" applyAlignment="1">
      <alignment horizontal="center"/>
    </xf>
    <xf numFmtId="0" fontId="169" fillId="0" borderId="68" xfId="15" applyFont="1" applyBorder="1" applyAlignment="1">
      <alignment horizontal="center"/>
    </xf>
    <xf numFmtId="0" fontId="1" fillId="0" borderId="67" xfId="15" applyBorder="1" applyAlignment="1">
      <alignment horizontal="center"/>
    </xf>
    <xf numFmtId="0" fontId="1" fillId="0" borderId="25" xfId="15" applyBorder="1" applyAlignment="1">
      <alignment horizontal="right"/>
    </xf>
    <xf numFmtId="165" fontId="175" fillId="0" borderId="25" xfId="15" applyNumberFormat="1" applyFont="1" applyBorder="1"/>
    <xf numFmtId="2" fontId="1" fillId="0" borderId="68" xfId="15" applyNumberFormat="1" applyBorder="1"/>
    <xf numFmtId="0" fontId="1" fillId="0" borderId="38" xfId="15" applyBorder="1" applyAlignment="1">
      <alignment horizontal="center"/>
    </xf>
    <xf numFmtId="0" fontId="1" fillId="0" borderId="47" xfId="15" applyBorder="1"/>
    <xf numFmtId="0" fontId="1" fillId="0" borderId="69" xfId="15" applyBorder="1"/>
    <xf numFmtId="2" fontId="169" fillId="0" borderId="43" xfId="15" applyNumberFormat="1" applyFont="1" applyBorder="1"/>
    <xf numFmtId="2" fontId="1" fillId="0" borderId="0" xfId="15" applyNumberFormat="1"/>
    <xf numFmtId="0" fontId="169" fillId="0" borderId="0" xfId="15" applyFont="1" applyAlignment="1">
      <alignment horizontal="center"/>
    </xf>
    <xf numFmtId="0" fontId="1" fillId="0" borderId="0" xfId="15" applyAlignment="1">
      <alignment horizontal="right"/>
    </xf>
    <xf numFmtId="2" fontId="169" fillId="20" borderId="0" xfId="15" applyNumberFormat="1" applyFont="1" applyFill="1"/>
    <xf numFmtId="0" fontId="169" fillId="20" borderId="0" xfId="15" applyFont="1" applyFill="1"/>
    <xf numFmtId="0" fontId="169" fillId="0" borderId="0" xfId="15" applyFont="1" applyAlignment="1">
      <alignment horizontal="right"/>
    </xf>
    <xf numFmtId="0" fontId="169" fillId="0" borderId="0" xfId="15" applyFont="1"/>
    <xf numFmtId="2" fontId="169" fillId="0" borderId="0" xfId="15" applyNumberFormat="1" applyFont="1"/>
    <xf numFmtId="2" fontId="176" fillId="0" borderId="0" xfId="15" applyNumberFormat="1" applyFont="1"/>
    <xf numFmtId="0" fontId="175" fillId="0" borderId="0" xfId="15" applyFont="1" applyAlignment="1">
      <alignment horizontal="right"/>
    </xf>
    <xf numFmtId="0" fontId="175" fillId="0" borderId="0" xfId="15" applyFont="1"/>
    <xf numFmtId="1" fontId="0" fillId="21" borderId="0" xfId="0" applyNumberFormat="1" applyFill="1"/>
    <xf numFmtId="0" fontId="0" fillId="21" borderId="0" xfId="0" applyFill="1"/>
    <xf numFmtId="0" fontId="5" fillId="0" borderId="0" xfId="0" applyFont="1" applyAlignment="1">
      <alignment horizontal="left" vertical="top" wrapText="1"/>
    </xf>
    <xf numFmtId="0" fontId="5" fillId="0" borderId="0" xfId="0" applyFont="1" applyAlignment="1">
      <alignment vertical="top"/>
    </xf>
    <xf numFmtId="0" fontId="21" fillId="0" borderId="0" xfId="0" applyFont="1" applyAlignment="1">
      <alignment horizontal="center" vertical="top"/>
    </xf>
    <xf numFmtId="2" fontId="148" fillId="0" borderId="0" xfId="12" applyNumberFormat="1"/>
    <xf numFmtId="4" fontId="148" fillId="0" borderId="0" xfId="12" applyNumberFormat="1"/>
    <xf numFmtId="4" fontId="148" fillId="0" borderId="0" xfId="13" applyNumberFormat="1"/>
    <xf numFmtId="4" fontId="5" fillId="0" borderId="17" xfId="12" applyNumberFormat="1" applyFont="1" applyBorder="1" applyAlignment="1" applyProtection="1">
      <alignment wrapText="1"/>
      <protection locked="0"/>
    </xf>
    <xf numFmtId="4" fontId="5" fillId="0" borderId="19" xfId="12" applyNumberFormat="1" applyFont="1" applyBorder="1" applyAlignment="1" applyProtection="1">
      <alignment wrapText="1"/>
      <protection locked="0"/>
    </xf>
    <xf numFmtId="4" fontId="16" fillId="10" borderId="18" xfId="3" applyNumberFormat="1" applyFont="1" applyFill="1" applyBorder="1" applyAlignment="1">
      <alignment horizontal="right"/>
    </xf>
    <xf numFmtId="4" fontId="16" fillId="10" borderId="16" xfId="3" applyNumberFormat="1" applyFont="1" applyFill="1" applyBorder="1" applyAlignment="1">
      <alignment horizontal="right"/>
    </xf>
    <xf numFmtId="2" fontId="14" fillId="10" borderId="3" xfId="3" applyNumberFormat="1" applyFont="1" applyFill="1" applyBorder="1" applyAlignment="1" applyProtection="1">
      <alignment horizontal="center"/>
      <protection locked="0"/>
    </xf>
    <xf numFmtId="4" fontId="14" fillId="10" borderId="3" xfId="3" applyNumberFormat="1" applyFont="1" applyFill="1" applyBorder="1" applyAlignment="1">
      <alignment horizontal="center"/>
    </xf>
    <xf numFmtId="2" fontId="16" fillId="10" borderId="3" xfId="3" applyNumberFormat="1" applyFont="1" applyFill="1" applyBorder="1" applyAlignment="1">
      <alignment horizontal="center"/>
    </xf>
    <xf numFmtId="2" fontId="8" fillId="10" borderId="3" xfId="3" applyNumberFormat="1" applyFont="1" applyFill="1" applyBorder="1" applyAlignment="1">
      <alignment horizontal="center"/>
    </xf>
    <xf numFmtId="0" fontId="167" fillId="0" borderId="0" xfId="0" applyFont="1" applyAlignment="1">
      <alignment horizontal="left"/>
    </xf>
    <xf numFmtId="2" fontId="171" fillId="18" borderId="0" xfId="0" applyNumberFormat="1" applyFont="1" applyFill="1"/>
    <xf numFmtId="1" fontId="8" fillId="0" borderId="0" xfId="10" applyFont="1" applyAlignment="1" applyProtection="1">
      <alignment horizontal="left"/>
      <protection locked="0"/>
    </xf>
    <xf numFmtId="2" fontId="171" fillId="0" borderId="0" xfId="0" applyNumberFormat="1" applyFont="1"/>
    <xf numFmtId="0" fontId="0" fillId="0" borderId="0" xfId="0" applyAlignment="1">
      <alignment vertical="top"/>
    </xf>
    <xf numFmtId="1" fontId="157" fillId="0" borderId="0" xfId="10" applyFont="1" applyProtection="1">
      <protection locked="0"/>
    </xf>
    <xf numFmtId="0" fontId="8" fillId="0" borderId="0" xfId="3" applyFont="1" applyAlignment="1" applyProtection="1">
      <alignment horizontal="center"/>
      <protection locked="0"/>
    </xf>
    <xf numFmtId="4" fontId="178" fillId="2" borderId="18" xfId="10" applyNumberFormat="1" applyFont="1" applyFill="1" applyBorder="1" applyAlignment="1">
      <alignment horizontal="right"/>
    </xf>
    <xf numFmtId="4" fontId="178" fillId="2" borderId="16" xfId="10" applyNumberFormat="1" applyFont="1" applyFill="1" applyBorder="1" applyAlignment="1">
      <alignment horizontal="right"/>
    </xf>
    <xf numFmtId="0" fontId="2" fillId="0" borderId="0" xfId="3" applyFont="1"/>
    <xf numFmtId="1" fontId="16" fillId="0" borderId="0" xfId="10" applyFont="1" applyAlignment="1">
      <alignment horizontal="center"/>
    </xf>
    <xf numFmtId="2" fontId="179" fillId="2" borderId="3" xfId="10" applyNumberFormat="1" applyFont="1" applyFill="1" applyBorder="1" applyAlignment="1">
      <alignment horizontal="center"/>
    </xf>
    <xf numFmtId="2" fontId="14" fillId="2" borderId="3" xfId="3" applyNumberFormat="1" applyFont="1" applyFill="1" applyBorder="1" applyAlignment="1" applyProtection="1">
      <alignment horizontal="center"/>
      <protection locked="0"/>
    </xf>
    <xf numFmtId="2" fontId="16" fillId="2" borderId="3" xfId="3" applyNumberFormat="1" applyFont="1" applyFill="1" applyBorder="1" applyAlignment="1" applyProtection="1">
      <alignment horizontal="center"/>
      <protection locked="0"/>
    </xf>
    <xf numFmtId="1" fontId="16" fillId="0" borderId="0" xfId="10" applyFont="1" applyAlignment="1" applyProtection="1">
      <alignment horizontal="center"/>
      <protection locked="0"/>
    </xf>
    <xf numFmtId="1" fontId="20" fillId="0" borderId="0" xfId="10" applyFont="1" applyAlignment="1" applyProtection="1">
      <alignment vertical="center"/>
      <protection locked="0"/>
    </xf>
    <xf numFmtId="1" fontId="20" fillId="0" borderId="0" xfId="10" applyFont="1" applyAlignment="1" applyProtection="1">
      <alignment horizontal="centerContinuous" vertical="center"/>
      <protection locked="0"/>
    </xf>
    <xf numFmtId="2" fontId="180" fillId="0" borderId="70" xfId="3" applyNumberFormat="1" applyFont="1" applyBorder="1" applyAlignment="1">
      <alignment horizontal="right"/>
    </xf>
    <xf numFmtId="2" fontId="181" fillId="0" borderId="0" xfId="3" applyNumberFormat="1" applyFont="1" applyAlignment="1">
      <alignment horizontal="left"/>
    </xf>
    <xf numFmtId="1" fontId="8" fillId="0" borderId="71" xfId="10" applyFont="1" applyBorder="1" applyProtection="1">
      <protection locked="0"/>
    </xf>
    <xf numFmtId="2" fontId="8" fillId="0" borderId="71" xfId="10" applyNumberFormat="1" applyFont="1" applyBorder="1" applyProtection="1">
      <protection locked="0"/>
    </xf>
    <xf numFmtId="1" fontId="16" fillId="0" borderId="71" xfId="10" applyFont="1" applyBorder="1" applyAlignment="1">
      <alignment horizontal="center"/>
    </xf>
    <xf numFmtId="1" fontId="16" fillId="0" borderId="71" xfId="10" applyFont="1" applyBorder="1"/>
    <xf numFmtId="2" fontId="8" fillId="0" borderId="72" xfId="10" applyNumberFormat="1" applyFont="1" applyBorder="1" applyProtection="1">
      <protection locked="0"/>
    </xf>
    <xf numFmtId="2" fontId="8" fillId="0" borderId="72" xfId="3" applyNumberFormat="1" applyFont="1" applyBorder="1"/>
    <xf numFmtId="2" fontId="8" fillId="0" borderId="72" xfId="10" applyNumberFormat="1" applyFont="1" applyBorder="1"/>
    <xf numFmtId="0" fontId="8" fillId="22" borderId="18" xfId="3" applyFont="1" applyFill="1" applyBorder="1" applyProtection="1">
      <protection locked="0"/>
    </xf>
    <xf numFmtId="4" fontId="23" fillId="3" borderId="14" xfId="3" applyNumberFormat="1" applyFont="1" applyFill="1" applyBorder="1" applyAlignment="1">
      <alignment horizontal="right"/>
    </xf>
    <xf numFmtId="1" fontId="8" fillId="0" borderId="0" xfId="3" applyNumberFormat="1" applyFont="1" applyAlignment="1" applyProtection="1">
      <alignment horizontal="center"/>
      <protection locked="0"/>
    </xf>
    <xf numFmtId="1" fontId="16" fillId="0" borderId="73" xfId="10" applyFont="1" applyBorder="1" applyProtection="1">
      <protection locked="0"/>
    </xf>
    <xf numFmtId="1" fontId="8" fillId="0" borderId="73" xfId="10" applyFont="1" applyBorder="1" applyAlignment="1">
      <alignment horizontal="center"/>
    </xf>
    <xf numFmtId="0" fontId="182" fillId="0" borderId="0" xfId="3" applyFont="1" applyAlignment="1" applyProtection="1">
      <alignment horizontal="left"/>
      <protection locked="0"/>
    </xf>
    <xf numFmtId="17" fontId="8" fillId="0" borderId="0" xfId="3" applyNumberFormat="1" applyFont="1" applyAlignment="1" applyProtection="1">
      <alignment horizontal="center"/>
      <protection locked="0"/>
    </xf>
    <xf numFmtId="2" fontId="8" fillId="0" borderId="0" xfId="3" applyNumberFormat="1" applyFont="1" applyAlignment="1" applyProtection="1">
      <alignment horizontal="center"/>
      <protection locked="0"/>
    </xf>
    <xf numFmtId="2" fontId="8" fillId="3" borderId="0" xfId="3" applyNumberFormat="1" applyFont="1" applyFill="1"/>
    <xf numFmtId="1" fontId="8" fillId="0" borderId="23" xfId="10" applyFont="1" applyBorder="1" applyAlignment="1" applyProtection="1">
      <alignment horizontal="right"/>
      <protection locked="0"/>
    </xf>
    <xf numFmtId="2" fontId="8" fillId="0" borderId="24" xfId="10" applyNumberFormat="1" applyFont="1" applyBorder="1" applyAlignment="1" applyProtection="1">
      <alignment horizontal="left"/>
      <protection locked="0"/>
    </xf>
    <xf numFmtId="165" fontId="8" fillId="0" borderId="71" xfId="10" applyNumberFormat="1" applyFont="1" applyBorder="1" applyProtection="1">
      <protection locked="0"/>
    </xf>
    <xf numFmtId="1" fontId="16" fillId="0" borderId="71" xfId="10" applyFont="1" applyBorder="1" applyProtection="1">
      <protection locked="0"/>
    </xf>
    <xf numFmtId="1" fontId="8" fillId="0" borderId="71" xfId="10" applyFont="1" applyBorder="1" applyAlignment="1">
      <alignment horizontal="center"/>
    </xf>
    <xf numFmtId="165" fontId="8" fillId="0" borderId="72" xfId="10" applyNumberFormat="1" applyFont="1" applyBorder="1" applyProtection="1">
      <protection locked="0"/>
    </xf>
    <xf numFmtId="2" fontId="8" fillId="3" borderId="74" xfId="10" applyNumberFormat="1" applyFont="1" applyFill="1" applyBorder="1"/>
    <xf numFmtId="1" fontId="8" fillId="0" borderId="72" xfId="10" applyFont="1" applyBorder="1" applyProtection="1">
      <protection locked="0"/>
    </xf>
    <xf numFmtId="4" fontId="14" fillId="3" borderId="75" xfId="3" applyNumberFormat="1" applyFont="1" applyFill="1" applyBorder="1"/>
    <xf numFmtId="0" fontId="8" fillId="2" borderId="3" xfId="3" applyFont="1" applyFill="1" applyBorder="1" applyProtection="1">
      <protection locked="0"/>
    </xf>
    <xf numFmtId="2" fontId="8" fillId="0" borderId="0" xfId="10" applyNumberFormat="1" applyFont="1"/>
    <xf numFmtId="1" fontId="8" fillId="0" borderId="0" xfId="0" applyNumberFormat="1" applyFont="1"/>
    <xf numFmtId="0" fontId="171" fillId="0" borderId="0" xfId="16" applyFont="1" applyAlignment="1">
      <alignment horizontal="center" vertical="center"/>
    </xf>
    <xf numFmtId="176" fontId="185" fillId="0" borderId="0" xfId="17" applyFont="1"/>
    <xf numFmtId="176" fontId="185" fillId="23" borderId="0" xfId="17" applyFont="1" applyFill="1" applyAlignment="1">
      <alignment horizontal="center"/>
    </xf>
    <xf numFmtId="0" fontId="171" fillId="16" borderId="0" xfId="16" applyFont="1" applyFill="1" applyAlignment="1">
      <alignment horizontal="center" vertical="center"/>
    </xf>
    <xf numFmtId="0" fontId="171" fillId="0" borderId="0" xfId="16" applyFont="1" applyAlignment="1">
      <alignment horizontal="left" vertical="center"/>
    </xf>
    <xf numFmtId="0" fontId="186" fillId="0" borderId="0" xfId="16" applyFont="1" applyAlignment="1">
      <alignment horizontal="center" vertical="center"/>
    </xf>
    <xf numFmtId="2" fontId="187" fillId="0" borderId="0" xfId="16" applyNumberFormat="1" applyFont="1" applyAlignment="1">
      <alignment horizontal="center" vertical="center"/>
    </xf>
    <xf numFmtId="171" fontId="187" fillId="0" borderId="0" xfId="16" applyNumberFormat="1" applyFont="1" applyAlignment="1">
      <alignment horizontal="center" vertical="center"/>
    </xf>
    <xf numFmtId="1" fontId="188" fillId="16" borderId="0" xfId="16" applyNumberFormat="1" applyFont="1" applyFill="1" applyAlignment="1">
      <alignment horizontal="center" vertical="center"/>
    </xf>
    <xf numFmtId="169" fontId="171" fillId="0" borderId="0" xfId="16" applyNumberFormat="1" applyFont="1" applyAlignment="1">
      <alignment horizontal="center" vertical="center"/>
    </xf>
    <xf numFmtId="2" fontId="171" fillId="0" borderId="0" xfId="16" applyNumberFormat="1" applyFont="1" applyAlignment="1">
      <alignment vertical="center"/>
    </xf>
    <xf numFmtId="0" fontId="171" fillId="0" borderId="0" xfId="16" applyFont="1" applyAlignment="1">
      <alignment vertical="center"/>
    </xf>
    <xf numFmtId="1" fontId="8" fillId="0" borderId="18" xfId="10" applyFont="1" applyBorder="1" applyAlignment="1" applyProtection="1">
      <alignment horizontal="right"/>
      <protection locked="0"/>
    </xf>
    <xf numFmtId="2" fontId="8" fillId="0" borderId="16" xfId="10" applyNumberFormat="1" applyFont="1" applyBorder="1" applyAlignment="1" applyProtection="1">
      <alignment horizontal="left"/>
      <protection locked="0"/>
    </xf>
    <xf numFmtId="0" fontId="8" fillId="0" borderId="72" xfId="3" applyFont="1" applyBorder="1"/>
    <xf numFmtId="1" fontId="16" fillId="0" borderId="72" xfId="10" applyFont="1" applyBorder="1" applyProtection="1">
      <protection locked="0"/>
    </xf>
    <xf numFmtId="1" fontId="8" fillId="0" borderId="72" xfId="10" applyFont="1" applyBorder="1" applyAlignment="1">
      <alignment horizontal="center"/>
    </xf>
    <xf numFmtId="1" fontId="87" fillId="2" borderId="22" xfId="10" applyFont="1" applyFill="1" applyBorder="1" applyAlignment="1" applyProtection="1">
      <alignment vertical="center"/>
      <protection locked="0"/>
    </xf>
    <xf numFmtId="0" fontId="8" fillId="2" borderId="0" xfId="3" applyFont="1" applyFill="1"/>
    <xf numFmtId="2" fontId="16" fillId="0" borderId="0" xfId="3" applyNumberFormat="1" applyFont="1" applyAlignment="1">
      <alignment horizontal="right"/>
    </xf>
    <xf numFmtId="1" fontId="8" fillId="0" borderId="0" xfId="10" applyFont="1" applyAlignment="1">
      <alignment horizontal="center"/>
    </xf>
    <xf numFmtId="1" fontId="189" fillId="2" borderId="1" xfId="10" applyFont="1" applyFill="1" applyBorder="1" applyAlignment="1" applyProtection="1">
      <alignment horizontal="left" vertical="center"/>
      <protection locked="0"/>
    </xf>
    <xf numFmtId="0" fontId="8" fillId="2" borderId="1" xfId="3" applyFont="1" applyFill="1" applyBorder="1"/>
    <xf numFmtId="1" fontId="8" fillId="0" borderId="1" xfId="10" applyFont="1" applyBorder="1" applyAlignment="1">
      <alignment horizontal="center"/>
    </xf>
    <xf numFmtId="2" fontId="162" fillId="2" borderId="15" xfId="10" applyNumberFormat="1" applyFont="1" applyFill="1" applyBorder="1"/>
    <xf numFmtId="4" fontId="23" fillId="6" borderId="18" xfId="3" applyNumberFormat="1" applyFont="1" applyFill="1" applyBorder="1" applyAlignment="1">
      <alignment horizontal="right"/>
    </xf>
    <xf numFmtId="4" fontId="23" fillId="6" borderId="14" xfId="3" applyNumberFormat="1" applyFont="1" applyFill="1" applyBorder="1" applyAlignment="1">
      <alignment horizontal="right"/>
    </xf>
    <xf numFmtId="4" fontId="23" fillId="6" borderId="16" xfId="3" applyNumberFormat="1" applyFont="1" applyFill="1" applyBorder="1" applyAlignment="1">
      <alignment horizontal="right"/>
    </xf>
    <xf numFmtId="4" fontId="14" fillId="6" borderId="75" xfId="3" applyNumberFormat="1" applyFont="1" applyFill="1" applyBorder="1"/>
    <xf numFmtId="4" fontId="87" fillId="3" borderId="18" xfId="3" applyNumberFormat="1" applyFont="1" applyFill="1" applyBorder="1" applyAlignment="1">
      <alignment horizontal="left"/>
    </xf>
    <xf numFmtId="4" fontId="23" fillId="24" borderId="16" xfId="3" applyNumberFormat="1" applyFont="1" applyFill="1" applyBorder="1" applyAlignment="1">
      <alignment horizontal="right"/>
    </xf>
    <xf numFmtId="4" fontId="23" fillId="16" borderId="18" xfId="3" applyNumberFormat="1" applyFont="1" applyFill="1" applyBorder="1" applyAlignment="1">
      <alignment horizontal="right"/>
    </xf>
    <xf numFmtId="4" fontId="23" fillId="16" borderId="14" xfId="3" applyNumberFormat="1" applyFont="1" applyFill="1" applyBorder="1" applyAlignment="1">
      <alignment horizontal="right"/>
    </xf>
    <xf numFmtId="4" fontId="23" fillId="16" borderId="16" xfId="3" applyNumberFormat="1" applyFont="1" applyFill="1" applyBorder="1" applyAlignment="1">
      <alignment horizontal="right"/>
    </xf>
    <xf numFmtId="4" fontId="14" fillId="16" borderId="75" xfId="3" applyNumberFormat="1" applyFont="1" applyFill="1" applyBorder="1"/>
    <xf numFmtId="0" fontId="0" fillId="3" borderId="0" xfId="0" applyFill="1"/>
    <xf numFmtId="1" fontId="0" fillId="3" borderId="0" xfId="0" applyNumberFormat="1" applyFill="1"/>
    <xf numFmtId="1" fontId="8" fillId="3" borderId="0" xfId="10" applyFont="1" applyFill="1" applyProtection="1">
      <protection locked="0"/>
    </xf>
    <xf numFmtId="4" fontId="5" fillId="0" borderId="17" xfId="12" applyNumberFormat="1" applyFont="1" applyBorder="1" applyAlignment="1" applyProtection="1">
      <alignment horizontal="left"/>
      <protection locked="0"/>
    </xf>
    <xf numFmtId="0" fontId="8" fillId="20" borderId="0" xfId="3" applyFont="1" applyFill="1" applyAlignment="1" applyProtection="1">
      <alignment wrapText="1"/>
      <protection locked="0"/>
    </xf>
    <xf numFmtId="0" fontId="8" fillId="0" borderId="0" xfId="3" applyFont="1" applyAlignment="1" applyProtection="1">
      <alignment wrapText="1"/>
      <protection locked="0"/>
    </xf>
    <xf numFmtId="0" fontId="167" fillId="0" borderId="0" xfId="0" applyFont="1" applyAlignment="1">
      <alignment horizontal="right"/>
    </xf>
    <xf numFmtId="1" fontId="20" fillId="0" borderId="22" xfId="10" applyFont="1" applyBorder="1" applyAlignment="1" applyProtection="1">
      <alignment vertical="center"/>
      <protection locked="0"/>
    </xf>
    <xf numFmtId="1" fontId="20" fillId="0" borderId="22" xfId="10" applyFont="1" applyBorder="1" applyAlignment="1" applyProtection="1">
      <alignment horizontal="centerContinuous" vertical="center"/>
      <protection locked="0"/>
    </xf>
    <xf numFmtId="4" fontId="23" fillId="3" borderId="18" xfId="3" applyNumberFormat="1" applyFont="1" applyFill="1" applyBorder="1" applyAlignment="1">
      <alignment horizontal="right"/>
    </xf>
    <xf numFmtId="4" fontId="23" fillId="3" borderId="16" xfId="3" applyNumberFormat="1" applyFont="1" applyFill="1" applyBorder="1" applyAlignment="1">
      <alignment horizontal="right"/>
    </xf>
    <xf numFmtId="4" fontId="87" fillId="4" borderId="18" xfId="3" applyNumberFormat="1" applyFont="1" applyFill="1" applyBorder="1" applyAlignment="1">
      <alignment horizontal="left"/>
    </xf>
    <xf numFmtId="4" fontId="23" fillId="4" borderId="14" xfId="3" applyNumberFormat="1" applyFont="1" applyFill="1" applyBorder="1" applyAlignment="1">
      <alignment horizontal="right"/>
    </xf>
    <xf numFmtId="4" fontId="23" fillId="25" borderId="16" xfId="3" applyNumberFormat="1" applyFont="1" applyFill="1" applyBorder="1" applyAlignment="1">
      <alignment horizontal="right"/>
    </xf>
    <xf numFmtId="4" fontId="14" fillId="4" borderId="75" xfId="3" applyNumberFormat="1" applyFont="1" applyFill="1" applyBorder="1"/>
    <xf numFmtId="0" fontId="2" fillId="0" borderId="0" xfId="0" applyFont="1"/>
    <xf numFmtId="0" fontId="21" fillId="0" borderId="0" xfId="0" applyFont="1" applyAlignment="1">
      <alignment vertical="top"/>
    </xf>
    <xf numFmtId="0" fontId="21" fillId="0" borderId="0" xfId="0" applyFont="1" applyAlignment="1">
      <alignment horizontal="right" vertical="top"/>
    </xf>
    <xf numFmtId="14" fontId="2" fillId="0" borderId="0" xfId="7" applyNumberFormat="1" applyFont="1" applyAlignment="1" applyProtection="1">
      <alignment horizontal="left"/>
      <protection locked="0"/>
    </xf>
    <xf numFmtId="4" fontId="87" fillId="5" borderId="18" xfId="3" applyNumberFormat="1" applyFont="1" applyFill="1" applyBorder="1" applyAlignment="1">
      <alignment horizontal="left"/>
    </xf>
    <xf numFmtId="4" fontId="23" fillId="5" borderId="14" xfId="3" applyNumberFormat="1" applyFont="1" applyFill="1" applyBorder="1" applyAlignment="1">
      <alignment horizontal="right"/>
    </xf>
    <xf numFmtId="4" fontId="23" fillId="26" borderId="16" xfId="3" applyNumberFormat="1" applyFont="1" applyFill="1" applyBorder="1" applyAlignment="1">
      <alignment horizontal="right"/>
    </xf>
    <xf numFmtId="4" fontId="14" fillId="5" borderId="75" xfId="3" applyNumberFormat="1" applyFont="1" applyFill="1" applyBorder="1"/>
    <xf numFmtId="174" fontId="190" fillId="12" borderId="3" xfId="0" applyNumberFormat="1" applyFont="1" applyFill="1" applyBorder="1" applyAlignment="1" applyProtection="1">
      <alignment horizontal="center"/>
      <protection locked="0"/>
    </xf>
    <xf numFmtId="0" fontId="16" fillId="0" borderId="0" xfId="7" applyFont="1" applyProtection="1">
      <protection locked="0"/>
    </xf>
    <xf numFmtId="14" fontId="48" fillId="0" borderId="0" xfId="7" applyNumberFormat="1" applyFont="1" applyAlignment="1" applyProtection="1">
      <alignment horizontal="right"/>
      <protection locked="0"/>
    </xf>
    <xf numFmtId="0" fontId="191" fillId="0" borderId="0" xfId="0" applyFont="1"/>
    <xf numFmtId="14" fontId="48" fillId="0" borderId="0" xfId="7" applyNumberFormat="1" applyFont="1" applyAlignment="1" applyProtection="1">
      <alignment horizontal="center"/>
      <protection locked="0"/>
    </xf>
    <xf numFmtId="39" fontId="48" fillId="0" borderId="0" xfId="1" applyNumberFormat="1" applyFont="1" applyFill="1" applyBorder="1" applyAlignment="1" applyProtection="1">
      <alignment horizontal="right"/>
      <protection locked="0"/>
    </xf>
    <xf numFmtId="43" fontId="48" fillId="0" borderId="0" xfId="1" applyFont="1" applyFill="1" applyBorder="1" applyAlignment="1" applyProtection="1">
      <alignment horizontal="right"/>
      <protection locked="0"/>
    </xf>
    <xf numFmtId="43" fontId="48" fillId="0" borderId="0" xfId="1" applyFont="1" applyBorder="1" applyAlignment="1" applyProtection="1">
      <alignment horizontal="right"/>
      <protection locked="0"/>
    </xf>
    <xf numFmtId="1" fontId="15" fillId="20" borderId="0" xfId="10" applyFont="1" applyFill="1" applyAlignment="1" applyProtection="1">
      <alignment horizontal="left"/>
      <protection locked="0"/>
    </xf>
    <xf numFmtId="0" fontId="101" fillId="0" borderId="0" xfId="0" applyFont="1"/>
    <xf numFmtId="165" fontId="84" fillId="12" borderId="10" xfId="0" applyNumberFormat="1" applyFont="1" applyFill="1" applyBorder="1" applyAlignment="1" applyProtection="1">
      <alignment horizontal="center"/>
      <protection locked="0"/>
    </xf>
    <xf numFmtId="177" fontId="16" fillId="16" borderId="0" xfId="1" applyNumberFormat="1" applyFont="1" applyFill="1" applyBorder="1" applyAlignment="1" applyProtection="1">
      <alignment horizontal="center"/>
    </xf>
    <xf numFmtId="39" fontId="157" fillId="0" borderId="0" xfId="1" applyNumberFormat="1" applyFont="1" applyFill="1" applyBorder="1" applyAlignment="1" applyProtection="1">
      <alignment horizontal="right"/>
      <protection locked="0"/>
    </xf>
    <xf numFmtId="175" fontId="5" fillId="20" borderId="17" xfId="12" applyNumberFormat="1" applyFont="1" applyFill="1" applyBorder="1" applyAlignment="1">
      <alignment horizontal="center" vertical="top"/>
    </xf>
    <xf numFmtId="4" fontId="5" fillId="20" borderId="0" xfId="12" applyNumberFormat="1" applyFont="1" applyFill="1" applyAlignment="1">
      <alignment horizontal="left" wrapText="1"/>
    </xf>
    <xf numFmtId="1" fontId="5" fillId="20" borderId="25" xfId="12" applyNumberFormat="1" applyFont="1" applyFill="1" applyBorder="1" applyAlignment="1">
      <alignment horizontal="center"/>
    </xf>
    <xf numFmtId="4" fontId="5" fillId="20" borderId="17" xfId="12" applyNumberFormat="1" applyFont="1" applyFill="1" applyBorder="1" applyAlignment="1">
      <alignment horizontal="center"/>
    </xf>
    <xf numFmtId="4" fontId="5" fillId="20" borderId="17" xfId="12" applyNumberFormat="1" applyFont="1" applyFill="1" applyBorder="1" applyAlignment="1" applyProtection="1">
      <alignment horizontal="right"/>
      <protection locked="0"/>
    </xf>
    <xf numFmtId="4" fontId="5" fillId="20" borderId="25" xfId="12" applyNumberFormat="1" applyFont="1" applyFill="1" applyBorder="1" applyAlignment="1" applyProtection="1">
      <alignment horizontal="right"/>
      <protection locked="0"/>
    </xf>
    <xf numFmtId="4" fontId="5" fillId="20" borderId="0" xfId="12" applyNumberFormat="1" applyFont="1" applyFill="1" applyAlignment="1">
      <alignment horizontal="left" vertical="top" wrapText="1"/>
    </xf>
    <xf numFmtId="3" fontId="5" fillId="20" borderId="17" xfId="12" applyNumberFormat="1" applyFont="1" applyFill="1" applyBorder="1" applyAlignment="1">
      <alignment horizontal="center"/>
    </xf>
    <xf numFmtId="4" fontId="2" fillId="20" borderId="25" xfId="12" applyNumberFormat="1" applyFont="1" applyFill="1" applyBorder="1" applyAlignment="1" applyProtection="1">
      <alignment horizontal="right"/>
      <protection locked="0"/>
    </xf>
    <xf numFmtId="3" fontId="5" fillId="20" borderId="17" xfId="12" applyNumberFormat="1" applyFont="1" applyFill="1" applyBorder="1" applyAlignment="1">
      <alignment horizontal="center" wrapText="1"/>
    </xf>
    <xf numFmtId="4" fontId="5" fillId="20" borderId="17" xfId="12" applyNumberFormat="1" applyFont="1" applyFill="1" applyBorder="1" applyAlignment="1">
      <alignment horizontal="center" wrapText="1"/>
    </xf>
    <xf numFmtId="4" fontId="5" fillId="20" borderId="17" xfId="12" applyNumberFormat="1" applyFont="1" applyFill="1" applyBorder="1" applyAlignment="1" applyProtection="1">
      <alignment horizontal="right" wrapText="1"/>
      <protection locked="0"/>
    </xf>
    <xf numFmtId="175" fontId="5" fillId="20" borderId="25" xfId="12" applyNumberFormat="1" applyFont="1" applyFill="1" applyBorder="1" applyAlignment="1">
      <alignment horizontal="center" vertical="top" wrapText="1"/>
    </xf>
    <xf numFmtId="0" fontId="148" fillId="20" borderId="0" xfId="12" applyFill="1"/>
    <xf numFmtId="1" fontId="5" fillId="20" borderId="17" xfId="12" applyNumberFormat="1" applyFont="1" applyFill="1" applyBorder="1" applyAlignment="1">
      <alignment horizontal="center"/>
    </xf>
    <xf numFmtId="175" fontId="5" fillId="20" borderId="0" xfId="12" applyNumberFormat="1" applyFont="1" applyFill="1" applyAlignment="1">
      <alignment horizontal="left" vertical="top"/>
    </xf>
    <xf numFmtId="175" fontId="5" fillId="20" borderId="0" xfId="12" applyNumberFormat="1" applyFont="1" applyFill="1" applyAlignment="1">
      <alignment horizontal="left" vertical="top" wrapText="1"/>
    </xf>
    <xf numFmtId="3" fontId="5" fillId="20" borderId="25" xfId="12" applyNumberFormat="1" applyFont="1" applyFill="1" applyBorder="1" applyAlignment="1">
      <alignment horizontal="center" wrapText="1"/>
    </xf>
    <xf numFmtId="4" fontId="5" fillId="20" borderId="0" xfId="12" applyNumberFormat="1" applyFont="1" applyFill="1" applyAlignment="1" applyProtection="1">
      <alignment horizontal="right" wrapText="1"/>
      <protection locked="0"/>
    </xf>
    <xf numFmtId="175" fontId="5" fillId="20" borderId="17" xfId="12" applyNumberFormat="1" applyFont="1" applyFill="1" applyBorder="1" applyAlignment="1">
      <alignment horizontal="center" vertical="top" wrapText="1"/>
    </xf>
    <xf numFmtId="0" fontId="5" fillId="20" borderId="0" xfId="12" applyFont="1" applyFill="1" applyAlignment="1">
      <alignment horizontal="left" vertical="top" wrapText="1"/>
    </xf>
    <xf numFmtId="175" fontId="5" fillId="20" borderId="0" xfId="12" applyNumberFormat="1" applyFont="1" applyFill="1" applyAlignment="1">
      <alignment horizontal="left" vertical="center" wrapText="1"/>
    </xf>
    <xf numFmtId="0" fontId="5" fillId="20" borderId="17" xfId="12" applyFont="1" applyFill="1" applyBorder="1" applyAlignment="1">
      <alignment horizontal="center" wrapText="1"/>
    </xf>
    <xf numFmtId="4" fontId="5" fillId="20" borderId="19" xfId="12" applyNumberFormat="1" applyFont="1" applyFill="1" applyBorder="1" applyAlignment="1">
      <alignment vertical="top" wrapText="1"/>
    </xf>
    <xf numFmtId="0" fontId="0" fillId="27" borderId="0" xfId="0" applyFill="1"/>
    <xf numFmtId="1" fontId="8" fillId="27" borderId="0" xfId="10" applyFont="1" applyFill="1" applyAlignment="1" applyProtection="1">
      <alignment horizontal="left"/>
      <protection locked="0"/>
    </xf>
    <xf numFmtId="1" fontId="0" fillId="20" borderId="0" xfId="0" applyNumberFormat="1" applyFill="1"/>
    <xf numFmtId="1" fontId="0" fillId="0" borderId="67" xfId="0" applyNumberFormat="1" applyBorder="1"/>
    <xf numFmtId="0" fontId="0" fillId="0" borderId="25" xfId="0" applyBorder="1"/>
    <xf numFmtId="0" fontId="5" fillId="0" borderId="25" xfId="0" applyFont="1" applyBorder="1"/>
    <xf numFmtId="1" fontId="5" fillId="0" borderId="25" xfId="0" applyNumberFormat="1" applyFont="1" applyBorder="1"/>
    <xf numFmtId="1" fontId="0" fillId="0" borderId="67" xfId="0" applyNumberFormat="1" applyBorder="1" applyAlignment="1">
      <alignment vertical="top"/>
    </xf>
    <xf numFmtId="0" fontId="0" fillId="0" borderId="25" xfId="0" applyBorder="1" applyAlignment="1">
      <alignment vertical="top"/>
    </xf>
    <xf numFmtId="0" fontId="5" fillId="0" borderId="25" xfId="0" applyFont="1" applyBorder="1" applyAlignment="1">
      <alignment horizontal="left" vertical="top" wrapText="1"/>
    </xf>
    <xf numFmtId="1" fontId="0" fillId="0" borderId="38" xfId="0" applyNumberFormat="1" applyBorder="1"/>
    <xf numFmtId="0" fontId="0" fillId="0" borderId="47" xfId="0" applyBorder="1"/>
    <xf numFmtId="0" fontId="5" fillId="0" borderId="47" xfId="0" applyFont="1" applyBorder="1"/>
    <xf numFmtId="0" fontId="0" fillId="0" borderId="68" xfId="0" applyBorder="1" applyAlignment="1">
      <alignment horizontal="center"/>
    </xf>
    <xf numFmtId="0" fontId="0" fillId="0" borderId="68" xfId="0" applyBorder="1" applyAlignment="1">
      <alignment horizontal="center" vertical="top"/>
    </xf>
    <xf numFmtId="0" fontId="0" fillId="0" borderId="69" xfId="0" applyBorder="1" applyAlignment="1">
      <alignment horizontal="center"/>
    </xf>
    <xf numFmtId="1" fontId="2" fillId="28" borderId="64" xfId="0" applyNumberFormat="1" applyFont="1" applyFill="1" applyBorder="1" applyAlignment="1">
      <alignment horizontal="center" vertical="center"/>
    </xf>
    <xf numFmtId="0" fontId="2" fillId="28" borderId="65" xfId="0" applyFont="1" applyFill="1" applyBorder="1" applyAlignment="1">
      <alignment horizontal="center" vertical="center"/>
    </xf>
    <xf numFmtId="0" fontId="2" fillId="28" borderId="66" xfId="0" applyFont="1" applyFill="1" applyBorder="1" applyAlignment="1">
      <alignment horizontal="center" vertical="center"/>
    </xf>
    <xf numFmtId="0" fontId="167" fillId="29" borderId="0" xfId="0" applyFont="1" applyFill="1"/>
    <xf numFmtId="0" fontId="167" fillId="29" borderId="0" xfId="0" applyFont="1" applyFill="1" applyAlignment="1">
      <alignment horizontal="center"/>
    </xf>
    <xf numFmtId="0" fontId="8" fillId="20" borderId="0" xfId="3" applyFont="1" applyFill="1" applyAlignment="1" applyProtection="1">
      <alignment horizontal="center" wrapText="1"/>
      <protection locked="0"/>
    </xf>
    <xf numFmtId="0" fontId="173" fillId="0" borderId="42" xfId="15" applyFont="1" applyBorder="1" applyAlignment="1">
      <alignment horizontal="center"/>
    </xf>
    <xf numFmtId="0" fontId="173" fillId="0" borderId="61" xfId="15" applyFont="1" applyBorder="1" applyAlignment="1">
      <alignment horizontal="center"/>
    </xf>
    <xf numFmtId="0" fontId="173" fillId="0" borderId="62" xfId="15" applyFont="1" applyBorder="1" applyAlignment="1">
      <alignment horizontal="center"/>
    </xf>
    <xf numFmtId="0" fontId="169" fillId="0" borderId="64" xfId="15" applyFont="1" applyBorder="1" applyAlignment="1">
      <alignment horizontal="center"/>
    </xf>
    <xf numFmtId="0" fontId="169" fillId="0" borderId="65" xfId="15" applyFont="1" applyBorder="1" applyAlignment="1">
      <alignment horizontal="center"/>
    </xf>
    <xf numFmtId="0" fontId="169" fillId="0" borderId="66" xfId="15" applyFont="1" applyBorder="1" applyAlignment="1">
      <alignment horizontal="center"/>
    </xf>
    <xf numFmtId="0" fontId="38" fillId="12" borderId="49" xfId="11" applyFont="1" applyFill="1" applyBorder="1" applyAlignment="1">
      <alignment horizontal="center"/>
    </xf>
    <xf numFmtId="0" fontId="38" fillId="12" borderId="50" xfId="11" applyFont="1" applyFill="1" applyBorder="1" applyAlignment="1">
      <alignment horizontal="center"/>
    </xf>
    <xf numFmtId="0" fontId="5" fillId="0" borderId="13" xfId="11" applyBorder="1" applyAlignment="1" applyProtection="1">
      <alignment horizontal="center"/>
      <protection locked="0"/>
    </xf>
    <xf numFmtId="0" fontId="2" fillId="18" borderId="0" xfId="11" applyFont="1" applyFill="1" applyAlignment="1">
      <alignment horizontal="center"/>
    </xf>
    <xf numFmtId="0" fontId="131" fillId="0" borderId="0" xfId="0" applyFont="1" applyAlignment="1">
      <alignment horizontal="center"/>
    </xf>
    <xf numFmtId="0" fontId="14" fillId="0" borderId="17" xfId="0" applyFont="1" applyBorder="1" applyAlignment="1" applyProtection="1">
      <alignment horizontal="center"/>
      <protection locked="0"/>
    </xf>
    <xf numFmtId="0" fontId="14" fillId="0" borderId="0" xfId="0" applyFont="1" applyAlignment="1" applyProtection="1">
      <alignment horizontal="center"/>
      <protection locked="0"/>
    </xf>
    <xf numFmtId="0" fontId="38" fillId="0" borderId="23" xfId="8" applyFont="1" applyBorder="1" applyAlignment="1" applyProtection="1">
      <alignment horizontal="center"/>
      <protection locked="0"/>
    </xf>
    <xf numFmtId="0" fontId="38" fillId="0" borderId="22" xfId="8" applyFont="1" applyBorder="1" applyAlignment="1" applyProtection="1">
      <alignment horizontal="center"/>
      <protection locked="0"/>
    </xf>
    <xf numFmtId="0" fontId="38" fillId="0" borderId="24" xfId="8" applyFont="1" applyBorder="1" applyAlignment="1" applyProtection="1">
      <alignment horizontal="center"/>
      <protection locked="0"/>
    </xf>
    <xf numFmtId="0" fontId="21" fillId="0" borderId="20" xfId="8" applyFont="1" applyBorder="1" applyAlignment="1" applyProtection="1">
      <alignment horizontal="center" vertical="center"/>
      <protection locked="0"/>
    </xf>
    <xf numFmtId="0" fontId="21" fillId="0" borderId="13" xfId="8" applyFont="1" applyBorder="1" applyAlignment="1" applyProtection="1">
      <alignment horizontal="center" vertical="center"/>
      <protection locked="0"/>
    </xf>
    <xf numFmtId="0" fontId="21" fillId="0" borderId="0" xfId="8" applyFont="1" applyAlignment="1" applyProtection="1">
      <alignment horizontal="center" vertical="center"/>
      <protection locked="0"/>
    </xf>
    <xf numFmtId="0" fontId="21" fillId="0" borderId="19" xfId="8" applyFont="1" applyBorder="1" applyAlignment="1" applyProtection="1">
      <alignment horizontal="center" vertical="center"/>
      <protection locked="0"/>
    </xf>
    <xf numFmtId="0" fontId="28" fillId="0" borderId="0" xfId="3" applyFont="1" applyAlignment="1" applyProtection="1">
      <alignment horizontal="left"/>
      <protection locked="0"/>
    </xf>
    <xf numFmtId="0" fontId="46" fillId="0" borderId="0" xfId="8" applyFont="1" applyAlignment="1" applyProtection="1">
      <alignment horizontal="left"/>
      <protection locked="0"/>
    </xf>
    <xf numFmtId="0" fontId="109" fillId="0" borderId="14" xfId="0" applyFont="1" applyBorder="1" applyAlignment="1">
      <alignment horizontal="center" vertical="center"/>
    </xf>
    <xf numFmtId="0" fontId="108" fillId="0" borderId="0" xfId="0" applyFont="1" applyAlignment="1">
      <alignment horizontal="left" vertical="center"/>
    </xf>
    <xf numFmtId="0" fontId="14" fillId="0" borderId="0" xfId="3" applyFont="1" applyAlignment="1" applyProtection="1">
      <alignment horizontal="left" vertical="top" wrapText="1"/>
      <protection locked="0"/>
    </xf>
    <xf numFmtId="0" fontId="29" fillId="0" borderId="0" xfId="3" applyFont="1" applyAlignment="1" applyProtection="1">
      <alignment horizontal="left" vertical="top" wrapText="1"/>
      <protection locked="0"/>
    </xf>
    <xf numFmtId="0" fontId="113" fillId="0" borderId="0" xfId="0" applyFont="1" applyAlignment="1">
      <alignment horizontal="center"/>
    </xf>
    <xf numFmtId="0" fontId="104" fillId="7" borderId="0" xfId="7" applyFont="1" applyFill="1" applyAlignment="1">
      <alignment horizontal="center" vertical="top" wrapText="1"/>
    </xf>
    <xf numFmtId="0" fontId="143" fillId="0" borderId="0" xfId="3" applyFont="1" applyAlignment="1">
      <alignment horizontal="center"/>
    </xf>
    <xf numFmtId="0" fontId="142" fillId="0" borderId="0" xfId="3" applyFont="1" applyAlignment="1">
      <alignment horizontal="center"/>
    </xf>
    <xf numFmtId="2" fontId="5" fillId="0" borderId="13" xfId="13" applyNumberFormat="1" applyFont="1" applyBorder="1" applyAlignment="1">
      <alignment horizontal="left"/>
    </xf>
  </cellXfs>
  <cellStyles count="18">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 3 2" xfId="13" xr:uid="{00000000-0005-0000-0000-000005000000}"/>
    <cellStyle name="Normal 4" xfId="12" xr:uid="{00000000-0005-0000-0000-000006000000}"/>
    <cellStyle name="Normal 5" xfId="15" xr:uid="{D79D4E38-7CB3-4BEE-9074-06FC8B9018DD}"/>
    <cellStyle name="Normal_BLOCKS" xfId="3" xr:uid="{00000000-0005-0000-0000-000007000000}"/>
    <cellStyle name="Normal_CABLE" xfId="4" xr:uid="{00000000-0005-0000-0000-000008000000}"/>
    <cellStyle name="Normal_E11_0126_Seabank_Hotel_Electrical" xfId="5" xr:uid="{00000000-0005-0000-0000-000009000000}"/>
    <cellStyle name="Normal_Estimate" xfId="6" xr:uid="{00000000-0005-0000-0000-00000A000000}"/>
    <cellStyle name="Normal_Estimate 2" xfId="10" xr:uid="{00000000-0005-0000-0000-00000B000000}"/>
    <cellStyle name="Normal_Mark_up" xfId="7" xr:uid="{00000000-0005-0000-0000-00000C000000}"/>
    <cellStyle name="Normal_Price Lists" xfId="16" xr:uid="{F4BE4C5F-7913-4DB0-8297-0CE7C099342B}"/>
    <cellStyle name="Normal_Prince_Est" xfId="17" xr:uid="{F160D59E-759E-459C-BB46-5C2A644343F0}"/>
    <cellStyle name="Normal_RATES" xfId="14" xr:uid="{0745B509-5248-402B-9032-F2D76FD452BD}"/>
    <cellStyle name="Normal_STANDARD" xfId="8" xr:uid="{00000000-0005-0000-0000-00000D000000}"/>
  </cellStyles>
  <dxfs count="26">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tyles" Target="styles.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21</xdr:col>
      <xdr:colOff>38100</xdr:colOff>
      <xdr:row>284</xdr:row>
      <xdr:rowOff>144781</xdr:rowOff>
    </xdr:from>
    <xdr:to>
      <xdr:col>25</xdr:col>
      <xdr:colOff>240645</xdr:colOff>
      <xdr:row>288</xdr:row>
      <xdr:rowOff>76201</xdr:rowOff>
    </xdr:to>
    <xdr:pic>
      <xdr:nvPicPr>
        <xdr:cNvPr id="3" name="Picture 2">
          <a:extLst>
            <a:ext uri="{FF2B5EF4-FFF2-40B4-BE49-F238E27FC236}">
              <a16:creationId xmlns:a16="http://schemas.microsoft.com/office/drawing/2014/main" id="{07DFA197-597B-A457-A1AD-EFC38D0B9846}"/>
            </a:ext>
          </a:extLst>
        </xdr:cNvPr>
        <xdr:cNvPicPr>
          <a:picLocks noChangeAspect="1"/>
        </xdr:cNvPicPr>
      </xdr:nvPicPr>
      <xdr:blipFill>
        <a:blip xmlns:r="http://schemas.openxmlformats.org/officeDocument/2006/relationships" r:embed="rId1"/>
        <a:stretch>
          <a:fillRect/>
        </a:stretch>
      </xdr:blipFill>
      <xdr:spPr>
        <a:xfrm>
          <a:off x="6888480" y="41833801"/>
          <a:ext cx="1482705" cy="594360"/>
        </a:xfrm>
        <a:prstGeom prst="rect">
          <a:avLst/>
        </a:prstGeom>
      </xdr:spPr>
    </xdr:pic>
    <xdr:clientData/>
  </xdr:twoCellAnchor>
  <xdr:twoCellAnchor editAs="oneCell">
    <xdr:from>
      <xdr:col>22</xdr:col>
      <xdr:colOff>1</xdr:colOff>
      <xdr:row>292</xdr:row>
      <xdr:rowOff>0</xdr:rowOff>
    </xdr:from>
    <xdr:to>
      <xdr:col>24</xdr:col>
      <xdr:colOff>114301</xdr:colOff>
      <xdr:row>297</xdr:row>
      <xdr:rowOff>137346</xdr:rowOff>
    </xdr:to>
    <xdr:pic>
      <xdr:nvPicPr>
        <xdr:cNvPr id="4" name="Picture 3">
          <a:extLst>
            <a:ext uri="{FF2B5EF4-FFF2-40B4-BE49-F238E27FC236}">
              <a16:creationId xmlns:a16="http://schemas.microsoft.com/office/drawing/2014/main" id="{9BF01582-E644-D2D4-0F67-4F3F9BF798BA}"/>
            </a:ext>
          </a:extLst>
        </xdr:cNvPr>
        <xdr:cNvPicPr>
          <a:picLocks noChangeAspect="1"/>
        </xdr:cNvPicPr>
      </xdr:nvPicPr>
      <xdr:blipFill>
        <a:blip xmlns:r="http://schemas.openxmlformats.org/officeDocument/2006/relationships" r:embed="rId2"/>
        <a:stretch>
          <a:fillRect/>
        </a:stretch>
      </xdr:blipFill>
      <xdr:spPr>
        <a:xfrm>
          <a:off x="7147561" y="42999660"/>
          <a:ext cx="800100" cy="967926"/>
        </a:xfrm>
        <a:prstGeom prst="rect">
          <a:avLst/>
        </a:prstGeom>
      </xdr:spPr>
    </xdr:pic>
    <xdr:clientData/>
  </xdr:twoCellAnchor>
  <xdr:twoCellAnchor editAs="oneCell">
    <xdr:from>
      <xdr:col>22</xdr:col>
      <xdr:colOff>144781</xdr:colOff>
      <xdr:row>314</xdr:row>
      <xdr:rowOff>60960</xdr:rowOff>
    </xdr:from>
    <xdr:to>
      <xdr:col>23</xdr:col>
      <xdr:colOff>290971</xdr:colOff>
      <xdr:row>319</xdr:row>
      <xdr:rowOff>76200</xdr:rowOff>
    </xdr:to>
    <xdr:pic>
      <xdr:nvPicPr>
        <xdr:cNvPr id="6" name="Picture 5">
          <a:extLst>
            <a:ext uri="{FF2B5EF4-FFF2-40B4-BE49-F238E27FC236}">
              <a16:creationId xmlns:a16="http://schemas.microsoft.com/office/drawing/2014/main" id="{75050078-3E12-624C-D41E-A15BF5B55E22}"/>
            </a:ext>
          </a:extLst>
        </xdr:cNvPr>
        <xdr:cNvPicPr>
          <a:picLocks noChangeAspect="1"/>
        </xdr:cNvPicPr>
      </xdr:nvPicPr>
      <xdr:blipFill>
        <a:blip xmlns:r="http://schemas.openxmlformats.org/officeDocument/2006/relationships" r:embed="rId3"/>
        <a:stretch>
          <a:fillRect/>
        </a:stretch>
      </xdr:blipFill>
      <xdr:spPr>
        <a:xfrm>
          <a:off x="7292341" y="44218860"/>
          <a:ext cx="443370" cy="830580"/>
        </a:xfrm>
        <a:prstGeom prst="rect">
          <a:avLst/>
        </a:prstGeom>
      </xdr:spPr>
    </xdr:pic>
    <xdr:clientData/>
  </xdr:twoCellAnchor>
  <xdr:twoCellAnchor editAs="oneCell">
    <xdr:from>
      <xdr:col>21</xdr:col>
      <xdr:colOff>114300</xdr:colOff>
      <xdr:row>359</xdr:row>
      <xdr:rowOff>121920</xdr:rowOff>
    </xdr:from>
    <xdr:to>
      <xdr:col>25</xdr:col>
      <xdr:colOff>129540</xdr:colOff>
      <xdr:row>366</xdr:row>
      <xdr:rowOff>38100</xdr:rowOff>
    </xdr:to>
    <xdr:pic>
      <xdr:nvPicPr>
        <xdr:cNvPr id="8" name="Picture 7">
          <a:extLst>
            <a:ext uri="{FF2B5EF4-FFF2-40B4-BE49-F238E27FC236}">
              <a16:creationId xmlns:a16="http://schemas.microsoft.com/office/drawing/2014/main" id="{F14BA9E3-17CC-1109-49F6-56A4FEAFBF56}"/>
            </a:ext>
          </a:extLst>
        </xdr:cNvPr>
        <xdr:cNvPicPr>
          <a:picLocks noChangeAspect="1"/>
        </xdr:cNvPicPr>
      </xdr:nvPicPr>
      <xdr:blipFill>
        <a:blip xmlns:r="http://schemas.openxmlformats.org/officeDocument/2006/relationships" r:embed="rId4"/>
        <a:stretch>
          <a:fillRect/>
        </a:stretch>
      </xdr:blipFill>
      <xdr:spPr>
        <a:xfrm>
          <a:off x="6964680" y="46565820"/>
          <a:ext cx="1295400" cy="1067135"/>
        </a:xfrm>
        <a:prstGeom prst="rect">
          <a:avLst/>
        </a:prstGeom>
      </xdr:spPr>
    </xdr:pic>
    <xdr:clientData/>
  </xdr:twoCellAnchor>
  <xdr:twoCellAnchor editAs="oneCell">
    <xdr:from>
      <xdr:col>21</xdr:col>
      <xdr:colOff>175260</xdr:colOff>
      <xdr:row>375</xdr:row>
      <xdr:rowOff>53341</xdr:rowOff>
    </xdr:from>
    <xdr:to>
      <xdr:col>24</xdr:col>
      <xdr:colOff>125233</xdr:colOff>
      <xdr:row>379</xdr:row>
      <xdr:rowOff>144781</xdr:rowOff>
    </xdr:to>
    <xdr:pic>
      <xdr:nvPicPr>
        <xdr:cNvPr id="9" name="Picture 8">
          <a:extLst>
            <a:ext uri="{FF2B5EF4-FFF2-40B4-BE49-F238E27FC236}">
              <a16:creationId xmlns:a16="http://schemas.microsoft.com/office/drawing/2014/main" id="{E5673CE7-2978-13B8-A20A-8341F6A105DB}"/>
            </a:ext>
          </a:extLst>
        </xdr:cNvPr>
        <xdr:cNvPicPr>
          <a:picLocks noChangeAspect="1"/>
        </xdr:cNvPicPr>
      </xdr:nvPicPr>
      <xdr:blipFill>
        <a:blip xmlns:r="http://schemas.openxmlformats.org/officeDocument/2006/relationships" r:embed="rId5"/>
        <a:stretch>
          <a:fillRect/>
        </a:stretch>
      </xdr:blipFill>
      <xdr:spPr>
        <a:xfrm>
          <a:off x="7025640" y="47960281"/>
          <a:ext cx="932953" cy="754380"/>
        </a:xfrm>
        <a:prstGeom prst="rect">
          <a:avLst/>
        </a:prstGeom>
      </xdr:spPr>
    </xdr:pic>
    <xdr:clientData/>
  </xdr:twoCellAnchor>
  <xdr:twoCellAnchor editAs="oneCell">
    <xdr:from>
      <xdr:col>21</xdr:col>
      <xdr:colOff>1</xdr:colOff>
      <xdr:row>458</xdr:row>
      <xdr:rowOff>0</xdr:rowOff>
    </xdr:from>
    <xdr:to>
      <xdr:col>26</xdr:col>
      <xdr:colOff>152401</xdr:colOff>
      <xdr:row>460</xdr:row>
      <xdr:rowOff>46735</xdr:rowOff>
    </xdr:to>
    <xdr:pic>
      <xdr:nvPicPr>
        <xdr:cNvPr id="10" name="Picture 9">
          <a:extLst>
            <a:ext uri="{FF2B5EF4-FFF2-40B4-BE49-F238E27FC236}">
              <a16:creationId xmlns:a16="http://schemas.microsoft.com/office/drawing/2014/main" id="{F8240838-E9BE-F4DE-E90B-9A5574281E6C}"/>
            </a:ext>
          </a:extLst>
        </xdr:cNvPr>
        <xdr:cNvPicPr>
          <a:picLocks noChangeAspect="1"/>
        </xdr:cNvPicPr>
      </xdr:nvPicPr>
      <xdr:blipFill>
        <a:blip xmlns:r="http://schemas.openxmlformats.org/officeDocument/2006/relationships" r:embed="rId6"/>
        <a:stretch>
          <a:fillRect/>
        </a:stretch>
      </xdr:blipFill>
      <xdr:spPr>
        <a:xfrm>
          <a:off x="6850381" y="52966620"/>
          <a:ext cx="1729740" cy="389635"/>
        </a:xfrm>
        <a:prstGeom prst="rect">
          <a:avLst/>
        </a:prstGeom>
      </xdr:spPr>
    </xdr:pic>
    <xdr:clientData/>
  </xdr:twoCellAnchor>
  <xdr:twoCellAnchor editAs="oneCell">
    <xdr:from>
      <xdr:col>21</xdr:col>
      <xdr:colOff>129540</xdr:colOff>
      <xdr:row>469</xdr:row>
      <xdr:rowOff>76200</xdr:rowOff>
    </xdr:from>
    <xdr:to>
      <xdr:col>25</xdr:col>
      <xdr:colOff>193208</xdr:colOff>
      <xdr:row>475</xdr:row>
      <xdr:rowOff>60959</xdr:rowOff>
    </xdr:to>
    <xdr:pic>
      <xdr:nvPicPr>
        <xdr:cNvPr id="11" name="Picture 10">
          <a:extLst>
            <a:ext uri="{FF2B5EF4-FFF2-40B4-BE49-F238E27FC236}">
              <a16:creationId xmlns:a16="http://schemas.microsoft.com/office/drawing/2014/main" id="{0247E6B3-57FD-C14F-22FB-7C638A9F2935}"/>
            </a:ext>
          </a:extLst>
        </xdr:cNvPr>
        <xdr:cNvPicPr>
          <a:picLocks noChangeAspect="1"/>
        </xdr:cNvPicPr>
      </xdr:nvPicPr>
      <xdr:blipFill>
        <a:blip xmlns:r="http://schemas.openxmlformats.org/officeDocument/2006/relationships" r:embed="rId7"/>
        <a:stretch>
          <a:fillRect/>
        </a:stretch>
      </xdr:blipFill>
      <xdr:spPr>
        <a:xfrm>
          <a:off x="6979920" y="54856380"/>
          <a:ext cx="1343828" cy="967739"/>
        </a:xfrm>
        <a:prstGeom prst="rect">
          <a:avLst/>
        </a:prstGeom>
      </xdr:spPr>
    </xdr:pic>
    <xdr:clientData/>
  </xdr:twoCellAnchor>
  <xdr:twoCellAnchor editAs="oneCell">
    <xdr:from>
      <xdr:col>21</xdr:col>
      <xdr:colOff>99060</xdr:colOff>
      <xdr:row>462</xdr:row>
      <xdr:rowOff>91440</xdr:rowOff>
    </xdr:from>
    <xdr:to>
      <xdr:col>25</xdr:col>
      <xdr:colOff>162728</xdr:colOff>
      <xdr:row>468</xdr:row>
      <xdr:rowOff>76199</xdr:rowOff>
    </xdr:to>
    <xdr:pic>
      <xdr:nvPicPr>
        <xdr:cNvPr id="12" name="Picture 11">
          <a:extLst>
            <a:ext uri="{FF2B5EF4-FFF2-40B4-BE49-F238E27FC236}">
              <a16:creationId xmlns:a16="http://schemas.microsoft.com/office/drawing/2014/main" id="{42F19421-33F6-4A02-7AB9-AA3EEF4A0696}"/>
            </a:ext>
          </a:extLst>
        </xdr:cNvPr>
        <xdr:cNvPicPr>
          <a:picLocks noChangeAspect="1"/>
        </xdr:cNvPicPr>
      </xdr:nvPicPr>
      <xdr:blipFill>
        <a:blip xmlns:r="http://schemas.openxmlformats.org/officeDocument/2006/relationships" r:embed="rId7"/>
        <a:stretch>
          <a:fillRect/>
        </a:stretch>
      </xdr:blipFill>
      <xdr:spPr>
        <a:xfrm>
          <a:off x="6949440" y="53728620"/>
          <a:ext cx="1343828" cy="967739"/>
        </a:xfrm>
        <a:prstGeom prst="rect">
          <a:avLst/>
        </a:prstGeom>
      </xdr:spPr>
    </xdr:pic>
    <xdr:clientData/>
  </xdr:twoCellAnchor>
  <xdr:twoCellAnchor editAs="oneCell">
    <xdr:from>
      <xdr:col>21</xdr:col>
      <xdr:colOff>129540</xdr:colOff>
      <xdr:row>390</xdr:row>
      <xdr:rowOff>30480</xdr:rowOff>
    </xdr:from>
    <xdr:to>
      <xdr:col>24</xdr:col>
      <xdr:colOff>173481</xdr:colOff>
      <xdr:row>395</xdr:row>
      <xdr:rowOff>121920</xdr:rowOff>
    </xdr:to>
    <xdr:pic>
      <xdr:nvPicPr>
        <xdr:cNvPr id="2" name="Picture 1">
          <a:extLst>
            <a:ext uri="{FF2B5EF4-FFF2-40B4-BE49-F238E27FC236}">
              <a16:creationId xmlns:a16="http://schemas.microsoft.com/office/drawing/2014/main" id="{362C2F4F-4E40-E9A5-3486-84424A8583D0}"/>
            </a:ext>
          </a:extLst>
        </xdr:cNvPr>
        <xdr:cNvPicPr>
          <a:picLocks noChangeAspect="1"/>
        </xdr:cNvPicPr>
      </xdr:nvPicPr>
      <xdr:blipFill>
        <a:blip xmlns:r="http://schemas.openxmlformats.org/officeDocument/2006/relationships" r:embed="rId8"/>
        <a:stretch>
          <a:fillRect/>
        </a:stretch>
      </xdr:blipFill>
      <xdr:spPr>
        <a:xfrm>
          <a:off x="6979920" y="50391060"/>
          <a:ext cx="1026921" cy="922020"/>
        </a:xfrm>
        <a:prstGeom prst="rect">
          <a:avLst/>
        </a:prstGeom>
      </xdr:spPr>
    </xdr:pic>
    <xdr:clientData/>
  </xdr:twoCellAnchor>
  <xdr:twoCellAnchor editAs="oneCell">
    <xdr:from>
      <xdr:col>21</xdr:col>
      <xdr:colOff>91440</xdr:colOff>
      <xdr:row>368</xdr:row>
      <xdr:rowOff>38101</xdr:rowOff>
    </xdr:from>
    <xdr:to>
      <xdr:col>24</xdr:col>
      <xdr:colOff>41413</xdr:colOff>
      <xdr:row>372</xdr:row>
      <xdr:rowOff>129541</xdr:rowOff>
    </xdr:to>
    <xdr:pic>
      <xdr:nvPicPr>
        <xdr:cNvPr id="5" name="Picture 4">
          <a:extLst>
            <a:ext uri="{FF2B5EF4-FFF2-40B4-BE49-F238E27FC236}">
              <a16:creationId xmlns:a16="http://schemas.microsoft.com/office/drawing/2014/main" id="{ECF10486-56C0-4A1D-68B5-B33700A972A6}"/>
            </a:ext>
          </a:extLst>
        </xdr:cNvPr>
        <xdr:cNvPicPr>
          <a:picLocks noChangeAspect="1"/>
        </xdr:cNvPicPr>
      </xdr:nvPicPr>
      <xdr:blipFill>
        <a:blip xmlns:r="http://schemas.openxmlformats.org/officeDocument/2006/relationships" r:embed="rId5"/>
        <a:stretch>
          <a:fillRect/>
        </a:stretch>
      </xdr:blipFill>
      <xdr:spPr>
        <a:xfrm>
          <a:off x="6972300" y="59070241"/>
          <a:ext cx="932953" cy="754380"/>
        </a:xfrm>
        <a:prstGeom prst="rect">
          <a:avLst/>
        </a:prstGeom>
      </xdr:spPr>
    </xdr:pic>
    <xdr:clientData/>
  </xdr:twoCellAnchor>
  <xdr:twoCellAnchor editAs="oneCell">
    <xdr:from>
      <xdr:col>21</xdr:col>
      <xdr:colOff>144780</xdr:colOff>
      <xdr:row>398</xdr:row>
      <xdr:rowOff>76200</xdr:rowOff>
    </xdr:from>
    <xdr:to>
      <xdr:col>24</xdr:col>
      <xdr:colOff>188721</xdr:colOff>
      <xdr:row>404</xdr:row>
      <xdr:rowOff>0</xdr:rowOff>
    </xdr:to>
    <xdr:pic>
      <xdr:nvPicPr>
        <xdr:cNvPr id="7" name="Picture 6">
          <a:extLst>
            <a:ext uri="{FF2B5EF4-FFF2-40B4-BE49-F238E27FC236}">
              <a16:creationId xmlns:a16="http://schemas.microsoft.com/office/drawing/2014/main" id="{C1313685-ED3B-3A20-5F1D-B474DB6B5A69}"/>
            </a:ext>
          </a:extLst>
        </xdr:cNvPr>
        <xdr:cNvPicPr>
          <a:picLocks noChangeAspect="1"/>
        </xdr:cNvPicPr>
      </xdr:nvPicPr>
      <xdr:blipFill>
        <a:blip xmlns:r="http://schemas.openxmlformats.org/officeDocument/2006/relationships" r:embed="rId8"/>
        <a:stretch>
          <a:fillRect/>
        </a:stretch>
      </xdr:blipFill>
      <xdr:spPr>
        <a:xfrm>
          <a:off x="6995160" y="52890420"/>
          <a:ext cx="1026921" cy="922020"/>
        </a:xfrm>
        <a:prstGeom prst="rect">
          <a:avLst/>
        </a:prstGeom>
      </xdr:spPr>
    </xdr:pic>
    <xdr:clientData/>
  </xdr:twoCellAnchor>
  <xdr:oneCellAnchor>
    <xdr:from>
      <xdr:col>21</xdr:col>
      <xdr:colOff>144780</xdr:colOff>
      <xdr:row>406</xdr:row>
      <xdr:rowOff>76200</xdr:rowOff>
    </xdr:from>
    <xdr:ext cx="1026921" cy="922020"/>
    <xdr:pic>
      <xdr:nvPicPr>
        <xdr:cNvPr id="13" name="Picture 12">
          <a:extLst>
            <a:ext uri="{FF2B5EF4-FFF2-40B4-BE49-F238E27FC236}">
              <a16:creationId xmlns:a16="http://schemas.microsoft.com/office/drawing/2014/main" id="{026E992F-4E04-453D-931D-429D8111FB70}"/>
            </a:ext>
          </a:extLst>
        </xdr:cNvPr>
        <xdr:cNvPicPr>
          <a:picLocks noChangeAspect="1"/>
        </xdr:cNvPicPr>
      </xdr:nvPicPr>
      <xdr:blipFill>
        <a:blip xmlns:r="http://schemas.openxmlformats.org/officeDocument/2006/relationships" r:embed="rId8"/>
        <a:stretch>
          <a:fillRect/>
        </a:stretch>
      </xdr:blipFill>
      <xdr:spPr>
        <a:xfrm>
          <a:off x="6995160" y="52890420"/>
          <a:ext cx="1026921" cy="922020"/>
        </a:xfrm>
        <a:prstGeom prst="rect">
          <a:avLst/>
        </a:prstGeom>
      </xdr:spPr>
    </xdr:pic>
    <xdr:clientData/>
  </xdr:oneCellAnchor>
  <xdr:twoCellAnchor editAs="oneCell">
    <xdr:from>
      <xdr:col>21</xdr:col>
      <xdr:colOff>236220</xdr:colOff>
      <xdr:row>422</xdr:row>
      <xdr:rowOff>1</xdr:rowOff>
    </xdr:from>
    <xdr:to>
      <xdr:col>24</xdr:col>
      <xdr:colOff>60960</xdr:colOff>
      <xdr:row>426</xdr:row>
      <xdr:rowOff>7879</xdr:rowOff>
    </xdr:to>
    <xdr:pic>
      <xdr:nvPicPr>
        <xdr:cNvPr id="15" name="Picture 14">
          <a:extLst>
            <a:ext uri="{FF2B5EF4-FFF2-40B4-BE49-F238E27FC236}">
              <a16:creationId xmlns:a16="http://schemas.microsoft.com/office/drawing/2014/main" id="{D4D37F57-DC91-89FB-D04F-1352D91837C5}"/>
            </a:ext>
          </a:extLst>
        </xdr:cNvPr>
        <xdr:cNvPicPr>
          <a:picLocks noChangeAspect="1"/>
        </xdr:cNvPicPr>
      </xdr:nvPicPr>
      <xdr:blipFill>
        <a:blip xmlns:r="http://schemas.openxmlformats.org/officeDocument/2006/relationships" r:embed="rId9"/>
        <a:stretch>
          <a:fillRect/>
        </a:stretch>
      </xdr:blipFill>
      <xdr:spPr>
        <a:xfrm>
          <a:off x="7086600" y="55435501"/>
          <a:ext cx="807720" cy="670818"/>
        </a:xfrm>
        <a:prstGeom prst="rect">
          <a:avLst/>
        </a:prstGeom>
      </xdr:spPr>
    </xdr:pic>
    <xdr:clientData/>
  </xdr:twoCellAnchor>
  <xdr:twoCellAnchor editAs="oneCell">
    <xdr:from>
      <xdr:col>21</xdr:col>
      <xdr:colOff>106680</xdr:colOff>
      <xdr:row>442</xdr:row>
      <xdr:rowOff>121920</xdr:rowOff>
    </xdr:from>
    <xdr:to>
      <xdr:col>25</xdr:col>
      <xdr:colOff>45720</xdr:colOff>
      <xdr:row>449</xdr:row>
      <xdr:rowOff>46773</xdr:rowOff>
    </xdr:to>
    <xdr:pic>
      <xdr:nvPicPr>
        <xdr:cNvPr id="16" name="Picture 15">
          <a:extLst>
            <a:ext uri="{FF2B5EF4-FFF2-40B4-BE49-F238E27FC236}">
              <a16:creationId xmlns:a16="http://schemas.microsoft.com/office/drawing/2014/main" id="{0C8356E4-568F-A98F-72D3-4D254C3BC819}"/>
            </a:ext>
          </a:extLst>
        </xdr:cNvPr>
        <xdr:cNvPicPr>
          <a:picLocks noChangeAspect="1"/>
        </xdr:cNvPicPr>
      </xdr:nvPicPr>
      <xdr:blipFill>
        <a:blip xmlns:r="http://schemas.openxmlformats.org/officeDocument/2006/relationships" r:embed="rId10"/>
        <a:stretch>
          <a:fillRect/>
        </a:stretch>
      </xdr:blipFill>
      <xdr:spPr>
        <a:xfrm>
          <a:off x="6957060" y="57523380"/>
          <a:ext cx="1219200" cy="1075473"/>
        </a:xfrm>
        <a:prstGeom prst="rect">
          <a:avLst/>
        </a:prstGeom>
      </xdr:spPr>
    </xdr:pic>
    <xdr:clientData/>
  </xdr:twoCellAnchor>
  <xdr:oneCellAnchor>
    <xdr:from>
      <xdr:col>21</xdr:col>
      <xdr:colOff>1</xdr:colOff>
      <xdr:row>452</xdr:row>
      <xdr:rowOff>0</xdr:rowOff>
    </xdr:from>
    <xdr:ext cx="1729740" cy="389635"/>
    <xdr:pic>
      <xdr:nvPicPr>
        <xdr:cNvPr id="17" name="Picture 16">
          <a:extLst>
            <a:ext uri="{FF2B5EF4-FFF2-40B4-BE49-F238E27FC236}">
              <a16:creationId xmlns:a16="http://schemas.microsoft.com/office/drawing/2014/main" id="{ECE2FA79-D358-4327-B5C9-8CD9B24CF3A1}"/>
            </a:ext>
          </a:extLst>
        </xdr:cNvPr>
        <xdr:cNvPicPr>
          <a:picLocks noChangeAspect="1"/>
        </xdr:cNvPicPr>
      </xdr:nvPicPr>
      <xdr:blipFill>
        <a:blip xmlns:r="http://schemas.openxmlformats.org/officeDocument/2006/relationships" r:embed="rId6"/>
        <a:stretch>
          <a:fillRect/>
        </a:stretch>
      </xdr:blipFill>
      <xdr:spPr>
        <a:xfrm>
          <a:off x="6850381" y="59931300"/>
          <a:ext cx="1729740" cy="389635"/>
        </a:xfrm>
        <a:prstGeom prst="rect">
          <a:avLst/>
        </a:prstGeom>
      </xdr:spPr>
    </xdr:pic>
    <xdr:clientData/>
  </xdr:oneCellAnchor>
  <xdr:oneCellAnchor>
    <xdr:from>
      <xdr:col>21</xdr:col>
      <xdr:colOff>114300</xdr:colOff>
      <xdr:row>351</xdr:row>
      <xdr:rowOff>121920</xdr:rowOff>
    </xdr:from>
    <xdr:ext cx="1295400" cy="1067135"/>
    <xdr:pic>
      <xdr:nvPicPr>
        <xdr:cNvPr id="18" name="Picture 17">
          <a:extLst>
            <a:ext uri="{FF2B5EF4-FFF2-40B4-BE49-F238E27FC236}">
              <a16:creationId xmlns:a16="http://schemas.microsoft.com/office/drawing/2014/main" id="{6DEC975E-A954-4CF4-A413-092234A7CB12}"/>
            </a:ext>
          </a:extLst>
        </xdr:cNvPr>
        <xdr:cNvPicPr>
          <a:picLocks noChangeAspect="1"/>
        </xdr:cNvPicPr>
      </xdr:nvPicPr>
      <xdr:blipFill>
        <a:blip xmlns:r="http://schemas.openxmlformats.org/officeDocument/2006/relationships" r:embed="rId4"/>
        <a:stretch>
          <a:fillRect/>
        </a:stretch>
      </xdr:blipFill>
      <xdr:spPr>
        <a:xfrm>
          <a:off x="6964680" y="47792640"/>
          <a:ext cx="1295400" cy="1067135"/>
        </a:xfrm>
        <a:prstGeom prst="rect">
          <a:avLst/>
        </a:prstGeom>
      </xdr:spPr>
    </xdr:pic>
    <xdr:clientData/>
  </xdr:oneCellAnchor>
  <xdr:twoCellAnchor editAs="oneCell">
    <xdr:from>
      <xdr:col>22</xdr:col>
      <xdr:colOff>45720</xdr:colOff>
      <xdr:row>328</xdr:row>
      <xdr:rowOff>106680</xdr:rowOff>
    </xdr:from>
    <xdr:to>
      <xdr:col>25</xdr:col>
      <xdr:colOff>144780</xdr:colOff>
      <xdr:row>334</xdr:row>
      <xdr:rowOff>117324</xdr:rowOff>
    </xdr:to>
    <xdr:pic>
      <xdr:nvPicPr>
        <xdr:cNvPr id="19" name="Picture 18">
          <a:extLst>
            <a:ext uri="{FF2B5EF4-FFF2-40B4-BE49-F238E27FC236}">
              <a16:creationId xmlns:a16="http://schemas.microsoft.com/office/drawing/2014/main" id="{47BD6731-2221-7F71-CF38-10A11D04B43D}"/>
            </a:ext>
          </a:extLst>
        </xdr:cNvPr>
        <xdr:cNvPicPr>
          <a:picLocks noChangeAspect="1"/>
        </xdr:cNvPicPr>
      </xdr:nvPicPr>
      <xdr:blipFill>
        <a:blip xmlns:r="http://schemas.openxmlformats.org/officeDocument/2006/relationships" r:embed="rId11"/>
        <a:stretch>
          <a:fillRect/>
        </a:stretch>
      </xdr:blipFill>
      <xdr:spPr>
        <a:xfrm>
          <a:off x="7193280" y="47693580"/>
          <a:ext cx="1082040" cy="993624"/>
        </a:xfrm>
        <a:prstGeom prst="rect">
          <a:avLst/>
        </a:prstGeom>
      </xdr:spPr>
    </xdr:pic>
    <xdr:clientData/>
  </xdr:twoCellAnchor>
  <xdr:twoCellAnchor editAs="oneCell">
    <xdr:from>
      <xdr:col>22</xdr:col>
      <xdr:colOff>22861</xdr:colOff>
      <xdr:row>299</xdr:row>
      <xdr:rowOff>60960</xdr:rowOff>
    </xdr:from>
    <xdr:to>
      <xdr:col>24</xdr:col>
      <xdr:colOff>76200</xdr:colOff>
      <xdr:row>305</xdr:row>
      <xdr:rowOff>33933</xdr:rowOff>
    </xdr:to>
    <xdr:pic>
      <xdr:nvPicPr>
        <xdr:cNvPr id="21" name="Picture 20">
          <a:extLst>
            <a:ext uri="{FF2B5EF4-FFF2-40B4-BE49-F238E27FC236}">
              <a16:creationId xmlns:a16="http://schemas.microsoft.com/office/drawing/2014/main" id="{4EC0E853-FBA2-763C-6A45-2669CC654B29}"/>
            </a:ext>
          </a:extLst>
        </xdr:cNvPr>
        <xdr:cNvPicPr>
          <a:picLocks noChangeAspect="1"/>
        </xdr:cNvPicPr>
      </xdr:nvPicPr>
      <xdr:blipFill>
        <a:blip xmlns:r="http://schemas.openxmlformats.org/officeDocument/2006/relationships" r:embed="rId12"/>
        <a:stretch>
          <a:fillRect/>
        </a:stretch>
      </xdr:blipFill>
      <xdr:spPr>
        <a:xfrm>
          <a:off x="7170421" y="44218860"/>
          <a:ext cx="739139" cy="955953"/>
        </a:xfrm>
        <a:prstGeom prst="rect">
          <a:avLst/>
        </a:prstGeom>
      </xdr:spPr>
    </xdr:pic>
    <xdr:clientData/>
  </xdr:twoCellAnchor>
  <xdr:twoCellAnchor editAs="oneCell">
    <xdr:from>
      <xdr:col>21</xdr:col>
      <xdr:colOff>152401</xdr:colOff>
      <xdr:row>435</xdr:row>
      <xdr:rowOff>1</xdr:rowOff>
    </xdr:from>
    <xdr:to>
      <xdr:col>23</xdr:col>
      <xdr:colOff>304801</xdr:colOff>
      <xdr:row>440</xdr:row>
      <xdr:rowOff>95883</xdr:rowOff>
    </xdr:to>
    <xdr:pic>
      <xdr:nvPicPr>
        <xdr:cNvPr id="23" name="Picture 22">
          <a:extLst>
            <a:ext uri="{FF2B5EF4-FFF2-40B4-BE49-F238E27FC236}">
              <a16:creationId xmlns:a16="http://schemas.microsoft.com/office/drawing/2014/main" id="{6E07C679-8EC8-BE9A-07E8-C2214BB3352B}"/>
            </a:ext>
          </a:extLst>
        </xdr:cNvPr>
        <xdr:cNvPicPr>
          <a:picLocks noChangeAspect="1"/>
        </xdr:cNvPicPr>
      </xdr:nvPicPr>
      <xdr:blipFill>
        <a:blip xmlns:r="http://schemas.openxmlformats.org/officeDocument/2006/relationships" r:embed="rId13"/>
        <a:stretch>
          <a:fillRect/>
        </a:stretch>
      </xdr:blipFill>
      <xdr:spPr>
        <a:xfrm>
          <a:off x="7002781" y="62461141"/>
          <a:ext cx="746760" cy="926462"/>
        </a:xfrm>
        <a:prstGeom prst="rect">
          <a:avLst/>
        </a:prstGeom>
      </xdr:spPr>
    </xdr:pic>
    <xdr:clientData/>
  </xdr:twoCellAnchor>
  <xdr:twoCellAnchor editAs="oneCell">
    <xdr:from>
      <xdr:col>21</xdr:col>
      <xdr:colOff>15240</xdr:colOff>
      <xdr:row>321</xdr:row>
      <xdr:rowOff>106680</xdr:rowOff>
    </xdr:from>
    <xdr:to>
      <xdr:col>25</xdr:col>
      <xdr:colOff>217785</xdr:colOff>
      <xdr:row>325</xdr:row>
      <xdr:rowOff>38100</xdr:rowOff>
    </xdr:to>
    <xdr:pic>
      <xdr:nvPicPr>
        <xdr:cNvPr id="24" name="Picture 23">
          <a:extLst>
            <a:ext uri="{FF2B5EF4-FFF2-40B4-BE49-F238E27FC236}">
              <a16:creationId xmlns:a16="http://schemas.microsoft.com/office/drawing/2014/main" id="{B5E1BA6C-5262-4FB0-B08A-7F2D09133D53}"/>
            </a:ext>
          </a:extLst>
        </xdr:cNvPr>
        <xdr:cNvPicPr>
          <a:picLocks noChangeAspect="1"/>
        </xdr:cNvPicPr>
      </xdr:nvPicPr>
      <xdr:blipFill>
        <a:blip xmlns:r="http://schemas.openxmlformats.org/officeDocument/2006/relationships" r:embed="rId1"/>
        <a:stretch>
          <a:fillRect/>
        </a:stretch>
      </xdr:blipFill>
      <xdr:spPr>
        <a:xfrm>
          <a:off x="6865620" y="46535340"/>
          <a:ext cx="1482705" cy="594360"/>
        </a:xfrm>
        <a:prstGeom prst="rect">
          <a:avLst/>
        </a:prstGeom>
      </xdr:spPr>
    </xdr:pic>
    <xdr:clientData/>
  </xdr:twoCellAnchor>
  <xdr:oneCellAnchor>
    <xdr:from>
      <xdr:col>21</xdr:col>
      <xdr:colOff>38100</xdr:colOff>
      <xdr:row>276</xdr:row>
      <xdr:rowOff>144781</xdr:rowOff>
    </xdr:from>
    <xdr:ext cx="1482705" cy="594360"/>
    <xdr:pic>
      <xdr:nvPicPr>
        <xdr:cNvPr id="25" name="Picture 24">
          <a:extLst>
            <a:ext uri="{FF2B5EF4-FFF2-40B4-BE49-F238E27FC236}">
              <a16:creationId xmlns:a16="http://schemas.microsoft.com/office/drawing/2014/main" id="{ABED6A31-524A-4D04-9212-630F823891FA}"/>
            </a:ext>
          </a:extLst>
        </xdr:cNvPr>
        <xdr:cNvPicPr>
          <a:picLocks noChangeAspect="1"/>
        </xdr:cNvPicPr>
      </xdr:nvPicPr>
      <xdr:blipFill>
        <a:blip xmlns:r="http://schemas.openxmlformats.org/officeDocument/2006/relationships" r:embed="rId1"/>
        <a:stretch>
          <a:fillRect/>
        </a:stretch>
      </xdr:blipFill>
      <xdr:spPr>
        <a:xfrm>
          <a:off x="6888480" y="43053001"/>
          <a:ext cx="1482705" cy="594360"/>
        </a:xfrm>
        <a:prstGeom prst="rect">
          <a:avLst/>
        </a:prstGeom>
      </xdr:spPr>
    </xdr:pic>
    <xdr:clientData/>
  </xdr:oneCellAnchor>
  <xdr:twoCellAnchor editAs="oneCell">
    <xdr:from>
      <xdr:col>21</xdr:col>
      <xdr:colOff>228601</xdr:colOff>
      <xdr:row>343</xdr:row>
      <xdr:rowOff>83820</xdr:rowOff>
    </xdr:from>
    <xdr:to>
      <xdr:col>24</xdr:col>
      <xdr:colOff>7621</xdr:colOff>
      <xdr:row>349</xdr:row>
      <xdr:rowOff>143377</xdr:rowOff>
    </xdr:to>
    <xdr:pic>
      <xdr:nvPicPr>
        <xdr:cNvPr id="27" name="Picture 26">
          <a:extLst>
            <a:ext uri="{FF2B5EF4-FFF2-40B4-BE49-F238E27FC236}">
              <a16:creationId xmlns:a16="http://schemas.microsoft.com/office/drawing/2014/main" id="{1E5475AD-CA00-D97A-9CB6-839E2C9999A4}"/>
            </a:ext>
          </a:extLst>
        </xdr:cNvPr>
        <xdr:cNvPicPr>
          <a:picLocks noChangeAspect="1"/>
        </xdr:cNvPicPr>
      </xdr:nvPicPr>
      <xdr:blipFill>
        <a:blip xmlns:r="http://schemas.openxmlformats.org/officeDocument/2006/relationships" r:embed="rId14"/>
        <a:stretch>
          <a:fillRect/>
        </a:stretch>
      </xdr:blipFill>
      <xdr:spPr>
        <a:xfrm>
          <a:off x="7078981" y="51435000"/>
          <a:ext cx="762000" cy="1042537"/>
        </a:xfrm>
        <a:prstGeom prst="rect">
          <a:avLst/>
        </a:prstGeom>
      </xdr:spPr>
    </xdr:pic>
    <xdr:clientData/>
  </xdr:twoCellAnchor>
  <xdr:twoCellAnchor editAs="oneCell">
    <xdr:from>
      <xdr:col>21</xdr:col>
      <xdr:colOff>266700</xdr:colOff>
      <xdr:row>232</xdr:row>
      <xdr:rowOff>38100</xdr:rowOff>
    </xdr:from>
    <xdr:to>
      <xdr:col>24</xdr:col>
      <xdr:colOff>0</xdr:colOff>
      <xdr:row>237</xdr:row>
      <xdr:rowOff>148071</xdr:rowOff>
    </xdr:to>
    <xdr:pic>
      <xdr:nvPicPr>
        <xdr:cNvPr id="28" name="Picture 27">
          <a:extLst>
            <a:ext uri="{FF2B5EF4-FFF2-40B4-BE49-F238E27FC236}">
              <a16:creationId xmlns:a16="http://schemas.microsoft.com/office/drawing/2014/main" id="{B0170F28-F722-3295-9BA9-B2FE5FE70D4C}"/>
            </a:ext>
          </a:extLst>
        </xdr:cNvPr>
        <xdr:cNvPicPr>
          <a:picLocks noChangeAspect="1"/>
        </xdr:cNvPicPr>
      </xdr:nvPicPr>
      <xdr:blipFill>
        <a:blip xmlns:r="http://schemas.openxmlformats.org/officeDocument/2006/relationships" r:embed="rId15"/>
        <a:stretch>
          <a:fillRect/>
        </a:stretch>
      </xdr:blipFill>
      <xdr:spPr>
        <a:xfrm>
          <a:off x="7117080" y="36835080"/>
          <a:ext cx="716280" cy="925311"/>
        </a:xfrm>
        <a:prstGeom prst="rect">
          <a:avLst/>
        </a:prstGeom>
      </xdr:spPr>
    </xdr:pic>
    <xdr:clientData/>
  </xdr:twoCellAnchor>
  <xdr:twoCellAnchor editAs="oneCell">
    <xdr:from>
      <xdr:col>21</xdr:col>
      <xdr:colOff>167642</xdr:colOff>
      <xdr:row>413</xdr:row>
      <xdr:rowOff>99061</xdr:rowOff>
    </xdr:from>
    <xdr:to>
      <xdr:col>25</xdr:col>
      <xdr:colOff>154426</xdr:colOff>
      <xdr:row>419</xdr:row>
      <xdr:rowOff>83820</xdr:rowOff>
    </xdr:to>
    <xdr:pic>
      <xdr:nvPicPr>
        <xdr:cNvPr id="29" name="Picture 28">
          <a:extLst>
            <a:ext uri="{FF2B5EF4-FFF2-40B4-BE49-F238E27FC236}">
              <a16:creationId xmlns:a16="http://schemas.microsoft.com/office/drawing/2014/main" id="{E3670EE6-6665-C571-113A-D64A0E546ADB}"/>
            </a:ext>
          </a:extLst>
        </xdr:cNvPr>
        <xdr:cNvPicPr>
          <a:picLocks noChangeAspect="1"/>
        </xdr:cNvPicPr>
      </xdr:nvPicPr>
      <xdr:blipFill>
        <a:blip xmlns:r="http://schemas.openxmlformats.org/officeDocument/2006/relationships" r:embed="rId16"/>
        <a:stretch>
          <a:fillRect/>
        </a:stretch>
      </xdr:blipFill>
      <xdr:spPr>
        <a:xfrm>
          <a:off x="7018022" y="65196721"/>
          <a:ext cx="1266944" cy="967739"/>
        </a:xfrm>
        <a:prstGeom prst="rect">
          <a:avLst/>
        </a:prstGeom>
      </xdr:spPr>
    </xdr:pic>
    <xdr:clientData/>
  </xdr:twoCellAnchor>
  <xdr:twoCellAnchor editAs="oneCell">
    <xdr:from>
      <xdr:col>21</xdr:col>
      <xdr:colOff>182880</xdr:colOff>
      <xdr:row>306</xdr:row>
      <xdr:rowOff>137160</xdr:rowOff>
    </xdr:from>
    <xdr:to>
      <xdr:col>25</xdr:col>
      <xdr:colOff>205740</xdr:colOff>
      <xdr:row>312</xdr:row>
      <xdr:rowOff>87761</xdr:rowOff>
    </xdr:to>
    <xdr:pic>
      <xdr:nvPicPr>
        <xdr:cNvPr id="31" name="Picture 30">
          <a:extLst>
            <a:ext uri="{FF2B5EF4-FFF2-40B4-BE49-F238E27FC236}">
              <a16:creationId xmlns:a16="http://schemas.microsoft.com/office/drawing/2014/main" id="{8A83DC6B-D0BA-BB0F-9A04-1D04229A2D8E}"/>
            </a:ext>
          </a:extLst>
        </xdr:cNvPr>
        <xdr:cNvPicPr>
          <a:picLocks noChangeAspect="1"/>
        </xdr:cNvPicPr>
      </xdr:nvPicPr>
      <xdr:blipFill>
        <a:blip xmlns:r="http://schemas.openxmlformats.org/officeDocument/2006/relationships" r:embed="rId17"/>
        <a:stretch>
          <a:fillRect/>
        </a:stretch>
      </xdr:blipFill>
      <xdr:spPr>
        <a:xfrm>
          <a:off x="7033260" y="49034700"/>
          <a:ext cx="1303020" cy="9335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285750</xdr:colOff>
      <xdr:row>71</xdr:row>
      <xdr:rowOff>152400</xdr:rowOff>
    </xdr:from>
    <xdr:to>
      <xdr:col>19</xdr:col>
      <xdr:colOff>561975</xdr:colOff>
      <xdr:row>76</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6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6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6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6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6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6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6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6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6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6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6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20</xdr:col>
      <xdr:colOff>123825</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171950"/>
          <a:ext cx="6229350" cy="37147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- 100% on completion /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are proceeding. / Works await approval in order to proceed. / First and second fix works are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    proceeding but supply of equipment awaits approval.</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6) Delivery of Equipment - ?? weeks, most other materials are available ex-stock, subject to being unsold.</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7) The above selling price includes the contract discount and is additional to the contract value.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8) The original contract value for BOQ Items / that have remained unchanged / that are related to system / is to be claimed in full. </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MECH\ADRIAN\PROJECTS\2004\Prince%20of%20Wales\Prince_Est.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st/BOV/Bov_proc/Copy%20of%20BOV_BMS9_xp2.xls" TargetMode="External"/><Relationship Id="rId1" Type="http://schemas.openxmlformats.org/officeDocument/2006/relationships/externalLinkPath" Target="/est/BOV/Bov_proc/Copy%20of%20BOV_BMS9_xp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lnas\pet\est\CBOM\Annex%20II\Estimates\E14_XXXX_Estimate_LightningProtec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est/CBOM/Annex%20II/Estimates/E14_XXXX_Estimate_LightningProtection.xlsx" TargetMode="External"/><Relationship Id="rId1" Type="http://schemas.openxmlformats.org/officeDocument/2006/relationships/externalLinkPath" Target="/est/CBOM/Annex%20II/Estimates/E14_XXXX_Estimate_LightningProtection.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Y:\Shared%20drives\0837%20-%20LTM%20New%20Hangar_LTM\20-PM\35_Proc\0837-LTM-24000%20-%20Civil%20Works\05-Tender%20Compilation\04%20-%20Works\BoQ\BoQ-08%20-%20Priced.xlsm" TargetMode="External"/><Relationship Id="rId1" Type="http://schemas.openxmlformats.org/officeDocument/2006/relationships/externalLinkPath" Target="file:///Y:\Shared%20drives\0837%20-%20LTM%20New%20Hangar_LTM\20-PM\35_Proc\0837-LTM-24000%20-%20Civil%20Works\05-Tender%20Compilation\04%20-%20Works\BoQ\BoQ-08%20-%20Priced.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WINDOWS\Temporary%20Internet%20Files\Content.IE5\CLERY7QZ\Estimate%20and%20BOQ.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
      <sheetName val="Rates"/>
      <sheetName val="Summary Sheet."/>
      <sheetName val="Variations."/>
      <sheetName val="Input document"/>
      <sheetName val="EstimatedLabour"/>
      <sheetName val="Estimate_Sheet_"/>
      <sheetName val="Summary_Sheet_"/>
      <sheetName val="Variations_"/>
      <sheetName val="Input_document"/>
      <sheetName val="Estimate_Sheet_1"/>
      <sheetName val="Summary_Sheet_1"/>
      <sheetName val="Variations_1"/>
      <sheetName val="Input_document1"/>
      <sheetName val="Estimate_Sheet_2"/>
      <sheetName val="Summary_Sheet_2"/>
      <sheetName val="Variations_2"/>
      <sheetName val="Input_document2"/>
      <sheetName val="Estimate_Sheet_3"/>
      <sheetName val="Summary_Sheet_3"/>
      <sheetName val="Variations_3"/>
      <sheetName val="Input_document3"/>
      <sheetName val="Estimate_Sheet_4"/>
      <sheetName val="Summary_Sheet_4"/>
      <sheetName val="Variations_4"/>
      <sheetName val="Input_document4"/>
      <sheetName val="Estimate_Sheet_5"/>
      <sheetName val="Summary_Sheet_5"/>
      <sheetName val="Variations_5"/>
      <sheetName val="Input_document5"/>
      <sheetName val="Estimate_Sheet_6"/>
      <sheetName val="Summary_Sheet_6"/>
      <sheetName val="Variations_6"/>
      <sheetName val="Input_document6"/>
      <sheetName val="Summary of Tasks-M"/>
      <sheetName val="Summary of Tasks-E"/>
      <sheetName val="Summary of Tasks-A"/>
      <sheetName val="WK-Ending- xx.xx.xx"/>
      <sheetName val="Estimate_Sheet_7"/>
      <sheetName val="Summary_Sheet_7"/>
      <sheetName val="Variations_7"/>
      <sheetName val="Input_document7"/>
      <sheetName val="Summary_of_Tasks-M"/>
      <sheetName val="Summary_of_Tasks-E"/>
      <sheetName val="Summary_of_Tasks-A"/>
      <sheetName val="WK-Ending-_xx_xx_xx"/>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els (2)"/>
      <sheetName val="Labels"/>
      <sheetName val="Lapp"/>
      <sheetName val="BMS_cables"/>
      <sheetName val="Sheet1"/>
      <sheetName val="BMS_Material"/>
      <sheetName val="BMS_Schem"/>
      <sheetName val="MCPs_Power_Rates"/>
      <sheetName val="BMS_Rates"/>
      <sheetName val="MCPs_Power"/>
      <sheetName val="BMS_Estimate"/>
      <sheetName val="Lighting_Panels"/>
      <sheetName val="BMS9_BOQ"/>
      <sheetName val="ML_Sum"/>
      <sheetName val="Int_Qu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row>
      </sheetData>
      <sheetData sheetId="2" refreshError="1"/>
      <sheetData sheetId="3" refreshError="1"/>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 - 00 - Summary"/>
      <sheetName val="Bill - 01"/>
      <sheetName val="Bill - 03"/>
      <sheetName val="Bill - 05"/>
      <sheetName val="Bill - 07"/>
      <sheetName val="Bill - 11"/>
      <sheetName val="Bill - 13"/>
      <sheetName val="Bill - 14"/>
      <sheetName val="Bill - 19"/>
      <sheetName val="Bill - 28"/>
      <sheetName val="Bill - 33"/>
      <sheetName val="Bill - 34"/>
      <sheetName val="Bill - 35"/>
      <sheetName val="Library"/>
      <sheetName val="Preambles"/>
      <sheetName val="TakeOff-Copy"/>
      <sheetName val="ExtData"/>
      <sheetName val="Evaluation"/>
      <sheetName val="BoQ-08 - Pric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OQ"/>
      <sheetName val="Summary Page"/>
      <sheetName val="Rates"/>
      <sheetName val="Codes"/>
      <sheetName val="SummarySheet"/>
      <sheetName val="CostCoding"/>
      <sheetName val="Input document"/>
      <sheetName val="EstimatedLabour"/>
      <sheetName val="Cost Codes"/>
      <sheetName val="PriceLists"/>
      <sheetName val="Price Factors"/>
      <sheetName val="Adjustments"/>
      <sheetName val="MU Adjustments"/>
      <sheetName val="Stores"/>
      <sheetName val="Stocks"/>
      <sheetName val="Workings"/>
      <sheetName val="Est_For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26"/>
  <sheetViews>
    <sheetView topLeftCell="A14" workbookViewId="0">
      <selection activeCell="C29" sqref="C29"/>
    </sheetView>
  </sheetViews>
  <sheetFormatPr defaultRowHeight="13.2"/>
  <cols>
    <col min="1" max="1" width="7.109375" style="438" customWidth="1"/>
    <col min="2" max="2" width="16.6640625" customWidth="1"/>
    <col min="3" max="3" width="46.109375" customWidth="1"/>
    <col min="4" max="4" width="9.5546875" customWidth="1"/>
    <col min="6" max="6" width="10.109375" customWidth="1"/>
    <col min="9" max="9" width="7.6640625" customWidth="1"/>
  </cols>
  <sheetData>
    <row r="1" spans="1:3" ht="17.399999999999999">
      <c r="A1" s="439" t="s">
        <v>1536</v>
      </c>
      <c r="C1" s="272"/>
    </row>
    <row r="3" spans="1:3">
      <c r="A3" s="1310" t="s">
        <v>1535</v>
      </c>
    </row>
    <row r="5" spans="1:3" ht="39.6">
      <c r="A5" s="1311">
        <v>1</v>
      </c>
      <c r="B5" s="1200" t="s">
        <v>1529</v>
      </c>
      <c r="C5" s="1199" t="s">
        <v>1539</v>
      </c>
    </row>
    <row r="7" spans="1:3" ht="26.4">
      <c r="A7" s="1311">
        <v>2</v>
      </c>
      <c r="B7" s="1200" t="s">
        <v>1530</v>
      </c>
      <c r="C7" s="1199" t="s">
        <v>1540</v>
      </c>
    </row>
    <row r="8" spans="1:3">
      <c r="B8" s="1200"/>
    </row>
    <row r="9" spans="1:3" ht="26.4">
      <c r="A9" s="1311">
        <v>3</v>
      </c>
      <c r="B9" s="1200" t="s">
        <v>1531</v>
      </c>
      <c r="C9" s="1199" t="s">
        <v>1532</v>
      </c>
    </row>
    <row r="12" spans="1:3">
      <c r="A12" s="1310" t="s">
        <v>1534</v>
      </c>
    </row>
    <row r="14" spans="1:3" ht="52.8">
      <c r="A14" s="1312">
        <v>1</v>
      </c>
      <c r="B14" s="1200" t="s">
        <v>1197</v>
      </c>
      <c r="C14" s="1199" t="s">
        <v>1526</v>
      </c>
    </row>
    <row r="15" spans="1:3">
      <c r="A15" s="1312"/>
      <c r="B15" s="1200"/>
      <c r="C15" s="1199"/>
    </row>
    <row r="16" spans="1:3" ht="39.6">
      <c r="A16" s="1312">
        <v>2</v>
      </c>
      <c r="B16" s="1200" t="s">
        <v>1507</v>
      </c>
      <c r="C16" s="1199" t="s">
        <v>1508</v>
      </c>
    </row>
    <row r="17" spans="1:3">
      <c r="A17" s="1312"/>
      <c r="C17" s="1217"/>
    </row>
    <row r="18" spans="1:3" ht="66">
      <c r="A18" s="1312">
        <v>3</v>
      </c>
      <c r="B18" s="1200" t="s">
        <v>1421</v>
      </c>
      <c r="C18" s="1199" t="s">
        <v>1425</v>
      </c>
    </row>
    <row r="19" spans="1:3">
      <c r="A19" s="1312"/>
      <c r="B19" s="1200"/>
      <c r="C19" s="1199"/>
    </row>
    <row r="20" spans="1:3" ht="39.6">
      <c r="A20" s="1312">
        <v>4</v>
      </c>
      <c r="B20" s="1200" t="s">
        <v>1527</v>
      </c>
      <c r="C20" s="1199" t="s">
        <v>1528</v>
      </c>
    </row>
    <row r="21" spans="1:3">
      <c r="A21" s="1201"/>
      <c r="B21" s="1200"/>
      <c r="C21" s="1199"/>
    </row>
    <row r="22" spans="1:3">
      <c r="A22" s="1201"/>
      <c r="B22" s="1200"/>
      <c r="C22" s="1199"/>
    </row>
    <row r="23" spans="1:3">
      <c r="A23" s="1310" t="s">
        <v>1533</v>
      </c>
      <c r="B23" s="1200"/>
      <c r="C23" s="1199"/>
    </row>
    <row r="24" spans="1:3">
      <c r="A24" s="1201"/>
      <c r="C24" s="1217"/>
    </row>
    <row r="25" spans="1:3" ht="39.6">
      <c r="A25" s="1312">
        <v>1</v>
      </c>
      <c r="B25" s="1199" t="s">
        <v>1537</v>
      </c>
      <c r="C25" s="1200" t="s">
        <v>1541</v>
      </c>
    </row>
    <row r="26" spans="1:3" ht="26.4">
      <c r="C26" s="1199" t="s">
        <v>1542</v>
      </c>
    </row>
  </sheetData>
  <phoneticPr fontId="29"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B0AF-9F60-4489-B4E7-80E03ECE0842}">
  <sheetPr>
    <tabColor rgb="FF92D050"/>
  </sheetPr>
  <dimension ref="A1:H35"/>
  <sheetViews>
    <sheetView topLeftCell="A15" workbookViewId="0">
      <selection activeCell="E37" sqref="E37"/>
    </sheetView>
  </sheetViews>
  <sheetFormatPr defaultColWidth="8.88671875" defaultRowHeight="14.4"/>
  <cols>
    <col min="1" max="1" width="8.88671875" style="1165"/>
    <col min="2" max="2" width="52.6640625" style="1165" customWidth="1"/>
    <col min="3" max="3" width="8.88671875" style="1165"/>
    <col min="4" max="4" width="9.5546875" style="1165" bestFit="1" customWidth="1"/>
    <col min="5" max="5" width="8.88671875" style="1165"/>
    <col min="6" max="6" width="8.6640625" style="1165" customWidth="1"/>
    <col min="7" max="7" width="9.5546875" style="1165" bestFit="1" customWidth="1"/>
    <col min="8" max="16384" width="8.88671875" style="1165"/>
  </cols>
  <sheetData>
    <row r="1" spans="1:7" ht="21.6" thickBot="1">
      <c r="A1" s="1377" t="s">
        <v>1165</v>
      </c>
      <c r="B1" s="1378"/>
      <c r="C1" s="1378"/>
      <c r="D1" s="1378"/>
      <c r="E1" s="1378"/>
      <c r="F1" s="1378"/>
      <c r="G1" s="1379"/>
    </row>
    <row r="2" spans="1:7" ht="15" thickBot="1">
      <c r="A2" s="1166"/>
      <c r="B2" s="1167"/>
      <c r="C2" s="1167"/>
      <c r="D2" s="1168"/>
      <c r="E2" s="1380" t="s">
        <v>1134</v>
      </c>
      <c r="F2" s="1381"/>
      <c r="G2" s="1382"/>
    </row>
    <row r="3" spans="1:7">
      <c r="A3" s="1169"/>
      <c r="B3" s="1170"/>
      <c r="C3" s="1170"/>
      <c r="D3" s="1170"/>
      <c r="E3" s="1171" t="s">
        <v>1135</v>
      </c>
      <c r="F3" s="1172">
        <v>0.95</v>
      </c>
      <c r="G3" s="1173"/>
    </row>
    <row r="4" spans="1:7">
      <c r="A4" s="1174" t="s">
        <v>267</v>
      </c>
      <c r="B4" s="1175" t="s">
        <v>268</v>
      </c>
      <c r="C4" s="1175" t="s">
        <v>259</v>
      </c>
      <c r="D4" s="1175" t="s">
        <v>269</v>
      </c>
      <c r="E4" s="1175" t="s">
        <v>1136</v>
      </c>
      <c r="F4" s="1176"/>
      <c r="G4" s="1177" t="s">
        <v>1137</v>
      </c>
    </row>
    <row r="5" spans="1:7">
      <c r="A5" s="1178">
        <v>1</v>
      </c>
      <c r="B5" s="1170" t="s">
        <v>1138</v>
      </c>
      <c r="C5" s="1171" t="s">
        <v>1139</v>
      </c>
      <c r="D5" s="1179">
        <v>3600</v>
      </c>
      <c r="E5" s="1170">
        <f>0.595*2.9</f>
        <v>1.7254999999999998</v>
      </c>
      <c r="F5" s="1180">
        <f>E5*$F$3</f>
        <v>1.6392249999999997</v>
      </c>
      <c r="G5" s="1181">
        <f>D5*F5</f>
        <v>5901.2099999999991</v>
      </c>
    </row>
    <row r="6" spans="1:7">
      <c r="A6" s="1178">
        <v>2</v>
      </c>
      <c r="B6" s="1170" t="s">
        <v>1140</v>
      </c>
      <c r="C6" s="1171" t="s">
        <v>949</v>
      </c>
      <c r="D6" s="1170">
        <v>1000</v>
      </c>
      <c r="E6" s="1170">
        <v>8.4000000000000005E-2</v>
      </c>
      <c r="F6" s="1180">
        <f t="shared" ref="F6:F18" si="0">E6*$F$3</f>
        <v>7.9799999999999996E-2</v>
      </c>
      <c r="G6" s="1181">
        <f t="shared" ref="G6:G18" si="1">D6*F6</f>
        <v>79.8</v>
      </c>
    </row>
    <row r="7" spans="1:7">
      <c r="A7" s="1178">
        <v>3</v>
      </c>
      <c r="B7" s="1170" t="s">
        <v>1141</v>
      </c>
      <c r="C7" s="1171" t="s">
        <v>949</v>
      </c>
      <c r="D7" s="1170">
        <v>500</v>
      </c>
      <c r="E7" s="1170">
        <v>0.54500000000000004</v>
      </c>
      <c r="F7" s="1180">
        <f t="shared" si="0"/>
        <v>0.51775000000000004</v>
      </c>
      <c r="G7" s="1181">
        <f t="shared" si="1"/>
        <v>258.875</v>
      </c>
    </row>
    <row r="8" spans="1:7">
      <c r="A8" s="1178">
        <v>4</v>
      </c>
      <c r="B8" s="1170" t="s">
        <v>1142</v>
      </c>
      <c r="C8" s="1171" t="s">
        <v>949</v>
      </c>
      <c r="D8" s="1170">
        <v>300</v>
      </c>
      <c r="E8" s="1170">
        <v>1.1739999999999999</v>
      </c>
      <c r="F8" s="1180">
        <f t="shared" si="0"/>
        <v>1.1153</v>
      </c>
      <c r="G8" s="1181">
        <f t="shared" si="1"/>
        <v>334.59</v>
      </c>
    </row>
    <row r="9" spans="1:7">
      <c r="A9" s="1178">
        <v>5</v>
      </c>
      <c r="B9" s="1170" t="s">
        <v>1143</v>
      </c>
      <c r="C9" s="1171" t="s">
        <v>949</v>
      </c>
      <c r="D9" s="1170">
        <v>500</v>
      </c>
      <c r="E9" s="1170">
        <v>7.3999999999999996E-2</v>
      </c>
      <c r="F9" s="1180">
        <f t="shared" si="0"/>
        <v>7.0299999999999987E-2</v>
      </c>
      <c r="G9" s="1181">
        <f t="shared" si="1"/>
        <v>35.149999999999991</v>
      </c>
    </row>
    <row r="10" spans="1:7">
      <c r="A10" s="1178">
        <v>6</v>
      </c>
      <c r="B10" s="1170" t="s">
        <v>1144</v>
      </c>
      <c r="C10" s="1171" t="s">
        <v>949</v>
      </c>
      <c r="D10" s="1170">
        <v>700</v>
      </c>
      <c r="E10" s="1170">
        <v>9.6000000000000002E-2</v>
      </c>
      <c r="F10" s="1180">
        <f t="shared" si="0"/>
        <v>9.1200000000000003E-2</v>
      </c>
      <c r="G10" s="1181">
        <f t="shared" si="1"/>
        <v>63.84</v>
      </c>
    </row>
    <row r="11" spans="1:7">
      <c r="A11" s="1178">
        <v>7</v>
      </c>
      <c r="B11" s="1170" t="s">
        <v>1145</v>
      </c>
      <c r="C11" s="1171" t="s">
        <v>1139</v>
      </c>
      <c r="D11" s="1170">
        <v>120</v>
      </c>
      <c r="E11" s="1170">
        <f>0.889*2.9</f>
        <v>2.5781000000000001</v>
      </c>
      <c r="F11" s="1180">
        <f t="shared" si="0"/>
        <v>2.449195</v>
      </c>
      <c r="G11" s="1181">
        <f t="shared" si="1"/>
        <v>293.90339999999998</v>
      </c>
    </row>
    <row r="12" spans="1:7">
      <c r="A12" s="1178">
        <v>8</v>
      </c>
      <c r="B12" s="1170" t="s">
        <v>1146</v>
      </c>
      <c r="C12" s="1171" t="s">
        <v>949</v>
      </c>
      <c r="D12" s="1170">
        <v>50</v>
      </c>
      <c r="E12" s="1170">
        <v>0.11600000000000001</v>
      </c>
      <c r="F12" s="1180">
        <f t="shared" si="0"/>
        <v>0.11020000000000001</v>
      </c>
      <c r="G12" s="1181">
        <f t="shared" si="1"/>
        <v>5.5100000000000007</v>
      </c>
    </row>
    <row r="13" spans="1:7">
      <c r="A13" s="1178">
        <v>9</v>
      </c>
      <c r="B13" s="1170" t="s">
        <v>1147</v>
      </c>
      <c r="C13" s="1171" t="s">
        <v>949</v>
      </c>
      <c r="D13" s="1170">
        <v>50</v>
      </c>
      <c r="E13" s="1170">
        <v>0.98299999999999998</v>
      </c>
      <c r="F13" s="1180">
        <f t="shared" si="0"/>
        <v>0.93384999999999996</v>
      </c>
      <c r="G13" s="1181">
        <f t="shared" si="1"/>
        <v>46.692499999999995</v>
      </c>
    </row>
    <row r="14" spans="1:7">
      <c r="A14" s="1178">
        <v>10</v>
      </c>
      <c r="B14" s="1170" t="s">
        <v>1148</v>
      </c>
      <c r="C14" s="1171" t="s">
        <v>949</v>
      </c>
      <c r="D14" s="1170">
        <v>50</v>
      </c>
      <c r="E14" s="1170">
        <v>1.9159999999999999</v>
      </c>
      <c r="F14" s="1180">
        <f t="shared" si="0"/>
        <v>1.8201999999999998</v>
      </c>
      <c r="G14" s="1181">
        <f t="shared" si="1"/>
        <v>91.009999999999991</v>
      </c>
    </row>
    <row r="15" spans="1:7">
      <c r="A15" s="1178">
        <v>11</v>
      </c>
      <c r="B15" s="1170" t="s">
        <v>1149</v>
      </c>
      <c r="C15" s="1171" t="s">
        <v>949</v>
      </c>
      <c r="D15" s="1170">
        <v>150</v>
      </c>
      <c r="E15" s="1170">
        <v>0.16700000000000001</v>
      </c>
      <c r="F15" s="1180">
        <f t="shared" si="0"/>
        <v>0.15865000000000001</v>
      </c>
      <c r="G15" s="1181">
        <f t="shared" si="1"/>
        <v>23.797500000000003</v>
      </c>
    </row>
    <row r="16" spans="1:7">
      <c r="A16" s="1178">
        <v>12</v>
      </c>
      <c r="B16" s="1170" t="s">
        <v>1150</v>
      </c>
      <c r="C16" s="1171" t="s">
        <v>949</v>
      </c>
      <c r="D16" s="1170">
        <v>200</v>
      </c>
      <c r="E16" s="1170">
        <v>0.14799999999999999</v>
      </c>
      <c r="F16" s="1180">
        <f t="shared" si="0"/>
        <v>0.14059999999999997</v>
      </c>
      <c r="G16" s="1181">
        <f t="shared" si="1"/>
        <v>28.119999999999994</v>
      </c>
    </row>
    <row r="17" spans="1:8">
      <c r="A17" s="1178">
        <v>13</v>
      </c>
      <c r="B17" s="1170" t="s">
        <v>1151</v>
      </c>
      <c r="C17" s="1171" t="s">
        <v>326</v>
      </c>
      <c r="D17" s="1170">
        <v>300</v>
      </c>
      <c r="E17" s="1170">
        <v>0.41399999999999998</v>
      </c>
      <c r="F17" s="1180">
        <f t="shared" si="0"/>
        <v>0.39329999999999998</v>
      </c>
      <c r="G17" s="1181">
        <f t="shared" si="1"/>
        <v>117.99</v>
      </c>
    </row>
    <row r="18" spans="1:8">
      <c r="A18" s="1178">
        <v>14</v>
      </c>
      <c r="B18" s="1170" t="s">
        <v>1152</v>
      </c>
      <c r="C18" s="1171" t="s">
        <v>326</v>
      </c>
      <c r="D18" s="1170">
        <v>100</v>
      </c>
      <c r="E18" s="1170">
        <v>0.61599999999999999</v>
      </c>
      <c r="F18" s="1180">
        <f t="shared" si="0"/>
        <v>0.58519999999999994</v>
      </c>
      <c r="G18" s="1181">
        <f t="shared" si="1"/>
        <v>58.519999999999996</v>
      </c>
    </row>
    <row r="19" spans="1:8" ht="15" thickBot="1">
      <c r="A19" s="1182"/>
      <c r="B19" s="1183"/>
      <c r="C19" s="1183"/>
      <c r="D19" s="1183"/>
      <c r="E19" s="1183"/>
      <c r="F19" s="1183"/>
      <c r="G19" s="1184"/>
    </row>
    <row r="20" spans="1:8" ht="15" thickBot="1">
      <c r="G20" s="1185">
        <f>SUM(G5:G19)</f>
        <v>7339.0083999999997</v>
      </c>
    </row>
    <row r="22" spans="1:8">
      <c r="G22" s="1186"/>
    </row>
    <row r="24" spans="1:8">
      <c r="D24" s="1187" t="s">
        <v>1153</v>
      </c>
      <c r="E24" s="1187" t="s">
        <v>326</v>
      </c>
      <c r="F24" s="1187" t="s">
        <v>1154</v>
      </c>
    </row>
    <row r="25" spans="1:8">
      <c r="C25" s="1188" t="s">
        <v>1155</v>
      </c>
      <c r="D25" s="1186">
        <f>SUM(G5:G10)</f>
        <v>6673.4649999999992</v>
      </c>
      <c r="E25" s="1165">
        <f>3600*2.9</f>
        <v>10440</v>
      </c>
      <c r="F25" s="1165">
        <f>D25/E25</f>
        <v>0.639220785440613</v>
      </c>
      <c r="G25" s="1189">
        <f>F25*$G$35</f>
        <v>0.67216063920946023</v>
      </c>
      <c r="H25" s="1190" t="s">
        <v>1156</v>
      </c>
    </row>
    <row r="26" spans="1:8">
      <c r="C26" s="1188" t="s">
        <v>1157</v>
      </c>
      <c r="D26" s="1186">
        <f>SUM(G11:G16)</f>
        <v>489.03339999999997</v>
      </c>
      <c r="E26" s="1165">
        <f>120*2.9</f>
        <v>348</v>
      </c>
      <c r="F26" s="1165">
        <f>D26/E26</f>
        <v>1.4052683908045975</v>
      </c>
      <c r="G26" s="1189">
        <f>F26*$G$35</f>
        <v>1.4776836444280848</v>
      </c>
      <c r="H26" s="1190" t="s">
        <v>1156</v>
      </c>
    </row>
    <row r="27" spans="1:8">
      <c r="C27" s="1188" t="s">
        <v>1151</v>
      </c>
      <c r="D27" s="1186">
        <f>G17</f>
        <v>117.99</v>
      </c>
      <c r="E27" s="1165">
        <v>300</v>
      </c>
      <c r="F27" s="1165">
        <f>D27/E27</f>
        <v>0.39329999999999998</v>
      </c>
      <c r="G27" s="1189">
        <f>F27*$G$35</f>
        <v>0.41356724534365319</v>
      </c>
      <c r="H27" s="1190" t="s">
        <v>1156</v>
      </c>
    </row>
    <row r="28" spans="1:8">
      <c r="C28" s="1188" t="s">
        <v>1152</v>
      </c>
      <c r="D28" s="1186">
        <f>G18</f>
        <v>58.519999999999996</v>
      </c>
      <c r="E28" s="1165">
        <v>100</v>
      </c>
      <c r="F28" s="1165">
        <f>D28/E28</f>
        <v>0.58519999999999994</v>
      </c>
      <c r="G28" s="1189">
        <f>F28*$G$35</f>
        <v>0.61535609452099116</v>
      </c>
      <c r="H28" s="1190" t="s">
        <v>1156</v>
      </c>
    </row>
    <row r="30" spans="1:8">
      <c r="D30" s="1191" t="s">
        <v>1158</v>
      </c>
      <c r="G30" s="1191" t="s">
        <v>1159</v>
      </c>
    </row>
    <row r="31" spans="1:8">
      <c r="C31" s="1191" t="s">
        <v>1160</v>
      </c>
      <c r="D31" s="1192">
        <v>33183.74</v>
      </c>
      <c r="G31" s="1193">
        <v>7339.01</v>
      </c>
      <c r="H31" s="1165" t="s">
        <v>1161</v>
      </c>
    </row>
    <row r="32" spans="1:8">
      <c r="C32" s="1191" t="s">
        <v>1162</v>
      </c>
      <c r="D32" s="1194">
        <v>1710</v>
      </c>
      <c r="G32" s="1194">
        <f>G31/D31*D32</f>
        <v>378.18844711295355</v>
      </c>
      <c r="H32" s="1165" t="s">
        <v>1163</v>
      </c>
    </row>
    <row r="33" spans="3:8">
      <c r="C33" s="1191" t="s">
        <v>260</v>
      </c>
      <c r="D33" s="1192">
        <f>D31+D32</f>
        <v>34893.74</v>
      </c>
      <c r="G33" s="1193">
        <f>G31+G32</f>
        <v>7717.1984471129535</v>
      </c>
      <c r="H33" s="1165" t="s">
        <v>51</v>
      </c>
    </row>
    <row r="35" spans="3:8">
      <c r="F35" s="1195" t="s">
        <v>1164</v>
      </c>
      <c r="G35" s="1196">
        <f>G33/G31</f>
        <v>1.0515312619975927</v>
      </c>
    </row>
  </sheetData>
  <mergeCells count="2">
    <mergeCell ref="A1:G1"/>
    <mergeCell ref="E2:G2"/>
  </mergeCells>
  <printOptions gridLines="1"/>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8295-39F5-4B46-8CA7-67D241D7C046}">
  <dimension ref="A1:D3571"/>
  <sheetViews>
    <sheetView workbookViewId="0">
      <selection activeCell="C11" sqref="C11"/>
    </sheetView>
  </sheetViews>
  <sheetFormatPr defaultRowHeight="13.2" outlineLevelRow="2"/>
  <cols>
    <col min="1" max="1" width="9.5546875" style="112" bestFit="1" customWidth="1"/>
    <col min="3" max="3" width="68.88671875" style="1003" customWidth="1"/>
    <col min="4" max="4" width="8.88671875" style="292"/>
  </cols>
  <sheetData>
    <row r="1" spans="1:4" s="1000" customFormat="1" ht="21.6" customHeight="1" thickBot="1">
      <c r="A1" s="1371" t="s">
        <v>1563</v>
      </c>
      <c r="B1" s="1372" t="s">
        <v>1564</v>
      </c>
      <c r="C1" s="1372" t="s">
        <v>1565</v>
      </c>
      <c r="D1" s="1373" t="s">
        <v>1566</v>
      </c>
    </row>
    <row r="2" spans="1:4" hidden="1" outlineLevel="2">
      <c r="A2" s="1358">
        <v>163.07692307692309</v>
      </c>
      <c r="B2" s="1359" t="s">
        <v>949</v>
      </c>
      <c r="C2" s="1360" t="s">
        <v>1630</v>
      </c>
      <c r="D2" s="1368">
        <v>501</v>
      </c>
    </row>
    <row r="3" spans="1:4" outlineLevel="1" collapsed="1">
      <c r="A3" s="1358">
        <f>SUBTOTAL(9,A2:A2)</f>
        <v>163.07692307692309</v>
      </c>
      <c r="B3" s="1359" t="s">
        <v>949</v>
      </c>
      <c r="C3" s="1361" t="s">
        <v>1778</v>
      </c>
      <c r="D3" s="1368">
        <v>501</v>
      </c>
    </row>
    <row r="4" spans="1:4" hidden="1" outlineLevel="2">
      <c r="A4" s="1358">
        <v>209.67032967032969</v>
      </c>
      <c r="B4" s="1359" t="s">
        <v>949</v>
      </c>
      <c r="C4" s="1360" t="s">
        <v>1631</v>
      </c>
      <c r="D4" s="1368">
        <v>501</v>
      </c>
    </row>
    <row r="5" spans="1:4" outlineLevel="1" collapsed="1">
      <c r="A5" s="1358">
        <f>SUBTOTAL(9,A4:A4)</f>
        <v>209.67032967032969</v>
      </c>
      <c r="B5" s="1359" t="s">
        <v>949</v>
      </c>
      <c r="C5" s="1360" t="s">
        <v>1779</v>
      </c>
      <c r="D5" s="1368">
        <v>501</v>
      </c>
    </row>
    <row r="6" spans="1:4" hidden="1" outlineLevel="2">
      <c r="A6" s="1358">
        <v>93.186813186813197</v>
      </c>
      <c r="B6" s="1359" t="s">
        <v>949</v>
      </c>
      <c r="C6" s="1360" t="s">
        <v>1632</v>
      </c>
      <c r="D6" s="1368">
        <v>501</v>
      </c>
    </row>
    <row r="7" spans="1:4" outlineLevel="1" collapsed="1">
      <c r="A7" s="1358">
        <f>SUBTOTAL(9,A6:A6)</f>
        <v>93.186813186813197</v>
      </c>
      <c r="B7" s="1359" t="s">
        <v>949</v>
      </c>
      <c r="C7" s="1360" t="s">
        <v>1780</v>
      </c>
      <c r="D7" s="1368">
        <v>501</v>
      </c>
    </row>
    <row r="8" spans="1:4" hidden="1" outlineLevel="2">
      <c r="A8" s="1358">
        <v>25.626373626373628</v>
      </c>
      <c r="B8" s="1359" t="s">
        <v>326</v>
      </c>
      <c r="C8" s="1360" t="s">
        <v>1633</v>
      </c>
      <c r="D8" s="1368">
        <v>501</v>
      </c>
    </row>
    <row r="9" spans="1:4" outlineLevel="1" collapsed="1">
      <c r="A9" s="1358">
        <f>SUBTOTAL(9,A8:A8)</f>
        <v>25.626373626373628</v>
      </c>
      <c r="B9" s="1359" t="s">
        <v>326</v>
      </c>
      <c r="C9" s="1360" t="s">
        <v>1781</v>
      </c>
      <c r="D9" s="1368">
        <v>501</v>
      </c>
    </row>
    <row r="10" spans="1:4" hidden="1" outlineLevel="2">
      <c r="A10" s="1358">
        <v>43.098901098901102</v>
      </c>
      <c r="B10" s="1359" t="s">
        <v>326</v>
      </c>
      <c r="C10" s="1360" t="s">
        <v>1634</v>
      </c>
      <c r="D10" s="1368">
        <v>501</v>
      </c>
    </row>
    <row r="11" spans="1:4" outlineLevel="1" collapsed="1">
      <c r="A11" s="1358">
        <f>SUBTOTAL(9,A10:A10)</f>
        <v>43.098901098901102</v>
      </c>
      <c r="B11" s="1359" t="s">
        <v>326</v>
      </c>
      <c r="C11" s="1360" t="s">
        <v>1782</v>
      </c>
      <c r="D11" s="1368">
        <v>501</v>
      </c>
    </row>
    <row r="12" spans="1:4" hidden="1" outlineLevel="2">
      <c r="A12" s="1358">
        <v>244.61538461538464</v>
      </c>
      <c r="B12" s="1359" t="s">
        <v>949</v>
      </c>
      <c r="C12" s="1360" t="s">
        <v>1635</v>
      </c>
      <c r="D12" s="1368">
        <v>501</v>
      </c>
    </row>
    <row r="13" spans="1:4" outlineLevel="1" collapsed="1">
      <c r="A13" s="1358">
        <f>SUBTOTAL(9,A12:A12)</f>
        <v>244.61538461538464</v>
      </c>
      <c r="B13" s="1359" t="s">
        <v>949</v>
      </c>
      <c r="C13" s="1360" t="s">
        <v>1783</v>
      </c>
      <c r="D13" s="1368">
        <v>501</v>
      </c>
    </row>
    <row r="14" spans="1:4" hidden="1" outlineLevel="2">
      <c r="A14" s="1358">
        <v>244.61538461538464</v>
      </c>
      <c r="B14" s="1359" t="s">
        <v>949</v>
      </c>
      <c r="C14" s="1360" t="s">
        <v>1636</v>
      </c>
      <c r="D14" s="1368">
        <v>501</v>
      </c>
    </row>
    <row r="15" spans="1:4" outlineLevel="1" collapsed="1">
      <c r="A15" s="1358">
        <f>SUBTOTAL(9,A14:A14)</f>
        <v>244.61538461538464</v>
      </c>
      <c r="B15" s="1359" t="s">
        <v>949</v>
      </c>
      <c r="C15" s="1360" t="s">
        <v>1784</v>
      </c>
      <c r="D15" s="1368">
        <v>501</v>
      </c>
    </row>
    <row r="16" spans="1:4" hidden="1" outlineLevel="2">
      <c r="A16" s="1358">
        <v>93.186813186813197</v>
      </c>
      <c r="B16" s="1359" t="s">
        <v>949</v>
      </c>
      <c r="C16" s="1360" t="s">
        <v>1637</v>
      </c>
      <c r="D16" s="1368">
        <v>501</v>
      </c>
    </row>
    <row r="17" spans="1:4" outlineLevel="1" collapsed="1">
      <c r="A17" s="1358">
        <f>SUBTOTAL(9,A16:A16)</f>
        <v>93.186813186813197</v>
      </c>
      <c r="B17" s="1359" t="s">
        <v>949</v>
      </c>
      <c r="C17" s="1360" t="s">
        <v>1785</v>
      </c>
      <c r="D17" s="1368">
        <v>501</v>
      </c>
    </row>
    <row r="18" spans="1:4" hidden="1" outlineLevel="2">
      <c r="A18" s="1358">
        <v>163.07692307692309</v>
      </c>
      <c r="B18" s="1359" t="s">
        <v>949</v>
      </c>
      <c r="C18" s="1360" t="s">
        <v>1638</v>
      </c>
      <c r="D18" s="1368">
        <v>501</v>
      </c>
    </row>
    <row r="19" spans="1:4" outlineLevel="1" collapsed="1">
      <c r="A19" s="1358">
        <f>SUBTOTAL(9,A18:A18)</f>
        <v>163.07692307692309</v>
      </c>
      <c r="B19" s="1359" t="s">
        <v>949</v>
      </c>
      <c r="C19" s="1360" t="s">
        <v>1786</v>
      </c>
      <c r="D19" s="1368">
        <v>501</v>
      </c>
    </row>
    <row r="20" spans="1:4" hidden="1" outlineLevel="2">
      <c r="A20" s="1358">
        <v>69.890109890109898</v>
      </c>
      <c r="B20" s="1359" t="s">
        <v>949</v>
      </c>
      <c r="C20" s="1360" t="s">
        <v>1639</v>
      </c>
      <c r="D20" s="1368">
        <v>501</v>
      </c>
    </row>
    <row r="21" spans="1:4" outlineLevel="1" collapsed="1">
      <c r="A21" s="1358">
        <f>SUBTOTAL(9,A20:A20)</f>
        <v>69.890109890109898</v>
      </c>
      <c r="B21" s="1359" t="s">
        <v>949</v>
      </c>
      <c r="C21" s="1360" t="s">
        <v>1787</v>
      </c>
      <c r="D21" s="1368">
        <v>501</v>
      </c>
    </row>
    <row r="22" spans="1:4" hidden="1" outlineLevel="2">
      <c r="A22" s="1358">
        <v>81.538461538461547</v>
      </c>
      <c r="B22" s="1359" t="s">
        <v>326</v>
      </c>
      <c r="C22" s="1360" t="s">
        <v>1640</v>
      </c>
      <c r="D22" s="1368">
        <v>501</v>
      </c>
    </row>
    <row r="23" spans="1:4" outlineLevel="1" collapsed="1">
      <c r="A23" s="1358">
        <f>SUBTOTAL(9,A22:A22)</f>
        <v>81.538461538461547</v>
      </c>
      <c r="B23" s="1359" t="s">
        <v>326</v>
      </c>
      <c r="C23" s="1360" t="s">
        <v>1788</v>
      </c>
      <c r="D23" s="1368">
        <v>501</v>
      </c>
    </row>
    <row r="24" spans="1:4" hidden="1" outlineLevel="2">
      <c r="A24" s="1358">
        <v>23.296703296703299</v>
      </c>
      <c r="B24" s="1359" t="s">
        <v>949</v>
      </c>
      <c r="C24" s="1360" t="s">
        <v>1641</v>
      </c>
      <c r="D24" s="1368">
        <v>501</v>
      </c>
    </row>
    <row r="25" spans="1:4" outlineLevel="1" collapsed="1">
      <c r="A25" s="1358">
        <f>SUBTOTAL(9,A24:A24)</f>
        <v>23.296703296703299</v>
      </c>
      <c r="B25" s="1359" t="s">
        <v>949</v>
      </c>
      <c r="C25" s="1360" t="s">
        <v>1789</v>
      </c>
      <c r="D25" s="1368">
        <v>501</v>
      </c>
    </row>
    <row r="26" spans="1:4" hidden="1" outlineLevel="2">
      <c r="A26" s="1358">
        <v>244.61538461538464</v>
      </c>
      <c r="B26" s="1359" t="s">
        <v>949</v>
      </c>
      <c r="C26" s="1360" t="s">
        <v>1642</v>
      </c>
      <c r="D26" s="1368">
        <v>501</v>
      </c>
    </row>
    <row r="27" spans="1:4" outlineLevel="1" collapsed="1">
      <c r="A27" s="1358">
        <f>SUBTOTAL(9,A26:A26)</f>
        <v>244.61538461538464</v>
      </c>
      <c r="B27" s="1359" t="s">
        <v>949</v>
      </c>
      <c r="C27" s="1360" t="s">
        <v>1790</v>
      </c>
      <c r="D27" s="1368">
        <v>501</v>
      </c>
    </row>
    <row r="28" spans="1:4" hidden="1" outlineLevel="2">
      <c r="A28" s="1358">
        <v>244.61538461538464</v>
      </c>
      <c r="B28" s="1359" t="s">
        <v>949</v>
      </c>
      <c r="C28" s="1360" t="s">
        <v>1643</v>
      </c>
      <c r="D28" s="1368">
        <v>501</v>
      </c>
    </row>
    <row r="29" spans="1:4" outlineLevel="1" collapsed="1">
      <c r="A29" s="1358">
        <f>SUBTOTAL(9,A28:A28)</f>
        <v>244.61538461538464</v>
      </c>
      <c r="B29" s="1359" t="s">
        <v>949</v>
      </c>
      <c r="C29" s="1360" t="s">
        <v>1791</v>
      </c>
      <c r="D29" s="1368">
        <v>501</v>
      </c>
    </row>
    <row r="30" spans="1:4" hidden="1" outlineLevel="2">
      <c r="A30" s="1358">
        <v>1</v>
      </c>
      <c r="B30" s="1359" t="s">
        <v>949</v>
      </c>
      <c r="C30" s="1360" t="s">
        <v>1644</v>
      </c>
      <c r="D30" s="1368">
        <v>510</v>
      </c>
    </row>
    <row r="31" spans="1:4" hidden="1" outlineLevel="2">
      <c r="A31" s="1358">
        <v>1</v>
      </c>
      <c r="B31" s="1359" t="s">
        <v>949</v>
      </c>
      <c r="C31" s="1360" t="s">
        <v>1644</v>
      </c>
      <c r="D31" s="1368">
        <v>510</v>
      </c>
    </row>
    <row r="32" spans="1:4" outlineLevel="1" collapsed="1">
      <c r="A32" s="1358">
        <f>SUBTOTAL(9,A30:A31)</f>
        <v>2</v>
      </c>
      <c r="B32" s="1359" t="s">
        <v>949</v>
      </c>
      <c r="C32" s="1360" t="s">
        <v>1792</v>
      </c>
      <c r="D32" s="1368">
        <v>510</v>
      </c>
    </row>
    <row r="33" spans="1:4" hidden="1" outlineLevel="2">
      <c r="A33" s="1358">
        <v>1</v>
      </c>
      <c r="B33" s="1359" t="s">
        <v>949</v>
      </c>
      <c r="C33" s="1360" t="s">
        <v>1645</v>
      </c>
      <c r="D33" s="1368">
        <v>510</v>
      </c>
    </row>
    <row r="34" spans="1:4" outlineLevel="1" collapsed="1">
      <c r="A34" s="1358">
        <f>SUBTOTAL(9,A33:A33)</f>
        <v>1</v>
      </c>
      <c r="B34" s="1359" t="s">
        <v>949</v>
      </c>
      <c r="C34" s="1360" t="s">
        <v>1793</v>
      </c>
      <c r="D34" s="1368">
        <v>510</v>
      </c>
    </row>
    <row r="35" spans="1:4" hidden="1" outlineLevel="2">
      <c r="A35" s="1358">
        <v>1</v>
      </c>
      <c r="B35" s="1359" t="s">
        <v>949</v>
      </c>
      <c r="C35" s="1360" t="s">
        <v>1646</v>
      </c>
      <c r="D35" s="1368">
        <v>510</v>
      </c>
    </row>
    <row r="36" spans="1:4" hidden="1" outlineLevel="2">
      <c r="A36" s="1358">
        <v>1</v>
      </c>
      <c r="B36" s="1359" t="s">
        <v>949</v>
      </c>
      <c r="C36" s="1360" t="s">
        <v>1646</v>
      </c>
      <c r="D36" s="1368">
        <v>510</v>
      </c>
    </row>
    <row r="37" spans="1:4" outlineLevel="1" collapsed="1">
      <c r="A37" s="1358">
        <f>SUBTOTAL(9,A35:A36)</f>
        <v>2</v>
      </c>
      <c r="B37" s="1359" t="s">
        <v>949</v>
      </c>
      <c r="C37" s="1360" t="s">
        <v>1794</v>
      </c>
      <c r="D37" s="1368">
        <v>510</v>
      </c>
    </row>
    <row r="38" spans="1:4" hidden="1" outlineLevel="2">
      <c r="A38" s="1358">
        <v>1</v>
      </c>
      <c r="B38" s="1359" t="s">
        <v>949</v>
      </c>
      <c r="C38" s="1360" t="s">
        <v>1647</v>
      </c>
      <c r="D38" s="1368">
        <v>510</v>
      </c>
    </row>
    <row r="39" spans="1:4" hidden="1" outlineLevel="2">
      <c r="A39" s="1358">
        <v>1</v>
      </c>
      <c r="B39" s="1359" t="s">
        <v>949</v>
      </c>
      <c r="C39" s="1360" t="s">
        <v>1647</v>
      </c>
      <c r="D39" s="1368">
        <v>510</v>
      </c>
    </row>
    <row r="40" spans="1:4" outlineLevel="1" collapsed="1">
      <c r="A40" s="1358">
        <f>SUBTOTAL(9,A38:A39)</f>
        <v>2</v>
      </c>
      <c r="B40" s="1359" t="s">
        <v>949</v>
      </c>
      <c r="C40" s="1360" t="s">
        <v>1795</v>
      </c>
      <c r="D40" s="1368">
        <v>510</v>
      </c>
    </row>
    <row r="41" spans="1:4" hidden="1" outlineLevel="2">
      <c r="A41" s="1358">
        <v>1</v>
      </c>
      <c r="B41" s="1359" t="s">
        <v>949</v>
      </c>
      <c r="C41" s="1360" t="s">
        <v>1648</v>
      </c>
      <c r="D41" s="1368">
        <v>510</v>
      </c>
    </row>
    <row r="42" spans="1:4" outlineLevel="1" collapsed="1">
      <c r="A42" s="1358">
        <f>SUBTOTAL(9,A41:A41)</f>
        <v>1</v>
      </c>
      <c r="B42" s="1359" t="s">
        <v>949</v>
      </c>
      <c r="C42" s="1360" t="s">
        <v>1796</v>
      </c>
      <c r="D42" s="1368">
        <v>510</v>
      </c>
    </row>
    <row r="43" spans="1:4" hidden="1" outlineLevel="2">
      <c r="A43" s="1358">
        <v>1</v>
      </c>
      <c r="B43" s="1359" t="s">
        <v>949</v>
      </c>
      <c r="C43" s="1360" t="s">
        <v>1649</v>
      </c>
      <c r="D43" s="1368">
        <v>510</v>
      </c>
    </row>
    <row r="44" spans="1:4" outlineLevel="1" collapsed="1">
      <c r="A44" s="1358">
        <f>SUBTOTAL(9,A43:A43)</f>
        <v>1</v>
      </c>
      <c r="B44" s="1359" t="s">
        <v>949</v>
      </c>
      <c r="C44" s="1360" t="s">
        <v>1797</v>
      </c>
      <c r="D44" s="1368">
        <v>510</v>
      </c>
    </row>
    <row r="45" spans="1:4" hidden="1" outlineLevel="2">
      <c r="A45" s="1358">
        <v>1</v>
      </c>
      <c r="B45" s="1359" t="s">
        <v>949</v>
      </c>
      <c r="C45" s="1360" t="s">
        <v>1650</v>
      </c>
      <c r="D45" s="1368">
        <v>510</v>
      </c>
    </row>
    <row r="46" spans="1:4" outlineLevel="1" collapsed="1">
      <c r="A46" s="1358">
        <f>SUBTOTAL(9,A45:A45)</f>
        <v>1</v>
      </c>
      <c r="B46" s="1359" t="s">
        <v>949</v>
      </c>
      <c r="C46" s="1360" t="s">
        <v>1798</v>
      </c>
      <c r="D46" s="1368">
        <v>510</v>
      </c>
    </row>
    <row r="47" spans="1:4" hidden="1" outlineLevel="2">
      <c r="A47" s="1358">
        <v>1</v>
      </c>
      <c r="B47" s="1359" t="s">
        <v>949</v>
      </c>
      <c r="C47" s="1360" t="s">
        <v>1651</v>
      </c>
      <c r="D47" s="1368">
        <v>510</v>
      </c>
    </row>
    <row r="48" spans="1:4" outlineLevel="1" collapsed="1">
      <c r="A48" s="1358">
        <f>SUBTOTAL(9,A47:A47)</f>
        <v>1</v>
      </c>
      <c r="B48" s="1359" t="s">
        <v>949</v>
      </c>
      <c r="C48" s="1360" t="s">
        <v>1799</v>
      </c>
      <c r="D48" s="1368">
        <v>510</v>
      </c>
    </row>
    <row r="49" spans="1:4" hidden="1" outlineLevel="2">
      <c r="A49" s="1358">
        <v>1</v>
      </c>
      <c r="B49" s="1359" t="s">
        <v>949</v>
      </c>
      <c r="C49" s="1360" t="s">
        <v>1652</v>
      </c>
      <c r="D49" s="1368">
        <v>510</v>
      </c>
    </row>
    <row r="50" spans="1:4" ht="26.4" outlineLevel="1" collapsed="1">
      <c r="A50" s="1362">
        <f>SUBTOTAL(9,A49:A49)</f>
        <v>1</v>
      </c>
      <c r="B50" s="1363" t="s">
        <v>949</v>
      </c>
      <c r="C50" s="1364" t="s">
        <v>1800</v>
      </c>
      <c r="D50" s="1369">
        <v>510</v>
      </c>
    </row>
    <row r="51" spans="1:4" hidden="1" outlineLevel="2">
      <c r="A51" s="1358">
        <v>1</v>
      </c>
      <c r="B51" s="1359" t="s">
        <v>949</v>
      </c>
      <c r="C51" s="1360" t="s">
        <v>1653</v>
      </c>
      <c r="D51" s="1368">
        <v>510</v>
      </c>
    </row>
    <row r="52" spans="1:4" outlineLevel="1" collapsed="1">
      <c r="A52" s="1358">
        <f>SUBTOTAL(9,A51:A51)</f>
        <v>1</v>
      </c>
      <c r="B52" s="1359" t="s">
        <v>949</v>
      </c>
      <c r="C52" s="1360" t="s">
        <v>1801</v>
      </c>
      <c r="D52" s="1368">
        <v>510</v>
      </c>
    </row>
    <row r="53" spans="1:4" hidden="1" outlineLevel="2">
      <c r="A53" s="1358">
        <v>1</v>
      </c>
      <c r="B53" s="1359" t="s">
        <v>949</v>
      </c>
      <c r="C53" s="1360" t="s">
        <v>1654</v>
      </c>
      <c r="D53" s="1368">
        <v>510</v>
      </c>
    </row>
    <row r="54" spans="1:4" outlineLevel="1" collapsed="1">
      <c r="A54" s="1358">
        <f>SUBTOTAL(9,A53:A53)</f>
        <v>1</v>
      </c>
      <c r="B54" s="1359" t="s">
        <v>949</v>
      </c>
      <c r="C54" s="1360" t="s">
        <v>1802</v>
      </c>
      <c r="D54" s="1368">
        <v>510</v>
      </c>
    </row>
    <row r="55" spans="1:4" hidden="1" outlineLevel="2">
      <c r="A55" s="1358">
        <v>1</v>
      </c>
      <c r="B55" s="1359" t="s">
        <v>949</v>
      </c>
      <c r="C55" s="1360" t="s">
        <v>1655</v>
      </c>
      <c r="D55" s="1368">
        <v>510</v>
      </c>
    </row>
    <row r="56" spans="1:4" outlineLevel="1" collapsed="1">
      <c r="A56" s="1358">
        <f>SUBTOTAL(9,A55:A55)</f>
        <v>1</v>
      </c>
      <c r="B56" s="1359" t="s">
        <v>949</v>
      </c>
      <c r="C56" s="1360" t="s">
        <v>1803</v>
      </c>
      <c r="D56" s="1368">
        <v>510</v>
      </c>
    </row>
    <row r="57" spans="1:4" hidden="1" outlineLevel="2">
      <c r="A57" s="1358">
        <v>1</v>
      </c>
      <c r="B57" s="1359" t="s">
        <v>949</v>
      </c>
      <c r="C57" s="1360" t="s">
        <v>1656</v>
      </c>
      <c r="D57" s="1368">
        <v>510</v>
      </c>
    </row>
    <row r="58" spans="1:4" outlineLevel="1" collapsed="1">
      <c r="A58" s="1358">
        <f>SUBTOTAL(9,A57:A57)</f>
        <v>1</v>
      </c>
      <c r="B58" s="1359" t="s">
        <v>949</v>
      </c>
      <c r="C58" s="1360" t="s">
        <v>1804</v>
      </c>
      <c r="D58" s="1368">
        <v>510</v>
      </c>
    </row>
    <row r="59" spans="1:4" hidden="1" outlineLevel="2">
      <c r="A59" s="1358">
        <v>1</v>
      </c>
      <c r="B59" s="1359" t="s">
        <v>949</v>
      </c>
      <c r="C59" s="1360" t="s">
        <v>1657</v>
      </c>
      <c r="D59" s="1368">
        <v>510</v>
      </c>
    </row>
    <row r="60" spans="1:4" outlineLevel="1" collapsed="1">
      <c r="A60" s="1358">
        <f>SUBTOTAL(9,A59:A59)</f>
        <v>1</v>
      </c>
      <c r="B60" s="1359" t="s">
        <v>949</v>
      </c>
      <c r="C60" s="1360" t="s">
        <v>1805</v>
      </c>
      <c r="D60" s="1368">
        <v>510</v>
      </c>
    </row>
    <row r="61" spans="1:4" hidden="1" outlineLevel="2">
      <c r="A61" s="1358">
        <v>1</v>
      </c>
      <c r="B61" s="1359" t="s">
        <v>949</v>
      </c>
      <c r="C61" s="1360" t="s">
        <v>1658</v>
      </c>
      <c r="D61" s="1368">
        <v>510</v>
      </c>
    </row>
    <row r="62" spans="1:4" outlineLevel="1" collapsed="1">
      <c r="A62" s="1358">
        <f>SUBTOTAL(9,A61:A61)</f>
        <v>1</v>
      </c>
      <c r="B62" s="1359" t="s">
        <v>949</v>
      </c>
      <c r="C62" s="1360" t="s">
        <v>1806</v>
      </c>
      <c r="D62" s="1368">
        <v>510</v>
      </c>
    </row>
    <row r="63" spans="1:4" hidden="1" outlineLevel="2">
      <c r="A63" s="1358">
        <v>1</v>
      </c>
      <c r="B63" s="1359" t="s">
        <v>949</v>
      </c>
      <c r="C63" s="1360" t="s">
        <v>1659</v>
      </c>
      <c r="D63" s="1368">
        <v>510</v>
      </c>
    </row>
    <row r="64" spans="1:4" outlineLevel="1" collapsed="1">
      <c r="A64" s="1358">
        <f>SUBTOTAL(9,A63:A63)</f>
        <v>1</v>
      </c>
      <c r="B64" s="1359" t="s">
        <v>949</v>
      </c>
      <c r="C64" s="1360" t="s">
        <v>1807</v>
      </c>
      <c r="D64" s="1368">
        <v>510</v>
      </c>
    </row>
    <row r="65" spans="1:4" hidden="1" outlineLevel="2">
      <c r="A65" s="1358">
        <v>1</v>
      </c>
      <c r="B65" s="1359" t="s">
        <v>949</v>
      </c>
      <c r="C65" s="1360" t="s">
        <v>1660</v>
      </c>
      <c r="D65" s="1368">
        <v>510</v>
      </c>
    </row>
    <row r="66" spans="1:4" outlineLevel="1" collapsed="1">
      <c r="A66" s="1358">
        <f>SUBTOTAL(9,A65:A65)</f>
        <v>1</v>
      </c>
      <c r="B66" s="1359" t="s">
        <v>949</v>
      </c>
      <c r="C66" s="1360" t="s">
        <v>1808</v>
      </c>
      <c r="D66" s="1368">
        <v>510</v>
      </c>
    </row>
    <row r="67" spans="1:4" hidden="1" outlineLevel="2">
      <c r="A67" s="1358">
        <v>1</v>
      </c>
      <c r="B67" s="1359" t="s">
        <v>949</v>
      </c>
      <c r="C67" s="1360" t="s">
        <v>1661</v>
      </c>
      <c r="D67" s="1368">
        <v>510</v>
      </c>
    </row>
    <row r="68" spans="1:4" outlineLevel="1" collapsed="1">
      <c r="A68" s="1358">
        <f>SUBTOTAL(9,A67:A67)</f>
        <v>1</v>
      </c>
      <c r="B68" s="1359" t="s">
        <v>949</v>
      </c>
      <c r="C68" s="1360" t="s">
        <v>1809</v>
      </c>
      <c r="D68" s="1368">
        <v>510</v>
      </c>
    </row>
    <row r="69" spans="1:4" hidden="1" outlineLevel="2">
      <c r="A69" s="1358">
        <v>1</v>
      </c>
      <c r="B69" s="1359" t="s">
        <v>949</v>
      </c>
      <c r="C69" s="1360" t="s">
        <v>1662</v>
      </c>
      <c r="D69" s="1368">
        <v>510</v>
      </c>
    </row>
    <row r="70" spans="1:4" outlineLevel="1" collapsed="1">
      <c r="A70" s="1358">
        <f>SUBTOTAL(9,A69:A69)</f>
        <v>1</v>
      </c>
      <c r="B70" s="1359" t="s">
        <v>949</v>
      </c>
      <c r="C70" s="1360" t="s">
        <v>1810</v>
      </c>
      <c r="D70" s="1368">
        <v>510</v>
      </c>
    </row>
    <row r="71" spans="1:4" hidden="1" outlineLevel="2">
      <c r="A71" s="1358">
        <v>1</v>
      </c>
      <c r="B71" s="1359" t="s">
        <v>949</v>
      </c>
      <c r="C71" s="1360" t="s">
        <v>1663</v>
      </c>
      <c r="D71" s="1368">
        <v>510</v>
      </c>
    </row>
    <row r="72" spans="1:4" outlineLevel="1" collapsed="1">
      <c r="A72" s="1358">
        <f>SUBTOTAL(9,A71:A71)</f>
        <v>1</v>
      </c>
      <c r="B72" s="1359" t="s">
        <v>949</v>
      </c>
      <c r="C72" s="1360" t="s">
        <v>1811</v>
      </c>
      <c r="D72" s="1368">
        <v>510</v>
      </c>
    </row>
    <row r="73" spans="1:4" hidden="1" outlineLevel="2">
      <c r="A73" s="1358">
        <v>1</v>
      </c>
      <c r="B73" s="1359" t="s">
        <v>949</v>
      </c>
      <c r="C73" s="1360" t="s">
        <v>1664</v>
      </c>
      <c r="D73" s="1368">
        <v>510</v>
      </c>
    </row>
    <row r="74" spans="1:4" outlineLevel="1" collapsed="1">
      <c r="A74" s="1358">
        <f>SUBTOTAL(9,A73:A73)</f>
        <v>1</v>
      </c>
      <c r="B74" s="1359" t="s">
        <v>949</v>
      </c>
      <c r="C74" s="1360" t="s">
        <v>1812</v>
      </c>
      <c r="D74" s="1368">
        <v>510</v>
      </c>
    </row>
    <row r="75" spans="1:4" hidden="1" outlineLevel="2">
      <c r="A75" s="1358">
        <v>1</v>
      </c>
      <c r="B75" s="1359" t="s">
        <v>949</v>
      </c>
      <c r="C75" s="1360" t="s">
        <v>1665</v>
      </c>
      <c r="D75" s="1368">
        <v>510</v>
      </c>
    </row>
    <row r="76" spans="1:4" outlineLevel="1" collapsed="1">
      <c r="A76" s="1358">
        <f>SUBTOTAL(9,A75:A75)</f>
        <v>1</v>
      </c>
      <c r="B76" s="1359" t="s">
        <v>949</v>
      </c>
      <c r="C76" s="1360" t="s">
        <v>1813</v>
      </c>
      <c r="D76" s="1368">
        <v>510</v>
      </c>
    </row>
    <row r="77" spans="1:4" hidden="1" outlineLevel="2">
      <c r="A77" s="1358">
        <v>1</v>
      </c>
      <c r="B77" s="1359" t="s">
        <v>949</v>
      </c>
      <c r="C77" s="1360" t="s">
        <v>1666</v>
      </c>
      <c r="D77" s="1368">
        <v>510</v>
      </c>
    </row>
    <row r="78" spans="1:4" outlineLevel="1" collapsed="1">
      <c r="A78" s="1358">
        <f>SUBTOTAL(9,A77:A77)</f>
        <v>1</v>
      </c>
      <c r="B78" s="1359" t="s">
        <v>949</v>
      </c>
      <c r="C78" s="1360" t="s">
        <v>1814</v>
      </c>
      <c r="D78" s="1368">
        <v>510</v>
      </c>
    </row>
    <row r="79" spans="1:4" hidden="1" outlineLevel="2">
      <c r="A79" s="1358">
        <v>1</v>
      </c>
      <c r="B79" s="1359" t="s">
        <v>949</v>
      </c>
      <c r="C79" s="1360" t="s">
        <v>1667</v>
      </c>
      <c r="D79" s="1368">
        <v>510</v>
      </c>
    </row>
    <row r="80" spans="1:4" outlineLevel="1" collapsed="1">
      <c r="A80" s="1358">
        <f>SUBTOTAL(9,A79:A79)</f>
        <v>1</v>
      </c>
      <c r="B80" s="1359" t="s">
        <v>949</v>
      </c>
      <c r="C80" s="1360" t="s">
        <v>1815</v>
      </c>
      <c r="D80" s="1368">
        <v>510</v>
      </c>
    </row>
    <row r="81" spans="1:4" hidden="1" outlineLevel="2">
      <c r="A81" s="1358">
        <v>1</v>
      </c>
      <c r="B81" s="1359" t="s">
        <v>949</v>
      </c>
      <c r="C81" s="1360" t="s">
        <v>1668</v>
      </c>
      <c r="D81" s="1368">
        <v>510</v>
      </c>
    </row>
    <row r="82" spans="1:4" outlineLevel="1" collapsed="1">
      <c r="A82" s="1358">
        <f>SUBTOTAL(9,A81:A81)</f>
        <v>1</v>
      </c>
      <c r="B82" s="1359" t="s">
        <v>949</v>
      </c>
      <c r="C82" s="1360" t="s">
        <v>1816</v>
      </c>
      <c r="D82" s="1368">
        <v>510</v>
      </c>
    </row>
    <row r="83" spans="1:4" hidden="1" outlineLevel="2">
      <c r="A83" s="1358">
        <v>1</v>
      </c>
      <c r="B83" s="1359" t="s">
        <v>949</v>
      </c>
      <c r="C83" s="1360" t="s">
        <v>1669</v>
      </c>
      <c r="D83" s="1368">
        <v>510</v>
      </c>
    </row>
    <row r="84" spans="1:4" outlineLevel="1" collapsed="1">
      <c r="A84" s="1358">
        <f>SUBTOTAL(9,A83:A83)</f>
        <v>1</v>
      </c>
      <c r="B84" s="1359" t="s">
        <v>949</v>
      </c>
      <c r="C84" s="1360" t="s">
        <v>1817</v>
      </c>
      <c r="D84" s="1368">
        <v>510</v>
      </c>
    </row>
    <row r="85" spans="1:4" hidden="1" outlineLevel="2">
      <c r="A85" s="1358">
        <v>1</v>
      </c>
      <c r="B85" s="1359" t="s">
        <v>949</v>
      </c>
      <c r="C85" s="1360" t="s">
        <v>1670</v>
      </c>
      <c r="D85" s="1368">
        <v>510</v>
      </c>
    </row>
    <row r="86" spans="1:4" outlineLevel="1" collapsed="1">
      <c r="A86" s="1358">
        <f>SUBTOTAL(9,A85:A85)</f>
        <v>1</v>
      </c>
      <c r="B86" s="1359" t="s">
        <v>949</v>
      </c>
      <c r="C86" s="1360" t="s">
        <v>1818</v>
      </c>
      <c r="D86" s="1368">
        <v>510</v>
      </c>
    </row>
    <row r="87" spans="1:4" hidden="1" outlineLevel="2">
      <c r="A87" s="1358">
        <v>1</v>
      </c>
      <c r="B87" s="1359" t="s">
        <v>949</v>
      </c>
      <c r="C87" s="1360" t="s">
        <v>1671</v>
      </c>
      <c r="D87" s="1368">
        <v>510</v>
      </c>
    </row>
    <row r="88" spans="1:4" outlineLevel="1" collapsed="1">
      <c r="A88" s="1358">
        <f>SUBTOTAL(9,A87:A87)</f>
        <v>1</v>
      </c>
      <c r="B88" s="1359" t="s">
        <v>949</v>
      </c>
      <c r="C88" s="1360" t="s">
        <v>1819</v>
      </c>
      <c r="D88" s="1368">
        <v>510</v>
      </c>
    </row>
    <row r="89" spans="1:4" hidden="1" outlineLevel="2">
      <c r="A89" s="1358">
        <v>1</v>
      </c>
      <c r="B89" s="1359" t="s">
        <v>949</v>
      </c>
      <c r="C89" s="1360" t="s">
        <v>1672</v>
      </c>
      <c r="D89" s="1368">
        <v>510</v>
      </c>
    </row>
    <row r="90" spans="1:4" outlineLevel="1" collapsed="1">
      <c r="A90" s="1358">
        <f>SUBTOTAL(9,A89:A89)</f>
        <v>1</v>
      </c>
      <c r="B90" s="1359" t="s">
        <v>949</v>
      </c>
      <c r="C90" s="1360" t="s">
        <v>1820</v>
      </c>
      <c r="D90" s="1368">
        <v>510</v>
      </c>
    </row>
    <row r="91" spans="1:4" hidden="1" outlineLevel="2">
      <c r="A91" s="1358">
        <v>1</v>
      </c>
      <c r="B91" s="1359" t="s">
        <v>949</v>
      </c>
      <c r="C91" s="1360" t="s">
        <v>1673</v>
      </c>
      <c r="D91" s="1368">
        <v>510</v>
      </c>
    </row>
    <row r="92" spans="1:4" outlineLevel="1" collapsed="1">
      <c r="A92" s="1358">
        <f>SUBTOTAL(9,A91:A91)</f>
        <v>1</v>
      </c>
      <c r="B92" s="1359" t="s">
        <v>949</v>
      </c>
      <c r="C92" s="1360" t="s">
        <v>1821</v>
      </c>
      <c r="D92" s="1368">
        <v>510</v>
      </c>
    </row>
    <row r="93" spans="1:4" hidden="1" outlineLevel="2">
      <c r="A93" s="1358">
        <v>1</v>
      </c>
      <c r="B93" s="1359" t="s">
        <v>949</v>
      </c>
      <c r="C93" s="1360" t="s">
        <v>1674</v>
      </c>
      <c r="D93" s="1368">
        <v>510</v>
      </c>
    </row>
    <row r="94" spans="1:4" outlineLevel="1" collapsed="1">
      <c r="A94" s="1358">
        <f>SUBTOTAL(9,A93:A93)</f>
        <v>1</v>
      </c>
      <c r="B94" s="1359" t="s">
        <v>949</v>
      </c>
      <c r="C94" s="1360" t="s">
        <v>1822</v>
      </c>
      <c r="D94" s="1368">
        <v>510</v>
      </c>
    </row>
    <row r="95" spans="1:4" hidden="1" outlineLevel="2">
      <c r="A95" s="1358">
        <v>1</v>
      </c>
      <c r="B95" s="1359" t="s">
        <v>949</v>
      </c>
      <c r="C95" s="1360" t="s">
        <v>1675</v>
      </c>
      <c r="D95" s="1368">
        <v>510</v>
      </c>
    </row>
    <row r="96" spans="1:4" outlineLevel="1" collapsed="1">
      <c r="A96" s="1358">
        <f>SUBTOTAL(9,A95:A95)</f>
        <v>1</v>
      </c>
      <c r="B96" s="1359" t="s">
        <v>949</v>
      </c>
      <c r="C96" s="1360" t="s">
        <v>1823</v>
      </c>
      <c r="D96" s="1368">
        <v>510</v>
      </c>
    </row>
    <row r="97" spans="1:4" hidden="1" outlineLevel="2">
      <c r="A97" s="1358">
        <v>4</v>
      </c>
      <c r="B97" s="1359" t="s">
        <v>949</v>
      </c>
      <c r="C97" s="1360" t="s">
        <v>1676</v>
      </c>
      <c r="D97" s="1368">
        <v>510</v>
      </c>
    </row>
    <row r="98" spans="1:4" outlineLevel="1" collapsed="1">
      <c r="A98" s="1358">
        <f>SUBTOTAL(9,A97:A97)</f>
        <v>4</v>
      </c>
      <c r="B98" s="1359" t="s">
        <v>949</v>
      </c>
      <c r="C98" s="1360" t="s">
        <v>1824</v>
      </c>
      <c r="D98" s="1368">
        <v>510</v>
      </c>
    </row>
    <row r="99" spans="1:4" hidden="1" outlineLevel="2">
      <c r="A99" s="1358">
        <v>1</v>
      </c>
      <c r="B99" s="1359" t="s">
        <v>949</v>
      </c>
      <c r="C99" s="1360" t="s">
        <v>1677</v>
      </c>
      <c r="D99" s="1368">
        <v>510</v>
      </c>
    </row>
    <row r="100" spans="1:4" outlineLevel="1" collapsed="1">
      <c r="A100" s="1358">
        <f>SUBTOTAL(9,A99:A99)</f>
        <v>1</v>
      </c>
      <c r="B100" s="1359" t="s">
        <v>949</v>
      </c>
      <c r="C100" s="1360" t="s">
        <v>1825</v>
      </c>
      <c r="D100" s="1368">
        <v>510</v>
      </c>
    </row>
    <row r="101" spans="1:4" hidden="1" outlineLevel="2">
      <c r="A101" s="1358">
        <v>6</v>
      </c>
      <c r="B101" s="1359" t="s">
        <v>949</v>
      </c>
      <c r="C101" s="1360" t="s">
        <v>1678</v>
      </c>
      <c r="D101" s="1368">
        <v>510</v>
      </c>
    </row>
    <row r="102" spans="1:4" hidden="1" outlineLevel="2">
      <c r="A102" s="1358">
        <v>2</v>
      </c>
      <c r="B102" s="1359" t="s">
        <v>949</v>
      </c>
      <c r="C102" s="1360" t="s">
        <v>1678</v>
      </c>
      <c r="D102" s="1368">
        <v>510</v>
      </c>
    </row>
    <row r="103" spans="1:4" hidden="1" outlineLevel="2">
      <c r="A103" s="1358">
        <v>2</v>
      </c>
      <c r="B103" s="1359" t="s">
        <v>949</v>
      </c>
      <c r="C103" s="1360" t="s">
        <v>1678</v>
      </c>
      <c r="D103" s="1368">
        <v>510</v>
      </c>
    </row>
    <row r="104" spans="1:4" hidden="1" outlineLevel="2">
      <c r="A104" s="1358">
        <v>1</v>
      </c>
      <c r="B104" s="1359" t="s">
        <v>949</v>
      </c>
      <c r="C104" s="1360" t="s">
        <v>1678</v>
      </c>
      <c r="D104" s="1368">
        <v>510</v>
      </c>
    </row>
    <row r="105" spans="1:4" outlineLevel="1" collapsed="1">
      <c r="A105" s="1358">
        <f>SUBTOTAL(9,A101:A104)</f>
        <v>11</v>
      </c>
      <c r="B105" s="1359" t="s">
        <v>949</v>
      </c>
      <c r="C105" s="1360" t="s">
        <v>1826</v>
      </c>
      <c r="D105" s="1368">
        <v>510</v>
      </c>
    </row>
    <row r="106" spans="1:4" hidden="1" outlineLevel="2">
      <c r="A106" s="1358">
        <v>1</v>
      </c>
      <c r="B106" s="1359" t="s">
        <v>949</v>
      </c>
      <c r="C106" s="1360" t="s">
        <v>1679</v>
      </c>
      <c r="D106" s="1368">
        <v>510</v>
      </c>
    </row>
    <row r="107" spans="1:4" outlineLevel="1" collapsed="1">
      <c r="A107" s="1358">
        <f>SUBTOTAL(9,A106:A106)</f>
        <v>1</v>
      </c>
      <c r="B107" s="1359" t="s">
        <v>949</v>
      </c>
      <c r="C107" s="1360" t="s">
        <v>1827</v>
      </c>
      <c r="D107" s="1368">
        <v>510</v>
      </c>
    </row>
    <row r="108" spans="1:4" hidden="1" outlineLevel="2">
      <c r="A108" s="1358">
        <v>2</v>
      </c>
      <c r="B108" s="1359" t="s">
        <v>949</v>
      </c>
      <c r="C108" s="1360" t="s">
        <v>1680</v>
      </c>
      <c r="D108" s="1368">
        <v>510</v>
      </c>
    </row>
    <row r="109" spans="1:4" outlineLevel="1" collapsed="1">
      <c r="A109" s="1358">
        <f>SUBTOTAL(9,A108:A108)</f>
        <v>2</v>
      </c>
      <c r="B109" s="1359" t="s">
        <v>949</v>
      </c>
      <c r="C109" s="1360" t="s">
        <v>1828</v>
      </c>
      <c r="D109" s="1368">
        <v>510</v>
      </c>
    </row>
    <row r="110" spans="1:4" hidden="1" outlineLevel="2">
      <c r="A110" s="1358">
        <v>3</v>
      </c>
      <c r="B110" s="1359" t="s">
        <v>949</v>
      </c>
      <c r="C110" s="1360" t="s">
        <v>1681</v>
      </c>
      <c r="D110" s="1368">
        <v>510</v>
      </c>
    </row>
    <row r="111" spans="1:4" hidden="1" outlineLevel="2">
      <c r="A111" s="1358">
        <v>3</v>
      </c>
      <c r="B111" s="1359" t="s">
        <v>949</v>
      </c>
      <c r="C111" s="1360" t="s">
        <v>1681</v>
      </c>
      <c r="D111" s="1368">
        <v>510</v>
      </c>
    </row>
    <row r="112" spans="1:4" outlineLevel="1" collapsed="1">
      <c r="A112" s="1358">
        <f>SUBTOTAL(9,A110:A111)</f>
        <v>6</v>
      </c>
      <c r="B112" s="1359" t="s">
        <v>949</v>
      </c>
      <c r="C112" s="1360" t="s">
        <v>1829</v>
      </c>
      <c r="D112" s="1368">
        <v>510</v>
      </c>
    </row>
    <row r="113" spans="1:4" hidden="1" outlineLevel="2">
      <c r="A113" s="1358">
        <v>1</v>
      </c>
      <c r="B113" s="1359" t="s">
        <v>949</v>
      </c>
      <c r="C113" s="1360" t="s">
        <v>1682</v>
      </c>
      <c r="D113" s="1368">
        <v>510</v>
      </c>
    </row>
    <row r="114" spans="1:4" outlineLevel="1" collapsed="1">
      <c r="A114" s="1358">
        <f>SUBTOTAL(9,A113:A113)</f>
        <v>1</v>
      </c>
      <c r="B114" s="1359" t="s">
        <v>949</v>
      </c>
      <c r="C114" s="1360" t="s">
        <v>1830</v>
      </c>
      <c r="D114" s="1368">
        <v>510</v>
      </c>
    </row>
    <row r="115" spans="1:4" hidden="1" outlineLevel="2">
      <c r="A115" s="1358">
        <v>1</v>
      </c>
      <c r="B115" s="1359" t="s">
        <v>949</v>
      </c>
      <c r="C115" s="1360" t="s">
        <v>1683</v>
      </c>
      <c r="D115" s="1368">
        <v>510</v>
      </c>
    </row>
    <row r="116" spans="1:4" outlineLevel="1" collapsed="1">
      <c r="A116" s="1358">
        <f>SUBTOTAL(9,A115:A115)</f>
        <v>1</v>
      </c>
      <c r="B116" s="1359" t="s">
        <v>949</v>
      </c>
      <c r="C116" s="1360" t="s">
        <v>1831</v>
      </c>
      <c r="D116" s="1368">
        <v>510</v>
      </c>
    </row>
    <row r="117" spans="1:4" hidden="1" outlineLevel="2">
      <c r="A117" s="1358">
        <v>13</v>
      </c>
      <c r="B117" s="1359" t="s">
        <v>949</v>
      </c>
      <c r="C117" s="1360" t="s">
        <v>1567</v>
      </c>
      <c r="D117" s="1368">
        <v>570</v>
      </c>
    </row>
    <row r="118" spans="1:4" outlineLevel="1" collapsed="1">
      <c r="A118" s="1358">
        <f>SUBTOTAL(9,A117:A117)</f>
        <v>13</v>
      </c>
      <c r="B118" s="1359" t="s">
        <v>949</v>
      </c>
      <c r="C118" s="1360" t="s">
        <v>1832</v>
      </c>
      <c r="D118" s="1368">
        <v>570</v>
      </c>
    </row>
    <row r="119" spans="1:4" hidden="1" outlineLevel="2">
      <c r="A119" s="1358">
        <v>3</v>
      </c>
      <c r="B119" s="1359" t="s">
        <v>949</v>
      </c>
      <c r="C119" s="1360" t="s">
        <v>1568</v>
      </c>
      <c r="D119" s="1368">
        <v>570</v>
      </c>
    </row>
    <row r="120" spans="1:4" hidden="1" outlineLevel="2">
      <c r="A120" s="1358">
        <v>48</v>
      </c>
      <c r="B120" s="1359" t="s">
        <v>949</v>
      </c>
      <c r="C120" s="1360" t="s">
        <v>1568</v>
      </c>
      <c r="D120" s="1368">
        <v>570</v>
      </c>
    </row>
    <row r="121" spans="1:4" outlineLevel="1" collapsed="1">
      <c r="A121" s="1358">
        <f>SUBTOTAL(9,A119:A120)</f>
        <v>51</v>
      </c>
      <c r="B121" s="1359" t="s">
        <v>949</v>
      </c>
      <c r="C121" s="1360" t="s">
        <v>1833</v>
      </c>
      <c r="D121" s="1368">
        <v>570</v>
      </c>
    </row>
    <row r="122" spans="1:4" hidden="1" outlineLevel="2">
      <c r="A122" s="1358">
        <v>40</v>
      </c>
      <c r="B122" s="1359" t="s">
        <v>326</v>
      </c>
      <c r="C122" s="1360" t="s">
        <v>1684</v>
      </c>
      <c r="D122" s="1368">
        <v>615</v>
      </c>
    </row>
    <row r="123" spans="1:4" outlineLevel="1" collapsed="1">
      <c r="A123" s="1358">
        <f>SUBTOTAL(9,A122:A122)</f>
        <v>40</v>
      </c>
      <c r="B123" s="1359" t="s">
        <v>326</v>
      </c>
      <c r="C123" s="1360" t="s">
        <v>1834</v>
      </c>
      <c r="D123" s="1368">
        <v>615</v>
      </c>
    </row>
    <row r="124" spans="1:4" hidden="1" outlineLevel="2">
      <c r="A124" s="1358">
        <v>19995</v>
      </c>
      <c r="B124" s="1359" t="s">
        <v>326</v>
      </c>
      <c r="C124" s="1360" t="s">
        <v>1569</v>
      </c>
      <c r="D124" s="1368">
        <v>615</v>
      </c>
    </row>
    <row r="125" spans="1:4" outlineLevel="1" collapsed="1">
      <c r="A125" s="1358">
        <f>SUBTOTAL(9,A124:A124)</f>
        <v>19995</v>
      </c>
      <c r="B125" s="1359" t="s">
        <v>326</v>
      </c>
      <c r="C125" s="1360" t="s">
        <v>1835</v>
      </c>
      <c r="D125" s="1368">
        <v>615</v>
      </c>
    </row>
    <row r="126" spans="1:4" hidden="1" outlineLevel="2">
      <c r="A126" s="1358">
        <v>1110</v>
      </c>
      <c r="B126" s="1359" t="s">
        <v>326</v>
      </c>
      <c r="C126" s="1360" t="s">
        <v>1685</v>
      </c>
      <c r="D126" s="1368">
        <v>615</v>
      </c>
    </row>
    <row r="127" spans="1:4" outlineLevel="1" collapsed="1">
      <c r="A127" s="1358">
        <f>SUBTOTAL(9,A126:A126)</f>
        <v>1110</v>
      </c>
      <c r="B127" s="1359" t="s">
        <v>326</v>
      </c>
      <c r="C127" s="1360" t="s">
        <v>1836</v>
      </c>
      <c r="D127" s="1368">
        <v>615</v>
      </c>
    </row>
    <row r="128" spans="1:4" hidden="1" outlineLevel="2">
      <c r="A128" s="1358">
        <v>1110</v>
      </c>
      <c r="B128" s="1359" t="s">
        <v>326</v>
      </c>
      <c r="C128" s="1360" t="s">
        <v>1686</v>
      </c>
      <c r="D128" s="1368">
        <v>615</v>
      </c>
    </row>
    <row r="129" spans="1:4" outlineLevel="1" collapsed="1">
      <c r="A129" s="1358">
        <f>SUBTOTAL(9,A128:A128)</f>
        <v>1110</v>
      </c>
      <c r="B129" s="1359" t="s">
        <v>326</v>
      </c>
      <c r="C129" s="1360" t="s">
        <v>1837</v>
      </c>
      <c r="D129" s="1368">
        <v>615</v>
      </c>
    </row>
    <row r="130" spans="1:4" hidden="1" outlineLevel="2">
      <c r="A130" s="1358">
        <v>200</v>
      </c>
      <c r="B130" s="1359" t="s">
        <v>326</v>
      </c>
      <c r="C130" s="1360" t="s">
        <v>1569</v>
      </c>
      <c r="D130" s="1368">
        <v>615</v>
      </c>
    </row>
    <row r="131" spans="1:4" outlineLevel="1" collapsed="1">
      <c r="A131" s="1358">
        <f>SUBTOTAL(9,A130:A130)</f>
        <v>200</v>
      </c>
      <c r="B131" s="1359" t="s">
        <v>326</v>
      </c>
      <c r="C131" s="1360" t="s">
        <v>1835</v>
      </c>
      <c r="D131" s="1368">
        <v>615</v>
      </c>
    </row>
    <row r="132" spans="1:4" hidden="1" outlineLevel="2">
      <c r="A132" s="1358">
        <v>4506.25</v>
      </c>
      <c r="B132" s="1359" t="s">
        <v>326</v>
      </c>
      <c r="C132" s="1360" t="s">
        <v>1570</v>
      </c>
      <c r="D132" s="1368">
        <v>615</v>
      </c>
    </row>
    <row r="133" spans="1:4" outlineLevel="1" collapsed="1">
      <c r="A133" s="1358">
        <f>SUBTOTAL(9,A132:A132)</f>
        <v>4506.25</v>
      </c>
      <c r="B133" s="1359" t="s">
        <v>326</v>
      </c>
      <c r="C133" s="1360" t="s">
        <v>1838</v>
      </c>
      <c r="D133" s="1368">
        <v>615</v>
      </c>
    </row>
    <row r="134" spans="1:4" hidden="1" outlineLevel="2">
      <c r="A134" s="1358">
        <v>3012.75</v>
      </c>
      <c r="B134" s="1359" t="s">
        <v>326</v>
      </c>
      <c r="C134" s="1360" t="s">
        <v>1571</v>
      </c>
      <c r="D134" s="1368">
        <v>615</v>
      </c>
    </row>
    <row r="135" spans="1:4" outlineLevel="1" collapsed="1">
      <c r="A135" s="1358">
        <f>SUBTOTAL(9,A134:A134)</f>
        <v>3012.75</v>
      </c>
      <c r="B135" s="1359" t="s">
        <v>326</v>
      </c>
      <c r="C135" s="1360" t="s">
        <v>1839</v>
      </c>
      <c r="D135" s="1368">
        <v>615</v>
      </c>
    </row>
    <row r="136" spans="1:4" hidden="1" outlineLevel="2">
      <c r="A136" s="1358">
        <v>35</v>
      </c>
      <c r="B136" s="1359" t="s">
        <v>326</v>
      </c>
      <c r="C136" s="1360" t="s">
        <v>1687</v>
      </c>
      <c r="D136" s="1368">
        <v>615</v>
      </c>
    </row>
    <row r="137" spans="1:4" outlineLevel="1" collapsed="1">
      <c r="A137" s="1358">
        <f>SUBTOTAL(9,A136:A136)</f>
        <v>35</v>
      </c>
      <c r="B137" s="1359" t="s">
        <v>326</v>
      </c>
      <c r="C137" s="1360" t="s">
        <v>1840</v>
      </c>
      <c r="D137" s="1368">
        <v>615</v>
      </c>
    </row>
    <row r="138" spans="1:4" hidden="1" outlineLevel="2">
      <c r="A138" s="1358">
        <v>8</v>
      </c>
      <c r="B138" s="1359" t="s">
        <v>326</v>
      </c>
      <c r="C138" s="1360" t="s">
        <v>1572</v>
      </c>
      <c r="D138" s="1368">
        <v>615</v>
      </c>
    </row>
    <row r="139" spans="1:4" hidden="1" outlineLevel="2">
      <c r="A139" s="1358">
        <v>6</v>
      </c>
      <c r="B139" s="1359" t="s">
        <v>326</v>
      </c>
      <c r="C139" s="1360" t="s">
        <v>1572</v>
      </c>
      <c r="D139" s="1368">
        <v>615</v>
      </c>
    </row>
    <row r="140" spans="1:4" hidden="1" outlineLevel="2">
      <c r="A140" s="1358">
        <v>40</v>
      </c>
      <c r="B140" s="1359" t="s">
        <v>326</v>
      </c>
      <c r="C140" s="1360" t="s">
        <v>1572</v>
      </c>
      <c r="D140" s="1368">
        <v>615</v>
      </c>
    </row>
    <row r="141" spans="1:4" hidden="1" outlineLevel="2">
      <c r="A141" s="1358">
        <v>112</v>
      </c>
      <c r="B141" s="1359" t="s">
        <v>326</v>
      </c>
      <c r="C141" s="1360" t="s">
        <v>1572</v>
      </c>
      <c r="D141" s="1368">
        <v>615</v>
      </c>
    </row>
    <row r="142" spans="1:4" hidden="1" outlineLevel="2">
      <c r="A142" s="1358">
        <v>44</v>
      </c>
      <c r="B142" s="1359" t="s">
        <v>326</v>
      </c>
      <c r="C142" s="1360" t="s">
        <v>1572</v>
      </c>
      <c r="D142" s="1368">
        <v>615</v>
      </c>
    </row>
    <row r="143" spans="1:4" hidden="1" outlineLevel="2">
      <c r="A143" s="1358">
        <v>6</v>
      </c>
      <c r="B143" s="1359" t="s">
        <v>326</v>
      </c>
      <c r="C143" s="1360" t="s">
        <v>1572</v>
      </c>
      <c r="D143" s="1368">
        <v>615</v>
      </c>
    </row>
    <row r="144" spans="1:4" hidden="1" outlineLevel="2">
      <c r="A144" s="1358">
        <v>15</v>
      </c>
      <c r="B144" s="1359" t="s">
        <v>326</v>
      </c>
      <c r="C144" s="1360" t="s">
        <v>1572</v>
      </c>
      <c r="D144" s="1368">
        <v>615</v>
      </c>
    </row>
    <row r="145" spans="1:4" hidden="1" outlineLevel="2">
      <c r="A145" s="1358">
        <v>1</v>
      </c>
      <c r="B145" s="1359" t="s">
        <v>326</v>
      </c>
      <c r="C145" s="1360" t="s">
        <v>1572</v>
      </c>
      <c r="D145" s="1368">
        <v>615</v>
      </c>
    </row>
    <row r="146" spans="1:4" outlineLevel="1" collapsed="1">
      <c r="A146" s="1358">
        <f>SUBTOTAL(9,A138:A145)</f>
        <v>232</v>
      </c>
      <c r="B146" s="1359" t="s">
        <v>326</v>
      </c>
      <c r="C146" s="1360" t="s">
        <v>1841</v>
      </c>
      <c r="D146" s="1368">
        <v>615</v>
      </c>
    </row>
    <row r="147" spans="1:4" hidden="1" outlineLevel="2">
      <c r="A147" s="1358">
        <v>44</v>
      </c>
      <c r="B147" s="1359" t="s">
        <v>326</v>
      </c>
      <c r="C147" s="1360" t="s">
        <v>1573</v>
      </c>
      <c r="D147" s="1368">
        <v>616</v>
      </c>
    </row>
    <row r="148" spans="1:4" outlineLevel="1" collapsed="1">
      <c r="A148" s="1358">
        <f>SUBTOTAL(9,A147:A147)</f>
        <v>44</v>
      </c>
      <c r="B148" s="1359" t="s">
        <v>326</v>
      </c>
      <c r="C148" s="1360" t="s">
        <v>1842</v>
      </c>
      <c r="D148" s="1368">
        <v>616</v>
      </c>
    </row>
    <row r="149" spans="1:4" hidden="1" outlineLevel="2">
      <c r="A149" s="1358">
        <v>170</v>
      </c>
      <c r="B149" s="1359" t="s">
        <v>326</v>
      </c>
      <c r="C149" s="1360" t="s">
        <v>1574</v>
      </c>
      <c r="D149" s="1368">
        <v>616</v>
      </c>
    </row>
    <row r="150" spans="1:4" outlineLevel="1" collapsed="1">
      <c r="A150" s="1358">
        <f>SUBTOTAL(9,A149:A149)</f>
        <v>170</v>
      </c>
      <c r="B150" s="1359" t="s">
        <v>326</v>
      </c>
      <c r="C150" s="1360" t="s">
        <v>1843</v>
      </c>
      <c r="D150" s="1368">
        <v>616</v>
      </c>
    </row>
    <row r="151" spans="1:4" hidden="1" outlineLevel="2">
      <c r="A151" s="1358">
        <v>5</v>
      </c>
      <c r="B151" s="1359" t="s">
        <v>326</v>
      </c>
      <c r="C151" s="1360" t="s">
        <v>1575</v>
      </c>
      <c r="D151" s="1368">
        <v>616</v>
      </c>
    </row>
    <row r="152" spans="1:4" outlineLevel="1" collapsed="1">
      <c r="A152" s="1358">
        <f>SUBTOTAL(9,A151:A151)</f>
        <v>5</v>
      </c>
      <c r="B152" s="1359" t="s">
        <v>326</v>
      </c>
      <c r="C152" s="1360" t="s">
        <v>1844</v>
      </c>
      <c r="D152" s="1368">
        <v>616</v>
      </c>
    </row>
    <row r="153" spans="1:4" hidden="1" outlineLevel="2">
      <c r="A153" s="1358">
        <v>102</v>
      </c>
      <c r="B153" s="1359" t="s">
        <v>326</v>
      </c>
      <c r="C153" s="1360" t="s">
        <v>1576</v>
      </c>
      <c r="D153" s="1368">
        <v>616</v>
      </c>
    </row>
    <row r="154" spans="1:4" outlineLevel="1" collapsed="1">
      <c r="A154" s="1358">
        <f>SUBTOTAL(9,A153:A153)</f>
        <v>102</v>
      </c>
      <c r="B154" s="1359" t="s">
        <v>326</v>
      </c>
      <c r="C154" s="1360" t="s">
        <v>1845</v>
      </c>
      <c r="D154" s="1368">
        <v>616</v>
      </c>
    </row>
    <row r="155" spans="1:4" hidden="1" outlineLevel="2">
      <c r="A155" s="1358">
        <v>267</v>
      </c>
      <c r="B155" s="1359" t="s">
        <v>326</v>
      </c>
      <c r="C155" s="1360" t="s">
        <v>1577</v>
      </c>
      <c r="D155" s="1368">
        <v>616</v>
      </c>
    </row>
    <row r="156" spans="1:4" outlineLevel="1" collapsed="1">
      <c r="A156" s="1358">
        <f>SUBTOTAL(9,A155:A155)</f>
        <v>267</v>
      </c>
      <c r="B156" s="1359" t="s">
        <v>326</v>
      </c>
      <c r="C156" s="1360" t="s">
        <v>1846</v>
      </c>
      <c r="D156" s="1368">
        <v>616</v>
      </c>
    </row>
    <row r="157" spans="1:4" hidden="1" outlineLevel="2">
      <c r="A157" s="1358">
        <v>30</v>
      </c>
      <c r="B157" s="1359" t="s">
        <v>326</v>
      </c>
      <c r="C157" s="1360" t="s">
        <v>1578</v>
      </c>
      <c r="D157" s="1368">
        <v>616</v>
      </c>
    </row>
    <row r="158" spans="1:4" outlineLevel="1" collapsed="1">
      <c r="A158" s="1358">
        <f>SUBTOTAL(9,A157:A157)</f>
        <v>30</v>
      </c>
      <c r="B158" s="1359" t="s">
        <v>326</v>
      </c>
      <c r="C158" s="1360" t="s">
        <v>1847</v>
      </c>
      <c r="D158" s="1368">
        <v>616</v>
      </c>
    </row>
    <row r="159" spans="1:4" hidden="1" outlineLevel="2">
      <c r="A159" s="1358">
        <v>76</v>
      </c>
      <c r="B159" s="1359" t="s">
        <v>326</v>
      </c>
      <c r="C159" s="1360" t="s">
        <v>1579</v>
      </c>
      <c r="D159" s="1368">
        <v>616</v>
      </c>
    </row>
    <row r="160" spans="1:4" outlineLevel="1" collapsed="1">
      <c r="A160" s="1358">
        <f>SUBTOTAL(9,A159:A159)</f>
        <v>76</v>
      </c>
      <c r="B160" s="1359" t="s">
        <v>326</v>
      </c>
      <c r="C160" s="1360" t="s">
        <v>1848</v>
      </c>
      <c r="D160" s="1368">
        <v>616</v>
      </c>
    </row>
    <row r="161" spans="1:4" hidden="1" outlineLevel="2">
      <c r="A161" s="1358">
        <v>170</v>
      </c>
      <c r="B161" s="1359" t="s">
        <v>326</v>
      </c>
      <c r="C161" s="1360" t="s">
        <v>1580</v>
      </c>
      <c r="D161" s="1368">
        <v>616</v>
      </c>
    </row>
    <row r="162" spans="1:4" outlineLevel="1" collapsed="1">
      <c r="A162" s="1358">
        <f>SUBTOTAL(9,A161:A161)</f>
        <v>170</v>
      </c>
      <c r="B162" s="1359" t="s">
        <v>326</v>
      </c>
      <c r="C162" s="1360" t="s">
        <v>1849</v>
      </c>
      <c r="D162" s="1368">
        <v>616</v>
      </c>
    </row>
    <row r="163" spans="1:4" hidden="1" outlineLevel="2">
      <c r="A163" s="1358">
        <v>52</v>
      </c>
      <c r="B163" s="1359" t="s">
        <v>326</v>
      </c>
      <c r="C163" s="1360" t="s">
        <v>1581</v>
      </c>
      <c r="D163" s="1368">
        <v>616</v>
      </c>
    </row>
    <row r="164" spans="1:4" outlineLevel="1" collapsed="1">
      <c r="A164" s="1358">
        <f>SUBTOTAL(9,A163:A163)</f>
        <v>52</v>
      </c>
      <c r="B164" s="1359" t="s">
        <v>326</v>
      </c>
      <c r="C164" s="1360" t="s">
        <v>1850</v>
      </c>
      <c r="D164" s="1368">
        <v>616</v>
      </c>
    </row>
    <row r="165" spans="1:4" hidden="1" outlineLevel="2">
      <c r="A165" s="1358">
        <v>10</v>
      </c>
      <c r="B165" s="1359" t="s">
        <v>326</v>
      </c>
      <c r="C165" s="1360" t="s">
        <v>1582</v>
      </c>
      <c r="D165" s="1368">
        <v>616</v>
      </c>
    </row>
    <row r="166" spans="1:4" outlineLevel="1" collapsed="1">
      <c r="A166" s="1358">
        <f>SUBTOTAL(9,A165:A165)</f>
        <v>10</v>
      </c>
      <c r="B166" s="1359" t="s">
        <v>326</v>
      </c>
      <c r="C166" s="1360" t="s">
        <v>1851</v>
      </c>
      <c r="D166" s="1368">
        <v>616</v>
      </c>
    </row>
    <row r="167" spans="1:4" hidden="1" outlineLevel="2">
      <c r="A167" s="1358">
        <v>70</v>
      </c>
      <c r="B167" s="1359" t="s">
        <v>326</v>
      </c>
      <c r="C167" s="1360" t="s">
        <v>1688</v>
      </c>
      <c r="D167" s="1368">
        <v>616</v>
      </c>
    </row>
    <row r="168" spans="1:4" outlineLevel="1" collapsed="1">
      <c r="A168" s="1358">
        <f>SUBTOTAL(9,A167:A167)</f>
        <v>70</v>
      </c>
      <c r="B168" s="1359" t="s">
        <v>326</v>
      </c>
      <c r="C168" s="1360" t="s">
        <v>1852</v>
      </c>
      <c r="D168" s="1368">
        <v>616</v>
      </c>
    </row>
    <row r="169" spans="1:4" hidden="1" outlineLevel="2">
      <c r="A169" s="1358">
        <v>155</v>
      </c>
      <c r="B169" s="1359" t="s">
        <v>326</v>
      </c>
      <c r="C169" s="1360" t="s">
        <v>1583</v>
      </c>
      <c r="D169" s="1368">
        <v>616</v>
      </c>
    </row>
    <row r="170" spans="1:4" outlineLevel="1" collapsed="1">
      <c r="A170" s="1358">
        <f>SUBTOTAL(9,A169:A169)</f>
        <v>155</v>
      </c>
      <c r="B170" s="1359" t="s">
        <v>326</v>
      </c>
      <c r="C170" s="1360" t="s">
        <v>1853</v>
      </c>
      <c r="D170" s="1368">
        <v>616</v>
      </c>
    </row>
    <row r="171" spans="1:4" hidden="1" outlineLevel="2">
      <c r="A171" s="1358">
        <v>20</v>
      </c>
      <c r="B171" s="1359" t="s">
        <v>949</v>
      </c>
      <c r="C171" s="1360" t="s">
        <v>1584</v>
      </c>
      <c r="D171" s="1368">
        <v>620</v>
      </c>
    </row>
    <row r="172" spans="1:4" hidden="1" outlineLevel="2">
      <c r="A172" s="1358">
        <v>12</v>
      </c>
      <c r="B172" s="1359" t="s">
        <v>949</v>
      </c>
      <c r="C172" s="1360" t="s">
        <v>1584</v>
      </c>
      <c r="D172" s="1368">
        <v>620</v>
      </c>
    </row>
    <row r="173" spans="1:4" outlineLevel="1" collapsed="1">
      <c r="A173" s="1358">
        <f>SUBTOTAL(9,A171:A172)</f>
        <v>32</v>
      </c>
      <c r="B173" s="1359" t="s">
        <v>949</v>
      </c>
      <c r="C173" s="1360" t="s">
        <v>1854</v>
      </c>
      <c r="D173" s="1368">
        <v>620</v>
      </c>
    </row>
    <row r="174" spans="1:4" hidden="1" outlineLevel="2">
      <c r="A174" s="1358">
        <v>72</v>
      </c>
      <c r="B174" s="1359" t="s">
        <v>949</v>
      </c>
      <c r="C174" s="1360" t="s">
        <v>1585</v>
      </c>
      <c r="D174" s="1368">
        <v>620</v>
      </c>
    </row>
    <row r="175" spans="1:4" hidden="1" outlineLevel="2">
      <c r="A175" s="1358">
        <v>18</v>
      </c>
      <c r="B175" s="1359" t="s">
        <v>949</v>
      </c>
      <c r="C175" s="1360" t="s">
        <v>1585</v>
      </c>
      <c r="D175" s="1368">
        <v>620</v>
      </c>
    </row>
    <row r="176" spans="1:4" outlineLevel="1" collapsed="1">
      <c r="A176" s="1358">
        <f>SUBTOTAL(9,A174:A175)</f>
        <v>90</v>
      </c>
      <c r="B176" s="1359" t="s">
        <v>949</v>
      </c>
      <c r="C176" s="1360" t="s">
        <v>1855</v>
      </c>
      <c r="D176" s="1368">
        <v>620</v>
      </c>
    </row>
    <row r="177" spans="1:4" hidden="1" outlineLevel="2">
      <c r="A177" s="1358">
        <v>30</v>
      </c>
      <c r="B177" s="1359" t="s">
        <v>949</v>
      </c>
      <c r="C177" s="1360" t="s">
        <v>1586</v>
      </c>
      <c r="D177" s="1368">
        <v>620</v>
      </c>
    </row>
    <row r="178" spans="1:4" hidden="1" outlineLevel="2">
      <c r="A178" s="1358">
        <v>6</v>
      </c>
      <c r="B178" s="1359" t="s">
        <v>949</v>
      </c>
      <c r="C178" s="1360" t="s">
        <v>1586</v>
      </c>
      <c r="D178" s="1368">
        <v>620</v>
      </c>
    </row>
    <row r="179" spans="1:4" hidden="1" outlineLevel="2">
      <c r="A179" s="1358">
        <v>40</v>
      </c>
      <c r="B179" s="1359" t="s">
        <v>949</v>
      </c>
      <c r="C179" s="1360" t="s">
        <v>1586</v>
      </c>
      <c r="D179" s="1368">
        <v>620</v>
      </c>
    </row>
    <row r="180" spans="1:4" outlineLevel="1" collapsed="1">
      <c r="A180" s="1358">
        <f>SUBTOTAL(9,A177:A179)</f>
        <v>76</v>
      </c>
      <c r="B180" s="1359" t="s">
        <v>949</v>
      </c>
      <c r="C180" s="1360" t="s">
        <v>1856</v>
      </c>
      <c r="D180" s="1368">
        <v>620</v>
      </c>
    </row>
    <row r="181" spans="1:4" hidden="1" outlineLevel="2">
      <c r="A181" s="1358">
        <v>90</v>
      </c>
      <c r="B181" s="1359" t="s">
        <v>949</v>
      </c>
      <c r="C181" s="1360" t="s">
        <v>1587</v>
      </c>
      <c r="D181" s="1368">
        <v>620</v>
      </c>
    </row>
    <row r="182" spans="1:4" hidden="1" outlineLevel="2">
      <c r="A182" s="1358">
        <v>40</v>
      </c>
      <c r="B182" s="1359" t="s">
        <v>949</v>
      </c>
      <c r="C182" s="1360" t="s">
        <v>1587</v>
      </c>
      <c r="D182" s="1368">
        <v>620</v>
      </c>
    </row>
    <row r="183" spans="1:4" outlineLevel="1" collapsed="1">
      <c r="A183" s="1358">
        <f>SUBTOTAL(9,A181:A182)</f>
        <v>130</v>
      </c>
      <c r="B183" s="1359" t="s">
        <v>949</v>
      </c>
      <c r="C183" s="1360" t="s">
        <v>1857</v>
      </c>
      <c r="D183" s="1368">
        <v>620</v>
      </c>
    </row>
    <row r="184" spans="1:4" hidden="1" outlineLevel="2">
      <c r="A184" s="1358">
        <v>20</v>
      </c>
      <c r="B184" s="1359" t="s">
        <v>949</v>
      </c>
      <c r="C184" s="1360" t="s">
        <v>1588</v>
      </c>
      <c r="D184" s="1368">
        <v>620</v>
      </c>
    </row>
    <row r="185" spans="1:4" outlineLevel="1" collapsed="1">
      <c r="A185" s="1358">
        <f>SUBTOTAL(9,A184:A184)</f>
        <v>20</v>
      </c>
      <c r="B185" s="1359" t="s">
        <v>949</v>
      </c>
      <c r="C185" s="1360" t="s">
        <v>1858</v>
      </c>
      <c r="D185" s="1368">
        <v>620</v>
      </c>
    </row>
    <row r="186" spans="1:4" hidden="1" outlineLevel="2">
      <c r="A186" s="1358">
        <v>60</v>
      </c>
      <c r="B186" s="1359" t="s">
        <v>949</v>
      </c>
      <c r="C186" s="1360" t="s">
        <v>1589</v>
      </c>
      <c r="D186" s="1368">
        <v>620</v>
      </c>
    </row>
    <row r="187" spans="1:4" outlineLevel="1" collapsed="1">
      <c r="A187" s="1358">
        <f>SUBTOTAL(9,A186:A186)</f>
        <v>60</v>
      </c>
      <c r="B187" s="1359" t="s">
        <v>949</v>
      </c>
      <c r="C187" s="1360" t="s">
        <v>1859</v>
      </c>
      <c r="D187" s="1368">
        <v>620</v>
      </c>
    </row>
    <row r="188" spans="1:4" hidden="1" outlineLevel="2">
      <c r="A188" s="1358">
        <v>20</v>
      </c>
      <c r="B188" s="1359" t="s">
        <v>949</v>
      </c>
      <c r="C188" s="1360" t="s">
        <v>1590</v>
      </c>
      <c r="D188" s="1368">
        <v>620</v>
      </c>
    </row>
    <row r="189" spans="1:4" hidden="1" outlineLevel="2">
      <c r="A189" s="1358">
        <v>10</v>
      </c>
      <c r="B189" s="1359" t="s">
        <v>949</v>
      </c>
      <c r="C189" s="1360" t="s">
        <v>1590</v>
      </c>
      <c r="D189" s="1368">
        <v>620</v>
      </c>
    </row>
    <row r="190" spans="1:4" hidden="1" outlineLevel="2">
      <c r="A190" s="1358">
        <v>2</v>
      </c>
      <c r="B190" s="1359" t="s">
        <v>949</v>
      </c>
      <c r="C190" s="1360" t="s">
        <v>1590</v>
      </c>
      <c r="D190" s="1368">
        <v>620</v>
      </c>
    </row>
    <row r="191" spans="1:4" outlineLevel="1" collapsed="1">
      <c r="A191" s="1358">
        <f>SUBTOTAL(9,A188:A190)</f>
        <v>32</v>
      </c>
      <c r="B191" s="1359" t="s">
        <v>949</v>
      </c>
      <c r="C191" s="1360" t="s">
        <v>1860</v>
      </c>
      <c r="D191" s="1368">
        <v>620</v>
      </c>
    </row>
    <row r="192" spans="1:4" hidden="1" outlineLevel="2">
      <c r="A192" s="1358">
        <v>4</v>
      </c>
      <c r="B192" s="1359" t="s">
        <v>949</v>
      </c>
      <c r="C192" s="1360" t="s">
        <v>1591</v>
      </c>
      <c r="D192" s="1368">
        <v>620</v>
      </c>
    </row>
    <row r="193" spans="1:4" hidden="1" outlineLevel="2">
      <c r="A193" s="1358">
        <v>2</v>
      </c>
      <c r="B193" s="1359" t="s">
        <v>949</v>
      </c>
      <c r="C193" s="1360" t="s">
        <v>1591</v>
      </c>
      <c r="D193" s="1368">
        <v>620</v>
      </c>
    </row>
    <row r="194" spans="1:4" hidden="1" outlineLevel="2">
      <c r="A194" s="1358">
        <v>12</v>
      </c>
      <c r="B194" s="1359" t="s">
        <v>949</v>
      </c>
      <c r="C194" s="1360" t="s">
        <v>1591</v>
      </c>
      <c r="D194" s="1368">
        <v>620</v>
      </c>
    </row>
    <row r="195" spans="1:4" hidden="1" outlineLevel="2">
      <c r="A195" s="1358">
        <v>4</v>
      </c>
      <c r="B195" s="1359" t="s">
        <v>949</v>
      </c>
      <c r="C195" s="1360" t="s">
        <v>1591</v>
      </c>
      <c r="D195" s="1368">
        <v>620</v>
      </c>
    </row>
    <row r="196" spans="1:4" hidden="1" outlineLevel="2">
      <c r="A196" s="1358">
        <v>18</v>
      </c>
      <c r="B196" s="1359" t="s">
        <v>949</v>
      </c>
      <c r="C196" s="1360" t="s">
        <v>1591</v>
      </c>
      <c r="D196" s="1368">
        <v>620</v>
      </c>
    </row>
    <row r="197" spans="1:4" hidden="1" outlineLevel="2">
      <c r="A197" s="1358">
        <v>6</v>
      </c>
      <c r="B197" s="1359" t="s">
        <v>949</v>
      </c>
      <c r="C197" s="1360" t="s">
        <v>1591</v>
      </c>
      <c r="D197" s="1368">
        <v>620</v>
      </c>
    </row>
    <row r="198" spans="1:4" hidden="1" outlineLevel="2">
      <c r="A198" s="1358">
        <v>4</v>
      </c>
      <c r="B198" s="1359" t="s">
        <v>949</v>
      </c>
      <c r="C198" s="1360" t="s">
        <v>1591</v>
      </c>
      <c r="D198" s="1368">
        <v>620</v>
      </c>
    </row>
    <row r="199" spans="1:4" hidden="1" outlineLevel="2">
      <c r="A199" s="1358">
        <v>2</v>
      </c>
      <c r="B199" s="1359" t="s">
        <v>949</v>
      </c>
      <c r="C199" s="1360" t="s">
        <v>1591</v>
      </c>
      <c r="D199" s="1368">
        <v>620</v>
      </c>
    </row>
    <row r="200" spans="1:4" hidden="1" outlineLevel="2">
      <c r="A200" s="1358">
        <v>24</v>
      </c>
      <c r="B200" s="1359" t="s">
        <v>949</v>
      </c>
      <c r="C200" s="1360" t="s">
        <v>1591</v>
      </c>
      <c r="D200" s="1368">
        <v>620</v>
      </c>
    </row>
    <row r="201" spans="1:4" hidden="1" outlineLevel="2">
      <c r="A201" s="1358">
        <v>4</v>
      </c>
      <c r="B201" s="1359" t="s">
        <v>949</v>
      </c>
      <c r="C201" s="1360" t="s">
        <v>1591</v>
      </c>
      <c r="D201" s="1368">
        <v>620</v>
      </c>
    </row>
    <row r="202" spans="1:4" hidden="1" outlineLevel="2">
      <c r="A202" s="1358">
        <v>8</v>
      </c>
      <c r="B202" s="1359" t="s">
        <v>949</v>
      </c>
      <c r="C202" s="1360" t="s">
        <v>1591</v>
      </c>
      <c r="D202" s="1368">
        <v>620</v>
      </c>
    </row>
    <row r="203" spans="1:4" hidden="1" outlineLevel="2">
      <c r="A203" s="1358">
        <v>6</v>
      </c>
      <c r="B203" s="1359" t="s">
        <v>949</v>
      </c>
      <c r="C203" s="1360" t="s">
        <v>1591</v>
      </c>
      <c r="D203" s="1368">
        <v>620</v>
      </c>
    </row>
    <row r="204" spans="1:4" hidden="1" outlineLevel="2">
      <c r="A204" s="1358">
        <v>2</v>
      </c>
      <c r="B204" s="1359" t="s">
        <v>949</v>
      </c>
      <c r="C204" s="1360" t="s">
        <v>1591</v>
      </c>
      <c r="D204" s="1368">
        <v>620</v>
      </c>
    </row>
    <row r="205" spans="1:4" hidden="1" outlineLevel="2">
      <c r="A205" s="1358">
        <v>40</v>
      </c>
      <c r="B205" s="1359" t="s">
        <v>949</v>
      </c>
      <c r="C205" s="1360" t="s">
        <v>1591</v>
      </c>
      <c r="D205" s="1368">
        <v>620</v>
      </c>
    </row>
    <row r="206" spans="1:4" outlineLevel="1" collapsed="1">
      <c r="A206" s="1358">
        <f>SUBTOTAL(9,A192:A205)</f>
        <v>136</v>
      </c>
      <c r="B206" s="1359" t="s">
        <v>949</v>
      </c>
      <c r="C206" s="1360" t="s">
        <v>1861</v>
      </c>
      <c r="D206" s="1368">
        <v>620</v>
      </c>
    </row>
    <row r="207" spans="1:4" hidden="1" outlineLevel="2">
      <c r="A207" s="1358">
        <v>4</v>
      </c>
      <c r="B207" s="1359" t="s">
        <v>949</v>
      </c>
      <c r="C207" s="1360" t="s">
        <v>1592</v>
      </c>
      <c r="D207" s="1368">
        <v>620</v>
      </c>
    </row>
    <row r="208" spans="1:4" outlineLevel="1" collapsed="1">
      <c r="A208" s="1358">
        <f>SUBTOTAL(9,A207:A207)</f>
        <v>4</v>
      </c>
      <c r="B208" s="1359" t="s">
        <v>949</v>
      </c>
      <c r="C208" s="1360" t="s">
        <v>1862</v>
      </c>
      <c r="D208" s="1368">
        <v>620</v>
      </c>
    </row>
    <row r="209" spans="1:4" hidden="1" outlineLevel="2">
      <c r="A209" s="1358">
        <v>8</v>
      </c>
      <c r="B209" s="1359" t="s">
        <v>949</v>
      </c>
      <c r="C209" s="1360" t="s">
        <v>1593</v>
      </c>
      <c r="D209" s="1368">
        <v>620</v>
      </c>
    </row>
    <row r="210" spans="1:4" hidden="1" outlineLevel="2">
      <c r="A210" s="1358">
        <v>6</v>
      </c>
      <c r="B210" s="1359" t="s">
        <v>949</v>
      </c>
      <c r="C210" s="1360" t="s">
        <v>1593</v>
      </c>
      <c r="D210" s="1368">
        <v>620</v>
      </c>
    </row>
    <row r="211" spans="1:4" outlineLevel="1" collapsed="1">
      <c r="A211" s="1358">
        <f>SUBTOTAL(9,A209:A210)</f>
        <v>14</v>
      </c>
      <c r="B211" s="1359" t="s">
        <v>949</v>
      </c>
      <c r="C211" s="1360" t="s">
        <v>1863</v>
      </c>
      <c r="D211" s="1368">
        <v>620</v>
      </c>
    </row>
    <row r="212" spans="1:4" hidden="1" outlineLevel="2">
      <c r="A212" s="1358">
        <v>4</v>
      </c>
      <c r="B212" s="1359" t="s">
        <v>949</v>
      </c>
      <c r="C212" s="1360" t="s">
        <v>1594</v>
      </c>
      <c r="D212" s="1368">
        <v>620</v>
      </c>
    </row>
    <row r="213" spans="1:4" hidden="1" outlineLevel="2">
      <c r="A213" s="1358">
        <v>4</v>
      </c>
      <c r="B213" s="1359" t="s">
        <v>949</v>
      </c>
      <c r="C213" s="1360" t="s">
        <v>1594</v>
      </c>
      <c r="D213" s="1368">
        <v>620</v>
      </c>
    </row>
    <row r="214" spans="1:4" outlineLevel="1" collapsed="1">
      <c r="A214" s="1358">
        <f>SUBTOTAL(9,A212:A213)</f>
        <v>8</v>
      </c>
      <c r="B214" s="1359" t="s">
        <v>949</v>
      </c>
      <c r="C214" s="1360" t="s">
        <v>1864</v>
      </c>
      <c r="D214" s="1368">
        <v>620</v>
      </c>
    </row>
    <row r="215" spans="1:4" hidden="1" outlineLevel="2">
      <c r="A215" s="1358">
        <v>2</v>
      </c>
      <c r="B215" s="1359" t="s">
        <v>949</v>
      </c>
      <c r="C215" s="1360" t="s">
        <v>1595</v>
      </c>
      <c r="D215" s="1368">
        <v>620</v>
      </c>
    </row>
    <row r="216" spans="1:4" hidden="1" outlineLevel="2">
      <c r="A216" s="1358">
        <v>24</v>
      </c>
      <c r="B216" s="1359" t="s">
        <v>949</v>
      </c>
      <c r="C216" s="1360" t="s">
        <v>1595</v>
      </c>
      <c r="D216" s="1368">
        <v>620</v>
      </c>
    </row>
    <row r="217" spans="1:4" outlineLevel="1" collapsed="1">
      <c r="A217" s="1358">
        <f>SUBTOTAL(9,A215:A216)</f>
        <v>26</v>
      </c>
      <c r="B217" s="1359" t="s">
        <v>949</v>
      </c>
      <c r="C217" s="1360" t="s">
        <v>1865</v>
      </c>
      <c r="D217" s="1368">
        <v>620</v>
      </c>
    </row>
    <row r="218" spans="1:4" hidden="1" outlineLevel="2">
      <c r="A218" s="1358">
        <v>18</v>
      </c>
      <c r="B218" s="1359" t="s">
        <v>949</v>
      </c>
      <c r="C218" s="1360" t="s">
        <v>1596</v>
      </c>
      <c r="D218" s="1368">
        <v>620</v>
      </c>
    </row>
    <row r="219" spans="1:4" hidden="1" outlineLevel="2">
      <c r="A219" s="1358">
        <v>6</v>
      </c>
      <c r="B219" s="1359" t="s">
        <v>949</v>
      </c>
      <c r="C219" s="1360" t="s">
        <v>1596</v>
      </c>
      <c r="D219" s="1368">
        <v>620</v>
      </c>
    </row>
    <row r="220" spans="1:4" outlineLevel="1" collapsed="1">
      <c r="A220" s="1358">
        <f>SUBTOTAL(9,A218:A219)</f>
        <v>24</v>
      </c>
      <c r="B220" s="1359" t="s">
        <v>949</v>
      </c>
      <c r="C220" s="1360" t="s">
        <v>1866</v>
      </c>
      <c r="D220" s="1368">
        <v>620</v>
      </c>
    </row>
    <row r="221" spans="1:4" hidden="1" outlineLevel="2">
      <c r="A221" s="1358">
        <v>4</v>
      </c>
      <c r="B221" s="1359" t="s">
        <v>949</v>
      </c>
      <c r="C221" s="1360" t="s">
        <v>1597</v>
      </c>
      <c r="D221" s="1368">
        <v>620</v>
      </c>
    </row>
    <row r="222" spans="1:4" outlineLevel="1" collapsed="1">
      <c r="A222" s="1358">
        <f>SUBTOTAL(9,A221:A221)</f>
        <v>4</v>
      </c>
      <c r="B222" s="1359" t="s">
        <v>949</v>
      </c>
      <c r="C222" s="1360" t="s">
        <v>1867</v>
      </c>
      <c r="D222" s="1368">
        <v>620</v>
      </c>
    </row>
    <row r="223" spans="1:4" hidden="1" outlineLevel="2">
      <c r="A223" s="1358">
        <v>2</v>
      </c>
      <c r="B223" s="1359" t="s">
        <v>949</v>
      </c>
      <c r="C223" s="1360" t="s">
        <v>1598</v>
      </c>
      <c r="D223" s="1368">
        <v>620</v>
      </c>
    </row>
    <row r="224" spans="1:4" hidden="1" outlineLevel="2">
      <c r="A224" s="1358">
        <v>12</v>
      </c>
      <c r="B224" s="1359" t="s">
        <v>949</v>
      </c>
      <c r="C224" s="1360" t="s">
        <v>1598</v>
      </c>
      <c r="D224" s="1368">
        <v>620</v>
      </c>
    </row>
    <row r="225" spans="1:4" outlineLevel="1" collapsed="1">
      <c r="A225" s="1358">
        <f>SUBTOTAL(9,A223:A224)</f>
        <v>14</v>
      </c>
      <c r="B225" s="1359" t="s">
        <v>949</v>
      </c>
      <c r="C225" s="1360" t="s">
        <v>1868</v>
      </c>
      <c r="D225" s="1368">
        <v>620</v>
      </c>
    </row>
    <row r="226" spans="1:4" hidden="1" outlineLevel="2">
      <c r="A226" s="1358">
        <v>40</v>
      </c>
      <c r="B226" s="1359" t="s">
        <v>326</v>
      </c>
      <c r="C226" s="1360" t="s">
        <v>1599</v>
      </c>
      <c r="D226" s="1368">
        <v>650</v>
      </c>
    </row>
    <row r="227" spans="1:4" outlineLevel="1" collapsed="1">
      <c r="A227" s="1358">
        <f>SUBTOTAL(9,A226:A226)</f>
        <v>40</v>
      </c>
      <c r="B227" s="1359" t="s">
        <v>326</v>
      </c>
      <c r="C227" s="1360" t="s">
        <v>1869</v>
      </c>
      <c r="D227" s="1368">
        <v>650</v>
      </c>
    </row>
    <row r="228" spans="1:4" hidden="1" outlineLevel="2">
      <c r="A228" s="1358">
        <v>26.666666666666668</v>
      </c>
      <c r="B228" s="1359" t="s">
        <v>949</v>
      </c>
      <c r="C228" s="1360" t="s">
        <v>1600</v>
      </c>
      <c r="D228" s="1368">
        <v>650</v>
      </c>
    </row>
    <row r="229" spans="1:4" outlineLevel="1" collapsed="1">
      <c r="A229" s="1358">
        <f>SUBTOTAL(9,A228:A228)</f>
        <v>26.666666666666668</v>
      </c>
      <c r="B229" s="1359" t="s">
        <v>949</v>
      </c>
      <c r="C229" s="1360" t="s">
        <v>1870</v>
      </c>
      <c r="D229" s="1368">
        <v>650</v>
      </c>
    </row>
    <row r="230" spans="1:4" hidden="1" outlineLevel="2">
      <c r="A230" s="1358">
        <v>30</v>
      </c>
      <c r="B230" s="1359" t="s">
        <v>326</v>
      </c>
      <c r="C230" s="1360" t="s">
        <v>1601</v>
      </c>
      <c r="D230" s="1368">
        <v>650</v>
      </c>
    </row>
    <row r="231" spans="1:4" outlineLevel="1" collapsed="1">
      <c r="A231" s="1358">
        <f>SUBTOTAL(9,A230:A230)</f>
        <v>30</v>
      </c>
      <c r="B231" s="1359" t="s">
        <v>326</v>
      </c>
      <c r="C231" s="1360" t="s">
        <v>1871</v>
      </c>
      <c r="D231" s="1368">
        <v>650</v>
      </c>
    </row>
    <row r="232" spans="1:4" hidden="1" outlineLevel="2">
      <c r="A232" s="1358">
        <v>10</v>
      </c>
      <c r="B232" s="1359" t="s">
        <v>326</v>
      </c>
      <c r="C232" s="1360" t="s">
        <v>1602</v>
      </c>
      <c r="D232" s="1368">
        <v>650</v>
      </c>
    </row>
    <row r="233" spans="1:4" outlineLevel="1" collapsed="1">
      <c r="A233" s="1358">
        <f>SUBTOTAL(9,A232:A232)</f>
        <v>10</v>
      </c>
      <c r="B233" s="1359" t="s">
        <v>326</v>
      </c>
      <c r="C233" s="1360" t="s">
        <v>1872</v>
      </c>
      <c r="D233" s="1368">
        <v>650</v>
      </c>
    </row>
    <row r="234" spans="1:4" hidden="1" outlineLevel="2">
      <c r="A234" s="1358">
        <v>30</v>
      </c>
      <c r="B234" s="1359" t="s">
        <v>326</v>
      </c>
      <c r="C234" s="1360" t="s">
        <v>1603</v>
      </c>
      <c r="D234" s="1368">
        <v>650</v>
      </c>
    </row>
    <row r="235" spans="1:4" outlineLevel="1" collapsed="1">
      <c r="A235" s="1358">
        <f>SUBTOTAL(9,A234:A234)</f>
        <v>30</v>
      </c>
      <c r="B235" s="1359" t="s">
        <v>326</v>
      </c>
      <c r="C235" s="1360" t="s">
        <v>1873</v>
      </c>
      <c r="D235" s="1368">
        <v>650</v>
      </c>
    </row>
    <row r="236" spans="1:4" hidden="1" outlineLevel="2">
      <c r="A236" s="1358">
        <v>20</v>
      </c>
      <c r="B236" s="1359" t="s">
        <v>326</v>
      </c>
      <c r="C236" s="1360" t="s">
        <v>1604</v>
      </c>
      <c r="D236" s="1368">
        <v>650</v>
      </c>
    </row>
    <row r="237" spans="1:4" outlineLevel="1" collapsed="1">
      <c r="A237" s="1358">
        <f>SUBTOTAL(9,A236:A236)</f>
        <v>20</v>
      </c>
      <c r="B237" s="1359" t="s">
        <v>326</v>
      </c>
      <c r="C237" s="1360" t="s">
        <v>1874</v>
      </c>
      <c r="D237" s="1368">
        <v>650</v>
      </c>
    </row>
    <row r="238" spans="1:4" hidden="1" outlineLevel="2">
      <c r="A238" s="1358">
        <v>20</v>
      </c>
      <c r="B238" s="1359" t="s">
        <v>949</v>
      </c>
      <c r="C238" s="1360" t="s">
        <v>1605</v>
      </c>
      <c r="D238" s="1368">
        <v>650</v>
      </c>
    </row>
    <row r="239" spans="1:4" hidden="1" outlineLevel="2">
      <c r="A239" s="1358">
        <v>6.666666666666667</v>
      </c>
      <c r="B239" s="1359" t="s">
        <v>949</v>
      </c>
      <c r="C239" s="1360" t="s">
        <v>1605</v>
      </c>
      <c r="D239" s="1368">
        <v>650</v>
      </c>
    </row>
    <row r="240" spans="1:4" hidden="1" outlineLevel="2">
      <c r="A240" s="1358">
        <v>20</v>
      </c>
      <c r="B240" s="1359" t="s">
        <v>949</v>
      </c>
      <c r="C240" s="1360" t="s">
        <v>1605</v>
      </c>
      <c r="D240" s="1368">
        <v>650</v>
      </c>
    </row>
    <row r="241" spans="1:4" hidden="1" outlineLevel="2">
      <c r="A241" s="1358">
        <v>13.333333333333334</v>
      </c>
      <c r="B241" s="1359" t="s">
        <v>949</v>
      </c>
      <c r="C241" s="1360" t="s">
        <v>1605</v>
      </c>
      <c r="D241" s="1368">
        <v>650</v>
      </c>
    </row>
    <row r="242" spans="1:4" outlineLevel="1" collapsed="1">
      <c r="A242" s="1358">
        <f>SUBTOTAL(9,A238:A241)</f>
        <v>60.000000000000007</v>
      </c>
      <c r="B242" s="1359" t="s">
        <v>949</v>
      </c>
      <c r="C242" s="1360" t="s">
        <v>1875</v>
      </c>
      <c r="D242" s="1368">
        <v>650</v>
      </c>
    </row>
    <row r="243" spans="1:4" hidden="1" outlineLevel="2">
      <c r="A243" s="1358">
        <v>133.33333333333334</v>
      </c>
      <c r="B243" s="1359" t="s">
        <v>949</v>
      </c>
      <c r="C243" s="1360" t="s">
        <v>1606</v>
      </c>
      <c r="D243" s="1368">
        <v>650</v>
      </c>
    </row>
    <row r="244" spans="1:4" hidden="1" outlineLevel="2">
      <c r="A244" s="1358">
        <v>100</v>
      </c>
      <c r="B244" s="1359" t="s">
        <v>949</v>
      </c>
      <c r="C244" s="1360" t="s">
        <v>1606</v>
      </c>
      <c r="D244" s="1368">
        <v>650</v>
      </c>
    </row>
    <row r="245" spans="1:4" hidden="1" outlineLevel="2">
      <c r="A245" s="1358">
        <v>33.333333333333336</v>
      </c>
      <c r="B245" s="1359" t="s">
        <v>949</v>
      </c>
      <c r="C245" s="1360" t="s">
        <v>1606</v>
      </c>
      <c r="D245" s="1368">
        <v>650</v>
      </c>
    </row>
    <row r="246" spans="1:4" hidden="1" outlineLevel="2">
      <c r="A246" s="1358">
        <v>100</v>
      </c>
      <c r="B246" s="1359" t="s">
        <v>949</v>
      </c>
      <c r="C246" s="1360" t="s">
        <v>1606</v>
      </c>
      <c r="D246" s="1368">
        <v>650</v>
      </c>
    </row>
    <row r="247" spans="1:4" hidden="1" outlineLevel="2">
      <c r="A247" s="1358">
        <v>66.666666666666671</v>
      </c>
      <c r="B247" s="1359" t="s">
        <v>949</v>
      </c>
      <c r="C247" s="1360" t="s">
        <v>1606</v>
      </c>
      <c r="D247" s="1368">
        <v>650</v>
      </c>
    </row>
    <row r="248" spans="1:4" outlineLevel="1" collapsed="1">
      <c r="A248" s="1358">
        <f>SUBTOTAL(9,A243:A247)</f>
        <v>433.33333333333337</v>
      </c>
      <c r="B248" s="1359" t="s">
        <v>949</v>
      </c>
      <c r="C248" s="1360" t="s">
        <v>1876</v>
      </c>
      <c r="D248" s="1368">
        <v>650</v>
      </c>
    </row>
    <row r="249" spans="1:4" hidden="1" outlineLevel="2">
      <c r="A249" s="1358">
        <v>13.333333333333334</v>
      </c>
      <c r="B249" s="1359" t="s">
        <v>949</v>
      </c>
      <c r="C249" s="1360" t="s">
        <v>1607</v>
      </c>
      <c r="D249" s="1368">
        <v>650</v>
      </c>
    </row>
    <row r="250" spans="1:4" hidden="1" outlineLevel="2">
      <c r="A250" s="1358">
        <v>10</v>
      </c>
      <c r="B250" s="1359" t="s">
        <v>949</v>
      </c>
      <c r="C250" s="1360" t="s">
        <v>1607</v>
      </c>
      <c r="D250" s="1368">
        <v>650</v>
      </c>
    </row>
    <row r="251" spans="1:4" hidden="1" outlineLevel="2">
      <c r="A251" s="1358">
        <v>3.3333333333333335</v>
      </c>
      <c r="B251" s="1359" t="s">
        <v>949</v>
      </c>
      <c r="C251" s="1360" t="s">
        <v>1607</v>
      </c>
      <c r="D251" s="1368">
        <v>650</v>
      </c>
    </row>
    <row r="252" spans="1:4" hidden="1" outlineLevel="2">
      <c r="A252" s="1358">
        <v>10</v>
      </c>
      <c r="B252" s="1359" t="s">
        <v>949</v>
      </c>
      <c r="C252" s="1360" t="s">
        <v>1607</v>
      </c>
      <c r="D252" s="1368">
        <v>650</v>
      </c>
    </row>
    <row r="253" spans="1:4" hidden="1" outlineLevel="2">
      <c r="A253" s="1358">
        <v>6.666666666666667</v>
      </c>
      <c r="B253" s="1359" t="s">
        <v>949</v>
      </c>
      <c r="C253" s="1360" t="s">
        <v>1607</v>
      </c>
      <c r="D253" s="1368">
        <v>650</v>
      </c>
    </row>
    <row r="254" spans="1:4" outlineLevel="1" collapsed="1">
      <c r="A254" s="1358">
        <f>SUBTOTAL(9,A249:A253)</f>
        <v>43.333333333333336</v>
      </c>
      <c r="B254" s="1359" t="s">
        <v>949</v>
      </c>
      <c r="C254" s="1360" t="s">
        <v>1877</v>
      </c>
      <c r="D254" s="1368">
        <v>650</v>
      </c>
    </row>
    <row r="255" spans="1:4" hidden="1" outlineLevel="2">
      <c r="A255" s="1358">
        <v>2.34375</v>
      </c>
      <c r="B255" s="1359" t="s">
        <v>949</v>
      </c>
      <c r="C255" s="1360" t="s">
        <v>1608</v>
      </c>
      <c r="D255" s="1368">
        <v>675</v>
      </c>
    </row>
    <row r="256" spans="1:4" outlineLevel="1" collapsed="1">
      <c r="A256" s="1358">
        <f>SUBTOTAL(9,A255:A255)</f>
        <v>2.34375</v>
      </c>
      <c r="B256" s="1359" t="s">
        <v>949</v>
      </c>
      <c r="C256" s="1360" t="s">
        <v>1878</v>
      </c>
      <c r="D256" s="1368">
        <v>675</v>
      </c>
    </row>
    <row r="257" spans="1:4" hidden="1" outlineLevel="2">
      <c r="A257" s="1358">
        <v>5.0000000000000053</v>
      </c>
      <c r="B257" s="1359" t="s">
        <v>949</v>
      </c>
      <c r="C257" s="1360" t="s">
        <v>1609</v>
      </c>
      <c r="D257" s="1368">
        <v>675</v>
      </c>
    </row>
    <row r="258" spans="1:4" outlineLevel="1" collapsed="1">
      <c r="A258" s="1358">
        <f>SUBTOTAL(9,A257:A257)</f>
        <v>5.0000000000000053</v>
      </c>
      <c r="B258" s="1359" t="s">
        <v>949</v>
      </c>
      <c r="C258" s="1360" t="s">
        <v>1879</v>
      </c>
      <c r="D258" s="1368">
        <v>675</v>
      </c>
    </row>
    <row r="259" spans="1:4" hidden="1" outlineLevel="2">
      <c r="A259" s="1358">
        <v>1.5624999999999996</v>
      </c>
      <c r="B259" s="1359" t="s">
        <v>949</v>
      </c>
      <c r="C259" s="1360" t="s">
        <v>1610</v>
      </c>
      <c r="D259" s="1368">
        <v>675</v>
      </c>
    </row>
    <row r="260" spans="1:4" outlineLevel="1" collapsed="1">
      <c r="A260" s="1358">
        <f>SUBTOTAL(9,A259:A259)</f>
        <v>1.5624999999999996</v>
      </c>
      <c r="B260" s="1359" t="s">
        <v>949</v>
      </c>
      <c r="C260" s="1360" t="s">
        <v>1880</v>
      </c>
      <c r="D260" s="1368">
        <v>675</v>
      </c>
    </row>
    <row r="261" spans="1:4" hidden="1" outlineLevel="2">
      <c r="A261" s="1358">
        <v>0.78125000000000044</v>
      </c>
      <c r="B261" s="1359" t="s">
        <v>949</v>
      </c>
      <c r="C261" s="1360" t="s">
        <v>1611</v>
      </c>
      <c r="D261" s="1368">
        <v>675</v>
      </c>
    </row>
    <row r="262" spans="1:4" outlineLevel="1" collapsed="1">
      <c r="A262" s="1358">
        <f>SUBTOTAL(9,A261:A261)</f>
        <v>0.78125000000000044</v>
      </c>
      <c r="B262" s="1359" t="s">
        <v>949</v>
      </c>
      <c r="C262" s="1360" t="s">
        <v>1881</v>
      </c>
      <c r="D262" s="1368">
        <v>675</v>
      </c>
    </row>
    <row r="263" spans="1:4" hidden="1" outlineLevel="2">
      <c r="A263" s="1358">
        <v>15</v>
      </c>
      <c r="B263" s="1359" t="s">
        <v>326</v>
      </c>
      <c r="C263" s="1360" t="s">
        <v>1612</v>
      </c>
      <c r="D263" s="1368">
        <v>675</v>
      </c>
    </row>
    <row r="264" spans="1:4" outlineLevel="1" collapsed="1">
      <c r="A264" s="1358">
        <f>SUBTOTAL(9,A263:A263)</f>
        <v>15</v>
      </c>
      <c r="B264" s="1359" t="s">
        <v>326</v>
      </c>
      <c r="C264" s="1360" t="s">
        <v>1882</v>
      </c>
      <c r="D264" s="1368">
        <v>675</v>
      </c>
    </row>
    <row r="265" spans="1:4" hidden="1" outlineLevel="2">
      <c r="A265" s="1358">
        <v>0.8620689655172411</v>
      </c>
      <c r="B265" s="1359" t="s">
        <v>949</v>
      </c>
      <c r="C265" s="1360" t="s">
        <v>1613</v>
      </c>
      <c r="D265" s="1368">
        <v>675</v>
      </c>
    </row>
    <row r="266" spans="1:4" outlineLevel="1" collapsed="1">
      <c r="A266" s="1358">
        <f>SUBTOTAL(9,A265:A265)</f>
        <v>0.8620689655172411</v>
      </c>
      <c r="B266" s="1359" t="s">
        <v>949</v>
      </c>
      <c r="C266" s="1360" t="s">
        <v>1883</v>
      </c>
      <c r="D266" s="1368">
        <v>675</v>
      </c>
    </row>
    <row r="267" spans="1:4" hidden="1" outlineLevel="2">
      <c r="A267" s="1358">
        <v>1.7241379310344822</v>
      </c>
      <c r="B267" s="1359" t="s">
        <v>949</v>
      </c>
      <c r="C267" s="1360" t="s">
        <v>1614</v>
      </c>
      <c r="D267" s="1368">
        <v>675</v>
      </c>
    </row>
    <row r="268" spans="1:4" outlineLevel="1" collapsed="1">
      <c r="A268" s="1358">
        <f>SUBTOTAL(9,A267:A267)</f>
        <v>1.7241379310344822</v>
      </c>
      <c r="B268" s="1359" t="s">
        <v>949</v>
      </c>
      <c r="C268" s="1360" t="s">
        <v>1884</v>
      </c>
      <c r="D268" s="1368">
        <v>675</v>
      </c>
    </row>
    <row r="269" spans="1:4" hidden="1" outlineLevel="2">
      <c r="A269" s="1358">
        <v>0.57471264367816122</v>
      </c>
      <c r="B269" s="1359" t="s">
        <v>949</v>
      </c>
      <c r="C269" s="1360" t="s">
        <v>1615</v>
      </c>
      <c r="D269" s="1368">
        <v>675</v>
      </c>
    </row>
    <row r="270" spans="1:4" outlineLevel="1" collapsed="1">
      <c r="A270" s="1358">
        <f>SUBTOTAL(9,A269:A269)</f>
        <v>0.57471264367816122</v>
      </c>
      <c r="B270" s="1359" t="s">
        <v>949</v>
      </c>
      <c r="C270" s="1360" t="s">
        <v>1885</v>
      </c>
      <c r="D270" s="1368">
        <v>675</v>
      </c>
    </row>
    <row r="271" spans="1:4" hidden="1" outlineLevel="2">
      <c r="A271" s="1358">
        <v>5</v>
      </c>
      <c r="B271" s="1359" t="s">
        <v>326</v>
      </c>
      <c r="C271" s="1360" t="s">
        <v>1616</v>
      </c>
      <c r="D271" s="1368">
        <v>675</v>
      </c>
    </row>
    <row r="272" spans="1:4" outlineLevel="1" collapsed="1">
      <c r="A272" s="1358">
        <f>SUBTOTAL(9,A271:A271)</f>
        <v>5</v>
      </c>
      <c r="B272" s="1359" t="s">
        <v>326</v>
      </c>
      <c r="C272" s="1360" t="s">
        <v>1886</v>
      </c>
      <c r="D272" s="1368">
        <v>675</v>
      </c>
    </row>
    <row r="273" spans="1:4" hidden="1" outlineLevel="2">
      <c r="A273" s="1358">
        <v>40.625000000000057</v>
      </c>
      <c r="B273" s="1359" t="s">
        <v>949</v>
      </c>
      <c r="C273" s="1360" t="s">
        <v>1617</v>
      </c>
      <c r="D273" s="1368">
        <v>675</v>
      </c>
    </row>
    <row r="274" spans="1:4" hidden="1" outlineLevel="2">
      <c r="A274" s="1358">
        <v>14.942528735632177</v>
      </c>
      <c r="B274" s="1359" t="s">
        <v>949</v>
      </c>
      <c r="C274" s="1360" t="s">
        <v>1617</v>
      </c>
      <c r="D274" s="1368">
        <v>675</v>
      </c>
    </row>
    <row r="275" spans="1:4" outlineLevel="1" collapsed="1">
      <c r="A275" s="1358">
        <f>SUBTOTAL(9,A273:A274)</f>
        <v>55.567528735632237</v>
      </c>
      <c r="B275" s="1359" t="s">
        <v>949</v>
      </c>
      <c r="C275" s="1360" t="s">
        <v>1887</v>
      </c>
      <c r="D275" s="1368">
        <v>675</v>
      </c>
    </row>
    <row r="276" spans="1:4" hidden="1" outlineLevel="2">
      <c r="A276" s="1358">
        <v>1332.5625</v>
      </c>
      <c r="B276" s="1359" t="s">
        <v>326</v>
      </c>
      <c r="C276" s="1360" t="s">
        <v>1618</v>
      </c>
      <c r="D276" s="1368">
        <v>700</v>
      </c>
    </row>
    <row r="277" spans="1:4" hidden="1" outlineLevel="2">
      <c r="A277" s="1358">
        <v>42</v>
      </c>
      <c r="B277" s="1359" t="s">
        <v>326</v>
      </c>
      <c r="C277" s="1360" t="s">
        <v>1618</v>
      </c>
      <c r="D277" s="1368">
        <v>700</v>
      </c>
    </row>
    <row r="278" spans="1:4" hidden="1" outlineLevel="2">
      <c r="A278" s="1358">
        <v>21</v>
      </c>
      <c r="B278" s="1359" t="s">
        <v>326</v>
      </c>
      <c r="C278" s="1360" t="s">
        <v>1618</v>
      </c>
      <c r="D278" s="1368">
        <v>700</v>
      </c>
    </row>
    <row r="279" spans="1:4" hidden="1" outlineLevel="2">
      <c r="A279" s="1358">
        <v>21</v>
      </c>
      <c r="B279" s="1359" t="s">
        <v>326</v>
      </c>
      <c r="C279" s="1360" t="s">
        <v>1618</v>
      </c>
      <c r="D279" s="1368">
        <v>700</v>
      </c>
    </row>
    <row r="280" spans="1:4" outlineLevel="1" collapsed="1">
      <c r="A280" s="1358">
        <f>SUBTOTAL(9,A276:A279)</f>
        <v>1416.5625</v>
      </c>
      <c r="B280" s="1359" t="s">
        <v>326</v>
      </c>
      <c r="C280" s="1360" t="s">
        <v>1888</v>
      </c>
      <c r="D280" s="1368">
        <v>700</v>
      </c>
    </row>
    <row r="281" spans="1:4" hidden="1" outlineLevel="2">
      <c r="A281" s="1358">
        <v>540.75</v>
      </c>
      <c r="B281" s="1359" t="s">
        <v>326</v>
      </c>
      <c r="C281" s="1360" t="s">
        <v>1619</v>
      </c>
      <c r="D281" s="1368">
        <v>700</v>
      </c>
    </row>
    <row r="282" spans="1:4" hidden="1" outlineLevel="2">
      <c r="A282" s="1358">
        <v>6</v>
      </c>
      <c r="B282" s="1359" t="s">
        <v>326</v>
      </c>
      <c r="C282" s="1360" t="s">
        <v>1619</v>
      </c>
      <c r="D282" s="1368">
        <v>700</v>
      </c>
    </row>
    <row r="283" spans="1:4" hidden="1" outlineLevel="2">
      <c r="A283" s="1358">
        <v>6</v>
      </c>
      <c r="B283" s="1359" t="s">
        <v>326</v>
      </c>
      <c r="C283" s="1360" t="s">
        <v>1619</v>
      </c>
      <c r="D283" s="1368">
        <v>700</v>
      </c>
    </row>
    <row r="284" spans="1:4" hidden="1" outlineLevel="2">
      <c r="A284" s="1358">
        <v>12</v>
      </c>
      <c r="B284" s="1359" t="s">
        <v>326</v>
      </c>
      <c r="C284" s="1360" t="s">
        <v>1619</v>
      </c>
      <c r="D284" s="1368">
        <v>700</v>
      </c>
    </row>
    <row r="285" spans="1:4" hidden="1" outlineLevel="2">
      <c r="A285" s="1358">
        <v>9</v>
      </c>
      <c r="B285" s="1359" t="s">
        <v>326</v>
      </c>
      <c r="C285" s="1360" t="s">
        <v>1619</v>
      </c>
      <c r="D285" s="1368">
        <v>700</v>
      </c>
    </row>
    <row r="286" spans="1:4" hidden="1" outlineLevel="2">
      <c r="A286" s="1358">
        <v>8</v>
      </c>
      <c r="B286" s="1359" t="s">
        <v>326</v>
      </c>
      <c r="C286" s="1360" t="s">
        <v>1619</v>
      </c>
      <c r="D286" s="1368">
        <v>700</v>
      </c>
    </row>
    <row r="287" spans="1:4" hidden="1" outlineLevel="2">
      <c r="A287" s="1358">
        <v>12</v>
      </c>
      <c r="B287" s="1359" t="s">
        <v>326</v>
      </c>
      <c r="C287" s="1360" t="s">
        <v>1619</v>
      </c>
      <c r="D287" s="1368">
        <v>700</v>
      </c>
    </row>
    <row r="288" spans="1:4" hidden="1" outlineLevel="2">
      <c r="A288" s="1358">
        <v>6</v>
      </c>
      <c r="B288" s="1359" t="s">
        <v>326</v>
      </c>
      <c r="C288" s="1360" t="s">
        <v>1619</v>
      </c>
      <c r="D288" s="1368">
        <v>700</v>
      </c>
    </row>
    <row r="289" spans="1:4" hidden="1" outlineLevel="2">
      <c r="A289" s="1358">
        <v>2</v>
      </c>
      <c r="B289" s="1359" t="s">
        <v>326</v>
      </c>
      <c r="C289" s="1360" t="s">
        <v>1619</v>
      </c>
      <c r="D289" s="1368">
        <v>700</v>
      </c>
    </row>
    <row r="290" spans="1:4" hidden="1" outlineLevel="2">
      <c r="A290" s="1358">
        <v>12</v>
      </c>
      <c r="B290" s="1359" t="s">
        <v>326</v>
      </c>
      <c r="C290" s="1360" t="s">
        <v>1619</v>
      </c>
      <c r="D290" s="1368">
        <v>700</v>
      </c>
    </row>
    <row r="291" spans="1:4" hidden="1" outlineLevel="2">
      <c r="A291" s="1358">
        <v>6</v>
      </c>
      <c r="B291" s="1359" t="s">
        <v>326</v>
      </c>
      <c r="C291" s="1360" t="s">
        <v>1619</v>
      </c>
      <c r="D291" s="1368">
        <v>700</v>
      </c>
    </row>
    <row r="292" spans="1:4" hidden="1" outlineLevel="2">
      <c r="A292" s="1358">
        <v>2</v>
      </c>
      <c r="B292" s="1359" t="s">
        <v>326</v>
      </c>
      <c r="C292" s="1360" t="s">
        <v>1619</v>
      </c>
      <c r="D292" s="1368">
        <v>700</v>
      </c>
    </row>
    <row r="293" spans="1:4" hidden="1" outlineLevel="2">
      <c r="A293" s="1358">
        <v>9</v>
      </c>
      <c r="B293" s="1359" t="s">
        <v>326</v>
      </c>
      <c r="C293" s="1360" t="s">
        <v>1619</v>
      </c>
      <c r="D293" s="1368">
        <v>700</v>
      </c>
    </row>
    <row r="294" spans="1:4" hidden="1" outlineLevel="2">
      <c r="A294" s="1358">
        <v>3</v>
      </c>
      <c r="B294" s="1359" t="s">
        <v>326</v>
      </c>
      <c r="C294" s="1360" t="s">
        <v>1619</v>
      </c>
      <c r="D294" s="1368">
        <v>700</v>
      </c>
    </row>
    <row r="295" spans="1:4" hidden="1" outlineLevel="2">
      <c r="A295" s="1358">
        <v>2</v>
      </c>
      <c r="B295" s="1359" t="s">
        <v>326</v>
      </c>
      <c r="C295" s="1360" t="s">
        <v>1619</v>
      </c>
      <c r="D295" s="1368">
        <v>700</v>
      </c>
    </row>
    <row r="296" spans="1:4" hidden="1" outlineLevel="2">
      <c r="A296" s="1358">
        <v>9</v>
      </c>
      <c r="B296" s="1359" t="s">
        <v>326</v>
      </c>
      <c r="C296" s="1360" t="s">
        <v>1619</v>
      </c>
      <c r="D296" s="1368">
        <v>700</v>
      </c>
    </row>
    <row r="297" spans="1:4" hidden="1" outlineLevel="2">
      <c r="A297" s="1358">
        <v>3</v>
      </c>
      <c r="B297" s="1359" t="s">
        <v>326</v>
      </c>
      <c r="C297" s="1360" t="s">
        <v>1619</v>
      </c>
      <c r="D297" s="1368">
        <v>700</v>
      </c>
    </row>
    <row r="298" spans="1:4" hidden="1" outlineLevel="2">
      <c r="A298" s="1358">
        <v>2</v>
      </c>
      <c r="B298" s="1359" t="s">
        <v>326</v>
      </c>
      <c r="C298" s="1360" t="s">
        <v>1619</v>
      </c>
      <c r="D298" s="1368">
        <v>700</v>
      </c>
    </row>
    <row r="299" spans="1:4" hidden="1" outlineLevel="2">
      <c r="A299" s="1358">
        <v>9</v>
      </c>
      <c r="B299" s="1359" t="s">
        <v>326</v>
      </c>
      <c r="C299" s="1360" t="s">
        <v>1619</v>
      </c>
      <c r="D299" s="1368">
        <v>700</v>
      </c>
    </row>
    <row r="300" spans="1:4" hidden="1" outlineLevel="2">
      <c r="A300" s="1358">
        <v>3</v>
      </c>
      <c r="B300" s="1359" t="s">
        <v>326</v>
      </c>
      <c r="C300" s="1360" t="s">
        <v>1619</v>
      </c>
      <c r="D300" s="1368">
        <v>700</v>
      </c>
    </row>
    <row r="301" spans="1:4" hidden="1" outlineLevel="2">
      <c r="A301" s="1358">
        <v>4</v>
      </c>
      <c r="B301" s="1359" t="s">
        <v>326</v>
      </c>
      <c r="C301" s="1360" t="s">
        <v>1619</v>
      </c>
      <c r="D301" s="1368">
        <v>700</v>
      </c>
    </row>
    <row r="302" spans="1:4" hidden="1" outlineLevel="2">
      <c r="A302" s="1358">
        <v>16</v>
      </c>
      <c r="B302" s="1359" t="s">
        <v>326</v>
      </c>
      <c r="C302" s="1360" t="s">
        <v>1619</v>
      </c>
      <c r="D302" s="1368">
        <v>700</v>
      </c>
    </row>
    <row r="303" spans="1:4" hidden="1" outlineLevel="2">
      <c r="A303" s="1358">
        <v>12</v>
      </c>
      <c r="B303" s="1359" t="s">
        <v>326</v>
      </c>
      <c r="C303" s="1360" t="s">
        <v>1619</v>
      </c>
      <c r="D303" s="1368">
        <v>700</v>
      </c>
    </row>
    <row r="304" spans="1:4" hidden="1" outlineLevel="2">
      <c r="A304" s="1358">
        <v>6</v>
      </c>
      <c r="B304" s="1359" t="s">
        <v>326</v>
      </c>
      <c r="C304" s="1360" t="s">
        <v>1619</v>
      </c>
      <c r="D304" s="1368">
        <v>700</v>
      </c>
    </row>
    <row r="305" spans="1:4" hidden="1" outlineLevel="2">
      <c r="A305" s="1358">
        <v>42</v>
      </c>
      <c r="B305" s="1359" t="s">
        <v>326</v>
      </c>
      <c r="C305" s="1360" t="s">
        <v>1619</v>
      </c>
      <c r="D305" s="1368">
        <v>700</v>
      </c>
    </row>
    <row r="306" spans="1:4" hidden="1" outlineLevel="2">
      <c r="A306" s="1358">
        <v>12</v>
      </c>
      <c r="B306" s="1359" t="s">
        <v>326</v>
      </c>
      <c r="C306" s="1360" t="s">
        <v>1619</v>
      </c>
      <c r="D306" s="1368">
        <v>700</v>
      </c>
    </row>
    <row r="307" spans="1:4" hidden="1" outlineLevel="2">
      <c r="A307" s="1358">
        <v>84</v>
      </c>
      <c r="B307" s="1359" t="s">
        <v>326</v>
      </c>
      <c r="C307" s="1360" t="s">
        <v>1619</v>
      </c>
      <c r="D307" s="1368">
        <v>700</v>
      </c>
    </row>
    <row r="308" spans="1:4" hidden="1" outlineLevel="2">
      <c r="A308" s="1358">
        <v>66</v>
      </c>
      <c r="B308" s="1359" t="s">
        <v>326</v>
      </c>
      <c r="C308" s="1360" t="s">
        <v>1619</v>
      </c>
      <c r="D308" s="1368">
        <v>700</v>
      </c>
    </row>
    <row r="309" spans="1:4" hidden="1" outlineLevel="2">
      <c r="A309" s="1358">
        <v>18</v>
      </c>
      <c r="B309" s="1359" t="s">
        <v>326</v>
      </c>
      <c r="C309" s="1360" t="s">
        <v>1619</v>
      </c>
      <c r="D309" s="1368">
        <v>700</v>
      </c>
    </row>
    <row r="310" spans="1:4" hidden="1" outlineLevel="2">
      <c r="A310" s="1358">
        <v>66</v>
      </c>
      <c r="B310" s="1359" t="s">
        <v>326</v>
      </c>
      <c r="C310" s="1360" t="s">
        <v>1619</v>
      </c>
      <c r="D310" s="1368">
        <v>700</v>
      </c>
    </row>
    <row r="311" spans="1:4" hidden="1" outlineLevel="2">
      <c r="A311" s="1358">
        <v>66</v>
      </c>
      <c r="B311" s="1359" t="s">
        <v>326</v>
      </c>
      <c r="C311" s="1360" t="s">
        <v>1619</v>
      </c>
      <c r="D311" s="1368">
        <v>700</v>
      </c>
    </row>
    <row r="312" spans="1:4" hidden="1" outlineLevel="2">
      <c r="A312" s="1358">
        <v>54</v>
      </c>
      <c r="B312" s="1359" t="s">
        <v>326</v>
      </c>
      <c r="C312" s="1360" t="s">
        <v>1619</v>
      </c>
      <c r="D312" s="1368">
        <v>700</v>
      </c>
    </row>
    <row r="313" spans="1:4" outlineLevel="1" collapsed="1">
      <c r="A313" s="1358">
        <f>SUBTOTAL(9,A281:A312)</f>
        <v>1107.75</v>
      </c>
      <c r="B313" s="1359" t="s">
        <v>326</v>
      </c>
      <c r="C313" s="1360" t="s">
        <v>1889</v>
      </c>
      <c r="D313" s="1368">
        <v>700</v>
      </c>
    </row>
    <row r="314" spans="1:4" hidden="1" outlineLevel="2">
      <c r="A314" s="1358">
        <v>3999.0000000000005</v>
      </c>
      <c r="B314" s="1359" t="s">
        <v>326</v>
      </c>
      <c r="C314" s="1360" t="s">
        <v>1620</v>
      </c>
      <c r="D314" s="1368">
        <v>700</v>
      </c>
    </row>
    <row r="315" spans="1:4" hidden="1" outlineLevel="2">
      <c r="A315" s="1358">
        <v>96</v>
      </c>
      <c r="B315" s="1359" t="s">
        <v>326</v>
      </c>
      <c r="C315" s="1360" t="s">
        <v>1620</v>
      </c>
      <c r="D315" s="1368">
        <v>700</v>
      </c>
    </row>
    <row r="316" spans="1:4" outlineLevel="1" collapsed="1">
      <c r="A316" s="1358">
        <f>SUBTOTAL(9,A314:A315)</f>
        <v>4095.0000000000005</v>
      </c>
      <c r="B316" s="1359" t="s">
        <v>326</v>
      </c>
      <c r="C316" s="1360" t="s">
        <v>1890</v>
      </c>
      <c r="D316" s="1368">
        <v>700</v>
      </c>
    </row>
    <row r="317" spans="1:4" hidden="1" outlineLevel="2">
      <c r="A317" s="1358">
        <v>3</v>
      </c>
      <c r="B317" s="1359" t="s">
        <v>949</v>
      </c>
      <c r="C317" s="1360" t="s">
        <v>1689</v>
      </c>
      <c r="D317" s="1368">
        <v>705</v>
      </c>
    </row>
    <row r="318" spans="1:4" outlineLevel="1" collapsed="1">
      <c r="A318" s="1358">
        <f>SUBTOTAL(9,A317:A317)</f>
        <v>3</v>
      </c>
      <c r="B318" s="1359" t="s">
        <v>949</v>
      </c>
      <c r="C318" s="1360" t="s">
        <v>1891</v>
      </c>
      <c r="D318" s="1368">
        <v>705</v>
      </c>
    </row>
    <row r="319" spans="1:4" hidden="1" outlineLevel="2">
      <c r="A319" s="1358">
        <v>3</v>
      </c>
      <c r="B319" s="1359" t="s">
        <v>949</v>
      </c>
      <c r="C319" s="1360" t="s">
        <v>1690</v>
      </c>
      <c r="D319" s="1368">
        <v>705</v>
      </c>
    </row>
    <row r="320" spans="1:4" hidden="1" outlineLevel="2">
      <c r="A320" s="1358">
        <v>2</v>
      </c>
      <c r="B320" s="1359" t="s">
        <v>949</v>
      </c>
      <c r="C320" s="1360" t="s">
        <v>1690</v>
      </c>
      <c r="D320" s="1368">
        <v>705</v>
      </c>
    </row>
    <row r="321" spans="1:4" hidden="1" outlineLevel="2">
      <c r="A321" s="1358">
        <v>4</v>
      </c>
      <c r="B321" s="1359" t="s">
        <v>949</v>
      </c>
      <c r="C321" s="1360" t="s">
        <v>1690</v>
      </c>
      <c r="D321" s="1368">
        <v>705</v>
      </c>
    </row>
    <row r="322" spans="1:4" outlineLevel="1" collapsed="1">
      <c r="A322" s="1358">
        <f>SUBTOTAL(9,A319:A321)</f>
        <v>9</v>
      </c>
      <c r="B322" s="1359" t="s">
        <v>949</v>
      </c>
      <c r="C322" s="1360" t="s">
        <v>1892</v>
      </c>
      <c r="D322" s="1368">
        <v>705</v>
      </c>
    </row>
    <row r="323" spans="1:4" hidden="1" outlineLevel="2">
      <c r="A323" s="1358">
        <v>6</v>
      </c>
      <c r="B323" s="1359" t="s">
        <v>949</v>
      </c>
      <c r="C323" s="1360" t="s">
        <v>1691</v>
      </c>
      <c r="D323" s="1368">
        <v>705</v>
      </c>
    </row>
    <row r="324" spans="1:4" hidden="1" outlineLevel="2">
      <c r="A324" s="1358">
        <v>4</v>
      </c>
      <c r="B324" s="1359" t="s">
        <v>949</v>
      </c>
      <c r="C324" s="1360" t="s">
        <v>1691</v>
      </c>
      <c r="D324" s="1368">
        <v>705</v>
      </c>
    </row>
    <row r="325" spans="1:4" hidden="1" outlineLevel="2">
      <c r="A325" s="1358">
        <v>6</v>
      </c>
      <c r="B325" s="1359" t="s">
        <v>949</v>
      </c>
      <c r="C325" s="1360" t="s">
        <v>1691</v>
      </c>
      <c r="D325" s="1368">
        <v>705</v>
      </c>
    </row>
    <row r="326" spans="1:4" hidden="1" outlineLevel="2">
      <c r="A326" s="1358">
        <v>6</v>
      </c>
      <c r="B326" s="1359" t="s">
        <v>949</v>
      </c>
      <c r="C326" s="1360" t="s">
        <v>1691</v>
      </c>
      <c r="D326" s="1368">
        <v>705</v>
      </c>
    </row>
    <row r="327" spans="1:4" hidden="1" outlineLevel="2">
      <c r="A327" s="1358">
        <v>6</v>
      </c>
      <c r="B327" s="1359" t="s">
        <v>949</v>
      </c>
      <c r="C327" s="1360" t="s">
        <v>1691</v>
      </c>
      <c r="D327" s="1368">
        <v>705</v>
      </c>
    </row>
    <row r="328" spans="1:4" hidden="1" outlineLevel="2">
      <c r="A328" s="1358">
        <v>6</v>
      </c>
      <c r="B328" s="1359" t="s">
        <v>949</v>
      </c>
      <c r="C328" s="1360" t="s">
        <v>1691</v>
      </c>
      <c r="D328" s="1368">
        <v>705</v>
      </c>
    </row>
    <row r="329" spans="1:4" hidden="1" outlineLevel="2">
      <c r="A329" s="1358">
        <v>10</v>
      </c>
      <c r="B329" s="1359" t="s">
        <v>949</v>
      </c>
      <c r="C329" s="1360" t="s">
        <v>1691</v>
      </c>
      <c r="D329" s="1368">
        <v>705</v>
      </c>
    </row>
    <row r="330" spans="1:4" outlineLevel="1" collapsed="1">
      <c r="A330" s="1358">
        <f>SUBTOTAL(9,A323:A329)</f>
        <v>44</v>
      </c>
      <c r="B330" s="1359" t="s">
        <v>949</v>
      </c>
      <c r="C330" s="1360" t="s">
        <v>1893</v>
      </c>
      <c r="D330" s="1368">
        <v>705</v>
      </c>
    </row>
    <row r="331" spans="1:4" hidden="1" outlineLevel="2">
      <c r="A331" s="1358">
        <v>6</v>
      </c>
      <c r="B331" s="1359" t="s">
        <v>949</v>
      </c>
      <c r="C331" s="1360" t="s">
        <v>1692</v>
      </c>
      <c r="D331" s="1368">
        <v>705</v>
      </c>
    </row>
    <row r="332" spans="1:4" hidden="1" outlineLevel="2">
      <c r="A332" s="1358">
        <v>1</v>
      </c>
      <c r="B332" s="1359" t="s">
        <v>949</v>
      </c>
      <c r="C332" s="1360" t="s">
        <v>1692</v>
      </c>
      <c r="D332" s="1368">
        <v>705</v>
      </c>
    </row>
    <row r="333" spans="1:4" hidden="1" outlineLevel="2">
      <c r="A333" s="1358">
        <v>8</v>
      </c>
      <c r="B333" s="1359" t="s">
        <v>949</v>
      </c>
      <c r="C333" s="1360" t="s">
        <v>1692</v>
      </c>
      <c r="D333" s="1368">
        <v>705</v>
      </c>
    </row>
    <row r="334" spans="1:4" hidden="1" outlineLevel="2">
      <c r="A334" s="1358">
        <v>8</v>
      </c>
      <c r="B334" s="1359" t="s">
        <v>949</v>
      </c>
      <c r="C334" s="1360" t="s">
        <v>1692</v>
      </c>
      <c r="D334" s="1368">
        <v>705</v>
      </c>
    </row>
    <row r="335" spans="1:4" hidden="1" outlineLevel="2">
      <c r="A335" s="1358">
        <v>7</v>
      </c>
      <c r="B335" s="1359" t="s">
        <v>949</v>
      </c>
      <c r="C335" s="1360" t="s">
        <v>1692</v>
      </c>
      <c r="D335" s="1368">
        <v>705</v>
      </c>
    </row>
    <row r="336" spans="1:4" hidden="1" outlineLevel="2">
      <c r="A336" s="1358">
        <v>7</v>
      </c>
      <c r="B336" s="1359" t="s">
        <v>949</v>
      </c>
      <c r="C336" s="1360" t="s">
        <v>1692</v>
      </c>
      <c r="D336" s="1368">
        <v>705</v>
      </c>
    </row>
    <row r="337" spans="1:4" hidden="1" outlineLevel="2">
      <c r="A337" s="1358">
        <v>11</v>
      </c>
      <c r="B337" s="1359" t="s">
        <v>949</v>
      </c>
      <c r="C337" s="1360" t="s">
        <v>1692</v>
      </c>
      <c r="D337" s="1368">
        <v>705</v>
      </c>
    </row>
    <row r="338" spans="1:4" outlineLevel="1" collapsed="1">
      <c r="A338" s="1358">
        <f>SUBTOTAL(9,A331:A337)</f>
        <v>48</v>
      </c>
      <c r="B338" s="1359" t="s">
        <v>949</v>
      </c>
      <c r="C338" s="1360" t="s">
        <v>1894</v>
      </c>
      <c r="D338" s="1368">
        <v>705</v>
      </c>
    </row>
    <row r="339" spans="1:4" hidden="1" outlineLevel="2">
      <c r="A339" s="1358">
        <v>2</v>
      </c>
      <c r="B339" s="1359" t="s">
        <v>949</v>
      </c>
      <c r="C339" s="1360" t="s">
        <v>1693</v>
      </c>
      <c r="D339" s="1368">
        <v>705</v>
      </c>
    </row>
    <row r="340" spans="1:4" hidden="1" outlineLevel="2">
      <c r="A340" s="1358">
        <v>8</v>
      </c>
      <c r="B340" s="1359" t="s">
        <v>949</v>
      </c>
      <c r="C340" s="1360" t="s">
        <v>1693</v>
      </c>
      <c r="D340" s="1368">
        <v>705</v>
      </c>
    </row>
    <row r="341" spans="1:4" hidden="1" outlineLevel="2">
      <c r="A341" s="1358">
        <v>8</v>
      </c>
      <c r="B341" s="1359" t="s">
        <v>949</v>
      </c>
      <c r="C341" s="1360" t="s">
        <v>1693</v>
      </c>
      <c r="D341" s="1368">
        <v>705</v>
      </c>
    </row>
    <row r="342" spans="1:4" hidden="1" outlineLevel="2">
      <c r="A342" s="1358">
        <v>2</v>
      </c>
      <c r="B342" s="1359" t="s">
        <v>949</v>
      </c>
      <c r="C342" s="1360" t="s">
        <v>1693</v>
      </c>
      <c r="D342" s="1368">
        <v>705</v>
      </c>
    </row>
    <row r="343" spans="1:4" outlineLevel="1" collapsed="1">
      <c r="A343" s="1358">
        <f>SUBTOTAL(9,A339:A342)</f>
        <v>20</v>
      </c>
      <c r="B343" s="1359" t="s">
        <v>949</v>
      </c>
      <c r="C343" s="1360" t="s">
        <v>1895</v>
      </c>
      <c r="D343" s="1368">
        <v>705</v>
      </c>
    </row>
    <row r="344" spans="1:4" hidden="1" outlineLevel="2">
      <c r="A344" s="1358">
        <v>10</v>
      </c>
      <c r="B344" s="1359" t="s">
        <v>949</v>
      </c>
      <c r="C344" s="1360" t="s">
        <v>1694</v>
      </c>
      <c r="D344" s="1368">
        <v>705</v>
      </c>
    </row>
    <row r="345" spans="1:4" hidden="1" outlineLevel="2">
      <c r="A345" s="1358">
        <v>1</v>
      </c>
      <c r="B345" s="1359" t="s">
        <v>949</v>
      </c>
      <c r="C345" s="1360" t="s">
        <v>1694</v>
      </c>
      <c r="D345" s="1368">
        <v>705</v>
      </c>
    </row>
    <row r="346" spans="1:4" outlineLevel="1" collapsed="1">
      <c r="A346" s="1358">
        <f>SUBTOTAL(9,A344:A345)</f>
        <v>11</v>
      </c>
      <c r="B346" s="1359" t="s">
        <v>949</v>
      </c>
      <c r="C346" s="1360" t="s">
        <v>1896</v>
      </c>
      <c r="D346" s="1368">
        <v>705</v>
      </c>
    </row>
    <row r="347" spans="1:4" hidden="1" outlineLevel="2">
      <c r="A347" s="1358">
        <v>3</v>
      </c>
      <c r="B347" s="1359" t="s">
        <v>949</v>
      </c>
      <c r="C347" s="1360" t="s">
        <v>1695</v>
      </c>
      <c r="D347" s="1368">
        <v>705</v>
      </c>
    </row>
    <row r="348" spans="1:4" hidden="1" outlineLevel="2">
      <c r="A348" s="1358">
        <v>18</v>
      </c>
      <c r="B348" s="1359" t="s">
        <v>949</v>
      </c>
      <c r="C348" s="1360" t="s">
        <v>1695</v>
      </c>
      <c r="D348" s="1368">
        <v>705</v>
      </c>
    </row>
    <row r="349" spans="1:4" hidden="1" outlineLevel="2">
      <c r="A349" s="1358">
        <v>2</v>
      </c>
      <c r="B349" s="1359" t="s">
        <v>949</v>
      </c>
      <c r="C349" s="1360" t="s">
        <v>1695</v>
      </c>
      <c r="D349" s="1368">
        <v>705</v>
      </c>
    </row>
    <row r="350" spans="1:4" hidden="1" outlineLevel="2">
      <c r="A350" s="1358">
        <v>8</v>
      </c>
      <c r="B350" s="1359" t="s">
        <v>949</v>
      </c>
      <c r="C350" s="1360" t="s">
        <v>1695</v>
      </c>
      <c r="D350" s="1368">
        <v>705</v>
      </c>
    </row>
    <row r="351" spans="1:4" hidden="1" outlineLevel="2">
      <c r="A351" s="1358">
        <v>8</v>
      </c>
      <c r="B351" s="1359" t="s">
        <v>949</v>
      </c>
      <c r="C351" s="1360" t="s">
        <v>1695</v>
      </c>
      <c r="D351" s="1368">
        <v>705</v>
      </c>
    </row>
    <row r="352" spans="1:4" hidden="1" outlineLevel="2">
      <c r="A352" s="1358">
        <v>4</v>
      </c>
      <c r="B352" s="1359" t="s">
        <v>949</v>
      </c>
      <c r="C352" s="1360" t="s">
        <v>1695</v>
      </c>
      <c r="D352" s="1368">
        <v>705</v>
      </c>
    </row>
    <row r="353" spans="1:4" hidden="1" outlineLevel="2">
      <c r="A353" s="1358">
        <v>4</v>
      </c>
      <c r="B353" s="1359" t="s">
        <v>949</v>
      </c>
      <c r="C353" s="1360" t="s">
        <v>1695</v>
      </c>
      <c r="D353" s="1368">
        <v>705</v>
      </c>
    </row>
    <row r="354" spans="1:4" hidden="1" outlineLevel="2">
      <c r="A354" s="1358">
        <v>5</v>
      </c>
      <c r="B354" s="1359" t="s">
        <v>949</v>
      </c>
      <c r="C354" s="1360" t="s">
        <v>1695</v>
      </c>
      <c r="D354" s="1368">
        <v>705</v>
      </c>
    </row>
    <row r="355" spans="1:4" outlineLevel="1" collapsed="1">
      <c r="A355" s="1358">
        <f>SUBTOTAL(9,A347:A354)</f>
        <v>52</v>
      </c>
      <c r="B355" s="1359" t="s">
        <v>949</v>
      </c>
      <c r="C355" s="1360" t="s">
        <v>1897</v>
      </c>
      <c r="D355" s="1368">
        <v>705</v>
      </c>
    </row>
    <row r="356" spans="1:4" hidden="1" outlineLevel="2">
      <c r="A356" s="1358">
        <v>6</v>
      </c>
      <c r="B356" s="1359" t="s">
        <v>949</v>
      </c>
      <c r="C356" s="1360" t="s">
        <v>1696</v>
      </c>
      <c r="D356" s="1368">
        <v>705</v>
      </c>
    </row>
    <row r="357" spans="1:4" hidden="1" outlineLevel="2">
      <c r="A357" s="1358">
        <v>7</v>
      </c>
      <c r="B357" s="1359" t="s">
        <v>949</v>
      </c>
      <c r="C357" s="1360" t="s">
        <v>1696</v>
      </c>
      <c r="D357" s="1368">
        <v>705</v>
      </c>
    </row>
    <row r="358" spans="1:4" hidden="1" outlineLevel="2">
      <c r="A358" s="1358">
        <v>5</v>
      </c>
      <c r="B358" s="1359" t="s">
        <v>949</v>
      </c>
      <c r="C358" s="1360" t="s">
        <v>1696</v>
      </c>
      <c r="D358" s="1368">
        <v>705</v>
      </c>
    </row>
    <row r="359" spans="1:4" hidden="1" outlineLevel="2">
      <c r="A359" s="1358">
        <v>5</v>
      </c>
      <c r="B359" s="1359" t="s">
        <v>949</v>
      </c>
      <c r="C359" s="1360" t="s">
        <v>1696</v>
      </c>
      <c r="D359" s="1368">
        <v>705</v>
      </c>
    </row>
    <row r="360" spans="1:4" hidden="1" outlineLevel="2">
      <c r="A360" s="1358">
        <v>5</v>
      </c>
      <c r="B360" s="1359" t="s">
        <v>949</v>
      </c>
      <c r="C360" s="1360" t="s">
        <v>1696</v>
      </c>
      <c r="D360" s="1368">
        <v>705</v>
      </c>
    </row>
    <row r="361" spans="1:4" hidden="1" outlineLevel="2">
      <c r="A361" s="1358">
        <v>6</v>
      </c>
      <c r="B361" s="1359" t="s">
        <v>949</v>
      </c>
      <c r="C361" s="1360" t="s">
        <v>1696</v>
      </c>
      <c r="D361" s="1368">
        <v>705</v>
      </c>
    </row>
    <row r="362" spans="1:4" hidden="1" outlineLevel="2">
      <c r="A362" s="1358">
        <v>3</v>
      </c>
      <c r="B362" s="1359" t="s">
        <v>949</v>
      </c>
      <c r="C362" s="1360" t="s">
        <v>1696</v>
      </c>
      <c r="D362" s="1368">
        <v>705</v>
      </c>
    </row>
    <row r="363" spans="1:4" outlineLevel="1" collapsed="1">
      <c r="A363" s="1358">
        <f>SUBTOTAL(9,A356:A362)</f>
        <v>37</v>
      </c>
      <c r="B363" s="1359" t="s">
        <v>949</v>
      </c>
      <c r="C363" s="1360" t="s">
        <v>1898</v>
      </c>
      <c r="D363" s="1368">
        <v>705</v>
      </c>
    </row>
    <row r="364" spans="1:4" hidden="1" outlineLevel="2">
      <c r="A364" s="1358">
        <v>1</v>
      </c>
      <c r="B364" s="1359" t="s">
        <v>949</v>
      </c>
      <c r="C364" s="1360" t="s">
        <v>1697</v>
      </c>
      <c r="D364" s="1368">
        <v>705</v>
      </c>
    </row>
    <row r="365" spans="1:4" hidden="1" outlineLevel="2">
      <c r="A365" s="1358">
        <v>1</v>
      </c>
      <c r="B365" s="1359" t="s">
        <v>949</v>
      </c>
      <c r="C365" s="1360" t="s">
        <v>1697</v>
      </c>
      <c r="D365" s="1368">
        <v>705</v>
      </c>
    </row>
    <row r="366" spans="1:4" outlineLevel="1" collapsed="1">
      <c r="A366" s="1358">
        <f>SUBTOTAL(9,A364:A365)</f>
        <v>2</v>
      </c>
      <c r="B366" s="1359" t="s">
        <v>949</v>
      </c>
      <c r="C366" s="1360" t="s">
        <v>1899</v>
      </c>
      <c r="D366" s="1368">
        <v>705</v>
      </c>
    </row>
    <row r="367" spans="1:4" hidden="1" outlineLevel="2">
      <c r="A367" s="1358">
        <v>1</v>
      </c>
      <c r="B367" s="1359" t="s">
        <v>949</v>
      </c>
      <c r="C367" s="1360" t="s">
        <v>1698</v>
      </c>
      <c r="D367" s="1368">
        <v>705</v>
      </c>
    </row>
    <row r="368" spans="1:4" outlineLevel="1" collapsed="1">
      <c r="A368" s="1358">
        <f>SUBTOTAL(9,A367:A367)</f>
        <v>1</v>
      </c>
      <c r="B368" s="1359" t="s">
        <v>949</v>
      </c>
      <c r="C368" s="1360" t="s">
        <v>1900</v>
      </c>
      <c r="D368" s="1368">
        <v>705</v>
      </c>
    </row>
    <row r="369" spans="1:4" hidden="1" outlineLevel="2">
      <c r="A369" s="1358">
        <v>1</v>
      </c>
      <c r="B369" s="1359" t="s">
        <v>949</v>
      </c>
      <c r="C369" s="1360" t="s">
        <v>1699</v>
      </c>
      <c r="D369" s="1368">
        <v>705</v>
      </c>
    </row>
    <row r="370" spans="1:4" hidden="1" outlineLevel="2">
      <c r="A370" s="1358">
        <v>1</v>
      </c>
      <c r="B370" s="1359" t="s">
        <v>949</v>
      </c>
      <c r="C370" s="1360" t="s">
        <v>1699</v>
      </c>
      <c r="D370" s="1368">
        <v>705</v>
      </c>
    </row>
    <row r="371" spans="1:4" outlineLevel="1" collapsed="1">
      <c r="A371" s="1358">
        <f>SUBTOTAL(9,A369:A370)</f>
        <v>2</v>
      </c>
      <c r="B371" s="1359" t="s">
        <v>949</v>
      </c>
      <c r="C371" s="1360" t="s">
        <v>1901</v>
      </c>
      <c r="D371" s="1368">
        <v>705</v>
      </c>
    </row>
    <row r="372" spans="1:4" hidden="1" outlineLevel="2">
      <c r="A372" s="1358">
        <v>9</v>
      </c>
      <c r="B372" s="1359" t="s">
        <v>949</v>
      </c>
      <c r="C372" s="1360" t="s">
        <v>1700</v>
      </c>
      <c r="D372" s="1368">
        <v>705</v>
      </c>
    </row>
    <row r="373" spans="1:4" hidden="1" outlineLevel="2">
      <c r="A373" s="1358">
        <v>11</v>
      </c>
      <c r="B373" s="1359" t="s">
        <v>949</v>
      </c>
      <c r="C373" s="1360" t="s">
        <v>1700</v>
      </c>
      <c r="D373" s="1368">
        <v>705</v>
      </c>
    </row>
    <row r="374" spans="1:4" hidden="1" outlineLevel="2">
      <c r="A374" s="1358">
        <v>11</v>
      </c>
      <c r="B374" s="1359" t="s">
        <v>949</v>
      </c>
      <c r="C374" s="1360" t="s">
        <v>1700</v>
      </c>
      <c r="D374" s="1368">
        <v>705</v>
      </c>
    </row>
    <row r="375" spans="1:4" hidden="1" outlineLevel="2">
      <c r="A375" s="1358">
        <v>7</v>
      </c>
      <c r="B375" s="1359" t="s">
        <v>949</v>
      </c>
      <c r="C375" s="1360" t="s">
        <v>1700</v>
      </c>
      <c r="D375" s="1368">
        <v>705</v>
      </c>
    </row>
    <row r="376" spans="1:4" outlineLevel="1" collapsed="1">
      <c r="A376" s="1358">
        <f>SUBTOTAL(9,A372:A375)</f>
        <v>38</v>
      </c>
      <c r="B376" s="1359" t="s">
        <v>949</v>
      </c>
      <c r="C376" s="1360" t="s">
        <v>1902</v>
      </c>
      <c r="D376" s="1368">
        <v>705</v>
      </c>
    </row>
    <row r="377" spans="1:4" hidden="1" outlineLevel="2">
      <c r="A377" s="1358">
        <v>16</v>
      </c>
      <c r="B377" s="1359" t="s">
        <v>949</v>
      </c>
      <c r="C377" s="1360" t="s">
        <v>1701</v>
      </c>
      <c r="D377" s="1368">
        <v>705</v>
      </c>
    </row>
    <row r="378" spans="1:4" outlineLevel="1" collapsed="1">
      <c r="A378" s="1358">
        <f>SUBTOTAL(9,A377:A377)</f>
        <v>16</v>
      </c>
      <c r="B378" s="1359" t="s">
        <v>949</v>
      </c>
      <c r="C378" s="1360" t="s">
        <v>1903</v>
      </c>
      <c r="D378" s="1368">
        <v>705</v>
      </c>
    </row>
    <row r="379" spans="1:4" hidden="1" outlineLevel="2">
      <c r="A379" s="1358">
        <v>65</v>
      </c>
      <c r="B379" s="1359" t="s">
        <v>949</v>
      </c>
      <c r="C379" s="1360" t="s">
        <v>1702</v>
      </c>
      <c r="D379" s="1368">
        <v>705</v>
      </c>
    </row>
    <row r="380" spans="1:4" outlineLevel="1" collapsed="1">
      <c r="A380" s="1358">
        <f>SUBTOTAL(9,A379:A379)</f>
        <v>65</v>
      </c>
      <c r="B380" s="1359" t="s">
        <v>949</v>
      </c>
      <c r="C380" s="1360" t="s">
        <v>1904</v>
      </c>
      <c r="D380" s="1368">
        <v>705</v>
      </c>
    </row>
    <row r="381" spans="1:4" hidden="1" outlineLevel="2">
      <c r="A381" s="1358">
        <v>3</v>
      </c>
      <c r="B381" s="1359" t="s">
        <v>949</v>
      </c>
      <c r="C381" s="1360" t="s">
        <v>1703</v>
      </c>
      <c r="D381" s="1368">
        <v>705</v>
      </c>
    </row>
    <row r="382" spans="1:4" hidden="1" outlineLevel="2">
      <c r="A382" s="1358">
        <v>3</v>
      </c>
      <c r="B382" s="1359" t="s">
        <v>949</v>
      </c>
      <c r="C382" s="1360" t="s">
        <v>1703</v>
      </c>
      <c r="D382" s="1368">
        <v>705</v>
      </c>
    </row>
    <row r="383" spans="1:4" hidden="1" outlineLevel="2">
      <c r="A383" s="1358">
        <v>3</v>
      </c>
      <c r="B383" s="1359" t="s">
        <v>949</v>
      </c>
      <c r="C383" s="1360" t="s">
        <v>1703</v>
      </c>
      <c r="D383" s="1368">
        <v>705</v>
      </c>
    </row>
    <row r="384" spans="1:4" hidden="1" outlineLevel="2">
      <c r="A384" s="1358">
        <v>3</v>
      </c>
      <c r="B384" s="1359" t="s">
        <v>949</v>
      </c>
      <c r="C384" s="1360" t="s">
        <v>1703</v>
      </c>
      <c r="D384" s="1368">
        <v>705</v>
      </c>
    </row>
    <row r="385" spans="1:4" hidden="1" outlineLevel="2">
      <c r="A385" s="1358">
        <v>2</v>
      </c>
      <c r="B385" s="1359" t="s">
        <v>949</v>
      </c>
      <c r="C385" s="1360" t="s">
        <v>1703</v>
      </c>
      <c r="D385" s="1368">
        <v>705</v>
      </c>
    </row>
    <row r="386" spans="1:4" outlineLevel="1" collapsed="1">
      <c r="A386" s="1358">
        <f>SUBTOTAL(9,A381:A385)</f>
        <v>14</v>
      </c>
      <c r="B386" s="1359" t="s">
        <v>949</v>
      </c>
      <c r="C386" s="1360" t="s">
        <v>1905</v>
      </c>
      <c r="D386" s="1368">
        <v>705</v>
      </c>
    </row>
    <row r="387" spans="1:4" hidden="1" outlineLevel="2">
      <c r="A387" s="1358">
        <v>2</v>
      </c>
      <c r="B387" s="1359" t="s">
        <v>949</v>
      </c>
      <c r="C387" s="1360" t="s">
        <v>1704</v>
      </c>
      <c r="D387" s="1368">
        <v>705</v>
      </c>
    </row>
    <row r="388" spans="1:4" hidden="1" outlineLevel="2">
      <c r="A388" s="1358">
        <v>9</v>
      </c>
      <c r="B388" s="1359" t="s">
        <v>949</v>
      </c>
      <c r="C388" s="1360" t="s">
        <v>1704</v>
      </c>
      <c r="D388" s="1368">
        <v>705</v>
      </c>
    </row>
    <row r="389" spans="1:4" hidden="1" outlineLevel="2">
      <c r="A389" s="1358">
        <v>9</v>
      </c>
      <c r="B389" s="1359" t="s">
        <v>949</v>
      </c>
      <c r="C389" s="1360" t="s">
        <v>1704</v>
      </c>
      <c r="D389" s="1368">
        <v>705</v>
      </c>
    </row>
    <row r="390" spans="1:4" hidden="1" outlineLevel="2">
      <c r="A390" s="1358">
        <v>11</v>
      </c>
      <c r="B390" s="1359" t="s">
        <v>949</v>
      </c>
      <c r="C390" s="1360" t="s">
        <v>1704</v>
      </c>
      <c r="D390" s="1368">
        <v>705</v>
      </c>
    </row>
    <row r="391" spans="1:4" outlineLevel="1" collapsed="1">
      <c r="A391" s="1358">
        <f>SUBTOTAL(9,A387:A390)</f>
        <v>31</v>
      </c>
      <c r="B391" s="1359" t="s">
        <v>949</v>
      </c>
      <c r="C391" s="1360" t="s">
        <v>1906</v>
      </c>
      <c r="D391" s="1368">
        <v>705</v>
      </c>
    </row>
    <row r="392" spans="1:4" hidden="1" outlineLevel="2">
      <c r="A392" s="1358">
        <v>2</v>
      </c>
      <c r="B392" s="1359" t="s">
        <v>949</v>
      </c>
      <c r="C392" s="1360" t="s">
        <v>1705</v>
      </c>
      <c r="D392" s="1368">
        <v>705</v>
      </c>
    </row>
    <row r="393" spans="1:4" outlineLevel="1" collapsed="1">
      <c r="A393" s="1358">
        <f>SUBTOTAL(9,A392:A392)</f>
        <v>2</v>
      </c>
      <c r="B393" s="1359" t="s">
        <v>949</v>
      </c>
      <c r="C393" s="1360" t="s">
        <v>1907</v>
      </c>
      <c r="D393" s="1368">
        <v>705</v>
      </c>
    </row>
    <row r="394" spans="1:4" hidden="1" outlineLevel="2">
      <c r="A394" s="1358">
        <v>3</v>
      </c>
      <c r="B394" s="1359" t="s">
        <v>949</v>
      </c>
      <c r="C394" s="1360" t="s">
        <v>1706</v>
      </c>
      <c r="D394" s="1368">
        <v>705</v>
      </c>
    </row>
    <row r="395" spans="1:4" outlineLevel="1" collapsed="1">
      <c r="A395" s="1358">
        <f>SUBTOTAL(9,A394:A394)</f>
        <v>3</v>
      </c>
      <c r="B395" s="1359" t="s">
        <v>949</v>
      </c>
      <c r="C395" s="1360" t="s">
        <v>1908</v>
      </c>
      <c r="D395" s="1368">
        <v>705</v>
      </c>
    </row>
    <row r="396" spans="1:4" hidden="1" outlineLevel="2">
      <c r="A396" s="1358">
        <v>1</v>
      </c>
      <c r="B396" s="1359" t="s">
        <v>949</v>
      </c>
      <c r="C396" s="1360" t="s">
        <v>1707</v>
      </c>
      <c r="D396" s="1368">
        <v>705</v>
      </c>
    </row>
    <row r="397" spans="1:4" outlineLevel="1" collapsed="1">
      <c r="A397" s="1358">
        <f>SUBTOTAL(9,A396:A396)</f>
        <v>1</v>
      </c>
      <c r="B397" s="1359" t="s">
        <v>949</v>
      </c>
      <c r="C397" s="1360" t="s">
        <v>1909</v>
      </c>
      <c r="D397" s="1368">
        <v>705</v>
      </c>
    </row>
    <row r="398" spans="1:4" hidden="1" outlineLevel="2">
      <c r="A398" s="1358">
        <v>9</v>
      </c>
      <c r="B398" s="1359" t="s">
        <v>949</v>
      </c>
      <c r="C398" s="1360" t="s">
        <v>1708</v>
      </c>
      <c r="D398" s="1368">
        <v>705</v>
      </c>
    </row>
    <row r="399" spans="1:4" hidden="1" outlineLevel="2">
      <c r="A399" s="1358">
        <v>8</v>
      </c>
      <c r="B399" s="1359" t="s">
        <v>949</v>
      </c>
      <c r="C399" s="1360" t="s">
        <v>1708</v>
      </c>
      <c r="D399" s="1368">
        <v>705</v>
      </c>
    </row>
    <row r="400" spans="1:4" hidden="1" outlineLevel="2">
      <c r="A400" s="1358">
        <v>9</v>
      </c>
      <c r="B400" s="1359" t="s">
        <v>949</v>
      </c>
      <c r="C400" s="1360" t="s">
        <v>1708</v>
      </c>
      <c r="D400" s="1368">
        <v>705</v>
      </c>
    </row>
    <row r="401" spans="1:4" hidden="1" outlineLevel="2">
      <c r="A401" s="1358">
        <v>9</v>
      </c>
      <c r="B401" s="1359" t="s">
        <v>949</v>
      </c>
      <c r="C401" s="1360" t="s">
        <v>1708</v>
      </c>
      <c r="D401" s="1368">
        <v>705</v>
      </c>
    </row>
    <row r="402" spans="1:4" hidden="1" outlineLevel="2">
      <c r="A402" s="1358">
        <v>6</v>
      </c>
      <c r="B402" s="1359" t="s">
        <v>949</v>
      </c>
      <c r="C402" s="1360" t="s">
        <v>1708</v>
      </c>
      <c r="D402" s="1368">
        <v>705</v>
      </c>
    </row>
    <row r="403" spans="1:4" outlineLevel="1" collapsed="1">
      <c r="A403" s="1358">
        <f>SUBTOTAL(9,A398:A402)</f>
        <v>41</v>
      </c>
      <c r="B403" s="1359" t="s">
        <v>949</v>
      </c>
      <c r="C403" s="1360" t="s">
        <v>1910</v>
      </c>
      <c r="D403" s="1368">
        <v>705</v>
      </c>
    </row>
    <row r="404" spans="1:4" hidden="1" outlineLevel="2">
      <c r="A404" s="1358">
        <v>10</v>
      </c>
      <c r="B404" s="1359" t="s">
        <v>949</v>
      </c>
      <c r="C404" s="1360" t="s">
        <v>1709</v>
      </c>
      <c r="D404" s="1368">
        <v>705</v>
      </c>
    </row>
    <row r="405" spans="1:4" hidden="1" outlineLevel="2">
      <c r="A405" s="1358">
        <v>9</v>
      </c>
      <c r="B405" s="1359" t="s">
        <v>949</v>
      </c>
      <c r="C405" s="1360" t="s">
        <v>1709</v>
      </c>
      <c r="D405" s="1368">
        <v>705</v>
      </c>
    </row>
    <row r="406" spans="1:4" hidden="1" outlineLevel="2">
      <c r="A406" s="1358">
        <v>9</v>
      </c>
      <c r="B406" s="1359" t="s">
        <v>949</v>
      </c>
      <c r="C406" s="1360" t="s">
        <v>1709</v>
      </c>
      <c r="D406" s="1368">
        <v>705</v>
      </c>
    </row>
    <row r="407" spans="1:4" hidden="1" outlineLevel="2">
      <c r="A407" s="1358">
        <v>9</v>
      </c>
      <c r="B407" s="1359" t="s">
        <v>949</v>
      </c>
      <c r="C407" s="1360" t="s">
        <v>1709</v>
      </c>
      <c r="D407" s="1368">
        <v>705</v>
      </c>
    </row>
    <row r="408" spans="1:4" hidden="1" outlineLevel="2">
      <c r="A408" s="1358">
        <v>6</v>
      </c>
      <c r="B408" s="1359" t="s">
        <v>949</v>
      </c>
      <c r="C408" s="1360" t="s">
        <v>1709</v>
      </c>
      <c r="D408" s="1368">
        <v>705</v>
      </c>
    </row>
    <row r="409" spans="1:4" ht="26.4" outlineLevel="1" collapsed="1">
      <c r="A409" s="1362">
        <f>SUBTOTAL(9,A404:A408)</f>
        <v>43</v>
      </c>
      <c r="B409" s="1363" t="s">
        <v>949</v>
      </c>
      <c r="C409" s="1364" t="s">
        <v>1911</v>
      </c>
      <c r="D409" s="1369">
        <v>705</v>
      </c>
    </row>
    <row r="410" spans="1:4" hidden="1" outlineLevel="2">
      <c r="A410" s="1358">
        <v>9.4539007092198588</v>
      </c>
      <c r="B410" s="1359" t="s">
        <v>949</v>
      </c>
      <c r="C410" s="1360" t="s">
        <v>1710</v>
      </c>
      <c r="D410" s="1368">
        <v>705</v>
      </c>
    </row>
    <row r="411" spans="1:4" outlineLevel="1" collapsed="1">
      <c r="A411" s="1358">
        <f>SUBTOTAL(9,A410:A410)</f>
        <v>9.4539007092198588</v>
      </c>
      <c r="B411" s="1359" t="s">
        <v>949</v>
      </c>
      <c r="C411" s="1360" t="s">
        <v>1912</v>
      </c>
      <c r="D411" s="1368">
        <v>705</v>
      </c>
    </row>
    <row r="412" spans="1:4" hidden="1" outlineLevel="2">
      <c r="A412" s="1358">
        <v>3</v>
      </c>
      <c r="B412" s="1359" t="s">
        <v>949</v>
      </c>
      <c r="C412" s="1360" t="s">
        <v>1711</v>
      </c>
      <c r="D412" s="1368">
        <v>705</v>
      </c>
    </row>
    <row r="413" spans="1:4" hidden="1" outlineLevel="2">
      <c r="A413" s="1358">
        <v>3</v>
      </c>
      <c r="B413" s="1359" t="s">
        <v>949</v>
      </c>
      <c r="C413" s="1360" t="s">
        <v>1711</v>
      </c>
      <c r="D413" s="1368">
        <v>705</v>
      </c>
    </row>
    <row r="414" spans="1:4" hidden="1" outlineLevel="2">
      <c r="A414" s="1358">
        <v>3</v>
      </c>
      <c r="B414" s="1359" t="s">
        <v>949</v>
      </c>
      <c r="C414" s="1360" t="s">
        <v>1711</v>
      </c>
      <c r="D414" s="1368">
        <v>705</v>
      </c>
    </row>
    <row r="415" spans="1:4" hidden="1" outlineLevel="2">
      <c r="A415" s="1358">
        <v>3</v>
      </c>
      <c r="B415" s="1359" t="s">
        <v>949</v>
      </c>
      <c r="C415" s="1360" t="s">
        <v>1711</v>
      </c>
      <c r="D415" s="1368">
        <v>705</v>
      </c>
    </row>
    <row r="416" spans="1:4" hidden="1" outlineLevel="2">
      <c r="A416" s="1358">
        <v>1</v>
      </c>
      <c r="B416" s="1359" t="s">
        <v>949</v>
      </c>
      <c r="C416" s="1360" t="s">
        <v>1711</v>
      </c>
      <c r="D416" s="1368">
        <v>705</v>
      </c>
    </row>
    <row r="417" spans="1:4" outlineLevel="1" collapsed="1">
      <c r="A417" s="1358">
        <f>SUBTOTAL(9,A412:A416)</f>
        <v>13</v>
      </c>
      <c r="B417" s="1359" t="s">
        <v>949</v>
      </c>
      <c r="C417" s="1360" t="s">
        <v>1913</v>
      </c>
      <c r="D417" s="1368">
        <v>705</v>
      </c>
    </row>
    <row r="418" spans="1:4" hidden="1" outlineLevel="2">
      <c r="A418" s="1358">
        <v>28.361702127659576</v>
      </c>
      <c r="B418" s="1359" t="s">
        <v>949</v>
      </c>
      <c r="C418" s="1360" t="s">
        <v>1712</v>
      </c>
      <c r="D418" s="1368">
        <v>705</v>
      </c>
    </row>
    <row r="419" spans="1:4" outlineLevel="1" collapsed="1">
      <c r="A419" s="1358">
        <f>SUBTOTAL(9,A418:A418)</f>
        <v>28.361702127659576</v>
      </c>
      <c r="B419" s="1359" t="s">
        <v>949</v>
      </c>
      <c r="C419" s="1360" t="s">
        <v>1914</v>
      </c>
      <c r="D419" s="1368">
        <v>705</v>
      </c>
    </row>
    <row r="420" spans="1:4" hidden="1" outlineLevel="2">
      <c r="A420" s="1358">
        <v>28.361702127659576</v>
      </c>
      <c r="B420" s="1359" t="s">
        <v>949</v>
      </c>
      <c r="C420" s="1360" t="s">
        <v>1713</v>
      </c>
      <c r="D420" s="1368">
        <v>705</v>
      </c>
    </row>
    <row r="421" spans="1:4" outlineLevel="1" collapsed="1">
      <c r="A421" s="1358">
        <f>SUBTOTAL(9,A420:A420)</f>
        <v>28.361702127659576</v>
      </c>
      <c r="B421" s="1359" t="s">
        <v>949</v>
      </c>
      <c r="C421" s="1360" t="s">
        <v>1915</v>
      </c>
      <c r="D421" s="1368">
        <v>705</v>
      </c>
    </row>
    <row r="422" spans="1:4" hidden="1" outlineLevel="2">
      <c r="A422" s="1358">
        <v>1</v>
      </c>
      <c r="B422" s="1359" t="s">
        <v>949</v>
      </c>
      <c r="C422" s="1360" t="s">
        <v>1714</v>
      </c>
      <c r="D422" s="1368">
        <v>706</v>
      </c>
    </row>
    <row r="423" spans="1:4" hidden="1" outlineLevel="2">
      <c r="A423" s="1358">
        <v>1</v>
      </c>
      <c r="B423" s="1359" t="s">
        <v>949</v>
      </c>
      <c r="C423" s="1360" t="s">
        <v>1714</v>
      </c>
      <c r="D423" s="1368">
        <v>706</v>
      </c>
    </row>
    <row r="424" spans="1:4" hidden="1" outlineLevel="2">
      <c r="A424" s="1358">
        <v>1</v>
      </c>
      <c r="B424" s="1359" t="s">
        <v>949</v>
      </c>
      <c r="C424" s="1360" t="s">
        <v>1714</v>
      </c>
      <c r="D424" s="1368">
        <v>706</v>
      </c>
    </row>
    <row r="425" spans="1:4" hidden="1" outlineLevel="2">
      <c r="A425" s="1358">
        <v>1</v>
      </c>
      <c r="B425" s="1359" t="s">
        <v>949</v>
      </c>
      <c r="C425" s="1360" t="s">
        <v>1714</v>
      </c>
      <c r="D425" s="1368">
        <v>706</v>
      </c>
    </row>
    <row r="426" spans="1:4" outlineLevel="1" collapsed="1">
      <c r="A426" s="1358">
        <f>SUBTOTAL(9,A422:A425)</f>
        <v>4</v>
      </c>
      <c r="B426" s="1359" t="s">
        <v>949</v>
      </c>
      <c r="C426" s="1360" t="s">
        <v>1916</v>
      </c>
      <c r="D426" s="1368">
        <v>706</v>
      </c>
    </row>
    <row r="427" spans="1:4" hidden="1" outlineLevel="2">
      <c r="A427" s="1358">
        <v>1</v>
      </c>
      <c r="B427" s="1359" t="s">
        <v>949</v>
      </c>
      <c r="C427" s="1360" t="s">
        <v>1715</v>
      </c>
      <c r="D427" s="1368">
        <v>706</v>
      </c>
    </row>
    <row r="428" spans="1:4" outlineLevel="1" collapsed="1">
      <c r="A428" s="1358">
        <f>SUBTOTAL(9,A427:A427)</f>
        <v>1</v>
      </c>
      <c r="B428" s="1359" t="s">
        <v>949</v>
      </c>
      <c r="C428" s="1360" t="s">
        <v>1917</v>
      </c>
      <c r="D428" s="1368">
        <v>706</v>
      </c>
    </row>
    <row r="429" spans="1:4" hidden="1" outlineLevel="2">
      <c r="A429" s="1358">
        <v>1</v>
      </c>
      <c r="B429" s="1359" t="s">
        <v>949</v>
      </c>
      <c r="C429" s="1360" t="s">
        <v>1716</v>
      </c>
      <c r="D429" s="1368">
        <v>706</v>
      </c>
    </row>
    <row r="430" spans="1:4" outlineLevel="1" collapsed="1">
      <c r="A430" s="1358">
        <f>SUBTOTAL(9,A429:A429)</f>
        <v>1</v>
      </c>
      <c r="B430" s="1359" t="s">
        <v>949</v>
      </c>
      <c r="C430" s="1360" t="s">
        <v>1918</v>
      </c>
      <c r="D430" s="1368">
        <v>706</v>
      </c>
    </row>
    <row r="431" spans="1:4" hidden="1" outlineLevel="2">
      <c r="A431" s="1358">
        <v>1</v>
      </c>
      <c r="B431" s="1359" t="s">
        <v>949</v>
      </c>
      <c r="C431" s="1360" t="s">
        <v>1717</v>
      </c>
      <c r="D431" s="1368">
        <v>706</v>
      </c>
    </row>
    <row r="432" spans="1:4" outlineLevel="1" collapsed="1">
      <c r="A432" s="1358">
        <f>SUBTOTAL(9,A431:A431)</f>
        <v>1</v>
      </c>
      <c r="B432" s="1359" t="s">
        <v>949</v>
      </c>
      <c r="C432" s="1360" t="s">
        <v>1919</v>
      </c>
      <c r="D432" s="1368">
        <v>706</v>
      </c>
    </row>
    <row r="433" spans="1:4" hidden="1" outlineLevel="2">
      <c r="A433" s="1358">
        <v>1</v>
      </c>
      <c r="B433" s="1359" t="s">
        <v>949</v>
      </c>
      <c r="C433" s="1360" t="s">
        <v>1718</v>
      </c>
      <c r="D433" s="1368">
        <v>706</v>
      </c>
    </row>
    <row r="434" spans="1:4" outlineLevel="1" collapsed="1">
      <c r="A434" s="1358">
        <f>SUBTOTAL(9,A433:A433)</f>
        <v>1</v>
      </c>
      <c r="B434" s="1359" t="s">
        <v>949</v>
      </c>
      <c r="C434" s="1360" t="s">
        <v>1920</v>
      </c>
      <c r="D434" s="1368">
        <v>706</v>
      </c>
    </row>
    <row r="435" spans="1:4" hidden="1" outlineLevel="2">
      <c r="A435" s="1358">
        <v>1</v>
      </c>
      <c r="B435" s="1359" t="s">
        <v>949</v>
      </c>
      <c r="C435" s="1360" t="s">
        <v>1719</v>
      </c>
      <c r="D435" s="1368">
        <v>706</v>
      </c>
    </row>
    <row r="436" spans="1:4" outlineLevel="1" collapsed="1">
      <c r="A436" s="1358">
        <f>SUBTOTAL(9,A435:A435)</f>
        <v>1</v>
      </c>
      <c r="B436" s="1359" t="s">
        <v>949</v>
      </c>
      <c r="C436" s="1360" t="s">
        <v>1921</v>
      </c>
      <c r="D436" s="1368">
        <v>706</v>
      </c>
    </row>
    <row r="437" spans="1:4" hidden="1" outlineLevel="2">
      <c r="A437" s="1358">
        <v>1</v>
      </c>
      <c r="B437" s="1359" t="s">
        <v>949</v>
      </c>
      <c r="C437" s="1360" t="s">
        <v>1720</v>
      </c>
      <c r="D437" s="1368">
        <v>706</v>
      </c>
    </row>
    <row r="438" spans="1:4" outlineLevel="1" collapsed="1">
      <c r="A438" s="1358">
        <f>SUBTOTAL(9,A437:A437)</f>
        <v>1</v>
      </c>
      <c r="B438" s="1359" t="s">
        <v>949</v>
      </c>
      <c r="C438" s="1360" t="s">
        <v>1922</v>
      </c>
      <c r="D438" s="1368">
        <v>706</v>
      </c>
    </row>
    <row r="439" spans="1:4" hidden="1" outlineLevel="2">
      <c r="A439" s="1358">
        <v>3</v>
      </c>
      <c r="B439" s="1359" t="s">
        <v>949</v>
      </c>
      <c r="C439" s="1360" t="s">
        <v>1721</v>
      </c>
      <c r="D439" s="1368">
        <v>706</v>
      </c>
    </row>
    <row r="440" spans="1:4" hidden="1" outlineLevel="2">
      <c r="A440" s="1358">
        <v>3</v>
      </c>
      <c r="B440" s="1359" t="s">
        <v>949</v>
      </c>
      <c r="C440" s="1360" t="s">
        <v>1721</v>
      </c>
      <c r="D440" s="1368">
        <v>706</v>
      </c>
    </row>
    <row r="441" spans="1:4" hidden="1" outlineLevel="2">
      <c r="A441" s="1358">
        <v>3</v>
      </c>
      <c r="B441" s="1359" t="s">
        <v>949</v>
      </c>
      <c r="C441" s="1360" t="s">
        <v>1721</v>
      </c>
      <c r="D441" s="1368">
        <v>706</v>
      </c>
    </row>
    <row r="442" spans="1:4" hidden="1" outlineLevel="2">
      <c r="A442" s="1358">
        <v>3</v>
      </c>
      <c r="B442" s="1359" t="s">
        <v>949</v>
      </c>
      <c r="C442" s="1360" t="s">
        <v>1721</v>
      </c>
      <c r="D442" s="1368">
        <v>706</v>
      </c>
    </row>
    <row r="443" spans="1:4" hidden="1" outlineLevel="2">
      <c r="A443" s="1358">
        <v>1</v>
      </c>
      <c r="B443" s="1359" t="s">
        <v>949</v>
      </c>
      <c r="C443" s="1360" t="s">
        <v>1721</v>
      </c>
      <c r="D443" s="1368">
        <v>706</v>
      </c>
    </row>
    <row r="444" spans="1:4" outlineLevel="1" collapsed="1">
      <c r="A444" s="1358">
        <f>SUBTOTAL(9,A439:A443)</f>
        <v>13</v>
      </c>
      <c r="B444" s="1359" t="s">
        <v>949</v>
      </c>
      <c r="C444" s="1360" t="s">
        <v>1923</v>
      </c>
      <c r="D444" s="1368">
        <v>706</v>
      </c>
    </row>
    <row r="445" spans="1:4" hidden="1" outlineLevel="2">
      <c r="A445" s="1358">
        <v>3</v>
      </c>
      <c r="B445" s="1359" t="s">
        <v>949</v>
      </c>
      <c r="C445" s="1360" t="s">
        <v>1722</v>
      </c>
      <c r="D445" s="1368">
        <v>725</v>
      </c>
    </row>
    <row r="446" spans="1:4" hidden="1" outlineLevel="2">
      <c r="A446" s="1358">
        <v>1</v>
      </c>
      <c r="B446" s="1359" t="s">
        <v>949</v>
      </c>
      <c r="C446" s="1360" t="s">
        <v>1722</v>
      </c>
      <c r="D446" s="1368">
        <v>725</v>
      </c>
    </row>
    <row r="447" spans="1:4" outlineLevel="1" collapsed="1">
      <c r="A447" s="1358">
        <f>SUBTOTAL(9,A445:A446)</f>
        <v>4</v>
      </c>
      <c r="B447" s="1359" t="s">
        <v>949</v>
      </c>
      <c r="C447" s="1360" t="s">
        <v>1924</v>
      </c>
      <c r="D447" s="1368">
        <v>725</v>
      </c>
    </row>
    <row r="448" spans="1:4" hidden="1" outlineLevel="2">
      <c r="A448" s="1358">
        <v>24</v>
      </c>
      <c r="B448" s="1359" t="s">
        <v>949</v>
      </c>
      <c r="C448" s="1360" t="s">
        <v>1723</v>
      </c>
      <c r="D448" s="1368">
        <v>725</v>
      </c>
    </row>
    <row r="449" spans="1:4" hidden="1" outlineLevel="2">
      <c r="A449" s="1358">
        <v>17</v>
      </c>
      <c r="B449" s="1359" t="s">
        <v>949</v>
      </c>
      <c r="C449" s="1360" t="s">
        <v>1723</v>
      </c>
      <c r="D449" s="1368">
        <v>725</v>
      </c>
    </row>
    <row r="450" spans="1:4" hidden="1" outlineLevel="2">
      <c r="A450" s="1358">
        <v>11</v>
      </c>
      <c r="B450" s="1359" t="s">
        <v>949</v>
      </c>
      <c r="C450" s="1360" t="s">
        <v>1723</v>
      </c>
      <c r="D450" s="1368">
        <v>725</v>
      </c>
    </row>
    <row r="451" spans="1:4" hidden="1" outlineLevel="2">
      <c r="A451" s="1358">
        <v>13</v>
      </c>
      <c r="B451" s="1359" t="s">
        <v>949</v>
      </c>
      <c r="C451" s="1360" t="s">
        <v>1723</v>
      </c>
      <c r="D451" s="1368">
        <v>725</v>
      </c>
    </row>
    <row r="452" spans="1:4" hidden="1" outlineLevel="2">
      <c r="A452" s="1358">
        <v>18</v>
      </c>
      <c r="B452" s="1359" t="s">
        <v>949</v>
      </c>
      <c r="C452" s="1360" t="s">
        <v>1723</v>
      </c>
      <c r="D452" s="1368">
        <v>725</v>
      </c>
    </row>
    <row r="453" spans="1:4" hidden="1" outlineLevel="2">
      <c r="A453" s="1358">
        <v>10</v>
      </c>
      <c r="B453" s="1359" t="s">
        <v>949</v>
      </c>
      <c r="C453" s="1360" t="s">
        <v>1723</v>
      </c>
      <c r="D453" s="1368">
        <v>725</v>
      </c>
    </row>
    <row r="454" spans="1:4" hidden="1" outlineLevel="2">
      <c r="A454" s="1358">
        <v>12</v>
      </c>
      <c r="B454" s="1359" t="s">
        <v>949</v>
      </c>
      <c r="C454" s="1360" t="s">
        <v>1723</v>
      </c>
      <c r="D454" s="1368">
        <v>725</v>
      </c>
    </row>
    <row r="455" spans="1:4" outlineLevel="1" collapsed="1">
      <c r="A455" s="1358">
        <f>SUBTOTAL(9,A448:A454)</f>
        <v>105</v>
      </c>
      <c r="B455" s="1359" t="s">
        <v>949</v>
      </c>
      <c r="C455" s="1360" t="s">
        <v>1925</v>
      </c>
      <c r="D455" s="1368">
        <v>725</v>
      </c>
    </row>
    <row r="456" spans="1:4" hidden="1" outlineLevel="2">
      <c r="A456" s="1358">
        <v>1</v>
      </c>
      <c r="B456" s="1359" t="s">
        <v>949</v>
      </c>
      <c r="C456" s="1360" t="s">
        <v>1724</v>
      </c>
      <c r="D456" s="1368">
        <v>725</v>
      </c>
    </row>
    <row r="457" spans="1:4" hidden="1" outlineLevel="2">
      <c r="A457" s="1358">
        <v>4</v>
      </c>
      <c r="B457" s="1359" t="s">
        <v>949</v>
      </c>
      <c r="C457" s="1360" t="s">
        <v>1724</v>
      </c>
      <c r="D457" s="1368">
        <v>725</v>
      </c>
    </row>
    <row r="458" spans="1:4" hidden="1" outlineLevel="2">
      <c r="A458" s="1358">
        <v>4</v>
      </c>
      <c r="B458" s="1359" t="s">
        <v>949</v>
      </c>
      <c r="C458" s="1360" t="s">
        <v>1724</v>
      </c>
      <c r="D458" s="1368">
        <v>725</v>
      </c>
    </row>
    <row r="459" spans="1:4" hidden="1" outlineLevel="2">
      <c r="A459" s="1358">
        <v>4</v>
      </c>
      <c r="B459" s="1359" t="s">
        <v>949</v>
      </c>
      <c r="C459" s="1360" t="s">
        <v>1724</v>
      </c>
      <c r="D459" s="1368">
        <v>725</v>
      </c>
    </row>
    <row r="460" spans="1:4" hidden="1" outlineLevel="2">
      <c r="A460" s="1358">
        <v>4</v>
      </c>
      <c r="B460" s="1359" t="s">
        <v>949</v>
      </c>
      <c r="C460" s="1360" t="s">
        <v>1724</v>
      </c>
      <c r="D460" s="1368">
        <v>725</v>
      </c>
    </row>
    <row r="461" spans="1:4" hidden="1" outlineLevel="2">
      <c r="A461" s="1358">
        <v>4</v>
      </c>
      <c r="B461" s="1359" t="s">
        <v>949</v>
      </c>
      <c r="C461" s="1360" t="s">
        <v>1724</v>
      </c>
      <c r="D461" s="1368">
        <v>725</v>
      </c>
    </row>
    <row r="462" spans="1:4" hidden="1" outlineLevel="2">
      <c r="A462" s="1358">
        <v>2</v>
      </c>
      <c r="B462" s="1359" t="s">
        <v>949</v>
      </c>
      <c r="C462" s="1360" t="s">
        <v>1724</v>
      </c>
      <c r="D462" s="1368">
        <v>725</v>
      </c>
    </row>
    <row r="463" spans="1:4" outlineLevel="1" collapsed="1">
      <c r="A463" s="1358">
        <f>SUBTOTAL(9,A456:A462)</f>
        <v>23</v>
      </c>
      <c r="B463" s="1359" t="s">
        <v>949</v>
      </c>
      <c r="C463" s="1360" t="s">
        <v>1926</v>
      </c>
      <c r="D463" s="1368">
        <v>725</v>
      </c>
    </row>
    <row r="464" spans="1:4" hidden="1" outlineLevel="2">
      <c r="A464" s="1358">
        <v>120</v>
      </c>
      <c r="B464" s="1359" t="s">
        <v>326</v>
      </c>
      <c r="C464" s="1360" t="s">
        <v>1725</v>
      </c>
      <c r="D464" s="1368">
        <v>725</v>
      </c>
    </row>
    <row r="465" spans="1:4" hidden="1" outlineLevel="2">
      <c r="A465" s="1358">
        <v>160</v>
      </c>
      <c r="B465" s="1359" t="s">
        <v>326</v>
      </c>
      <c r="C465" s="1360" t="s">
        <v>1725</v>
      </c>
      <c r="D465" s="1368">
        <v>725</v>
      </c>
    </row>
    <row r="466" spans="1:4" hidden="1" outlineLevel="2">
      <c r="A466" s="1358">
        <v>120</v>
      </c>
      <c r="B466" s="1359" t="s">
        <v>326</v>
      </c>
      <c r="C466" s="1360" t="s">
        <v>1725</v>
      </c>
      <c r="D466" s="1368">
        <v>725</v>
      </c>
    </row>
    <row r="467" spans="1:4" hidden="1" outlineLevel="2">
      <c r="A467" s="1358">
        <v>120</v>
      </c>
      <c r="B467" s="1359" t="s">
        <v>326</v>
      </c>
      <c r="C467" s="1360" t="s">
        <v>1725</v>
      </c>
      <c r="D467" s="1368">
        <v>725</v>
      </c>
    </row>
    <row r="468" spans="1:4" hidden="1" outlineLevel="2">
      <c r="A468" s="1358">
        <v>120</v>
      </c>
      <c r="B468" s="1359" t="s">
        <v>326</v>
      </c>
      <c r="C468" s="1360" t="s">
        <v>1725</v>
      </c>
      <c r="D468" s="1368">
        <v>725</v>
      </c>
    </row>
    <row r="469" spans="1:4" hidden="1" outlineLevel="2">
      <c r="A469" s="1358">
        <v>120</v>
      </c>
      <c r="B469" s="1359" t="s">
        <v>326</v>
      </c>
      <c r="C469" s="1360" t="s">
        <v>1725</v>
      </c>
      <c r="D469" s="1368">
        <v>725</v>
      </c>
    </row>
    <row r="470" spans="1:4" hidden="1" outlineLevel="2">
      <c r="A470" s="1358">
        <v>100</v>
      </c>
      <c r="B470" s="1359" t="s">
        <v>326</v>
      </c>
      <c r="C470" s="1360" t="s">
        <v>1725</v>
      </c>
      <c r="D470" s="1368">
        <v>725</v>
      </c>
    </row>
    <row r="471" spans="1:4" outlineLevel="1" collapsed="1">
      <c r="A471" s="1358">
        <f>SUBTOTAL(9,A464:A470)</f>
        <v>860</v>
      </c>
      <c r="B471" s="1359" t="s">
        <v>326</v>
      </c>
      <c r="C471" s="1360" t="s">
        <v>1927</v>
      </c>
      <c r="D471" s="1368">
        <v>725</v>
      </c>
    </row>
    <row r="472" spans="1:4" hidden="1" outlineLevel="2">
      <c r="A472" s="1358">
        <v>3</v>
      </c>
      <c r="B472" s="1359" t="s">
        <v>949</v>
      </c>
      <c r="C472" s="1360" t="s">
        <v>1726</v>
      </c>
      <c r="D472" s="1368">
        <v>725</v>
      </c>
    </row>
    <row r="473" spans="1:4" hidden="1" outlineLevel="2">
      <c r="A473" s="1358">
        <v>1</v>
      </c>
      <c r="B473" s="1359" t="s">
        <v>949</v>
      </c>
      <c r="C473" s="1360" t="s">
        <v>1726</v>
      </c>
      <c r="D473" s="1368">
        <v>725</v>
      </c>
    </row>
    <row r="474" spans="1:4" outlineLevel="1" collapsed="1">
      <c r="A474" s="1358">
        <f>SUBTOTAL(9,A472:A473)</f>
        <v>4</v>
      </c>
      <c r="B474" s="1359" t="s">
        <v>949</v>
      </c>
      <c r="C474" s="1360" t="s">
        <v>1928</v>
      </c>
      <c r="D474" s="1368">
        <v>725</v>
      </c>
    </row>
    <row r="475" spans="1:4" hidden="1" outlineLevel="2">
      <c r="A475" s="1358">
        <v>1</v>
      </c>
      <c r="B475" s="1359" t="s">
        <v>949</v>
      </c>
      <c r="C475" s="1360" t="s">
        <v>1727</v>
      </c>
      <c r="D475" s="1368">
        <v>725</v>
      </c>
    </row>
    <row r="476" spans="1:4" s="1217" customFormat="1" ht="26.4" outlineLevel="1" collapsed="1">
      <c r="A476" s="1362">
        <f>SUBTOTAL(9,A475:A475)</f>
        <v>1</v>
      </c>
      <c r="B476" s="1363" t="s">
        <v>949</v>
      </c>
      <c r="C476" s="1364" t="s">
        <v>1929</v>
      </c>
      <c r="D476" s="1369">
        <v>725</v>
      </c>
    </row>
    <row r="477" spans="1:4" hidden="1" outlineLevel="2">
      <c r="A477" s="1358">
        <v>3</v>
      </c>
      <c r="B477" s="1359" t="s">
        <v>949</v>
      </c>
      <c r="C477" s="1360" t="s">
        <v>1728</v>
      </c>
      <c r="D477" s="1368">
        <v>725</v>
      </c>
    </row>
    <row r="478" spans="1:4" hidden="1" outlineLevel="2">
      <c r="A478" s="1358">
        <v>4</v>
      </c>
      <c r="B478" s="1359" t="s">
        <v>949</v>
      </c>
      <c r="C478" s="1360" t="s">
        <v>1728</v>
      </c>
      <c r="D478" s="1368">
        <v>725</v>
      </c>
    </row>
    <row r="479" spans="1:4" hidden="1" outlineLevel="2">
      <c r="A479" s="1358">
        <v>1</v>
      </c>
      <c r="B479" s="1359" t="s">
        <v>949</v>
      </c>
      <c r="C479" s="1360" t="s">
        <v>1728</v>
      </c>
      <c r="D479" s="1368">
        <v>725</v>
      </c>
    </row>
    <row r="480" spans="1:4" hidden="1" outlineLevel="2">
      <c r="A480" s="1358">
        <v>1</v>
      </c>
      <c r="B480" s="1359" t="s">
        <v>949</v>
      </c>
      <c r="C480" s="1360" t="s">
        <v>1728</v>
      </c>
      <c r="D480" s="1368">
        <v>725</v>
      </c>
    </row>
    <row r="481" spans="1:4" hidden="1" outlineLevel="2">
      <c r="A481" s="1358">
        <v>1</v>
      </c>
      <c r="B481" s="1359" t="s">
        <v>949</v>
      </c>
      <c r="C481" s="1360" t="s">
        <v>1728</v>
      </c>
      <c r="D481" s="1368">
        <v>725</v>
      </c>
    </row>
    <row r="482" spans="1:4" hidden="1" outlineLevel="2">
      <c r="A482" s="1358">
        <v>1</v>
      </c>
      <c r="B482" s="1359" t="s">
        <v>949</v>
      </c>
      <c r="C482" s="1360" t="s">
        <v>1728</v>
      </c>
      <c r="D482" s="1368">
        <v>725</v>
      </c>
    </row>
    <row r="483" spans="1:4" hidden="1" outlineLevel="2">
      <c r="A483" s="1358">
        <v>2</v>
      </c>
      <c r="B483" s="1359" t="s">
        <v>949</v>
      </c>
      <c r="C483" s="1360" t="s">
        <v>1728</v>
      </c>
      <c r="D483" s="1368">
        <v>725</v>
      </c>
    </row>
    <row r="484" spans="1:4" outlineLevel="1" collapsed="1">
      <c r="A484" s="1358">
        <f>SUBTOTAL(9,A477:A483)</f>
        <v>13</v>
      </c>
      <c r="B484" s="1359" t="s">
        <v>949</v>
      </c>
      <c r="C484" s="1360" t="s">
        <v>1930</v>
      </c>
      <c r="D484" s="1368">
        <v>725</v>
      </c>
    </row>
    <row r="485" spans="1:4" hidden="1" outlineLevel="2">
      <c r="A485" s="1358">
        <v>4</v>
      </c>
      <c r="B485" s="1359" t="s">
        <v>949</v>
      </c>
      <c r="C485" s="1360" t="s">
        <v>1729</v>
      </c>
      <c r="D485" s="1368">
        <v>725</v>
      </c>
    </row>
    <row r="486" spans="1:4" hidden="1" outlineLevel="2">
      <c r="A486" s="1358">
        <v>4</v>
      </c>
      <c r="B486" s="1359" t="s">
        <v>949</v>
      </c>
      <c r="C486" s="1360" t="s">
        <v>1729</v>
      </c>
      <c r="D486" s="1368">
        <v>725</v>
      </c>
    </row>
    <row r="487" spans="1:4" hidden="1" outlineLevel="2">
      <c r="A487" s="1358">
        <v>3</v>
      </c>
      <c r="B487" s="1359" t="s">
        <v>949</v>
      </c>
      <c r="C487" s="1360" t="s">
        <v>1729</v>
      </c>
      <c r="D487" s="1368">
        <v>725</v>
      </c>
    </row>
    <row r="488" spans="1:4" hidden="1" outlineLevel="2">
      <c r="A488" s="1358">
        <v>3</v>
      </c>
      <c r="B488" s="1359" t="s">
        <v>949</v>
      </c>
      <c r="C488" s="1360" t="s">
        <v>1729</v>
      </c>
      <c r="D488" s="1368">
        <v>725</v>
      </c>
    </row>
    <row r="489" spans="1:4" hidden="1" outlineLevel="2">
      <c r="A489" s="1358">
        <v>3</v>
      </c>
      <c r="B489" s="1359" t="s">
        <v>949</v>
      </c>
      <c r="C489" s="1360" t="s">
        <v>1729</v>
      </c>
      <c r="D489" s="1368">
        <v>725</v>
      </c>
    </row>
    <row r="490" spans="1:4" outlineLevel="1" collapsed="1">
      <c r="A490" s="1358">
        <f>SUBTOTAL(9,A485:A489)</f>
        <v>17</v>
      </c>
      <c r="B490" s="1359" t="s">
        <v>949</v>
      </c>
      <c r="C490" s="1360" t="s">
        <v>1931</v>
      </c>
      <c r="D490" s="1368">
        <v>725</v>
      </c>
    </row>
    <row r="491" spans="1:4" hidden="1" outlineLevel="2">
      <c r="A491" s="1358">
        <v>2</v>
      </c>
      <c r="B491" s="1359" t="s">
        <v>949</v>
      </c>
      <c r="C491" s="1360" t="s">
        <v>1730</v>
      </c>
      <c r="D491" s="1368">
        <v>725</v>
      </c>
    </row>
    <row r="492" spans="1:4" hidden="1" outlineLevel="2">
      <c r="A492" s="1358">
        <v>3</v>
      </c>
      <c r="B492" s="1359" t="s">
        <v>949</v>
      </c>
      <c r="C492" s="1360" t="s">
        <v>1730</v>
      </c>
      <c r="D492" s="1368">
        <v>725</v>
      </c>
    </row>
    <row r="493" spans="1:4" hidden="1" outlineLevel="2">
      <c r="A493" s="1358">
        <v>2</v>
      </c>
      <c r="B493" s="1359" t="s">
        <v>949</v>
      </c>
      <c r="C493" s="1360" t="s">
        <v>1730</v>
      </c>
      <c r="D493" s="1368">
        <v>725</v>
      </c>
    </row>
    <row r="494" spans="1:4" hidden="1" outlineLevel="2">
      <c r="A494" s="1358">
        <v>2</v>
      </c>
      <c r="B494" s="1359" t="s">
        <v>949</v>
      </c>
      <c r="C494" s="1360" t="s">
        <v>1730</v>
      </c>
      <c r="D494" s="1368">
        <v>725</v>
      </c>
    </row>
    <row r="495" spans="1:4" hidden="1" outlineLevel="2">
      <c r="A495" s="1358">
        <v>1</v>
      </c>
      <c r="B495" s="1359" t="s">
        <v>949</v>
      </c>
      <c r="C495" s="1360" t="s">
        <v>1730</v>
      </c>
      <c r="D495" s="1368">
        <v>725</v>
      </c>
    </row>
    <row r="496" spans="1:4" hidden="1" outlineLevel="2">
      <c r="A496" s="1358">
        <v>1</v>
      </c>
      <c r="B496" s="1359" t="s">
        <v>949</v>
      </c>
      <c r="C496" s="1360" t="s">
        <v>1730</v>
      </c>
      <c r="D496" s="1368">
        <v>725</v>
      </c>
    </row>
    <row r="497" spans="1:4" hidden="1" outlineLevel="2">
      <c r="A497" s="1358">
        <v>1</v>
      </c>
      <c r="B497" s="1359" t="s">
        <v>949</v>
      </c>
      <c r="C497" s="1360" t="s">
        <v>1730</v>
      </c>
      <c r="D497" s="1368">
        <v>725</v>
      </c>
    </row>
    <row r="498" spans="1:4" outlineLevel="1" collapsed="1">
      <c r="A498" s="1358">
        <f>SUBTOTAL(9,A491:A497)</f>
        <v>12</v>
      </c>
      <c r="B498" s="1359" t="s">
        <v>949</v>
      </c>
      <c r="C498" s="1360" t="s">
        <v>1932</v>
      </c>
      <c r="D498" s="1368">
        <v>725</v>
      </c>
    </row>
    <row r="499" spans="1:4" hidden="1" outlineLevel="2">
      <c r="A499" s="1358">
        <v>1</v>
      </c>
      <c r="B499" s="1359" t="s">
        <v>949</v>
      </c>
      <c r="C499" s="1360" t="s">
        <v>1731</v>
      </c>
      <c r="D499" s="1368">
        <v>725</v>
      </c>
    </row>
    <row r="500" spans="1:4" hidden="1" outlineLevel="2">
      <c r="A500" s="1358">
        <v>1</v>
      </c>
      <c r="B500" s="1359" t="s">
        <v>949</v>
      </c>
      <c r="C500" s="1360" t="s">
        <v>1731</v>
      </c>
      <c r="D500" s="1368">
        <v>725</v>
      </c>
    </row>
    <row r="501" spans="1:4" outlineLevel="1" collapsed="1">
      <c r="A501" s="1358">
        <f>SUBTOTAL(9,A499:A500)</f>
        <v>2</v>
      </c>
      <c r="B501" s="1359" t="s">
        <v>949</v>
      </c>
      <c r="C501" s="1360" t="s">
        <v>1933</v>
      </c>
      <c r="D501" s="1368">
        <v>725</v>
      </c>
    </row>
    <row r="502" spans="1:4" hidden="1" outlineLevel="2">
      <c r="A502" s="1358">
        <v>21</v>
      </c>
      <c r="B502" s="1359" t="s">
        <v>949</v>
      </c>
      <c r="C502" s="1360" t="s">
        <v>1732</v>
      </c>
      <c r="D502" s="1368">
        <v>725</v>
      </c>
    </row>
    <row r="503" spans="1:4" hidden="1" outlineLevel="2">
      <c r="A503" s="1358">
        <v>9</v>
      </c>
      <c r="B503" s="1359" t="s">
        <v>949</v>
      </c>
      <c r="C503" s="1360" t="s">
        <v>1732</v>
      </c>
      <c r="D503" s="1368">
        <v>725</v>
      </c>
    </row>
    <row r="504" spans="1:4" hidden="1" outlineLevel="2">
      <c r="A504" s="1358">
        <v>4</v>
      </c>
      <c r="B504" s="1359" t="s">
        <v>949</v>
      </c>
      <c r="C504" s="1360" t="s">
        <v>1732</v>
      </c>
      <c r="D504" s="1368">
        <v>725</v>
      </c>
    </row>
    <row r="505" spans="1:4" hidden="1" outlineLevel="2">
      <c r="A505" s="1358">
        <v>6</v>
      </c>
      <c r="B505" s="1359" t="s">
        <v>949</v>
      </c>
      <c r="C505" s="1360" t="s">
        <v>1732</v>
      </c>
      <c r="D505" s="1368">
        <v>725</v>
      </c>
    </row>
    <row r="506" spans="1:4" hidden="1" outlineLevel="2">
      <c r="A506" s="1358">
        <v>10</v>
      </c>
      <c r="B506" s="1359" t="s">
        <v>949</v>
      </c>
      <c r="C506" s="1360" t="s">
        <v>1732</v>
      </c>
      <c r="D506" s="1368">
        <v>725</v>
      </c>
    </row>
    <row r="507" spans="1:4" hidden="1" outlineLevel="2">
      <c r="A507" s="1358">
        <v>3</v>
      </c>
      <c r="B507" s="1359" t="s">
        <v>949</v>
      </c>
      <c r="C507" s="1360" t="s">
        <v>1732</v>
      </c>
      <c r="D507" s="1368">
        <v>725</v>
      </c>
    </row>
    <row r="508" spans="1:4" hidden="1" outlineLevel="2">
      <c r="A508" s="1358">
        <v>6</v>
      </c>
      <c r="B508" s="1359" t="s">
        <v>949</v>
      </c>
      <c r="C508" s="1360" t="s">
        <v>1732</v>
      </c>
      <c r="D508" s="1368">
        <v>725</v>
      </c>
    </row>
    <row r="509" spans="1:4" outlineLevel="1" collapsed="1">
      <c r="A509" s="1358">
        <f>SUBTOTAL(9,A502:A508)</f>
        <v>59</v>
      </c>
      <c r="B509" s="1359" t="s">
        <v>949</v>
      </c>
      <c r="C509" s="1360" t="s">
        <v>1934</v>
      </c>
      <c r="D509" s="1368">
        <v>725</v>
      </c>
    </row>
    <row r="510" spans="1:4" hidden="1" outlineLevel="2">
      <c r="A510" s="1358">
        <v>4</v>
      </c>
      <c r="B510" s="1359" t="s">
        <v>949</v>
      </c>
      <c r="C510" s="1360" t="s">
        <v>1733</v>
      </c>
      <c r="D510" s="1368">
        <v>726</v>
      </c>
    </row>
    <row r="511" spans="1:4" outlineLevel="1" collapsed="1">
      <c r="A511" s="1358">
        <f>SUBTOTAL(9,A510:A510)</f>
        <v>4</v>
      </c>
      <c r="B511" s="1359" t="s">
        <v>949</v>
      </c>
      <c r="C511" s="1360" t="s">
        <v>1935</v>
      </c>
      <c r="D511" s="1368">
        <v>726</v>
      </c>
    </row>
    <row r="512" spans="1:4" hidden="1" outlineLevel="2">
      <c r="A512" s="1358">
        <v>2</v>
      </c>
      <c r="B512" s="1359" t="s">
        <v>949</v>
      </c>
      <c r="C512" s="1360" t="s">
        <v>1734</v>
      </c>
      <c r="D512" s="1368">
        <v>726</v>
      </c>
    </row>
    <row r="513" spans="1:4" outlineLevel="1" collapsed="1">
      <c r="A513" s="1358">
        <f>SUBTOTAL(9,A512:A512)</f>
        <v>2</v>
      </c>
      <c r="B513" s="1359" t="s">
        <v>949</v>
      </c>
      <c r="C513" s="1360" t="s">
        <v>1936</v>
      </c>
      <c r="D513" s="1368">
        <v>726</v>
      </c>
    </row>
    <row r="514" spans="1:4" hidden="1" outlineLevel="2">
      <c r="A514" s="1358">
        <v>31</v>
      </c>
      <c r="B514" s="1359" t="s">
        <v>949</v>
      </c>
      <c r="C514" s="1360" t="s">
        <v>1735</v>
      </c>
      <c r="D514" s="1368">
        <v>726</v>
      </c>
    </row>
    <row r="515" spans="1:4" outlineLevel="1" collapsed="1">
      <c r="A515" s="1358">
        <f>SUBTOTAL(9,A514:A514)</f>
        <v>31</v>
      </c>
      <c r="B515" s="1359" t="s">
        <v>949</v>
      </c>
      <c r="C515" s="1360" t="s">
        <v>1937</v>
      </c>
      <c r="D515" s="1368">
        <v>726</v>
      </c>
    </row>
    <row r="516" spans="1:4" hidden="1" outlineLevel="2">
      <c r="A516" s="1358">
        <v>1</v>
      </c>
      <c r="B516" s="1359" t="s">
        <v>949</v>
      </c>
      <c r="C516" s="1360" t="s">
        <v>1736</v>
      </c>
      <c r="D516" s="1368">
        <v>726</v>
      </c>
    </row>
    <row r="517" spans="1:4" outlineLevel="1" collapsed="1">
      <c r="A517" s="1358">
        <f>SUBTOTAL(9,A516:A516)</f>
        <v>1</v>
      </c>
      <c r="B517" s="1359" t="s">
        <v>949</v>
      </c>
      <c r="C517" s="1360" t="s">
        <v>1938</v>
      </c>
      <c r="D517" s="1368">
        <v>726</v>
      </c>
    </row>
    <row r="518" spans="1:4" hidden="1" outlineLevel="2">
      <c r="A518" s="1358">
        <v>14</v>
      </c>
      <c r="B518" s="1359" t="s">
        <v>949</v>
      </c>
      <c r="C518" s="1360" t="s">
        <v>1737</v>
      </c>
      <c r="D518" s="1368">
        <v>726</v>
      </c>
    </row>
    <row r="519" spans="1:4" outlineLevel="1" collapsed="1">
      <c r="A519" s="1358">
        <f>SUBTOTAL(9,A518:A518)</f>
        <v>14</v>
      </c>
      <c r="B519" s="1359" t="s">
        <v>949</v>
      </c>
      <c r="C519" s="1360" t="s">
        <v>1939</v>
      </c>
      <c r="D519" s="1368">
        <v>726</v>
      </c>
    </row>
    <row r="520" spans="1:4" hidden="1" outlineLevel="2">
      <c r="A520" s="1358">
        <v>14</v>
      </c>
      <c r="B520" s="1359" t="s">
        <v>949</v>
      </c>
      <c r="C520" s="1360" t="s">
        <v>1738</v>
      </c>
      <c r="D520" s="1368">
        <v>726</v>
      </c>
    </row>
    <row r="521" spans="1:4" outlineLevel="1" collapsed="1">
      <c r="A521" s="1358">
        <f>SUBTOTAL(9,A520:A520)</f>
        <v>14</v>
      </c>
      <c r="B521" s="1359" t="s">
        <v>949</v>
      </c>
      <c r="C521" s="1360" t="s">
        <v>1940</v>
      </c>
      <c r="D521" s="1368">
        <v>726</v>
      </c>
    </row>
    <row r="522" spans="1:4" hidden="1" outlineLevel="2">
      <c r="A522" s="1358">
        <v>1800</v>
      </c>
      <c r="B522" s="1359" t="s">
        <v>326</v>
      </c>
      <c r="C522" s="1360" t="s">
        <v>1739</v>
      </c>
      <c r="D522" s="1368">
        <v>751</v>
      </c>
    </row>
    <row r="523" spans="1:4" outlineLevel="1" collapsed="1">
      <c r="A523" s="1358">
        <f>SUBTOTAL(9,A522:A522)</f>
        <v>1800</v>
      </c>
      <c r="B523" s="1359" t="s">
        <v>326</v>
      </c>
      <c r="C523" s="1360" t="s">
        <v>1941</v>
      </c>
      <c r="D523" s="1368">
        <v>751</v>
      </c>
    </row>
    <row r="524" spans="1:4" hidden="1" outlineLevel="2">
      <c r="A524" s="1358">
        <v>15</v>
      </c>
      <c r="B524" s="1359" t="s">
        <v>949</v>
      </c>
      <c r="C524" s="1360" t="s">
        <v>1740</v>
      </c>
      <c r="D524" s="1368">
        <v>751</v>
      </c>
    </row>
    <row r="525" spans="1:4" outlineLevel="1" collapsed="1">
      <c r="A525" s="1358">
        <f>SUBTOTAL(9,A524:A524)</f>
        <v>15</v>
      </c>
      <c r="B525" s="1359" t="s">
        <v>949</v>
      </c>
      <c r="C525" s="1360" t="s">
        <v>1942</v>
      </c>
      <c r="D525" s="1368">
        <v>751</v>
      </c>
    </row>
    <row r="526" spans="1:4" hidden="1" outlineLevel="2">
      <c r="A526" s="1358">
        <v>7</v>
      </c>
      <c r="B526" s="1359" t="s">
        <v>949</v>
      </c>
      <c r="C526" s="1360" t="s">
        <v>1741</v>
      </c>
      <c r="D526" s="1368">
        <v>751</v>
      </c>
    </row>
    <row r="527" spans="1:4" outlineLevel="1" collapsed="1">
      <c r="A527" s="1358">
        <f>SUBTOTAL(9,A526:A526)</f>
        <v>7</v>
      </c>
      <c r="B527" s="1359" t="s">
        <v>949</v>
      </c>
      <c r="C527" s="1360" t="s">
        <v>1943</v>
      </c>
      <c r="D527" s="1368">
        <v>751</v>
      </c>
    </row>
    <row r="528" spans="1:4" hidden="1" outlineLevel="2">
      <c r="A528" s="1358">
        <v>7</v>
      </c>
      <c r="B528" s="1359" t="s">
        <v>949</v>
      </c>
      <c r="C528" s="1360" t="s">
        <v>1742</v>
      </c>
      <c r="D528" s="1368">
        <v>751</v>
      </c>
    </row>
    <row r="529" spans="1:4" outlineLevel="1" collapsed="1">
      <c r="A529" s="1358">
        <f>SUBTOTAL(9,A528:A528)</f>
        <v>7</v>
      </c>
      <c r="B529" s="1359" t="s">
        <v>949</v>
      </c>
      <c r="C529" s="1360" t="s">
        <v>1944</v>
      </c>
      <c r="D529" s="1368">
        <v>751</v>
      </c>
    </row>
    <row r="530" spans="1:4" hidden="1" outlineLevel="2">
      <c r="A530" s="1358">
        <v>1</v>
      </c>
      <c r="B530" s="1359" t="s">
        <v>949</v>
      </c>
      <c r="C530" s="1360" t="s">
        <v>545</v>
      </c>
      <c r="D530" s="1368">
        <v>751</v>
      </c>
    </row>
    <row r="531" spans="1:4" ht="26.4" outlineLevel="1" collapsed="1">
      <c r="A531" s="1362">
        <f>SUBTOTAL(9,A530:A530)</f>
        <v>1</v>
      </c>
      <c r="B531" s="1363" t="s">
        <v>949</v>
      </c>
      <c r="C531" s="1364" t="s">
        <v>1945</v>
      </c>
      <c r="D531" s="1369">
        <v>751</v>
      </c>
    </row>
    <row r="532" spans="1:4" hidden="1" outlineLevel="2">
      <c r="A532" s="1358">
        <v>7</v>
      </c>
      <c r="B532" s="1359" t="s">
        <v>949</v>
      </c>
      <c r="C532" s="1360" t="s">
        <v>1743</v>
      </c>
      <c r="D532" s="1368">
        <v>751</v>
      </c>
    </row>
    <row r="533" spans="1:4" outlineLevel="1" collapsed="1">
      <c r="A533" s="1358">
        <f>SUBTOTAL(9,A532:A532)</f>
        <v>7</v>
      </c>
      <c r="B533" s="1359" t="s">
        <v>949</v>
      </c>
      <c r="C533" s="1360" t="s">
        <v>1946</v>
      </c>
      <c r="D533" s="1368">
        <v>751</v>
      </c>
    </row>
    <row r="534" spans="1:4" hidden="1" outlineLevel="2">
      <c r="A534" s="1358">
        <v>1</v>
      </c>
      <c r="B534" s="1359" t="s">
        <v>949</v>
      </c>
      <c r="C534" s="1360" t="s">
        <v>1744</v>
      </c>
      <c r="D534" s="1368">
        <v>810</v>
      </c>
    </row>
    <row r="535" spans="1:4" outlineLevel="1" collapsed="1">
      <c r="A535" s="1358">
        <f>SUBTOTAL(9,A534:A534)</f>
        <v>1</v>
      </c>
      <c r="B535" s="1359" t="s">
        <v>949</v>
      </c>
      <c r="C535" s="1360" t="s">
        <v>1947</v>
      </c>
      <c r="D535" s="1368">
        <v>810</v>
      </c>
    </row>
    <row r="536" spans="1:4" hidden="1" outlineLevel="2">
      <c r="A536" s="1358">
        <v>1</v>
      </c>
      <c r="B536" s="1359" t="s">
        <v>949</v>
      </c>
      <c r="C536" s="1360" t="s">
        <v>1745</v>
      </c>
      <c r="D536" s="1368">
        <v>810</v>
      </c>
    </row>
    <row r="537" spans="1:4" outlineLevel="1" collapsed="1">
      <c r="A537" s="1358">
        <f>SUBTOTAL(9,A536:A536)</f>
        <v>1</v>
      </c>
      <c r="B537" s="1359" t="s">
        <v>949</v>
      </c>
      <c r="C537" s="1360" t="s">
        <v>1948</v>
      </c>
      <c r="D537" s="1368">
        <v>810</v>
      </c>
    </row>
    <row r="538" spans="1:4" hidden="1" outlineLevel="2">
      <c r="A538" s="1358">
        <v>1</v>
      </c>
      <c r="B538" s="1359" t="s">
        <v>949</v>
      </c>
      <c r="C538" s="1360" t="s">
        <v>1746</v>
      </c>
      <c r="D538" s="1368">
        <v>810</v>
      </c>
    </row>
    <row r="539" spans="1:4" outlineLevel="1" collapsed="1">
      <c r="A539" s="1358">
        <f>SUBTOTAL(9,A538:A538)</f>
        <v>1</v>
      </c>
      <c r="B539" s="1359" t="s">
        <v>949</v>
      </c>
      <c r="C539" s="1360" t="s">
        <v>1949</v>
      </c>
      <c r="D539" s="1368">
        <v>810</v>
      </c>
    </row>
    <row r="540" spans="1:4" hidden="1" outlineLevel="2">
      <c r="A540" s="1358">
        <v>7</v>
      </c>
      <c r="B540" s="1359" t="s">
        <v>949</v>
      </c>
      <c r="C540" s="1360" t="s">
        <v>1747</v>
      </c>
      <c r="D540" s="1368">
        <v>821</v>
      </c>
    </row>
    <row r="541" spans="1:4" outlineLevel="1" collapsed="1">
      <c r="A541" s="1358">
        <f>SUBTOTAL(9,A540:A540)</f>
        <v>7</v>
      </c>
      <c r="B541" s="1359" t="s">
        <v>949</v>
      </c>
      <c r="C541" s="1360" t="s">
        <v>1950</v>
      </c>
      <c r="D541" s="1368">
        <v>821</v>
      </c>
    </row>
    <row r="542" spans="1:4" hidden="1" outlineLevel="2">
      <c r="A542" s="1358">
        <v>1</v>
      </c>
      <c r="B542" s="1359" t="s">
        <v>949</v>
      </c>
      <c r="C542" s="1360" t="s">
        <v>1748</v>
      </c>
      <c r="D542" s="1368">
        <v>821</v>
      </c>
    </row>
    <row r="543" spans="1:4" outlineLevel="1" collapsed="1">
      <c r="A543" s="1358">
        <f>SUBTOTAL(9,A542:A542)</f>
        <v>1</v>
      </c>
      <c r="B543" s="1359" t="s">
        <v>949</v>
      </c>
      <c r="C543" s="1360" t="s">
        <v>1951</v>
      </c>
      <c r="D543" s="1368">
        <v>821</v>
      </c>
    </row>
    <row r="544" spans="1:4" hidden="1" outlineLevel="2">
      <c r="A544" s="1358">
        <v>60</v>
      </c>
      <c r="B544" s="1359" t="s">
        <v>326</v>
      </c>
      <c r="C544" s="1360" t="s">
        <v>1749</v>
      </c>
      <c r="D544" s="1368">
        <v>821</v>
      </c>
    </row>
    <row r="545" spans="1:4" hidden="1" outlineLevel="2">
      <c r="A545" s="1358">
        <v>320</v>
      </c>
      <c r="B545" s="1359" t="s">
        <v>326</v>
      </c>
      <c r="C545" s="1360" t="s">
        <v>1749</v>
      </c>
      <c r="D545" s="1368">
        <v>821</v>
      </c>
    </row>
    <row r="546" spans="1:4" hidden="1" outlineLevel="2">
      <c r="A546" s="1358">
        <v>435</v>
      </c>
      <c r="B546" s="1359" t="s">
        <v>326</v>
      </c>
      <c r="C546" s="1360" t="s">
        <v>1749</v>
      </c>
      <c r="D546" s="1368">
        <v>821</v>
      </c>
    </row>
    <row r="547" spans="1:4" hidden="1" outlineLevel="2">
      <c r="A547" s="1358">
        <v>765</v>
      </c>
      <c r="B547" s="1359" t="s">
        <v>326</v>
      </c>
      <c r="C547" s="1360" t="s">
        <v>1749</v>
      </c>
      <c r="D547" s="1368">
        <v>821</v>
      </c>
    </row>
    <row r="548" spans="1:4" hidden="1" outlineLevel="2">
      <c r="A548" s="1358">
        <v>470</v>
      </c>
      <c r="B548" s="1359" t="s">
        <v>326</v>
      </c>
      <c r="C548" s="1360" t="s">
        <v>1749</v>
      </c>
      <c r="D548" s="1368">
        <v>821</v>
      </c>
    </row>
    <row r="549" spans="1:4" hidden="1" outlineLevel="2">
      <c r="A549" s="1358">
        <v>535</v>
      </c>
      <c r="B549" s="1359" t="s">
        <v>326</v>
      </c>
      <c r="C549" s="1360" t="s">
        <v>1749</v>
      </c>
      <c r="D549" s="1368">
        <v>821</v>
      </c>
    </row>
    <row r="550" spans="1:4" hidden="1" outlineLevel="2">
      <c r="A550" s="1358">
        <v>440</v>
      </c>
      <c r="B550" s="1359" t="s">
        <v>326</v>
      </c>
      <c r="C550" s="1360" t="s">
        <v>1749</v>
      </c>
      <c r="D550" s="1368">
        <v>821</v>
      </c>
    </row>
    <row r="551" spans="1:4" outlineLevel="1" collapsed="1">
      <c r="A551" s="1358">
        <f>SUBTOTAL(9,A544:A550)</f>
        <v>3025</v>
      </c>
      <c r="B551" s="1359" t="s">
        <v>326</v>
      </c>
      <c r="C551" s="1360" t="s">
        <v>1952</v>
      </c>
      <c r="D551" s="1368">
        <v>821</v>
      </c>
    </row>
    <row r="552" spans="1:4" hidden="1" outlineLevel="2">
      <c r="A552" s="1358">
        <v>4</v>
      </c>
      <c r="B552" s="1359" t="s">
        <v>949</v>
      </c>
      <c r="C552" s="1360" t="s">
        <v>1750</v>
      </c>
      <c r="D552" s="1368">
        <v>821</v>
      </c>
    </row>
    <row r="553" spans="1:4" outlineLevel="1" collapsed="1">
      <c r="A553" s="1358">
        <f>SUBTOTAL(9,A552:A552)</f>
        <v>4</v>
      </c>
      <c r="B553" s="1359" t="s">
        <v>949</v>
      </c>
      <c r="C553" s="1360" t="s">
        <v>1953</v>
      </c>
      <c r="D553" s="1368">
        <v>821</v>
      </c>
    </row>
    <row r="554" spans="1:4" hidden="1" outlineLevel="2">
      <c r="A554" s="1358">
        <v>1</v>
      </c>
      <c r="B554" s="1359" t="s">
        <v>949</v>
      </c>
      <c r="C554" s="1360" t="s">
        <v>1751</v>
      </c>
      <c r="D554" s="1368">
        <v>821</v>
      </c>
    </row>
    <row r="555" spans="1:4" ht="26.4" outlineLevel="1" collapsed="1">
      <c r="A555" s="1362">
        <f>SUBTOTAL(9,A554:A554)</f>
        <v>1</v>
      </c>
      <c r="B555" s="1363" t="s">
        <v>949</v>
      </c>
      <c r="C555" s="1364" t="s">
        <v>1954</v>
      </c>
      <c r="D555" s="1369">
        <v>821</v>
      </c>
    </row>
    <row r="556" spans="1:4" hidden="1" outlineLevel="2">
      <c r="A556" s="1358">
        <v>1</v>
      </c>
      <c r="B556" s="1359" t="s">
        <v>949</v>
      </c>
      <c r="C556" s="1360" t="s">
        <v>1752</v>
      </c>
      <c r="D556" s="1368">
        <v>821</v>
      </c>
    </row>
    <row r="557" spans="1:4" hidden="1" outlineLevel="2">
      <c r="A557" s="1358">
        <v>2</v>
      </c>
      <c r="B557" s="1359" t="s">
        <v>949</v>
      </c>
      <c r="C557" s="1360" t="s">
        <v>1752</v>
      </c>
      <c r="D557" s="1368">
        <v>821</v>
      </c>
    </row>
    <row r="558" spans="1:4" hidden="1" outlineLevel="2">
      <c r="A558" s="1358">
        <v>3</v>
      </c>
      <c r="B558" s="1359" t="s">
        <v>949</v>
      </c>
      <c r="C558" s="1360" t="s">
        <v>1752</v>
      </c>
      <c r="D558" s="1368">
        <v>821</v>
      </c>
    </row>
    <row r="559" spans="1:4" outlineLevel="1" collapsed="1">
      <c r="A559" s="1358">
        <f>SUBTOTAL(9,A556:A558)</f>
        <v>6</v>
      </c>
      <c r="B559" s="1359" t="s">
        <v>949</v>
      </c>
      <c r="C559" s="1360" t="s">
        <v>1955</v>
      </c>
      <c r="D559" s="1368">
        <v>821</v>
      </c>
    </row>
    <row r="560" spans="1:4" hidden="1" outlineLevel="2">
      <c r="A560" s="1358">
        <v>2</v>
      </c>
      <c r="B560" s="1359" t="s">
        <v>949</v>
      </c>
      <c r="C560" s="1360" t="s">
        <v>1753</v>
      </c>
      <c r="D560" s="1368">
        <v>821</v>
      </c>
    </row>
    <row r="561" spans="1:4" hidden="1" outlineLevel="2">
      <c r="A561" s="1358">
        <v>7</v>
      </c>
      <c r="B561" s="1359" t="s">
        <v>949</v>
      </c>
      <c r="C561" s="1360" t="s">
        <v>1753</v>
      </c>
      <c r="D561" s="1368">
        <v>821</v>
      </c>
    </row>
    <row r="562" spans="1:4" hidden="1" outlineLevel="2">
      <c r="A562" s="1358">
        <v>14</v>
      </c>
      <c r="B562" s="1359" t="s">
        <v>949</v>
      </c>
      <c r="C562" s="1360" t="s">
        <v>1753</v>
      </c>
      <c r="D562" s="1368">
        <v>821</v>
      </c>
    </row>
    <row r="563" spans="1:4" hidden="1" outlineLevel="2">
      <c r="A563" s="1358">
        <v>11</v>
      </c>
      <c r="B563" s="1359" t="s">
        <v>949</v>
      </c>
      <c r="C563" s="1360" t="s">
        <v>1753</v>
      </c>
      <c r="D563" s="1368">
        <v>821</v>
      </c>
    </row>
    <row r="564" spans="1:4" hidden="1" outlineLevel="2">
      <c r="A564" s="1358">
        <v>11</v>
      </c>
      <c r="B564" s="1359" t="s">
        <v>949</v>
      </c>
      <c r="C564" s="1360" t="s">
        <v>1753</v>
      </c>
      <c r="D564" s="1368">
        <v>821</v>
      </c>
    </row>
    <row r="565" spans="1:4" hidden="1" outlineLevel="2">
      <c r="A565" s="1358">
        <v>11</v>
      </c>
      <c r="B565" s="1359" t="s">
        <v>949</v>
      </c>
      <c r="C565" s="1360" t="s">
        <v>1753</v>
      </c>
      <c r="D565" s="1368">
        <v>821</v>
      </c>
    </row>
    <row r="566" spans="1:4" hidden="1" outlineLevel="2">
      <c r="A566" s="1358">
        <v>9</v>
      </c>
      <c r="B566" s="1359" t="s">
        <v>949</v>
      </c>
      <c r="C566" s="1360" t="s">
        <v>1753</v>
      </c>
      <c r="D566" s="1368">
        <v>821</v>
      </c>
    </row>
    <row r="567" spans="1:4" outlineLevel="1" collapsed="1">
      <c r="A567" s="1358">
        <f>SUBTOTAL(9,A560:A566)</f>
        <v>65</v>
      </c>
      <c r="B567" s="1359" t="s">
        <v>949</v>
      </c>
      <c r="C567" s="1360" t="s">
        <v>1956</v>
      </c>
      <c r="D567" s="1368">
        <v>821</v>
      </c>
    </row>
    <row r="568" spans="1:4" hidden="1" outlineLevel="2">
      <c r="A568" s="1358">
        <v>8</v>
      </c>
      <c r="B568" s="1359" t="s">
        <v>949</v>
      </c>
      <c r="C568" s="1360" t="s">
        <v>1621</v>
      </c>
      <c r="D568" s="1368">
        <v>835</v>
      </c>
    </row>
    <row r="569" spans="1:4" hidden="1" outlineLevel="2">
      <c r="A569" s="1358">
        <v>8</v>
      </c>
      <c r="B569" s="1359" t="s">
        <v>949</v>
      </c>
      <c r="C569" s="1360" t="s">
        <v>1621</v>
      </c>
      <c r="D569" s="1368">
        <v>835</v>
      </c>
    </row>
    <row r="570" spans="1:4" outlineLevel="1" collapsed="1">
      <c r="A570" s="1358">
        <f>SUBTOTAL(9,A568:A569)</f>
        <v>16</v>
      </c>
      <c r="B570" s="1359" t="s">
        <v>949</v>
      </c>
      <c r="C570" s="1360" t="s">
        <v>1957</v>
      </c>
      <c r="D570" s="1368">
        <v>835</v>
      </c>
    </row>
    <row r="571" spans="1:4" hidden="1" outlineLevel="2">
      <c r="A571" s="1358">
        <v>8</v>
      </c>
      <c r="B571" s="1359" t="s">
        <v>949</v>
      </c>
      <c r="C571" s="1360" t="s">
        <v>1622</v>
      </c>
      <c r="D571" s="1368">
        <v>835</v>
      </c>
    </row>
    <row r="572" spans="1:4" outlineLevel="1" collapsed="1">
      <c r="A572" s="1358">
        <f>SUBTOTAL(9,A571:A571)</f>
        <v>8</v>
      </c>
      <c r="B572" s="1359" t="s">
        <v>949</v>
      </c>
      <c r="C572" s="1360" t="s">
        <v>1958</v>
      </c>
      <c r="D572" s="1368">
        <v>835</v>
      </c>
    </row>
    <row r="573" spans="1:4" hidden="1" outlineLevel="2">
      <c r="A573" s="1358">
        <v>34</v>
      </c>
      <c r="B573" s="1359" t="s">
        <v>949</v>
      </c>
      <c r="C573" s="1360" t="s">
        <v>1623</v>
      </c>
      <c r="D573" s="1368">
        <v>835</v>
      </c>
    </row>
    <row r="574" spans="1:4" hidden="1" outlineLevel="2">
      <c r="A574" s="1358">
        <v>34</v>
      </c>
      <c r="B574" s="1359" t="s">
        <v>949</v>
      </c>
      <c r="C574" s="1360" t="s">
        <v>1623</v>
      </c>
      <c r="D574" s="1368">
        <v>835</v>
      </c>
    </row>
    <row r="575" spans="1:4" outlineLevel="1" collapsed="1">
      <c r="A575" s="1358">
        <f>SUBTOTAL(9,A573:A574)</f>
        <v>68</v>
      </c>
      <c r="B575" s="1359" t="s">
        <v>949</v>
      </c>
      <c r="C575" s="1360" t="s">
        <v>1959</v>
      </c>
      <c r="D575" s="1368">
        <v>835</v>
      </c>
    </row>
    <row r="576" spans="1:4" hidden="1" outlineLevel="2">
      <c r="A576" s="1358">
        <v>6</v>
      </c>
      <c r="B576" s="1359" t="s">
        <v>949</v>
      </c>
      <c r="C576" s="1360" t="s">
        <v>1624</v>
      </c>
      <c r="D576" s="1368">
        <v>835</v>
      </c>
    </row>
    <row r="577" spans="1:4" ht="26.4" outlineLevel="1" collapsed="1">
      <c r="A577" s="1362">
        <f>SUBTOTAL(9,A576:A576)</f>
        <v>6</v>
      </c>
      <c r="B577" s="1363" t="s">
        <v>949</v>
      </c>
      <c r="C577" s="1364" t="s">
        <v>1960</v>
      </c>
      <c r="D577" s="1369">
        <v>835</v>
      </c>
    </row>
    <row r="578" spans="1:4" hidden="1" outlineLevel="2">
      <c r="A578" s="1358">
        <v>1</v>
      </c>
      <c r="B578" s="1359" t="s">
        <v>949</v>
      </c>
      <c r="C578" s="1360" t="s">
        <v>1754</v>
      </c>
      <c r="D578" s="1368">
        <v>845</v>
      </c>
    </row>
    <row r="579" spans="1:4" outlineLevel="1" collapsed="1">
      <c r="A579" s="1358">
        <f>SUBTOTAL(9,A578:A578)</f>
        <v>1</v>
      </c>
      <c r="B579" s="1359" t="s">
        <v>949</v>
      </c>
      <c r="C579" s="1360" t="s">
        <v>1961</v>
      </c>
      <c r="D579" s="1368">
        <v>845</v>
      </c>
    </row>
    <row r="580" spans="1:4" hidden="1" outlineLevel="2">
      <c r="A580" s="1358">
        <v>100</v>
      </c>
      <c r="B580" s="1359" t="s">
        <v>1451</v>
      </c>
      <c r="C580" s="1360" t="s">
        <v>1755</v>
      </c>
      <c r="D580" s="1368">
        <v>845</v>
      </c>
    </row>
    <row r="581" spans="1:4" outlineLevel="1" collapsed="1">
      <c r="A581" s="1358">
        <f>SUBTOTAL(9,A580:A580)</f>
        <v>100</v>
      </c>
      <c r="B581" s="1359" t="s">
        <v>1451</v>
      </c>
      <c r="C581" s="1360" t="s">
        <v>1962</v>
      </c>
      <c r="D581" s="1368">
        <v>845</v>
      </c>
    </row>
    <row r="582" spans="1:4" hidden="1" outlineLevel="2">
      <c r="A582" s="1358">
        <v>300</v>
      </c>
      <c r="B582" s="1359" t="s">
        <v>1451</v>
      </c>
      <c r="C582" s="1360" t="s">
        <v>1756</v>
      </c>
      <c r="D582" s="1368">
        <v>845</v>
      </c>
    </row>
    <row r="583" spans="1:4" outlineLevel="1" collapsed="1">
      <c r="A583" s="1358">
        <f>SUBTOTAL(9,A582:A582)</f>
        <v>300</v>
      </c>
      <c r="B583" s="1359" t="s">
        <v>1451</v>
      </c>
      <c r="C583" s="1360" t="s">
        <v>1963</v>
      </c>
      <c r="D583" s="1368">
        <v>845</v>
      </c>
    </row>
    <row r="584" spans="1:4" hidden="1" outlineLevel="2">
      <c r="A584" s="1358">
        <v>1</v>
      </c>
      <c r="B584" s="1359" t="s">
        <v>1442</v>
      </c>
      <c r="C584" s="1360" t="s">
        <v>1757</v>
      </c>
      <c r="D584" s="1368">
        <v>845</v>
      </c>
    </row>
    <row r="585" spans="1:4" ht="26.4" outlineLevel="1" collapsed="1">
      <c r="A585" s="1362">
        <f>SUBTOTAL(9,A584:A584)</f>
        <v>1</v>
      </c>
      <c r="B585" s="1363" t="s">
        <v>1442</v>
      </c>
      <c r="C585" s="1364" t="s">
        <v>1964</v>
      </c>
      <c r="D585" s="1369">
        <v>845</v>
      </c>
    </row>
    <row r="586" spans="1:4" hidden="1" outlineLevel="2">
      <c r="A586" s="1358">
        <v>1</v>
      </c>
      <c r="B586" s="1359" t="s">
        <v>1442</v>
      </c>
      <c r="C586" s="1360" t="s">
        <v>1758</v>
      </c>
      <c r="D586" s="1368">
        <v>845</v>
      </c>
    </row>
    <row r="587" spans="1:4" outlineLevel="1" collapsed="1">
      <c r="A587" s="1358">
        <f>SUBTOTAL(9,A586:A586)</f>
        <v>1</v>
      </c>
      <c r="B587" s="1359" t="s">
        <v>1442</v>
      </c>
      <c r="C587" s="1360" t="s">
        <v>1965</v>
      </c>
      <c r="D587" s="1368">
        <v>845</v>
      </c>
    </row>
    <row r="588" spans="1:4" hidden="1" outlineLevel="2">
      <c r="A588" s="1358">
        <v>2</v>
      </c>
      <c r="B588" s="1359" t="s">
        <v>1442</v>
      </c>
      <c r="C588" s="1360" t="s">
        <v>1759</v>
      </c>
      <c r="D588" s="1368">
        <v>858</v>
      </c>
    </row>
    <row r="589" spans="1:4" ht="26.4" outlineLevel="1" collapsed="1">
      <c r="A589" s="1362">
        <f>SUBTOTAL(9,A588:A588)</f>
        <v>2</v>
      </c>
      <c r="B589" s="1363" t="s">
        <v>1442</v>
      </c>
      <c r="C589" s="1364" t="s">
        <v>1966</v>
      </c>
      <c r="D589" s="1369">
        <v>858</v>
      </c>
    </row>
    <row r="590" spans="1:4" hidden="1" outlineLevel="2">
      <c r="A590" s="1358">
        <v>1</v>
      </c>
      <c r="B590" s="1359" t="s">
        <v>1442</v>
      </c>
      <c r="C590" s="1360" t="s">
        <v>1760</v>
      </c>
      <c r="D590" s="1368">
        <v>865</v>
      </c>
    </row>
    <row r="591" spans="1:4" outlineLevel="1" collapsed="1">
      <c r="A591" s="1358">
        <f>SUBTOTAL(9,A590:A590)</f>
        <v>1</v>
      </c>
      <c r="B591" s="1359" t="s">
        <v>1442</v>
      </c>
      <c r="C591" s="1360" t="s">
        <v>1967</v>
      </c>
      <c r="D591" s="1368">
        <v>865</v>
      </c>
    </row>
    <row r="592" spans="1:4" hidden="1" outlineLevel="2">
      <c r="A592" s="1358">
        <v>2</v>
      </c>
      <c r="B592" s="1359" t="s">
        <v>1442</v>
      </c>
      <c r="C592" s="1360" t="s">
        <v>1761</v>
      </c>
      <c r="D592" s="1368">
        <v>865</v>
      </c>
    </row>
    <row r="593" spans="1:4" hidden="1" outlineLevel="2">
      <c r="A593" s="1358">
        <v>2</v>
      </c>
      <c r="B593" s="1359" t="s">
        <v>1442</v>
      </c>
      <c r="C593" s="1360" t="s">
        <v>1761</v>
      </c>
      <c r="D593" s="1368">
        <v>865</v>
      </c>
    </row>
    <row r="594" spans="1:4" outlineLevel="1" collapsed="1">
      <c r="A594" s="1358">
        <f>SUBTOTAL(9,A592:A593)</f>
        <v>4</v>
      </c>
      <c r="B594" s="1359" t="s">
        <v>1442</v>
      </c>
      <c r="C594" s="1360" t="s">
        <v>1968</v>
      </c>
      <c r="D594" s="1368">
        <v>865</v>
      </c>
    </row>
    <row r="595" spans="1:4" hidden="1" outlineLevel="2">
      <c r="A595" s="1358">
        <v>1</v>
      </c>
      <c r="B595" s="1359" t="s">
        <v>1442</v>
      </c>
      <c r="C595" s="1360" t="s">
        <v>1762</v>
      </c>
      <c r="D595" s="1368">
        <v>865</v>
      </c>
    </row>
    <row r="596" spans="1:4" hidden="1" outlineLevel="2">
      <c r="A596" s="1358">
        <v>3</v>
      </c>
      <c r="B596" s="1359" t="s">
        <v>1442</v>
      </c>
      <c r="C596" s="1360" t="s">
        <v>1762</v>
      </c>
      <c r="D596" s="1368">
        <v>865</v>
      </c>
    </row>
    <row r="597" spans="1:4" hidden="1" outlineLevel="2">
      <c r="A597" s="1358">
        <v>1</v>
      </c>
      <c r="B597" s="1359" t="s">
        <v>1442</v>
      </c>
      <c r="C597" s="1360" t="s">
        <v>1762</v>
      </c>
      <c r="D597" s="1368">
        <v>865</v>
      </c>
    </row>
    <row r="598" spans="1:4" outlineLevel="1" collapsed="1">
      <c r="A598" s="1358">
        <f>SUBTOTAL(9,A595:A597)</f>
        <v>5</v>
      </c>
      <c r="B598" s="1359" t="s">
        <v>1442</v>
      </c>
      <c r="C598" s="1360" t="s">
        <v>1969</v>
      </c>
      <c r="D598" s="1368">
        <v>865</v>
      </c>
    </row>
    <row r="599" spans="1:4" hidden="1" outlineLevel="2">
      <c r="A599" s="1358">
        <v>9</v>
      </c>
      <c r="B599" s="1359" t="s">
        <v>1442</v>
      </c>
      <c r="C599" s="1360" t="s">
        <v>1625</v>
      </c>
      <c r="D599" s="1368">
        <v>875</v>
      </c>
    </row>
    <row r="600" spans="1:4" hidden="1" outlineLevel="2">
      <c r="A600" s="1358">
        <v>144</v>
      </c>
      <c r="B600" s="1359" t="s">
        <v>1442</v>
      </c>
      <c r="C600" s="1360" t="s">
        <v>1625</v>
      </c>
      <c r="D600" s="1368">
        <v>875</v>
      </c>
    </row>
    <row r="601" spans="1:4" outlineLevel="1" collapsed="1">
      <c r="A601" s="1358">
        <f>SUBTOTAL(9,A599:A600)</f>
        <v>153</v>
      </c>
      <c r="B601" s="1359" t="s">
        <v>1442</v>
      </c>
      <c r="C601" s="1360" t="s">
        <v>1970</v>
      </c>
      <c r="D601" s="1368">
        <v>875</v>
      </c>
    </row>
    <row r="602" spans="1:4" hidden="1" outlineLevel="2">
      <c r="A602" s="1358">
        <v>70</v>
      </c>
      <c r="B602" s="1359" t="s">
        <v>1442</v>
      </c>
      <c r="C602" s="1360" t="s">
        <v>1626</v>
      </c>
      <c r="D602" s="1368">
        <v>875</v>
      </c>
    </row>
    <row r="603" spans="1:4" hidden="1" outlineLevel="2">
      <c r="A603" s="1358">
        <v>10</v>
      </c>
      <c r="B603" s="1359" t="s">
        <v>1442</v>
      </c>
      <c r="C603" s="1360" t="s">
        <v>1626</v>
      </c>
      <c r="D603" s="1368">
        <v>875</v>
      </c>
    </row>
    <row r="604" spans="1:4" hidden="1" outlineLevel="2">
      <c r="A604" s="1358">
        <v>170</v>
      </c>
      <c r="B604" s="1359" t="s">
        <v>1442</v>
      </c>
      <c r="C604" s="1360" t="s">
        <v>1626</v>
      </c>
      <c r="D604" s="1368">
        <v>875</v>
      </c>
    </row>
    <row r="605" spans="1:4" hidden="1" outlineLevel="2">
      <c r="A605" s="1358">
        <v>76</v>
      </c>
      <c r="B605" s="1359" t="s">
        <v>1442</v>
      </c>
      <c r="C605" s="1360" t="s">
        <v>1626</v>
      </c>
      <c r="D605" s="1368">
        <v>875</v>
      </c>
    </row>
    <row r="606" spans="1:4" hidden="1" outlineLevel="2">
      <c r="A606" s="1358">
        <v>267</v>
      </c>
      <c r="B606" s="1359" t="s">
        <v>1442</v>
      </c>
      <c r="C606" s="1360" t="s">
        <v>1626</v>
      </c>
      <c r="D606" s="1368">
        <v>875</v>
      </c>
    </row>
    <row r="607" spans="1:4" hidden="1" outlineLevel="2">
      <c r="A607" s="1358">
        <v>52</v>
      </c>
      <c r="B607" s="1359" t="s">
        <v>1442</v>
      </c>
      <c r="C607" s="1360" t="s">
        <v>1626</v>
      </c>
      <c r="D607" s="1368">
        <v>875</v>
      </c>
    </row>
    <row r="608" spans="1:4" hidden="1" outlineLevel="2">
      <c r="A608" s="1358">
        <v>30</v>
      </c>
      <c r="B608" s="1359" t="s">
        <v>1442</v>
      </c>
      <c r="C608" s="1360" t="s">
        <v>1626</v>
      </c>
      <c r="D608" s="1368">
        <v>875</v>
      </c>
    </row>
    <row r="609" spans="1:4" hidden="1" outlineLevel="2">
      <c r="A609" s="1358">
        <v>5</v>
      </c>
      <c r="B609" s="1359" t="s">
        <v>1442</v>
      </c>
      <c r="C609" s="1360" t="s">
        <v>1626</v>
      </c>
      <c r="D609" s="1368">
        <v>875</v>
      </c>
    </row>
    <row r="610" spans="1:4" hidden="1" outlineLevel="2">
      <c r="A610" s="1358">
        <v>170</v>
      </c>
      <c r="B610" s="1359" t="s">
        <v>1442</v>
      </c>
      <c r="C610" s="1360" t="s">
        <v>1626</v>
      </c>
      <c r="D610" s="1368">
        <v>875</v>
      </c>
    </row>
    <row r="611" spans="1:4" hidden="1" outlineLevel="2">
      <c r="A611" s="1358">
        <v>44</v>
      </c>
      <c r="B611" s="1359" t="s">
        <v>1442</v>
      </c>
      <c r="C611" s="1360" t="s">
        <v>1626</v>
      </c>
      <c r="D611" s="1368">
        <v>875</v>
      </c>
    </row>
    <row r="612" spans="1:4" hidden="1" outlineLevel="2">
      <c r="A612" s="1358">
        <v>155</v>
      </c>
      <c r="B612" s="1359" t="s">
        <v>1442</v>
      </c>
      <c r="C612" s="1360" t="s">
        <v>1626</v>
      </c>
      <c r="D612" s="1368">
        <v>875</v>
      </c>
    </row>
    <row r="613" spans="1:4" hidden="1" outlineLevel="2">
      <c r="A613" s="1358">
        <v>102</v>
      </c>
      <c r="B613" s="1359" t="s">
        <v>1442</v>
      </c>
      <c r="C613" s="1360" t="s">
        <v>1626</v>
      </c>
      <c r="D613" s="1368">
        <v>875</v>
      </c>
    </row>
    <row r="614" spans="1:4" hidden="1" outlineLevel="2">
      <c r="A614" s="1358">
        <v>35</v>
      </c>
      <c r="B614" s="1359" t="s">
        <v>1442</v>
      </c>
      <c r="C614" s="1360" t="s">
        <v>1626</v>
      </c>
      <c r="D614" s="1368">
        <v>875</v>
      </c>
    </row>
    <row r="615" spans="1:4" hidden="1" outlineLevel="2">
      <c r="A615" s="1358">
        <v>40</v>
      </c>
      <c r="B615" s="1359" t="s">
        <v>1442</v>
      </c>
      <c r="C615" s="1360" t="s">
        <v>1626</v>
      </c>
      <c r="D615" s="1368">
        <v>875</v>
      </c>
    </row>
    <row r="616" spans="1:4" outlineLevel="1" collapsed="1">
      <c r="A616" s="1358">
        <f>SUBTOTAL(9,A602:A615)</f>
        <v>1226</v>
      </c>
      <c r="B616" s="1359" t="s">
        <v>1442</v>
      </c>
      <c r="C616" s="1360" t="s">
        <v>1971</v>
      </c>
      <c r="D616" s="1368">
        <v>875</v>
      </c>
    </row>
    <row r="617" spans="1:4" hidden="1" outlineLevel="2">
      <c r="A617" s="1358">
        <v>1</v>
      </c>
      <c r="B617" s="1359" t="s">
        <v>1442</v>
      </c>
      <c r="C617" s="1360" t="s">
        <v>1763</v>
      </c>
      <c r="D617" s="1368">
        <v>875</v>
      </c>
    </row>
    <row r="618" spans="1:4" hidden="1" outlineLevel="2">
      <c r="A618" s="1358">
        <v>1</v>
      </c>
      <c r="B618" s="1359" t="s">
        <v>1442</v>
      </c>
      <c r="C618" s="1360" t="s">
        <v>1763</v>
      </c>
      <c r="D618" s="1368">
        <v>875</v>
      </c>
    </row>
    <row r="619" spans="1:4" hidden="1" outlineLevel="2">
      <c r="A619" s="1358">
        <v>1</v>
      </c>
      <c r="B619" s="1359" t="s">
        <v>1442</v>
      </c>
      <c r="C619" s="1360" t="s">
        <v>1763</v>
      </c>
      <c r="D619" s="1368">
        <v>875</v>
      </c>
    </row>
    <row r="620" spans="1:4" hidden="1" outlineLevel="2">
      <c r="A620" s="1358">
        <v>1</v>
      </c>
      <c r="B620" s="1359" t="s">
        <v>1442</v>
      </c>
      <c r="C620" s="1360" t="s">
        <v>1763</v>
      </c>
      <c r="D620" s="1368">
        <v>875</v>
      </c>
    </row>
    <row r="621" spans="1:4" hidden="1" outlineLevel="2">
      <c r="A621" s="1358">
        <v>1</v>
      </c>
      <c r="B621" s="1359" t="s">
        <v>1442</v>
      </c>
      <c r="C621" s="1360" t="s">
        <v>1763</v>
      </c>
      <c r="D621" s="1368">
        <v>875</v>
      </c>
    </row>
    <row r="622" spans="1:4" hidden="1" outlineLevel="2">
      <c r="A622" s="1358">
        <v>1</v>
      </c>
      <c r="B622" s="1359" t="s">
        <v>1442</v>
      </c>
      <c r="C622" s="1360" t="s">
        <v>1763</v>
      </c>
      <c r="D622" s="1368">
        <v>875</v>
      </c>
    </row>
    <row r="623" spans="1:4" hidden="1" outlineLevel="2">
      <c r="A623" s="1358">
        <v>1</v>
      </c>
      <c r="B623" s="1359" t="s">
        <v>1442</v>
      </c>
      <c r="C623" s="1360" t="s">
        <v>1763</v>
      </c>
      <c r="D623" s="1368">
        <v>875</v>
      </c>
    </row>
    <row r="624" spans="1:4" hidden="1" outlineLevel="2">
      <c r="A624" s="1358">
        <v>1</v>
      </c>
      <c r="B624" s="1359" t="s">
        <v>1442</v>
      </c>
      <c r="C624" s="1360" t="s">
        <v>1763</v>
      </c>
      <c r="D624" s="1368">
        <v>875</v>
      </c>
    </row>
    <row r="625" spans="1:4" hidden="1" outlineLevel="2">
      <c r="A625" s="1358">
        <v>1</v>
      </c>
      <c r="B625" s="1359" t="s">
        <v>1442</v>
      </c>
      <c r="C625" s="1360" t="s">
        <v>1763</v>
      </c>
      <c r="D625" s="1368">
        <v>875</v>
      </c>
    </row>
    <row r="626" spans="1:4" hidden="1" outlineLevel="2">
      <c r="A626" s="1358">
        <v>1</v>
      </c>
      <c r="B626" s="1359" t="s">
        <v>1442</v>
      </c>
      <c r="C626" s="1360" t="s">
        <v>1763</v>
      </c>
      <c r="D626" s="1368">
        <v>875</v>
      </c>
    </row>
    <row r="627" spans="1:4" hidden="1" outlineLevel="2">
      <c r="A627" s="1358">
        <v>1</v>
      </c>
      <c r="B627" s="1359" t="s">
        <v>1442</v>
      </c>
      <c r="C627" s="1360" t="s">
        <v>1763</v>
      </c>
      <c r="D627" s="1368">
        <v>875</v>
      </c>
    </row>
    <row r="628" spans="1:4" hidden="1" outlineLevel="2">
      <c r="A628" s="1358">
        <v>1</v>
      </c>
      <c r="B628" s="1359" t="s">
        <v>1442</v>
      </c>
      <c r="C628" s="1360" t="s">
        <v>1763</v>
      </c>
      <c r="D628" s="1368">
        <v>875</v>
      </c>
    </row>
    <row r="629" spans="1:4" hidden="1" outlineLevel="2">
      <c r="A629" s="1358">
        <v>1</v>
      </c>
      <c r="B629" s="1359" t="s">
        <v>1442</v>
      </c>
      <c r="C629" s="1360" t="s">
        <v>1763</v>
      </c>
      <c r="D629" s="1368">
        <v>875</v>
      </c>
    </row>
    <row r="630" spans="1:4" hidden="1" outlineLevel="2">
      <c r="A630" s="1358">
        <v>1</v>
      </c>
      <c r="B630" s="1359" t="s">
        <v>1442</v>
      </c>
      <c r="C630" s="1360" t="s">
        <v>1763</v>
      </c>
      <c r="D630" s="1368">
        <v>875</v>
      </c>
    </row>
    <row r="631" spans="1:4" hidden="1" outlineLevel="2">
      <c r="A631" s="1358">
        <v>1</v>
      </c>
      <c r="B631" s="1359" t="s">
        <v>1442</v>
      </c>
      <c r="C631" s="1360" t="s">
        <v>1763</v>
      </c>
      <c r="D631" s="1368">
        <v>875</v>
      </c>
    </row>
    <row r="632" spans="1:4" hidden="1" outlineLevel="2">
      <c r="A632" s="1358">
        <v>1</v>
      </c>
      <c r="B632" s="1359" t="s">
        <v>1442</v>
      </c>
      <c r="C632" s="1360" t="s">
        <v>1763</v>
      </c>
      <c r="D632" s="1368">
        <v>875</v>
      </c>
    </row>
    <row r="633" spans="1:4" hidden="1" outlineLevel="2">
      <c r="A633" s="1358">
        <v>1</v>
      </c>
      <c r="B633" s="1359" t="s">
        <v>1442</v>
      </c>
      <c r="C633" s="1360" t="s">
        <v>1763</v>
      </c>
      <c r="D633" s="1368">
        <v>875</v>
      </c>
    </row>
    <row r="634" spans="1:4" hidden="1" outlineLevel="2">
      <c r="A634" s="1358">
        <v>1</v>
      </c>
      <c r="B634" s="1359" t="s">
        <v>1442</v>
      </c>
      <c r="C634" s="1360" t="s">
        <v>1763</v>
      </c>
      <c r="D634" s="1368">
        <v>875</v>
      </c>
    </row>
    <row r="635" spans="1:4" hidden="1" outlineLevel="2">
      <c r="A635" s="1358">
        <v>1</v>
      </c>
      <c r="B635" s="1359" t="s">
        <v>1442</v>
      </c>
      <c r="C635" s="1360" t="s">
        <v>1763</v>
      </c>
      <c r="D635" s="1368">
        <v>875</v>
      </c>
    </row>
    <row r="636" spans="1:4" hidden="1" outlineLevel="2">
      <c r="A636" s="1358">
        <v>1</v>
      </c>
      <c r="B636" s="1359" t="s">
        <v>1442</v>
      </c>
      <c r="C636" s="1360" t="s">
        <v>1763</v>
      </c>
      <c r="D636" s="1368">
        <v>875</v>
      </c>
    </row>
    <row r="637" spans="1:4" hidden="1" outlineLevel="2">
      <c r="A637" s="1358">
        <v>1</v>
      </c>
      <c r="B637" s="1359" t="s">
        <v>1442</v>
      </c>
      <c r="C637" s="1360" t="s">
        <v>1763</v>
      </c>
      <c r="D637" s="1368">
        <v>875</v>
      </c>
    </row>
    <row r="638" spans="1:4" hidden="1" outlineLevel="2">
      <c r="A638" s="1358">
        <v>1</v>
      </c>
      <c r="B638" s="1359" t="s">
        <v>1442</v>
      </c>
      <c r="C638" s="1360" t="s">
        <v>1763</v>
      </c>
      <c r="D638" s="1368">
        <v>875</v>
      </c>
    </row>
    <row r="639" spans="1:4" hidden="1" outlineLevel="2">
      <c r="A639" s="1358">
        <v>1</v>
      </c>
      <c r="B639" s="1359" t="s">
        <v>1442</v>
      </c>
      <c r="C639" s="1360" t="s">
        <v>1763</v>
      </c>
      <c r="D639" s="1368">
        <v>875</v>
      </c>
    </row>
    <row r="640" spans="1:4" hidden="1" outlineLevel="2">
      <c r="A640" s="1358">
        <v>1</v>
      </c>
      <c r="B640" s="1359" t="s">
        <v>1442</v>
      </c>
      <c r="C640" s="1360" t="s">
        <v>1763</v>
      </c>
      <c r="D640" s="1368">
        <v>875</v>
      </c>
    </row>
    <row r="641" spans="1:4" hidden="1" outlineLevel="2">
      <c r="A641" s="1358">
        <v>1</v>
      </c>
      <c r="B641" s="1359" t="s">
        <v>1442</v>
      </c>
      <c r="C641" s="1360" t="s">
        <v>1763</v>
      </c>
      <c r="D641" s="1368">
        <v>875</v>
      </c>
    </row>
    <row r="642" spans="1:4" hidden="1" outlineLevel="2">
      <c r="A642" s="1358">
        <v>1</v>
      </c>
      <c r="B642" s="1359" t="s">
        <v>1442</v>
      </c>
      <c r="C642" s="1360" t="s">
        <v>1763</v>
      </c>
      <c r="D642" s="1368">
        <v>875</v>
      </c>
    </row>
    <row r="643" spans="1:4" hidden="1" outlineLevel="2">
      <c r="A643" s="1358">
        <v>1</v>
      </c>
      <c r="B643" s="1359" t="s">
        <v>1442</v>
      </c>
      <c r="C643" s="1360" t="s">
        <v>1763</v>
      </c>
      <c r="D643" s="1368">
        <v>875</v>
      </c>
    </row>
    <row r="644" spans="1:4" hidden="1" outlineLevel="2">
      <c r="A644" s="1358">
        <v>1</v>
      </c>
      <c r="B644" s="1359" t="s">
        <v>1442</v>
      </c>
      <c r="C644" s="1360" t="s">
        <v>1763</v>
      </c>
      <c r="D644" s="1368">
        <v>875</v>
      </c>
    </row>
    <row r="645" spans="1:4" hidden="1" outlineLevel="2">
      <c r="A645" s="1358">
        <v>1</v>
      </c>
      <c r="B645" s="1359" t="s">
        <v>1442</v>
      </c>
      <c r="C645" s="1360" t="s">
        <v>1763</v>
      </c>
      <c r="D645" s="1368">
        <v>875</v>
      </c>
    </row>
    <row r="646" spans="1:4" hidden="1" outlineLevel="2">
      <c r="A646" s="1358">
        <v>1</v>
      </c>
      <c r="B646" s="1359" t="s">
        <v>1442</v>
      </c>
      <c r="C646" s="1360" t="s">
        <v>1763</v>
      </c>
      <c r="D646" s="1368">
        <v>875</v>
      </c>
    </row>
    <row r="647" spans="1:4" hidden="1" outlineLevel="2">
      <c r="A647" s="1358">
        <v>1</v>
      </c>
      <c r="B647" s="1359" t="s">
        <v>1442</v>
      </c>
      <c r="C647" s="1360" t="s">
        <v>1763</v>
      </c>
      <c r="D647" s="1368">
        <v>875</v>
      </c>
    </row>
    <row r="648" spans="1:4" outlineLevel="1" collapsed="1">
      <c r="A648" s="1358">
        <f>SUBTOTAL(9,A617:A647)</f>
        <v>31</v>
      </c>
      <c r="B648" s="1359" t="s">
        <v>1442</v>
      </c>
      <c r="C648" s="1360" t="s">
        <v>1972</v>
      </c>
      <c r="D648" s="1368">
        <v>875</v>
      </c>
    </row>
    <row r="649" spans="1:4" hidden="1" outlineLevel="2">
      <c r="A649" s="1358">
        <v>8</v>
      </c>
      <c r="B649" s="1359" t="s">
        <v>1442</v>
      </c>
      <c r="C649" s="1360" t="s">
        <v>1764</v>
      </c>
      <c r="D649" s="1368">
        <v>875</v>
      </c>
    </row>
    <row r="650" spans="1:4" hidden="1" outlineLevel="2">
      <c r="A650" s="1358">
        <v>8</v>
      </c>
      <c r="B650" s="1359" t="s">
        <v>1442</v>
      </c>
      <c r="C650" s="1360" t="s">
        <v>1764</v>
      </c>
      <c r="D650" s="1368">
        <v>875</v>
      </c>
    </row>
    <row r="651" spans="1:4" hidden="1" outlineLevel="2">
      <c r="A651" s="1358">
        <v>6</v>
      </c>
      <c r="B651" s="1359" t="s">
        <v>1442</v>
      </c>
      <c r="C651" s="1360" t="s">
        <v>1764</v>
      </c>
      <c r="D651" s="1368">
        <v>875</v>
      </c>
    </row>
    <row r="652" spans="1:4" hidden="1" outlineLevel="2">
      <c r="A652" s="1358">
        <v>2</v>
      </c>
      <c r="B652" s="1359" t="s">
        <v>1442</v>
      </c>
      <c r="C652" s="1360" t="s">
        <v>1764</v>
      </c>
      <c r="D652" s="1368">
        <v>875</v>
      </c>
    </row>
    <row r="653" spans="1:4" hidden="1" outlineLevel="2">
      <c r="A653" s="1358">
        <v>3</v>
      </c>
      <c r="B653" s="1359" t="s">
        <v>1442</v>
      </c>
      <c r="C653" s="1360" t="s">
        <v>1764</v>
      </c>
      <c r="D653" s="1368">
        <v>875</v>
      </c>
    </row>
    <row r="654" spans="1:4" hidden="1" outlineLevel="2">
      <c r="A654" s="1358">
        <v>2</v>
      </c>
      <c r="B654" s="1359" t="s">
        <v>1442</v>
      </c>
      <c r="C654" s="1360" t="s">
        <v>1764</v>
      </c>
      <c r="D654" s="1368">
        <v>875</v>
      </c>
    </row>
    <row r="655" spans="1:4" hidden="1" outlineLevel="2">
      <c r="A655" s="1358">
        <v>2</v>
      </c>
      <c r="B655" s="1359" t="s">
        <v>1442</v>
      </c>
      <c r="C655" s="1360" t="s">
        <v>1764</v>
      </c>
      <c r="D655" s="1368">
        <v>875</v>
      </c>
    </row>
    <row r="656" spans="1:4" hidden="1" outlineLevel="2">
      <c r="A656" s="1358">
        <v>1</v>
      </c>
      <c r="B656" s="1359" t="s">
        <v>1442</v>
      </c>
      <c r="C656" s="1360" t="s">
        <v>1764</v>
      </c>
      <c r="D656" s="1368">
        <v>875</v>
      </c>
    </row>
    <row r="657" spans="1:4" hidden="1" outlineLevel="2">
      <c r="A657" s="1358">
        <v>1</v>
      </c>
      <c r="B657" s="1359" t="s">
        <v>1442</v>
      </c>
      <c r="C657" s="1360" t="s">
        <v>1764</v>
      </c>
      <c r="D657" s="1368">
        <v>875</v>
      </c>
    </row>
    <row r="658" spans="1:4" hidden="1" outlineLevel="2">
      <c r="A658" s="1358">
        <v>1</v>
      </c>
      <c r="B658" s="1359" t="s">
        <v>1442</v>
      </c>
      <c r="C658" s="1360" t="s">
        <v>1764</v>
      </c>
      <c r="D658" s="1368">
        <v>875</v>
      </c>
    </row>
    <row r="659" spans="1:4" hidden="1" outlineLevel="2">
      <c r="A659" s="1358">
        <v>3</v>
      </c>
      <c r="B659" s="1359" t="s">
        <v>1442</v>
      </c>
      <c r="C659" s="1360" t="s">
        <v>1764</v>
      </c>
      <c r="D659" s="1368">
        <v>875</v>
      </c>
    </row>
    <row r="660" spans="1:4" hidden="1" outlineLevel="2">
      <c r="A660" s="1358">
        <v>3</v>
      </c>
      <c r="B660" s="1359" t="s">
        <v>1442</v>
      </c>
      <c r="C660" s="1360" t="s">
        <v>1764</v>
      </c>
      <c r="D660" s="1368">
        <v>875</v>
      </c>
    </row>
    <row r="661" spans="1:4" hidden="1" outlineLevel="2">
      <c r="A661" s="1358">
        <v>4</v>
      </c>
      <c r="B661" s="1359" t="s">
        <v>1442</v>
      </c>
      <c r="C661" s="1360" t="s">
        <v>1764</v>
      </c>
      <c r="D661" s="1368">
        <v>875</v>
      </c>
    </row>
    <row r="662" spans="1:4" outlineLevel="1" collapsed="1">
      <c r="A662" s="1358">
        <f>SUBTOTAL(9,A649:A661)</f>
        <v>44</v>
      </c>
      <c r="B662" s="1359" t="s">
        <v>1442</v>
      </c>
      <c r="C662" s="1360" t="s">
        <v>1973</v>
      </c>
      <c r="D662" s="1368">
        <v>875</v>
      </c>
    </row>
    <row r="663" spans="1:4" hidden="1" outlineLevel="2">
      <c r="A663" s="1358">
        <v>4</v>
      </c>
      <c r="B663" s="1359" t="s">
        <v>1442</v>
      </c>
      <c r="C663" s="1360" t="s">
        <v>1765</v>
      </c>
      <c r="D663" s="1368">
        <v>875</v>
      </c>
    </row>
    <row r="664" spans="1:4" outlineLevel="1" collapsed="1">
      <c r="A664" s="1358">
        <f>SUBTOTAL(9,A663:A663)</f>
        <v>4</v>
      </c>
      <c r="B664" s="1359" t="s">
        <v>1442</v>
      </c>
      <c r="C664" s="1360" t="s">
        <v>1974</v>
      </c>
      <c r="D664" s="1368">
        <v>875</v>
      </c>
    </row>
    <row r="665" spans="1:4" hidden="1" outlineLevel="2">
      <c r="A665" s="1358">
        <v>4</v>
      </c>
      <c r="B665" s="1359" t="s">
        <v>1442</v>
      </c>
      <c r="C665" s="1360" t="s">
        <v>1766</v>
      </c>
      <c r="D665" s="1368">
        <v>875</v>
      </c>
    </row>
    <row r="666" spans="1:4" hidden="1" outlineLevel="2">
      <c r="A666" s="1358">
        <v>4</v>
      </c>
      <c r="B666" s="1359" t="s">
        <v>1442</v>
      </c>
      <c r="C666" s="1360" t="s">
        <v>1766</v>
      </c>
      <c r="D666" s="1368">
        <v>875</v>
      </c>
    </row>
    <row r="667" spans="1:4" hidden="1" outlineLevel="2">
      <c r="A667" s="1358">
        <v>4</v>
      </c>
      <c r="B667" s="1359" t="s">
        <v>1442</v>
      </c>
      <c r="C667" s="1360" t="s">
        <v>1766</v>
      </c>
      <c r="D667" s="1368">
        <v>875</v>
      </c>
    </row>
    <row r="668" spans="1:4" hidden="1" outlineLevel="2">
      <c r="A668" s="1358">
        <v>4</v>
      </c>
      <c r="B668" s="1359" t="s">
        <v>1442</v>
      </c>
      <c r="C668" s="1360" t="s">
        <v>1766</v>
      </c>
      <c r="D668" s="1368">
        <v>875</v>
      </c>
    </row>
    <row r="669" spans="1:4" outlineLevel="1" collapsed="1">
      <c r="A669" s="1358">
        <f>SUBTOTAL(9,A665:A668)</f>
        <v>16</v>
      </c>
      <c r="B669" s="1359" t="s">
        <v>1442</v>
      </c>
      <c r="C669" s="1360" t="s">
        <v>1975</v>
      </c>
      <c r="D669" s="1368">
        <v>875</v>
      </c>
    </row>
    <row r="670" spans="1:4" hidden="1" outlineLevel="2">
      <c r="A670" s="1358">
        <v>3</v>
      </c>
      <c r="B670" s="1359" t="s">
        <v>1442</v>
      </c>
      <c r="C670" s="1360" t="s">
        <v>1627</v>
      </c>
      <c r="D670" s="1368">
        <v>875</v>
      </c>
    </row>
    <row r="671" spans="1:4" hidden="1" outlineLevel="2">
      <c r="A671" s="1358">
        <v>1</v>
      </c>
      <c r="B671" s="1359" t="s">
        <v>1442</v>
      </c>
      <c r="C671" s="1360" t="s">
        <v>1627</v>
      </c>
      <c r="D671" s="1368">
        <v>875</v>
      </c>
    </row>
    <row r="672" spans="1:4" outlineLevel="1" collapsed="1">
      <c r="A672" s="1358">
        <f>SUBTOTAL(9,A670:A671)</f>
        <v>4</v>
      </c>
      <c r="B672" s="1359" t="s">
        <v>1442</v>
      </c>
      <c r="C672" s="1360" t="s">
        <v>1976</v>
      </c>
      <c r="D672" s="1368">
        <v>875</v>
      </c>
    </row>
    <row r="673" spans="1:4" hidden="1" outlineLevel="2">
      <c r="A673" s="1358">
        <v>136</v>
      </c>
      <c r="B673" s="1359" t="s">
        <v>1442</v>
      </c>
      <c r="C673" s="1360" t="s">
        <v>1628</v>
      </c>
      <c r="D673" s="1368">
        <v>875</v>
      </c>
    </row>
    <row r="674" spans="1:4" hidden="1" outlineLevel="2">
      <c r="A674" s="1358">
        <v>32</v>
      </c>
      <c r="B674" s="1359" t="s">
        <v>1442</v>
      </c>
      <c r="C674" s="1360" t="s">
        <v>1628</v>
      </c>
      <c r="D674" s="1368">
        <v>875</v>
      </c>
    </row>
    <row r="675" spans="1:4" hidden="1" outlineLevel="2">
      <c r="A675" s="1358">
        <v>14</v>
      </c>
      <c r="B675" s="1359" t="s">
        <v>1442</v>
      </c>
      <c r="C675" s="1360" t="s">
        <v>1628</v>
      </c>
      <c r="D675" s="1368">
        <v>875</v>
      </c>
    </row>
    <row r="676" spans="1:4" hidden="1" outlineLevel="2">
      <c r="A676" s="1358">
        <v>38</v>
      </c>
      <c r="B676" s="1359" t="s">
        <v>1442</v>
      </c>
      <c r="C676" s="1360" t="s">
        <v>1628</v>
      </c>
      <c r="D676" s="1368">
        <v>875</v>
      </c>
    </row>
    <row r="677" spans="1:4" hidden="1" outlineLevel="2">
      <c r="A677" s="1358">
        <v>4</v>
      </c>
      <c r="B677" s="1359" t="s">
        <v>1442</v>
      </c>
      <c r="C677" s="1360" t="s">
        <v>1628</v>
      </c>
      <c r="D677" s="1368">
        <v>875</v>
      </c>
    </row>
    <row r="678" spans="1:4" hidden="1" outlineLevel="2">
      <c r="A678" s="1358">
        <v>20</v>
      </c>
      <c r="B678" s="1359" t="s">
        <v>1442</v>
      </c>
      <c r="C678" s="1360" t="s">
        <v>1628</v>
      </c>
      <c r="D678" s="1368">
        <v>875</v>
      </c>
    </row>
    <row r="679" spans="1:4" hidden="1" outlineLevel="2">
      <c r="A679" s="1358">
        <v>38</v>
      </c>
      <c r="B679" s="1359" t="s">
        <v>1442</v>
      </c>
      <c r="C679" s="1360" t="s">
        <v>1628</v>
      </c>
      <c r="D679" s="1368">
        <v>875</v>
      </c>
    </row>
    <row r="680" spans="1:4" hidden="1" outlineLevel="2">
      <c r="A680" s="1358">
        <v>56</v>
      </c>
      <c r="B680" s="1359" t="s">
        <v>1442</v>
      </c>
      <c r="C680" s="1360" t="s">
        <v>1628</v>
      </c>
      <c r="D680" s="1368">
        <v>875</v>
      </c>
    </row>
    <row r="681" spans="1:4" hidden="1" outlineLevel="2">
      <c r="A681" s="1358">
        <v>12</v>
      </c>
      <c r="B681" s="1359" t="s">
        <v>1442</v>
      </c>
      <c r="C681" s="1360" t="s">
        <v>1628</v>
      </c>
      <c r="D681" s="1368">
        <v>875</v>
      </c>
    </row>
    <row r="682" spans="1:4" hidden="1" outlineLevel="2">
      <c r="A682" s="1358">
        <v>46</v>
      </c>
      <c r="B682" s="1359" t="s">
        <v>1442</v>
      </c>
      <c r="C682" s="1360" t="s">
        <v>1628</v>
      </c>
      <c r="D682" s="1368">
        <v>875</v>
      </c>
    </row>
    <row r="683" spans="1:4" hidden="1" outlineLevel="2">
      <c r="A683" s="1358">
        <v>8</v>
      </c>
      <c r="B683" s="1359" t="s">
        <v>1442</v>
      </c>
      <c r="C683" s="1360" t="s">
        <v>1628</v>
      </c>
      <c r="D683" s="1368">
        <v>875</v>
      </c>
    </row>
    <row r="684" spans="1:4" hidden="1" outlineLevel="2">
      <c r="A684" s="1358">
        <v>4</v>
      </c>
      <c r="B684" s="1359" t="s">
        <v>1442</v>
      </c>
      <c r="C684" s="1360" t="s">
        <v>1628</v>
      </c>
      <c r="D684" s="1368">
        <v>875</v>
      </c>
    </row>
    <row r="685" spans="1:4" hidden="1" outlineLevel="2">
      <c r="A685" s="1358">
        <v>148</v>
      </c>
      <c r="B685" s="1359" t="s">
        <v>1442</v>
      </c>
      <c r="C685" s="1360" t="s">
        <v>1628</v>
      </c>
      <c r="D685" s="1368">
        <v>875</v>
      </c>
    </row>
    <row r="686" spans="1:4" hidden="1" outlineLevel="2">
      <c r="A686" s="1358">
        <v>114</v>
      </c>
      <c r="B686" s="1359" t="s">
        <v>1442</v>
      </c>
      <c r="C686" s="1360" t="s">
        <v>1628</v>
      </c>
      <c r="D686" s="1368">
        <v>875</v>
      </c>
    </row>
    <row r="687" spans="1:4" hidden="1" outlineLevel="2">
      <c r="A687" s="1358">
        <v>38</v>
      </c>
      <c r="B687" s="1359" t="s">
        <v>1442</v>
      </c>
      <c r="C687" s="1360" t="s">
        <v>1628</v>
      </c>
      <c r="D687" s="1368">
        <v>875</v>
      </c>
    </row>
    <row r="688" spans="1:4" hidden="1" outlineLevel="2">
      <c r="A688" s="1358">
        <v>86</v>
      </c>
      <c r="B688" s="1359" t="s">
        <v>1442</v>
      </c>
      <c r="C688" s="1360" t="s">
        <v>1628</v>
      </c>
      <c r="D688" s="1368">
        <v>875</v>
      </c>
    </row>
    <row r="689" spans="1:4" hidden="1" outlineLevel="2">
      <c r="A689" s="1358">
        <v>28</v>
      </c>
      <c r="B689" s="1359" t="s">
        <v>1442</v>
      </c>
      <c r="C689" s="1360" t="s">
        <v>1628</v>
      </c>
      <c r="D689" s="1368">
        <v>875</v>
      </c>
    </row>
    <row r="690" spans="1:4" hidden="1" outlineLevel="2">
      <c r="A690" s="1358">
        <v>6</v>
      </c>
      <c r="B690" s="1359" t="s">
        <v>1442</v>
      </c>
      <c r="C690" s="1360" t="s">
        <v>1628</v>
      </c>
      <c r="D690" s="1368">
        <v>875</v>
      </c>
    </row>
    <row r="691" spans="1:4" hidden="1" outlineLevel="2">
      <c r="A691" s="1358">
        <v>6</v>
      </c>
      <c r="B691" s="1359" t="s">
        <v>1442</v>
      </c>
      <c r="C691" s="1360" t="s">
        <v>1628</v>
      </c>
      <c r="D691" s="1368">
        <v>875</v>
      </c>
    </row>
    <row r="692" spans="1:4" hidden="1" outlineLevel="2">
      <c r="A692" s="1358">
        <v>24</v>
      </c>
      <c r="B692" s="1359" t="s">
        <v>1442</v>
      </c>
      <c r="C692" s="1360" t="s">
        <v>1628</v>
      </c>
      <c r="D692" s="1368">
        <v>875</v>
      </c>
    </row>
    <row r="693" spans="1:4" hidden="1" outlineLevel="2">
      <c r="A693" s="1358">
        <v>8</v>
      </c>
      <c r="B693" s="1359" t="s">
        <v>1442</v>
      </c>
      <c r="C693" s="1360" t="s">
        <v>1628</v>
      </c>
      <c r="D693" s="1368">
        <v>875</v>
      </c>
    </row>
    <row r="694" spans="1:4" hidden="1" outlineLevel="2">
      <c r="A694" s="1358">
        <v>12</v>
      </c>
      <c r="B694" s="1359" t="s">
        <v>1442</v>
      </c>
      <c r="C694" s="1360" t="s">
        <v>1628</v>
      </c>
      <c r="D694" s="1368">
        <v>875</v>
      </c>
    </row>
    <row r="695" spans="1:4" hidden="1" outlineLevel="2">
      <c r="A695" s="1358">
        <v>4</v>
      </c>
      <c r="B695" s="1359" t="s">
        <v>1442</v>
      </c>
      <c r="C695" s="1360" t="s">
        <v>1628</v>
      </c>
      <c r="D695" s="1368">
        <v>875</v>
      </c>
    </row>
    <row r="696" spans="1:4" hidden="1" outlineLevel="2">
      <c r="A696" s="1358">
        <v>4</v>
      </c>
      <c r="B696" s="1359" t="s">
        <v>1442</v>
      </c>
      <c r="C696" s="1360" t="s">
        <v>1628</v>
      </c>
      <c r="D696" s="1368">
        <v>875</v>
      </c>
    </row>
    <row r="697" spans="1:4" hidden="1" outlineLevel="2">
      <c r="A697" s="1358">
        <v>4</v>
      </c>
      <c r="B697" s="1359" t="s">
        <v>1442</v>
      </c>
      <c r="C697" s="1360" t="s">
        <v>1628</v>
      </c>
      <c r="D697" s="1368">
        <v>875</v>
      </c>
    </row>
    <row r="698" spans="1:4" hidden="1" outlineLevel="2">
      <c r="A698" s="1358">
        <v>4</v>
      </c>
      <c r="B698" s="1359" t="s">
        <v>1442</v>
      </c>
      <c r="C698" s="1360" t="s">
        <v>1628</v>
      </c>
      <c r="D698" s="1368">
        <v>875</v>
      </c>
    </row>
    <row r="699" spans="1:4" hidden="1" outlineLevel="2">
      <c r="A699" s="1358">
        <v>4</v>
      </c>
      <c r="B699" s="1359" t="s">
        <v>1442</v>
      </c>
      <c r="C699" s="1360" t="s">
        <v>1628</v>
      </c>
      <c r="D699" s="1368">
        <v>875</v>
      </c>
    </row>
    <row r="700" spans="1:4" hidden="1" outlineLevel="2">
      <c r="A700" s="1358">
        <v>4</v>
      </c>
      <c r="B700" s="1359" t="s">
        <v>1442</v>
      </c>
      <c r="C700" s="1360" t="s">
        <v>1628</v>
      </c>
      <c r="D700" s="1368">
        <v>875</v>
      </c>
    </row>
    <row r="701" spans="1:4" hidden="1" outlineLevel="2">
      <c r="A701" s="1358">
        <v>4</v>
      </c>
      <c r="B701" s="1359" t="s">
        <v>1442</v>
      </c>
      <c r="C701" s="1360" t="s">
        <v>1628</v>
      </c>
      <c r="D701" s="1368">
        <v>875</v>
      </c>
    </row>
    <row r="702" spans="1:4" hidden="1" outlineLevel="2">
      <c r="A702" s="1358">
        <v>4</v>
      </c>
      <c r="B702" s="1359" t="s">
        <v>1442</v>
      </c>
      <c r="C702" s="1360" t="s">
        <v>1628</v>
      </c>
      <c r="D702" s="1368">
        <v>875</v>
      </c>
    </row>
    <row r="703" spans="1:4" hidden="1" outlineLevel="2">
      <c r="A703" s="1358">
        <v>4</v>
      </c>
      <c r="B703" s="1359" t="s">
        <v>1442</v>
      </c>
      <c r="C703" s="1360" t="s">
        <v>1628</v>
      </c>
      <c r="D703" s="1368">
        <v>875</v>
      </c>
    </row>
    <row r="704" spans="1:4" hidden="1" outlineLevel="2">
      <c r="A704" s="1358">
        <v>8</v>
      </c>
      <c r="B704" s="1359" t="s">
        <v>1442</v>
      </c>
      <c r="C704" s="1360" t="s">
        <v>1628</v>
      </c>
      <c r="D704" s="1368">
        <v>875</v>
      </c>
    </row>
    <row r="705" spans="1:4" hidden="1" outlineLevel="2">
      <c r="A705" s="1358">
        <v>4</v>
      </c>
      <c r="B705" s="1359" t="s">
        <v>1442</v>
      </c>
      <c r="C705" s="1360" t="s">
        <v>1628</v>
      </c>
      <c r="D705" s="1368">
        <v>875</v>
      </c>
    </row>
    <row r="706" spans="1:4" hidden="1" outlineLevel="2">
      <c r="A706" s="1358">
        <v>4</v>
      </c>
      <c r="B706" s="1359" t="s">
        <v>1442</v>
      </c>
      <c r="C706" s="1360" t="s">
        <v>1628</v>
      </c>
      <c r="D706" s="1368">
        <v>875</v>
      </c>
    </row>
    <row r="707" spans="1:4" hidden="1" outlineLevel="2">
      <c r="A707" s="1358">
        <v>4</v>
      </c>
      <c r="B707" s="1359" t="s">
        <v>1442</v>
      </c>
      <c r="C707" s="1360" t="s">
        <v>1628</v>
      </c>
      <c r="D707" s="1368">
        <v>875</v>
      </c>
    </row>
    <row r="708" spans="1:4" hidden="1" outlineLevel="2">
      <c r="A708" s="1358">
        <v>8</v>
      </c>
      <c r="B708" s="1359" t="s">
        <v>1442</v>
      </c>
      <c r="C708" s="1360" t="s">
        <v>1628</v>
      </c>
      <c r="D708" s="1368">
        <v>875</v>
      </c>
    </row>
    <row r="709" spans="1:4" hidden="1" outlineLevel="2">
      <c r="A709" s="1358">
        <v>4</v>
      </c>
      <c r="B709" s="1359" t="s">
        <v>1442</v>
      </c>
      <c r="C709" s="1360" t="s">
        <v>1628</v>
      </c>
      <c r="D709" s="1368">
        <v>875</v>
      </c>
    </row>
    <row r="710" spans="1:4" hidden="1" outlineLevel="2">
      <c r="A710" s="1358">
        <v>4</v>
      </c>
      <c r="B710" s="1359" t="s">
        <v>1442</v>
      </c>
      <c r="C710" s="1360" t="s">
        <v>1628</v>
      </c>
      <c r="D710" s="1368">
        <v>875</v>
      </c>
    </row>
    <row r="711" spans="1:4" hidden="1" outlineLevel="2">
      <c r="A711" s="1358">
        <v>4</v>
      </c>
      <c r="B711" s="1359" t="s">
        <v>1442</v>
      </c>
      <c r="C711" s="1360" t="s">
        <v>1628</v>
      </c>
      <c r="D711" s="1368">
        <v>875</v>
      </c>
    </row>
    <row r="712" spans="1:4" hidden="1" outlineLevel="2">
      <c r="A712" s="1358">
        <v>4</v>
      </c>
      <c r="B712" s="1359" t="s">
        <v>1442</v>
      </c>
      <c r="C712" s="1360" t="s">
        <v>1628</v>
      </c>
      <c r="D712" s="1368">
        <v>875</v>
      </c>
    </row>
    <row r="713" spans="1:4" hidden="1" outlineLevel="2">
      <c r="A713" s="1358">
        <v>12</v>
      </c>
      <c r="B713" s="1359" t="s">
        <v>1442</v>
      </c>
      <c r="C713" s="1360" t="s">
        <v>1628</v>
      </c>
      <c r="D713" s="1368">
        <v>875</v>
      </c>
    </row>
    <row r="714" spans="1:4" hidden="1" outlineLevel="2">
      <c r="A714" s="1358">
        <v>12</v>
      </c>
      <c r="B714" s="1359" t="s">
        <v>1442</v>
      </c>
      <c r="C714" s="1360" t="s">
        <v>1628</v>
      </c>
      <c r="D714" s="1368">
        <v>875</v>
      </c>
    </row>
    <row r="715" spans="1:4" hidden="1" outlineLevel="2">
      <c r="A715" s="1358">
        <v>12</v>
      </c>
      <c r="B715" s="1359" t="s">
        <v>1442</v>
      </c>
      <c r="C715" s="1360" t="s">
        <v>1628</v>
      </c>
      <c r="D715" s="1368">
        <v>875</v>
      </c>
    </row>
    <row r="716" spans="1:4" hidden="1" outlineLevel="2">
      <c r="A716" s="1358">
        <v>12</v>
      </c>
      <c r="B716" s="1359" t="s">
        <v>1442</v>
      </c>
      <c r="C716" s="1360" t="s">
        <v>1628</v>
      </c>
      <c r="D716" s="1368">
        <v>875</v>
      </c>
    </row>
    <row r="717" spans="1:4" hidden="1" outlineLevel="2">
      <c r="A717" s="1358">
        <v>16</v>
      </c>
      <c r="B717" s="1359" t="s">
        <v>1442</v>
      </c>
      <c r="C717" s="1360" t="s">
        <v>1628</v>
      </c>
      <c r="D717" s="1368">
        <v>875</v>
      </c>
    </row>
    <row r="718" spans="1:4" outlineLevel="1" collapsed="1">
      <c r="A718" s="1358">
        <f>SUBTOTAL(9,A673:A717)</f>
        <v>1022</v>
      </c>
      <c r="B718" s="1359" t="s">
        <v>1442</v>
      </c>
      <c r="C718" s="1360" t="s">
        <v>1977</v>
      </c>
      <c r="D718" s="1368">
        <v>875</v>
      </c>
    </row>
    <row r="719" spans="1:4" hidden="1" outlineLevel="2">
      <c r="A719" s="1358">
        <v>136</v>
      </c>
      <c r="B719" s="1359" t="s">
        <v>1442</v>
      </c>
      <c r="C719" s="1360" t="s">
        <v>1629</v>
      </c>
      <c r="D719" s="1368">
        <v>875</v>
      </c>
    </row>
    <row r="720" spans="1:4" hidden="1" outlineLevel="2">
      <c r="A720" s="1358">
        <v>32</v>
      </c>
      <c r="B720" s="1359" t="s">
        <v>1442</v>
      </c>
      <c r="C720" s="1360" t="s">
        <v>1629</v>
      </c>
      <c r="D720" s="1368">
        <v>875</v>
      </c>
    </row>
    <row r="721" spans="1:4" hidden="1" outlineLevel="2">
      <c r="A721" s="1358">
        <v>14</v>
      </c>
      <c r="B721" s="1359" t="s">
        <v>1442</v>
      </c>
      <c r="C721" s="1360" t="s">
        <v>1629</v>
      </c>
      <c r="D721" s="1368">
        <v>875</v>
      </c>
    </row>
    <row r="722" spans="1:4" hidden="1" outlineLevel="2">
      <c r="A722" s="1358">
        <v>38</v>
      </c>
      <c r="B722" s="1359" t="s">
        <v>1442</v>
      </c>
      <c r="C722" s="1360" t="s">
        <v>1629</v>
      </c>
      <c r="D722" s="1368">
        <v>875</v>
      </c>
    </row>
    <row r="723" spans="1:4" hidden="1" outlineLevel="2">
      <c r="A723" s="1358">
        <v>4</v>
      </c>
      <c r="B723" s="1359" t="s">
        <v>1442</v>
      </c>
      <c r="C723" s="1360" t="s">
        <v>1629</v>
      </c>
      <c r="D723" s="1368">
        <v>875</v>
      </c>
    </row>
    <row r="724" spans="1:4" hidden="1" outlineLevel="2">
      <c r="A724" s="1358">
        <v>20</v>
      </c>
      <c r="B724" s="1359" t="s">
        <v>1442</v>
      </c>
      <c r="C724" s="1360" t="s">
        <v>1629</v>
      </c>
      <c r="D724" s="1368">
        <v>875</v>
      </c>
    </row>
    <row r="725" spans="1:4" hidden="1" outlineLevel="2">
      <c r="A725" s="1358">
        <v>38</v>
      </c>
      <c r="B725" s="1359" t="s">
        <v>1442</v>
      </c>
      <c r="C725" s="1360" t="s">
        <v>1629</v>
      </c>
      <c r="D725" s="1368">
        <v>875</v>
      </c>
    </row>
    <row r="726" spans="1:4" hidden="1" outlineLevel="2">
      <c r="A726" s="1358">
        <v>56</v>
      </c>
      <c r="B726" s="1359" t="s">
        <v>1442</v>
      </c>
      <c r="C726" s="1360" t="s">
        <v>1629</v>
      </c>
      <c r="D726" s="1368">
        <v>875</v>
      </c>
    </row>
    <row r="727" spans="1:4" hidden="1" outlineLevel="2">
      <c r="A727" s="1358">
        <v>12</v>
      </c>
      <c r="B727" s="1359" t="s">
        <v>1442</v>
      </c>
      <c r="C727" s="1360" t="s">
        <v>1629</v>
      </c>
      <c r="D727" s="1368">
        <v>875</v>
      </c>
    </row>
    <row r="728" spans="1:4" hidden="1" outlineLevel="2">
      <c r="A728" s="1358">
        <v>46</v>
      </c>
      <c r="B728" s="1359" t="s">
        <v>1442</v>
      </c>
      <c r="C728" s="1360" t="s">
        <v>1629</v>
      </c>
      <c r="D728" s="1368">
        <v>875</v>
      </c>
    </row>
    <row r="729" spans="1:4" hidden="1" outlineLevel="2">
      <c r="A729" s="1358">
        <v>8</v>
      </c>
      <c r="B729" s="1359" t="s">
        <v>1442</v>
      </c>
      <c r="C729" s="1360" t="s">
        <v>1629</v>
      </c>
      <c r="D729" s="1368">
        <v>875</v>
      </c>
    </row>
    <row r="730" spans="1:4" hidden="1" outlineLevel="2">
      <c r="A730" s="1358">
        <v>4</v>
      </c>
      <c r="B730" s="1359" t="s">
        <v>1442</v>
      </c>
      <c r="C730" s="1360" t="s">
        <v>1629</v>
      </c>
      <c r="D730" s="1368">
        <v>875</v>
      </c>
    </row>
    <row r="731" spans="1:4" hidden="1" outlineLevel="2">
      <c r="A731" s="1358">
        <v>148</v>
      </c>
      <c r="B731" s="1359" t="s">
        <v>1442</v>
      </c>
      <c r="C731" s="1360" t="s">
        <v>1629</v>
      </c>
      <c r="D731" s="1368">
        <v>875</v>
      </c>
    </row>
    <row r="732" spans="1:4" hidden="1" outlineLevel="2">
      <c r="A732" s="1358">
        <v>114</v>
      </c>
      <c r="B732" s="1359" t="s">
        <v>1442</v>
      </c>
      <c r="C732" s="1360" t="s">
        <v>1629</v>
      </c>
      <c r="D732" s="1368">
        <v>875</v>
      </c>
    </row>
    <row r="733" spans="1:4" hidden="1" outlineLevel="2">
      <c r="A733" s="1358">
        <v>38</v>
      </c>
      <c r="B733" s="1359" t="s">
        <v>1442</v>
      </c>
      <c r="C733" s="1360" t="s">
        <v>1629</v>
      </c>
      <c r="D733" s="1368">
        <v>875</v>
      </c>
    </row>
    <row r="734" spans="1:4" hidden="1" outlineLevel="2">
      <c r="A734" s="1358">
        <v>86</v>
      </c>
      <c r="B734" s="1359" t="s">
        <v>1442</v>
      </c>
      <c r="C734" s="1360" t="s">
        <v>1629</v>
      </c>
      <c r="D734" s="1368">
        <v>875</v>
      </c>
    </row>
    <row r="735" spans="1:4" hidden="1" outlineLevel="2">
      <c r="A735" s="1358">
        <v>28</v>
      </c>
      <c r="B735" s="1359" t="s">
        <v>1442</v>
      </c>
      <c r="C735" s="1360" t="s">
        <v>1629</v>
      </c>
      <c r="D735" s="1368">
        <v>875</v>
      </c>
    </row>
    <row r="736" spans="1:4" hidden="1" outlineLevel="2">
      <c r="A736" s="1358">
        <v>6</v>
      </c>
      <c r="B736" s="1359" t="s">
        <v>1442</v>
      </c>
      <c r="C736" s="1360" t="s">
        <v>1629</v>
      </c>
      <c r="D736" s="1368">
        <v>875</v>
      </c>
    </row>
    <row r="737" spans="1:4" hidden="1" outlineLevel="2">
      <c r="A737" s="1358">
        <v>6</v>
      </c>
      <c r="B737" s="1359" t="s">
        <v>1442</v>
      </c>
      <c r="C737" s="1360" t="s">
        <v>1629</v>
      </c>
      <c r="D737" s="1368">
        <v>875</v>
      </c>
    </row>
    <row r="738" spans="1:4" hidden="1" outlineLevel="2">
      <c r="A738" s="1358">
        <v>24</v>
      </c>
      <c r="B738" s="1359" t="s">
        <v>1442</v>
      </c>
      <c r="C738" s="1360" t="s">
        <v>1629</v>
      </c>
      <c r="D738" s="1368">
        <v>875</v>
      </c>
    </row>
    <row r="739" spans="1:4" hidden="1" outlineLevel="2">
      <c r="A739" s="1358">
        <v>8</v>
      </c>
      <c r="B739" s="1359" t="s">
        <v>1442</v>
      </c>
      <c r="C739" s="1360" t="s">
        <v>1629</v>
      </c>
      <c r="D739" s="1368">
        <v>875</v>
      </c>
    </row>
    <row r="740" spans="1:4" hidden="1" outlineLevel="2">
      <c r="A740" s="1358">
        <v>12</v>
      </c>
      <c r="B740" s="1359" t="s">
        <v>1442</v>
      </c>
      <c r="C740" s="1360" t="s">
        <v>1629</v>
      </c>
      <c r="D740" s="1368">
        <v>875</v>
      </c>
    </row>
    <row r="741" spans="1:4" hidden="1" outlineLevel="2">
      <c r="A741" s="1358">
        <v>4</v>
      </c>
      <c r="B741" s="1359" t="s">
        <v>1442</v>
      </c>
      <c r="C741" s="1360" t="s">
        <v>1629</v>
      </c>
      <c r="D741" s="1368">
        <v>875</v>
      </c>
    </row>
    <row r="742" spans="1:4" hidden="1" outlineLevel="2">
      <c r="A742" s="1358">
        <v>4</v>
      </c>
      <c r="B742" s="1359" t="s">
        <v>1442</v>
      </c>
      <c r="C742" s="1360" t="s">
        <v>1629</v>
      </c>
      <c r="D742" s="1368">
        <v>875</v>
      </c>
    </row>
    <row r="743" spans="1:4" hidden="1" outlineLevel="2">
      <c r="A743" s="1358">
        <v>4</v>
      </c>
      <c r="B743" s="1359" t="s">
        <v>1442</v>
      </c>
      <c r="C743" s="1360" t="s">
        <v>1629</v>
      </c>
      <c r="D743" s="1368">
        <v>875</v>
      </c>
    </row>
    <row r="744" spans="1:4" hidden="1" outlineLevel="2">
      <c r="A744" s="1358">
        <v>4</v>
      </c>
      <c r="B744" s="1359" t="s">
        <v>1442</v>
      </c>
      <c r="C744" s="1360" t="s">
        <v>1629</v>
      </c>
      <c r="D744" s="1368">
        <v>875</v>
      </c>
    </row>
    <row r="745" spans="1:4" hidden="1" outlineLevel="2">
      <c r="A745" s="1358">
        <v>4</v>
      </c>
      <c r="B745" s="1359" t="s">
        <v>1442</v>
      </c>
      <c r="C745" s="1360" t="s">
        <v>1629</v>
      </c>
      <c r="D745" s="1368">
        <v>875</v>
      </c>
    </row>
    <row r="746" spans="1:4" hidden="1" outlineLevel="2">
      <c r="A746" s="1358">
        <v>4</v>
      </c>
      <c r="B746" s="1359" t="s">
        <v>1442</v>
      </c>
      <c r="C746" s="1360" t="s">
        <v>1629</v>
      </c>
      <c r="D746" s="1368">
        <v>875</v>
      </c>
    </row>
    <row r="747" spans="1:4" hidden="1" outlineLevel="2">
      <c r="A747" s="1358">
        <v>4</v>
      </c>
      <c r="B747" s="1359" t="s">
        <v>1442</v>
      </c>
      <c r="C747" s="1360" t="s">
        <v>1629</v>
      </c>
      <c r="D747" s="1368">
        <v>875</v>
      </c>
    </row>
    <row r="748" spans="1:4" hidden="1" outlineLevel="2">
      <c r="A748" s="1358">
        <v>4</v>
      </c>
      <c r="B748" s="1359" t="s">
        <v>1442</v>
      </c>
      <c r="C748" s="1360" t="s">
        <v>1629</v>
      </c>
      <c r="D748" s="1368">
        <v>875</v>
      </c>
    </row>
    <row r="749" spans="1:4" hidden="1" outlineLevel="2">
      <c r="A749" s="1358">
        <v>4</v>
      </c>
      <c r="B749" s="1359" t="s">
        <v>1442</v>
      </c>
      <c r="C749" s="1360" t="s">
        <v>1629</v>
      </c>
      <c r="D749" s="1368">
        <v>875</v>
      </c>
    </row>
    <row r="750" spans="1:4" hidden="1" outlineLevel="2">
      <c r="A750" s="1358">
        <v>8</v>
      </c>
      <c r="B750" s="1359" t="s">
        <v>1442</v>
      </c>
      <c r="C750" s="1360" t="s">
        <v>1629</v>
      </c>
      <c r="D750" s="1368">
        <v>875</v>
      </c>
    </row>
    <row r="751" spans="1:4" hidden="1" outlineLevel="2">
      <c r="A751" s="1358">
        <v>4</v>
      </c>
      <c r="B751" s="1359" t="s">
        <v>1442</v>
      </c>
      <c r="C751" s="1360" t="s">
        <v>1629</v>
      </c>
      <c r="D751" s="1368">
        <v>875</v>
      </c>
    </row>
    <row r="752" spans="1:4" hidden="1" outlineLevel="2">
      <c r="A752" s="1358">
        <v>4</v>
      </c>
      <c r="B752" s="1359" t="s">
        <v>1442</v>
      </c>
      <c r="C752" s="1360" t="s">
        <v>1629</v>
      </c>
      <c r="D752" s="1368">
        <v>875</v>
      </c>
    </row>
    <row r="753" spans="1:4" hidden="1" outlineLevel="2">
      <c r="A753" s="1358">
        <v>4</v>
      </c>
      <c r="B753" s="1359" t="s">
        <v>1442</v>
      </c>
      <c r="C753" s="1360" t="s">
        <v>1629</v>
      </c>
      <c r="D753" s="1368">
        <v>875</v>
      </c>
    </row>
    <row r="754" spans="1:4" hidden="1" outlineLevel="2">
      <c r="A754" s="1358">
        <v>8</v>
      </c>
      <c r="B754" s="1359" t="s">
        <v>1442</v>
      </c>
      <c r="C754" s="1360" t="s">
        <v>1629</v>
      </c>
      <c r="D754" s="1368">
        <v>875</v>
      </c>
    </row>
    <row r="755" spans="1:4" hidden="1" outlineLevel="2">
      <c r="A755" s="1358">
        <v>4</v>
      </c>
      <c r="B755" s="1359" t="s">
        <v>1442</v>
      </c>
      <c r="C755" s="1360" t="s">
        <v>1629</v>
      </c>
      <c r="D755" s="1368">
        <v>875</v>
      </c>
    </row>
    <row r="756" spans="1:4" hidden="1" outlineLevel="2">
      <c r="A756" s="1358">
        <v>4</v>
      </c>
      <c r="B756" s="1359" t="s">
        <v>1442</v>
      </c>
      <c r="C756" s="1360" t="s">
        <v>1629</v>
      </c>
      <c r="D756" s="1368">
        <v>875</v>
      </c>
    </row>
    <row r="757" spans="1:4" hidden="1" outlineLevel="2">
      <c r="A757" s="1358">
        <v>4</v>
      </c>
      <c r="B757" s="1359" t="s">
        <v>1442</v>
      </c>
      <c r="C757" s="1360" t="s">
        <v>1629</v>
      </c>
      <c r="D757" s="1368">
        <v>875</v>
      </c>
    </row>
    <row r="758" spans="1:4" hidden="1" outlineLevel="2">
      <c r="A758" s="1358">
        <v>4</v>
      </c>
      <c r="B758" s="1359" t="s">
        <v>1442</v>
      </c>
      <c r="C758" s="1360" t="s">
        <v>1629</v>
      </c>
      <c r="D758" s="1368">
        <v>875</v>
      </c>
    </row>
    <row r="759" spans="1:4" hidden="1" outlineLevel="2">
      <c r="A759" s="1358">
        <v>12</v>
      </c>
      <c r="B759" s="1359" t="s">
        <v>1442</v>
      </c>
      <c r="C759" s="1360" t="s">
        <v>1629</v>
      </c>
      <c r="D759" s="1368">
        <v>875</v>
      </c>
    </row>
    <row r="760" spans="1:4" hidden="1" outlineLevel="2">
      <c r="A760" s="1358">
        <v>12</v>
      </c>
      <c r="B760" s="1359" t="s">
        <v>1442</v>
      </c>
      <c r="C760" s="1360" t="s">
        <v>1629</v>
      </c>
      <c r="D760" s="1368">
        <v>875</v>
      </c>
    </row>
    <row r="761" spans="1:4" hidden="1" outlineLevel="2">
      <c r="A761" s="1358">
        <v>12</v>
      </c>
      <c r="B761" s="1359" t="s">
        <v>1442</v>
      </c>
      <c r="C761" s="1360" t="s">
        <v>1629</v>
      </c>
      <c r="D761" s="1368">
        <v>875</v>
      </c>
    </row>
    <row r="762" spans="1:4" hidden="1" outlineLevel="2">
      <c r="A762" s="1358">
        <v>12</v>
      </c>
      <c r="B762" s="1359" t="s">
        <v>1442</v>
      </c>
      <c r="C762" s="1360" t="s">
        <v>1629</v>
      </c>
      <c r="D762" s="1368">
        <v>875</v>
      </c>
    </row>
    <row r="763" spans="1:4" hidden="1" outlineLevel="2">
      <c r="A763" s="1358">
        <v>16</v>
      </c>
      <c r="B763" s="1359" t="s">
        <v>1442</v>
      </c>
      <c r="C763" s="1360" t="s">
        <v>1629</v>
      </c>
      <c r="D763" s="1368">
        <v>875</v>
      </c>
    </row>
    <row r="764" spans="1:4" outlineLevel="1" collapsed="1">
      <c r="A764" s="1358">
        <f>SUBTOTAL(9,A719:A763)</f>
        <v>1022</v>
      </c>
      <c r="B764" s="1359" t="s">
        <v>1442</v>
      </c>
      <c r="C764" s="1360" t="s">
        <v>1978</v>
      </c>
      <c r="D764" s="1368">
        <v>875</v>
      </c>
    </row>
    <row r="765" spans="1:4" hidden="1" outlineLevel="2">
      <c r="A765" s="1358">
        <v>4</v>
      </c>
      <c r="B765" s="1359" t="s">
        <v>1442</v>
      </c>
      <c r="C765" s="1360" t="s">
        <v>1767</v>
      </c>
      <c r="D765" s="1368">
        <v>875</v>
      </c>
    </row>
    <row r="766" spans="1:4" hidden="1" outlineLevel="2">
      <c r="A766" s="1358">
        <v>4</v>
      </c>
      <c r="B766" s="1359" t="s">
        <v>1442</v>
      </c>
      <c r="C766" s="1360" t="s">
        <v>1767</v>
      </c>
      <c r="D766" s="1368">
        <v>875</v>
      </c>
    </row>
    <row r="767" spans="1:4" hidden="1" outlineLevel="2">
      <c r="A767" s="1358">
        <v>4</v>
      </c>
      <c r="B767" s="1359" t="s">
        <v>1442</v>
      </c>
      <c r="C767" s="1360" t="s">
        <v>1767</v>
      </c>
      <c r="D767" s="1368">
        <v>875</v>
      </c>
    </row>
    <row r="768" spans="1:4" hidden="1" outlineLevel="2">
      <c r="A768" s="1358">
        <v>4</v>
      </c>
      <c r="B768" s="1359" t="s">
        <v>1442</v>
      </c>
      <c r="C768" s="1360" t="s">
        <v>1767</v>
      </c>
      <c r="D768" s="1368">
        <v>875</v>
      </c>
    </row>
    <row r="769" spans="1:4" hidden="1" outlineLevel="2">
      <c r="A769" s="1358">
        <v>4</v>
      </c>
      <c r="B769" s="1359" t="s">
        <v>1442</v>
      </c>
      <c r="C769" s="1360" t="s">
        <v>1767</v>
      </c>
      <c r="D769" s="1368">
        <v>875</v>
      </c>
    </row>
    <row r="770" spans="1:4" hidden="1" outlineLevel="2">
      <c r="A770" s="1358">
        <v>4</v>
      </c>
      <c r="B770" s="1359" t="s">
        <v>1442</v>
      </c>
      <c r="C770" s="1360" t="s">
        <v>1767</v>
      </c>
      <c r="D770" s="1368">
        <v>875</v>
      </c>
    </row>
    <row r="771" spans="1:4" hidden="1" outlineLevel="2">
      <c r="A771" s="1358">
        <v>4</v>
      </c>
      <c r="B771" s="1359" t="s">
        <v>1442</v>
      </c>
      <c r="C771" s="1360" t="s">
        <v>1767</v>
      </c>
      <c r="D771" s="1368">
        <v>875</v>
      </c>
    </row>
    <row r="772" spans="1:4" hidden="1" outlineLevel="2">
      <c r="A772" s="1358">
        <v>4</v>
      </c>
      <c r="B772" s="1359" t="s">
        <v>1442</v>
      </c>
      <c r="C772" s="1360" t="s">
        <v>1767</v>
      </c>
      <c r="D772" s="1368">
        <v>875</v>
      </c>
    </row>
    <row r="773" spans="1:4" hidden="1" outlineLevel="2">
      <c r="A773" s="1358">
        <v>4</v>
      </c>
      <c r="B773" s="1359" t="s">
        <v>1442</v>
      </c>
      <c r="C773" s="1360" t="s">
        <v>1767</v>
      </c>
      <c r="D773" s="1368">
        <v>875</v>
      </c>
    </row>
    <row r="774" spans="1:4" hidden="1" outlineLevel="2">
      <c r="A774" s="1358">
        <v>4</v>
      </c>
      <c r="B774" s="1359" t="s">
        <v>1442</v>
      </c>
      <c r="C774" s="1360" t="s">
        <v>1767</v>
      </c>
      <c r="D774" s="1368">
        <v>875</v>
      </c>
    </row>
    <row r="775" spans="1:4" hidden="1" outlineLevel="2">
      <c r="A775" s="1358">
        <v>4</v>
      </c>
      <c r="B775" s="1359" t="s">
        <v>1442</v>
      </c>
      <c r="C775" s="1360" t="s">
        <v>1767</v>
      </c>
      <c r="D775" s="1368">
        <v>875</v>
      </c>
    </row>
    <row r="776" spans="1:4" outlineLevel="1" collapsed="1">
      <c r="A776" s="1358">
        <f>SUBTOTAL(9,A765:A775)</f>
        <v>44</v>
      </c>
      <c r="B776" s="1359" t="s">
        <v>1442</v>
      </c>
      <c r="C776" s="1360" t="s">
        <v>1979</v>
      </c>
      <c r="D776" s="1368">
        <v>875</v>
      </c>
    </row>
    <row r="777" spans="1:4" hidden="1" outlineLevel="2">
      <c r="A777" s="1358">
        <v>1</v>
      </c>
      <c r="B777" s="1359" t="s">
        <v>1442</v>
      </c>
      <c r="C777" s="1360" t="s">
        <v>1768</v>
      </c>
      <c r="D777" s="1368">
        <v>880</v>
      </c>
    </row>
    <row r="778" spans="1:4" hidden="1" outlineLevel="2">
      <c r="A778" s="1358">
        <v>1</v>
      </c>
      <c r="B778" s="1359" t="s">
        <v>1442</v>
      </c>
      <c r="C778" s="1360" t="s">
        <v>1768</v>
      </c>
      <c r="D778" s="1368">
        <v>880</v>
      </c>
    </row>
    <row r="779" spans="1:4" hidden="1" outlineLevel="2">
      <c r="A779" s="1358">
        <v>1</v>
      </c>
      <c r="B779" s="1359" t="s">
        <v>1442</v>
      </c>
      <c r="C779" s="1360" t="s">
        <v>1768</v>
      </c>
      <c r="D779" s="1368">
        <v>880</v>
      </c>
    </row>
    <row r="780" spans="1:4" hidden="1" outlineLevel="2">
      <c r="A780" s="1358">
        <v>1</v>
      </c>
      <c r="B780" s="1359" t="s">
        <v>1442</v>
      </c>
      <c r="C780" s="1360" t="s">
        <v>1768</v>
      </c>
      <c r="D780" s="1368">
        <v>880</v>
      </c>
    </row>
    <row r="781" spans="1:4" hidden="1" outlineLevel="2">
      <c r="A781" s="1358">
        <v>1</v>
      </c>
      <c r="B781" s="1359" t="s">
        <v>1442</v>
      </c>
      <c r="C781" s="1360" t="s">
        <v>1768</v>
      </c>
      <c r="D781" s="1368">
        <v>880</v>
      </c>
    </row>
    <row r="782" spans="1:4" hidden="1" outlineLevel="2">
      <c r="A782" s="1358">
        <v>1</v>
      </c>
      <c r="B782" s="1359" t="s">
        <v>1442</v>
      </c>
      <c r="C782" s="1360" t="s">
        <v>1768</v>
      </c>
      <c r="D782" s="1368">
        <v>880</v>
      </c>
    </row>
    <row r="783" spans="1:4" hidden="1" outlineLevel="2">
      <c r="A783" s="1358">
        <v>1</v>
      </c>
      <c r="B783" s="1359" t="s">
        <v>1442</v>
      </c>
      <c r="C783" s="1360" t="s">
        <v>1768</v>
      </c>
      <c r="D783" s="1368">
        <v>880</v>
      </c>
    </row>
    <row r="784" spans="1:4" hidden="1" outlineLevel="2">
      <c r="A784" s="1358">
        <v>1</v>
      </c>
      <c r="B784" s="1359" t="s">
        <v>1442</v>
      </c>
      <c r="C784" s="1360" t="s">
        <v>1768</v>
      </c>
      <c r="D784" s="1368">
        <v>880</v>
      </c>
    </row>
    <row r="785" spans="1:4" hidden="1" outlineLevel="2">
      <c r="A785" s="1358">
        <v>1</v>
      </c>
      <c r="B785" s="1359" t="s">
        <v>1442</v>
      </c>
      <c r="C785" s="1360" t="s">
        <v>1768</v>
      </c>
      <c r="D785" s="1368">
        <v>880</v>
      </c>
    </row>
    <row r="786" spans="1:4" hidden="1" outlineLevel="2">
      <c r="A786" s="1358">
        <v>1</v>
      </c>
      <c r="B786" s="1359" t="s">
        <v>1442</v>
      </c>
      <c r="C786" s="1360" t="s">
        <v>1768</v>
      </c>
      <c r="D786" s="1368">
        <v>880</v>
      </c>
    </row>
    <row r="787" spans="1:4" hidden="1" outlineLevel="2">
      <c r="A787" s="1358">
        <v>1</v>
      </c>
      <c r="B787" s="1359" t="s">
        <v>1442</v>
      </c>
      <c r="C787" s="1360" t="s">
        <v>1768</v>
      </c>
      <c r="D787" s="1368">
        <v>880</v>
      </c>
    </row>
    <row r="788" spans="1:4" hidden="1" outlineLevel="2">
      <c r="A788" s="1358">
        <v>1</v>
      </c>
      <c r="B788" s="1359" t="s">
        <v>1442</v>
      </c>
      <c r="C788" s="1360" t="s">
        <v>1768</v>
      </c>
      <c r="D788" s="1368">
        <v>880</v>
      </c>
    </row>
    <row r="789" spans="1:4" hidden="1" outlineLevel="2">
      <c r="A789" s="1358">
        <v>1</v>
      </c>
      <c r="B789" s="1359" t="s">
        <v>1442</v>
      </c>
      <c r="C789" s="1360" t="s">
        <v>1768</v>
      </c>
      <c r="D789" s="1368">
        <v>880</v>
      </c>
    </row>
    <row r="790" spans="1:4" outlineLevel="1" collapsed="1">
      <c r="A790" s="1358">
        <f>SUBTOTAL(9,A777:A789)</f>
        <v>13</v>
      </c>
      <c r="B790" s="1359" t="s">
        <v>1442</v>
      </c>
      <c r="C790" s="1360" t="s">
        <v>1980</v>
      </c>
      <c r="D790" s="1368">
        <v>880</v>
      </c>
    </row>
    <row r="791" spans="1:4" hidden="1" outlineLevel="2">
      <c r="A791" s="1358">
        <v>1</v>
      </c>
      <c r="B791" s="1359" t="s">
        <v>1442</v>
      </c>
      <c r="C791" s="1360" t="s">
        <v>1769</v>
      </c>
      <c r="D791" s="1368">
        <v>880</v>
      </c>
    </row>
    <row r="792" spans="1:4" hidden="1" outlineLevel="2">
      <c r="A792" s="1358">
        <v>1</v>
      </c>
      <c r="B792" s="1359" t="s">
        <v>1442</v>
      </c>
      <c r="C792" s="1360" t="s">
        <v>1769</v>
      </c>
      <c r="D792" s="1368">
        <v>880</v>
      </c>
    </row>
    <row r="793" spans="1:4" hidden="1" outlineLevel="2">
      <c r="A793" s="1358">
        <v>1</v>
      </c>
      <c r="B793" s="1359" t="s">
        <v>1442</v>
      </c>
      <c r="C793" s="1360" t="s">
        <v>1769</v>
      </c>
      <c r="D793" s="1368">
        <v>880</v>
      </c>
    </row>
    <row r="794" spans="1:4" hidden="1" outlineLevel="2">
      <c r="A794" s="1358">
        <v>1</v>
      </c>
      <c r="B794" s="1359" t="s">
        <v>1442</v>
      </c>
      <c r="C794" s="1360" t="s">
        <v>1769</v>
      </c>
      <c r="D794" s="1368">
        <v>880</v>
      </c>
    </row>
    <row r="795" spans="1:4" hidden="1" outlineLevel="2">
      <c r="A795" s="1358">
        <v>1</v>
      </c>
      <c r="B795" s="1359" t="s">
        <v>1442</v>
      </c>
      <c r="C795" s="1360" t="s">
        <v>1769</v>
      </c>
      <c r="D795" s="1368">
        <v>880</v>
      </c>
    </row>
    <row r="796" spans="1:4" hidden="1" outlineLevel="2">
      <c r="A796" s="1358">
        <v>1</v>
      </c>
      <c r="B796" s="1359" t="s">
        <v>1442</v>
      </c>
      <c r="C796" s="1360" t="s">
        <v>1769</v>
      </c>
      <c r="D796" s="1368">
        <v>880</v>
      </c>
    </row>
    <row r="797" spans="1:4" hidden="1" outlineLevel="2">
      <c r="A797" s="1358">
        <v>1</v>
      </c>
      <c r="B797" s="1359" t="s">
        <v>1442</v>
      </c>
      <c r="C797" s="1360" t="s">
        <v>1769</v>
      </c>
      <c r="D797" s="1368">
        <v>880</v>
      </c>
    </row>
    <row r="798" spans="1:4" hidden="1" outlineLevel="2">
      <c r="A798" s="1358">
        <v>1</v>
      </c>
      <c r="B798" s="1359" t="s">
        <v>1442</v>
      </c>
      <c r="C798" s="1360" t="s">
        <v>1769</v>
      </c>
      <c r="D798" s="1368">
        <v>880</v>
      </c>
    </row>
    <row r="799" spans="1:4" hidden="1" outlineLevel="2">
      <c r="A799" s="1358">
        <v>1</v>
      </c>
      <c r="B799" s="1359" t="s">
        <v>1442</v>
      </c>
      <c r="C799" s="1360" t="s">
        <v>1769</v>
      </c>
      <c r="D799" s="1368">
        <v>880</v>
      </c>
    </row>
    <row r="800" spans="1:4" hidden="1" outlineLevel="2">
      <c r="A800" s="1358">
        <v>1</v>
      </c>
      <c r="B800" s="1359" t="s">
        <v>1442</v>
      </c>
      <c r="C800" s="1360" t="s">
        <v>1769</v>
      </c>
      <c r="D800" s="1368">
        <v>880</v>
      </c>
    </row>
    <row r="801" spans="1:4" hidden="1" outlineLevel="2">
      <c r="A801" s="1358">
        <v>1</v>
      </c>
      <c r="B801" s="1359" t="s">
        <v>1442</v>
      </c>
      <c r="C801" s="1360" t="s">
        <v>1769</v>
      </c>
      <c r="D801" s="1368">
        <v>880</v>
      </c>
    </row>
    <row r="802" spans="1:4" outlineLevel="1" collapsed="1">
      <c r="A802" s="1358">
        <f>SUBTOTAL(9,A791:A801)</f>
        <v>11</v>
      </c>
      <c r="B802" s="1359" t="s">
        <v>1442</v>
      </c>
      <c r="C802" s="1360" t="s">
        <v>1981</v>
      </c>
      <c r="D802" s="1368">
        <v>880</v>
      </c>
    </row>
    <row r="803" spans="1:4" hidden="1" outlineLevel="2">
      <c r="A803" s="1358">
        <v>5</v>
      </c>
      <c r="B803" s="1359" t="s">
        <v>949</v>
      </c>
      <c r="C803" s="1360" t="s">
        <v>1770</v>
      </c>
      <c r="D803" s="1368">
        <v>960</v>
      </c>
    </row>
    <row r="804" spans="1:4" outlineLevel="1" collapsed="1">
      <c r="A804" s="1358">
        <f>SUBTOTAL(9,A803:A803)</f>
        <v>5</v>
      </c>
      <c r="B804" s="1359" t="s">
        <v>949</v>
      </c>
      <c r="C804" s="1360" t="s">
        <v>1982</v>
      </c>
      <c r="D804" s="1368">
        <v>960</v>
      </c>
    </row>
    <row r="805" spans="1:4" hidden="1" outlineLevel="2">
      <c r="A805" s="1358">
        <v>6</v>
      </c>
      <c r="B805" s="1359" t="s">
        <v>949</v>
      </c>
      <c r="C805" s="1360" t="s">
        <v>1771</v>
      </c>
      <c r="D805" s="1368">
        <v>960</v>
      </c>
    </row>
    <row r="806" spans="1:4" outlineLevel="1" collapsed="1">
      <c r="A806" s="1358">
        <f>SUBTOTAL(9,A805:A805)</f>
        <v>6</v>
      </c>
      <c r="B806" s="1359" t="s">
        <v>949</v>
      </c>
      <c r="C806" s="1360" t="s">
        <v>1983</v>
      </c>
      <c r="D806" s="1368">
        <v>960</v>
      </c>
    </row>
    <row r="807" spans="1:4" hidden="1" outlineLevel="2">
      <c r="A807" s="1358">
        <v>1</v>
      </c>
      <c r="B807" s="1359" t="s">
        <v>949</v>
      </c>
      <c r="C807" s="1360" t="s">
        <v>1772</v>
      </c>
      <c r="D807" s="1368">
        <v>961</v>
      </c>
    </row>
    <row r="808" spans="1:4" outlineLevel="1" collapsed="1">
      <c r="A808" s="1358">
        <f>SUBTOTAL(9,A807:A807)</f>
        <v>1</v>
      </c>
      <c r="B808" s="1359" t="s">
        <v>949</v>
      </c>
      <c r="C808" s="1360" t="s">
        <v>1984</v>
      </c>
      <c r="D808" s="1368">
        <v>961</v>
      </c>
    </row>
    <row r="809" spans="1:4" hidden="1" outlineLevel="2">
      <c r="A809" s="1358">
        <v>1</v>
      </c>
      <c r="B809" s="1359" t="s">
        <v>272</v>
      </c>
      <c r="C809" s="1360" t="s">
        <v>1773</v>
      </c>
      <c r="D809" s="1368">
        <v>962</v>
      </c>
    </row>
    <row r="810" spans="1:4" outlineLevel="1" collapsed="1">
      <c r="A810" s="1358">
        <f>SUBTOTAL(9,A809:A809)</f>
        <v>1</v>
      </c>
      <c r="B810" s="1359" t="s">
        <v>272</v>
      </c>
      <c r="C810" s="1360" t="s">
        <v>1985</v>
      </c>
      <c r="D810" s="1368">
        <v>962</v>
      </c>
    </row>
    <row r="811" spans="1:4" hidden="1" outlineLevel="2">
      <c r="A811" s="1358">
        <v>1</v>
      </c>
      <c r="B811" s="1359" t="s">
        <v>272</v>
      </c>
      <c r="C811" s="1360" t="s">
        <v>1774</v>
      </c>
      <c r="D811" s="1368">
        <v>962</v>
      </c>
    </row>
    <row r="812" spans="1:4" outlineLevel="1" collapsed="1">
      <c r="A812" s="1358">
        <f>SUBTOTAL(9,A811:A811)</f>
        <v>1</v>
      </c>
      <c r="B812" s="1359" t="s">
        <v>272</v>
      </c>
      <c r="C812" s="1360" t="s">
        <v>1986</v>
      </c>
      <c r="D812" s="1368">
        <v>962</v>
      </c>
    </row>
    <row r="813" spans="1:4" hidden="1" outlineLevel="2">
      <c r="A813" s="1358">
        <v>1</v>
      </c>
      <c r="B813" s="1359" t="s">
        <v>272</v>
      </c>
      <c r="C813" s="1360" t="s">
        <v>1775</v>
      </c>
      <c r="D813" s="1368">
        <v>962</v>
      </c>
    </row>
    <row r="814" spans="1:4" hidden="1" outlineLevel="2">
      <c r="A814" s="1358">
        <v>1</v>
      </c>
      <c r="B814" s="1359" t="s">
        <v>272</v>
      </c>
      <c r="C814" s="1360" t="s">
        <v>1775</v>
      </c>
      <c r="D814" s="1368">
        <v>962</v>
      </c>
    </row>
    <row r="815" spans="1:4" hidden="1" outlineLevel="2">
      <c r="A815" s="1358">
        <v>1</v>
      </c>
      <c r="B815" s="1359" t="s">
        <v>272</v>
      </c>
      <c r="C815" s="1360" t="s">
        <v>1775</v>
      </c>
      <c r="D815" s="1368">
        <v>962</v>
      </c>
    </row>
    <row r="816" spans="1:4" hidden="1" outlineLevel="2">
      <c r="A816" s="1358">
        <v>1</v>
      </c>
      <c r="B816" s="1359" t="s">
        <v>272</v>
      </c>
      <c r="C816" s="1360" t="s">
        <v>1775</v>
      </c>
      <c r="D816" s="1368">
        <v>962</v>
      </c>
    </row>
    <row r="817" spans="1:4" outlineLevel="1" collapsed="1">
      <c r="A817" s="1358">
        <f>SUBTOTAL(9,A813:A816)</f>
        <v>4</v>
      </c>
      <c r="B817" s="1359" t="s">
        <v>272</v>
      </c>
      <c r="C817" s="1360" t="s">
        <v>1987</v>
      </c>
      <c r="D817" s="1368">
        <v>962</v>
      </c>
    </row>
    <row r="818" spans="1:4" hidden="1" outlineLevel="2">
      <c r="A818" s="1358">
        <v>6</v>
      </c>
      <c r="B818" s="1359" t="s">
        <v>272</v>
      </c>
      <c r="C818" s="1360" t="s">
        <v>1776</v>
      </c>
      <c r="D818" s="1368">
        <v>970</v>
      </c>
    </row>
    <row r="819" spans="1:4" outlineLevel="1" collapsed="1">
      <c r="A819" s="1358">
        <f>SUBTOTAL(9,A818:A818)</f>
        <v>6</v>
      </c>
      <c r="B819" s="1359" t="s">
        <v>272</v>
      </c>
      <c r="C819" s="1360" t="s">
        <v>1988</v>
      </c>
      <c r="D819" s="1368">
        <v>970</v>
      </c>
    </row>
    <row r="820" spans="1:4" hidden="1" outlineLevel="2">
      <c r="A820" s="1358">
        <v>1</v>
      </c>
      <c r="B820" s="1359" t="s">
        <v>1432</v>
      </c>
      <c r="C820" s="1360" t="s">
        <v>1777</v>
      </c>
      <c r="D820" s="1368">
        <v>970</v>
      </c>
    </row>
    <row r="821" spans="1:4" ht="13.8" outlineLevel="1" collapsed="1" thickBot="1">
      <c r="A821" s="1365">
        <f>SUBTOTAL(9,A820:A820)</f>
        <v>1</v>
      </c>
      <c r="B821" s="1366" t="s">
        <v>1432</v>
      </c>
      <c r="C821" s="1367" t="s">
        <v>1989</v>
      </c>
      <c r="D821" s="1370">
        <v>970</v>
      </c>
    </row>
    <row r="939" spans="1:2">
      <c r="A939" s="112" t="s">
        <v>142</v>
      </c>
      <c r="B939">
        <v>0</v>
      </c>
    </row>
    <row r="943" spans="1:2">
      <c r="A943" s="112" t="s">
        <v>142</v>
      </c>
      <c r="B943">
        <v>0</v>
      </c>
    </row>
    <row r="946" spans="1:2">
      <c r="A946" s="112" t="s">
        <v>142</v>
      </c>
      <c r="B946">
        <v>0</v>
      </c>
    </row>
    <row r="950" spans="1:2">
      <c r="A950" s="112" t="s">
        <v>142</v>
      </c>
      <c r="B950">
        <v>0</v>
      </c>
    </row>
    <row r="954" spans="1:2">
      <c r="A954" s="112" t="s">
        <v>142</v>
      </c>
      <c r="B954">
        <v>0</v>
      </c>
    </row>
    <row r="958" spans="1:2">
      <c r="A958" s="112" t="s">
        <v>142</v>
      </c>
      <c r="B958">
        <v>0</v>
      </c>
    </row>
    <row r="961" spans="1:2">
      <c r="A961" s="112" t="s">
        <v>142</v>
      </c>
      <c r="B961">
        <v>0</v>
      </c>
    </row>
    <row r="965" spans="1:2">
      <c r="A965" s="112" t="s">
        <v>142</v>
      </c>
      <c r="B965">
        <v>0</v>
      </c>
    </row>
    <row r="968" spans="1:2">
      <c r="A968" s="112" t="s">
        <v>142</v>
      </c>
      <c r="B968">
        <v>0</v>
      </c>
    </row>
    <row r="971" spans="1:2">
      <c r="A971" s="112" t="s">
        <v>142</v>
      </c>
      <c r="B971">
        <v>0</v>
      </c>
    </row>
    <row r="972" spans="1:2">
      <c r="A972" s="112" t="s">
        <v>145</v>
      </c>
    </row>
    <row r="974" spans="1:2">
      <c r="B974" t="s">
        <v>816</v>
      </c>
    </row>
    <row r="980" spans="1:2">
      <c r="A980" s="112" t="s">
        <v>142</v>
      </c>
      <c r="B980">
        <v>0</v>
      </c>
    </row>
    <row r="984" spans="1:2">
      <c r="A984" s="112" t="s">
        <v>142</v>
      </c>
      <c r="B984">
        <v>0</v>
      </c>
    </row>
    <row r="987" spans="1:2">
      <c r="A987" s="112" t="s">
        <v>142</v>
      </c>
      <c r="B987">
        <v>0</v>
      </c>
    </row>
    <row r="991" spans="1:2">
      <c r="A991" s="112" t="s">
        <v>142</v>
      </c>
      <c r="B991">
        <v>0</v>
      </c>
    </row>
    <row r="995" spans="1:2">
      <c r="A995" s="112" t="s">
        <v>142</v>
      </c>
      <c r="B995">
        <v>0</v>
      </c>
    </row>
    <row r="998" spans="1:2">
      <c r="A998" s="112" t="s">
        <v>142</v>
      </c>
      <c r="B998">
        <v>0</v>
      </c>
    </row>
    <row r="1003" spans="1:2">
      <c r="A1003" s="112" t="s">
        <v>142</v>
      </c>
      <c r="B1003">
        <v>0</v>
      </c>
    </row>
    <row r="1004" spans="1:2">
      <c r="A1004" s="112" t="s">
        <v>145</v>
      </c>
    </row>
    <row r="1006" spans="1:2">
      <c r="B1006" t="s">
        <v>816</v>
      </c>
    </row>
    <row r="1009" spans="1:2">
      <c r="A1009" s="112" t="s">
        <v>145</v>
      </c>
    </row>
    <row r="1011" spans="1:2">
      <c r="B1011" t="s">
        <v>816</v>
      </c>
    </row>
    <row r="1027" spans="1:2">
      <c r="A1027" s="112" t="s">
        <v>142</v>
      </c>
      <c r="B1027">
        <v>0</v>
      </c>
    </row>
    <row r="1030" spans="1:2">
      <c r="A1030" s="112" t="s">
        <v>142</v>
      </c>
      <c r="B1030">
        <v>0</v>
      </c>
    </row>
    <row r="1033" spans="1:2">
      <c r="A1033" s="112" t="s">
        <v>142</v>
      </c>
      <c r="B1033">
        <v>0</v>
      </c>
    </row>
    <row r="1036" spans="1:2">
      <c r="A1036" s="112" t="s">
        <v>142</v>
      </c>
      <c r="B1036">
        <v>0</v>
      </c>
    </row>
    <row r="1039" spans="1:2">
      <c r="A1039" s="112" t="s">
        <v>142</v>
      </c>
      <c r="B1039">
        <v>0</v>
      </c>
    </row>
    <row r="1044" spans="1:2">
      <c r="A1044" s="112" t="s">
        <v>142</v>
      </c>
      <c r="B1044">
        <v>0</v>
      </c>
    </row>
    <row r="1047" spans="1:2">
      <c r="A1047" s="112" t="s">
        <v>142</v>
      </c>
      <c r="B1047">
        <v>0</v>
      </c>
    </row>
    <row r="1050" spans="1:2">
      <c r="A1050" s="112" t="s">
        <v>142</v>
      </c>
      <c r="B1050">
        <v>0</v>
      </c>
    </row>
    <row r="1053" spans="1:2">
      <c r="A1053" s="112" t="s">
        <v>142</v>
      </c>
      <c r="B1053">
        <v>0</v>
      </c>
    </row>
    <row r="1056" spans="1:2">
      <c r="A1056" s="112" t="s">
        <v>142</v>
      </c>
      <c r="B1056">
        <v>0</v>
      </c>
    </row>
    <row r="1057" spans="1:2">
      <c r="A1057" s="112" t="s">
        <v>145</v>
      </c>
    </row>
    <row r="1059" spans="1:2">
      <c r="B1059" t="s">
        <v>816</v>
      </c>
    </row>
    <row r="1069" spans="1:2">
      <c r="A1069" s="112" t="s">
        <v>142</v>
      </c>
      <c r="B1069">
        <v>0</v>
      </c>
    </row>
    <row r="1072" spans="1:2">
      <c r="A1072" s="112" t="s">
        <v>142</v>
      </c>
      <c r="B1072">
        <v>0</v>
      </c>
    </row>
    <row r="1075" spans="1:2">
      <c r="A1075" s="112" t="s">
        <v>142</v>
      </c>
      <c r="B1075">
        <v>0</v>
      </c>
    </row>
    <row r="1078" spans="1:2">
      <c r="A1078" s="112" t="s">
        <v>142</v>
      </c>
      <c r="B1078">
        <v>0</v>
      </c>
    </row>
    <row r="1081" spans="1:2">
      <c r="A1081" s="112" t="s">
        <v>142</v>
      </c>
      <c r="B1081">
        <v>0</v>
      </c>
    </row>
    <row r="1084" spans="1:2">
      <c r="A1084" s="112" t="s">
        <v>142</v>
      </c>
      <c r="B1084">
        <v>0</v>
      </c>
    </row>
    <row r="1087" spans="1:2">
      <c r="A1087" s="112" t="s">
        <v>142</v>
      </c>
      <c r="B1087">
        <v>0</v>
      </c>
    </row>
    <row r="1090" spans="1:2">
      <c r="A1090" s="112" t="s">
        <v>142</v>
      </c>
      <c r="B1090">
        <v>0</v>
      </c>
    </row>
    <row r="1093" spans="1:2">
      <c r="A1093" s="112" t="s">
        <v>142</v>
      </c>
      <c r="B1093">
        <v>0</v>
      </c>
    </row>
    <row r="1096" spans="1:2">
      <c r="A1096" s="112" t="s">
        <v>142</v>
      </c>
      <c r="B1096">
        <v>0</v>
      </c>
    </row>
    <row r="1099" spans="1:2">
      <c r="A1099" s="112" t="s">
        <v>142</v>
      </c>
      <c r="B1099">
        <v>0</v>
      </c>
    </row>
    <row r="1102" spans="1:2">
      <c r="A1102" s="112" t="s">
        <v>142</v>
      </c>
      <c r="B1102">
        <v>0</v>
      </c>
    </row>
    <row r="1105" spans="1:2">
      <c r="A1105" s="112" t="s">
        <v>142</v>
      </c>
      <c r="B1105">
        <v>0</v>
      </c>
    </row>
    <row r="1108" spans="1:2">
      <c r="A1108" s="112" t="s">
        <v>142</v>
      </c>
      <c r="B1108">
        <v>0</v>
      </c>
    </row>
    <row r="1109" spans="1:2">
      <c r="A1109" s="112" t="s">
        <v>145</v>
      </c>
    </row>
    <row r="1111" spans="1:2">
      <c r="B1111" t="s">
        <v>816</v>
      </c>
    </row>
    <row r="1116" spans="1:2">
      <c r="A1116" s="112" t="s">
        <v>142</v>
      </c>
      <c r="B1116">
        <v>0</v>
      </c>
    </row>
    <row r="1119" spans="1:2">
      <c r="A1119" s="112" t="s">
        <v>142</v>
      </c>
      <c r="B1119">
        <v>0</v>
      </c>
    </row>
    <row r="1122" spans="1:2">
      <c r="A1122" s="112" t="s">
        <v>142</v>
      </c>
      <c r="B1122">
        <v>0</v>
      </c>
    </row>
    <row r="1125" spans="1:2">
      <c r="A1125" s="112" t="s">
        <v>142</v>
      </c>
      <c r="B1125">
        <v>0</v>
      </c>
    </row>
    <row r="1128" spans="1:2">
      <c r="A1128" s="112" t="s">
        <v>142</v>
      </c>
      <c r="B1128">
        <v>0</v>
      </c>
    </row>
    <row r="1131" spans="1:2">
      <c r="A1131" s="112" t="s">
        <v>142</v>
      </c>
      <c r="B1131">
        <v>0</v>
      </c>
    </row>
    <row r="1134" spans="1:2">
      <c r="A1134" s="112" t="s">
        <v>142</v>
      </c>
      <c r="B1134">
        <v>0</v>
      </c>
    </row>
    <row r="1137" spans="1:2">
      <c r="A1137" s="112" t="s">
        <v>142</v>
      </c>
      <c r="B1137">
        <v>0</v>
      </c>
    </row>
    <row r="1145" spans="1:2">
      <c r="A1145" s="112" t="s">
        <v>142</v>
      </c>
      <c r="B1145">
        <v>0</v>
      </c>
    </row>
    <row r="1148" spans="1:2">
      <c r="A1148" s="112" t="s">
        <v>142</v>
      </c>
      <c r="B1148">
        <v>0</v>
      </c>
    </row>
    <row r="1151" spans="1:2">
      <c r="A1151" s="112" t="s">
        <v>142</v>
      </c>
      <c r="B1151">
        <v>0</v>
      </c>
    </row>
    <row r="1154" spans="1:2">
      <c r="A1154" s="112" t="s">
        <v>142</v>
      </c>
      <c r="B1154">
        <v>0</v>
      </c>
    </row>
    <row r="1157" spans="1:2">
      <c r="A1157" s="112" t="s">
        <v>142</v>
      </c>
      <c r="B1157">
        <v>0</v>
      </c>
    </row>
    <row r="1158" spans="1:2">
      <c r="A1158" s="112" t="s">
        <v>145</v>
      </c>
    </row>
    <row r="1160" spans="1:2">
      <c r="B1160" t="s">
        <v>816</v>
      </c>
    </row>
    <row r="1173" spans="1:2">
      <c r="A1173" s="112" t="s">
        <v>142</v>
      </c>
      <c r="B1173">
        <v>0</v>
      </c>
    </row>
    <row r="1176" spans="1:2">
      <c r="A1176" s="112" t="s">
        <v>142</v>
      </c>
      <c r="B1176">
        <v>0</v>
      </c>
    </row>
    <row r="1179" spans="1:2">
      <c r="A1179" s="112" t="s">
        <v>142</v>
      </c>
      <c r="B1179">
        <v>0</v>
      </c>
    </row>
    <row r="1182" spans="1:2">
      <c r="A1182" s="112" t="s">
        <v>142</v>
      </c>
      <c r="B1182">
        <v>0</v>
      </c>
    </row>
    <row r="1185" spans="1:2">
      <c r="A1185" s="112" t="s">
        <v>142</v>
      </c>
      <c r="B1185">
        <v>0</v>
      </c>
    </row>
    <row r="1188" spans="1:2">
      <c r="A1188" s="112" t="s">
        <v>142</v>
      </c>
      <c r="B1188">
        <v>0</v>
      </c>
    </row>
    <row r="1191" spans="1:2">
      <c r="A1191" s="112" t="s">
        <v>142</v>
      </c>
      <c r="B1191">
        <v>0</v>
      </c>
    </row>
    <row r="1194" spans="1:2">
      <c r="A1194" s="112" t="s">
        <v>142</v>
      </c>
      <c r="B1194">
        <v>0</v>
      </c>
    </row>
    <row r="1197" spans="1:2">
      <c r="A1197" s="112" t="s">
        <v>142</v>
      </c>
      <c r="B1197">
        <v>0</v>
      </c>
    </row>
    <row r="1200" spans="1:2">
      <c r="A1200" s="112" t="s">
        <v>142</v>
      </c>
      <c r="B1200">
        <v>0</v>
      </c>
    </row>
    <row r="1205" spans="1:2">
      <c r="A1205" s="112" t="s">
        <v>142</v>
      </c>
      <c r="B1205">
        <v>0</v>
      </c>
    </row>
    <row r="1208" spans="1:2">
      <c r="A1208" s="112" t="s">
        <v>142</v>
      </c>
      <c r="B1208">
        <v>0</v>
      </c>
    </row>
    <row r="1211" spans="1:2">
      <c r="A1211" s="112" t="s">
        <v>142</v>
      </c>
      <c r="B1211">
        <v>0</v>
      </c>
    </row>
    <row r="1215" spans="1:2">
      <c r="A1215" s="112" t="s">
        <v>142</v>
      </c>
      <c r="B1215">
        <v>0</v>
      </c>
    </row>
    <row r="1220" spans="1:2">
      <c r="A1220" s="112" t="s">
        <v>142</v>
      </c>
      <c r="B1220">
        <v>0</v>
      </c>
    </row>
    <row r="1223" spans="1:2">
      <c r="A1223" s="112" t="s">
        <v>142</v>
      </c>
      <c r="B1223">
        <v>0</v>
      </c>
    </row>
    <row r="1226" spans="1:2">
      <c r="A1226" s="112" t="s">
        <v>142</v>
      </c>
      <c r="B1226">
        <v>0</v>
      </c>
    </row>
    <row r="1227" spans="1:2">
      <c r="A1227" s="112" t="s">
        <v>145</v>
      </c>
    </row>
    <row r="1229" spans="1:2">
      <c r="B1229" t="s">
        <v>816</v>
      </c>
    </row>
    <row r="1234" spans="1:2">
      <c r="A1234" s="112" t="s">
        <v>142</v>
      </c>
      <c r="B1234">
        <v>0</v>
      </c>
    </row>
    <row r="1237" spans="1:2">
      <c r="A1237" s="112" t="s">
        <v>142</v>
      </c>
      <c r="B1237">
        <v>0</v>
      </c>
    </row>
    <row r="1240" spans="1:2">
      <c r="A1240" s="112" t="s">
        <v>142</v>
      </c>
      <c r="B1240">
        <v>0</v>
      </c>
    </row>
    <row r="1243" spans="1:2">
      <c r="A1243" s="112" t="s">
        <v>142</v>
      </c>
      <c r="B1243">
        <v>0</v>
      </c>
    </row>
    <row r="1246" spans="1:2">
      <c r="A1246" s="112" t="s">
        <v>142</v>
      </c>
      <c r="B1246">
        <v>0</v>
      </c>
    </row>
    <row r="1249" spans="1:2">
      <c r="A1249" s="112" t="s">
        <v>142</v>
      </c>
      <c r="B1249">
        <v>0</v>
      </c>
    </row>
    <row r="1252" spans="1:2">
      <c r="A1252" s="112" t="s">
        <v>142</v>
      </c>
      <c r="B1252">
        <v>0</v>
      </c>
    </row>
    <row r="1260" spans="1:2">
      <c r="A1260" s="112" t="s">
        <v>142</v>
      </c>
      <c r="B1260">
        <v>0</v>
      </c>
    </row>
    <row r="1263" spans="1:2">
      <c r="A1263" s="112" t="s">
        <v>142</v>
      </c>
      <c r="B1263">
        <v>0</v>
      </c>
    </row>
    <row r="1266" spans="1:2">
      <c r="A1266" s="112" t="s">
        <v>142</v>
      </c>
      <c r="B1266">
        <v>0</v>
      </c>
    </row>
    <row r="1269" spans="1:2">
      <c r="A1269" s="112" t="s">
        <v>142</v>
      </c>
      <c r="B1269">
        <v>0</v>
      </c>
    </row>
    <row r="1272" spans="1:2">
      <c r="A1272" s="112" t="s">
        <v>142</v>
      </c>
      <c r="B1272">
        <v>0</v>
      </c>
    </row>
    <row r="1275" spans="1:2">
      <c r="A1275" s="112" t="s">
        <v>142</v>
      </c>
      <c r="B1275">
        <v>0</v>
      </c>
    </row>
    <row r="1283" spans="1:2">
      <c r="A1283" s="112" t="s">
        <v>142</v>
      </c>
      <c r="B1283">
        <v>0</v>
      </c>
    </row>
    <row r="1286" spans="1:2">
      <c r="A1286" s="112" t="s">
        <v>142</v>
      </c>
      <c r="B1286">
        <v>0</v>
      </c>
    </row>
    <row r="1289" spans="1:2">
      <c r="A1289" s="112" t="s">
        <v>142</v>
      </c>
      <c r="B1289">
        <v>0</v>
      </c>
    </row>
    <row r="1292" spans="1:2">
      <c r="A1292" s="112" t="s">
        <v>142</v>
      </c>
      <c r="B1292">
        <v>0</v>
      </c>
    </row>
    <row r="1293" spans="1:2">
      <c r="A1293" s="112" t="s">
        <v>145</v>
      </c>
    </row>
    <row r="1295" spans="1:2">
      <c r="B1295" t="s">
        <v>816</v>
      </c>
    </row>
    <row r="1300" spans="1:2">
      <c r="A1300" s="112" t="s">
        <v>142</v>
      </c>
      <c r="B1300">
        <v>0</v>
      </c>
    </row>
    <row r="1303" spans="1:2">
      <c r="A1303" s="112" t="s">
        <v>142</v>
      </c>
      <c r="B1303">
        <v>0</v>
      </c>
    </row>
    <row r="1306" spans="1:2">
      <c r="A1306" s="112" t="s">
        <v>142</v>
      </c>
      <c r="B1306">
        <v>0</v>
      </c>
    </row>
    <row r="1311" spans="1:2">
      <c r="A1311" s="112" t="s">
        <v>142</v>
      </c>
      <c r="B1311">
        <v>0</v>
      </c>
    </row>
    <row r="1314" spans="1:2">
      <c r="A1314" s="112" t="s">
        <v>142</v>
      </c>
      <c r="B1314">
        <v>0</v>
      </c>
    </row>
    <row r="1317" spans="1:2">
      <c r="A1317" s="112" t="s">
        <v>142</v>
      </c>
      <c r="B1317">
        <v>0</v>
      </c>
    </row>
    <row r="1320" spans="1:2">
      <c r="A1320" s="112" t="s">
        <v>142</v>
      </c>
      <c r="B1320">
        <v>0</v>
      </c>
    </row>
    <row r="1323" spans="1:2">
      <c r="A1323" s="112" t="s">
        <v>142</v>
      </c>
      <c r="B1323">
        <v>0</v>
      </c>
    </row>
    <row r="1326" spans="1:2">
      <c r="A1326" s="112" t="s">
        <v>142</v>
      </c>
      <c r="B1326">
        <v>0</v>
      </c>
    </row>
    <row r="1329" spans="1:2">
      <c r="A1329" s="112" t="s">
        <v>142</v>
      </c>
      <c r="B1329">
        <v>0</v>
      </c>
    </row>
    <row r="1337" spans="1:2">
      <c r="A1337" s="112" t="s">
        <v>142</v>
      </c>
      <c r="B1337">
        <v>0</v>
      </c>
    </row>
    <row r="1340" spans="1:2">
      <c r="A1340" s="112" t="s">
        <v>142</v>
      </c>
      <c r="B1340">
        <v>0</v>
      </c>
    </row>
    <row r="1348" spans="1:2">
      <c r="A1348" s="112" t="s">
        <v>142</v>
      </c>
      <c r="B1348">
        <v>0</v>
      </c>
    </row>
    <row r="1351" spans="1:2">
      <c r="A1351" s="112" t="s">
        <v>142</v>
      </c>
      <c r="B1351">
        <v>0</v>
      </c>
    </row>
    <row r="1352" spans="1:2">
      <c r="A1352" s="112" t="s">
        <v>145</v>
      </c>
    </row>
    <row r="1354" spans="1:2">
      <c r="B1354" t="s">
        <v>816</v>
      </c>
    </row>
    <row r="1367" spans="1:2">
      <c r="A1367" s="112" t="s">
        <v>142</v>
      </c>
      <c r="B1367">
        <v>0</v>
      </c>
    </row>
    <row r="1370" spans="1:2">
      <c r="A1370" s="112" t="s">
        <v>142</v>
      </c>
      <c r="B1370">
        <v>0</v>
      </c>
    </row>
    <row r="1373" spans="1:2">
      <c r="A1373" s="112" t="s">
        <v>142</v>
      </c>
      <c r="B1373">
        <v>0</v>
      </c>
    </row>
    <row r="1378" spans="1:2">
      <c r="A1378" s="112" t="s">
        <v>142</v>
      </c>
      <c r="B1378">
        <v>0</v>
      </c>
    </row>
    <row r="1381" spans="1:2">
      <c r="A1381" s="112" t="s">
        <v>142</v>
      </c>
      <c r="B1381">
        <v>0</v>
      </c>
    </row>
    <row r="1386" spans="1:2">
      <c r="B1386" t="s">
        <v>1474</v>
      </c>
    </row>
    <row r="1388" spans="1:2">
      <c r="A1388" s="112" t="s">
        <v>142</v>
      </c>
      <c r="B1388">
        <v>0</v>
      </c>
    </row>
    <row r="1389" spans="1:2">
      <c r="B1389" t="s">
        <v>1475</v>
      </c>
    </row>
    <row r="1391" spans="1:2">
      <c r="A1391" s="112" t="s">
        <v>142</v>
      </c>
      <c r="B1391">
        <v>0</v>
      </c>
    </row>
    <row r="1398" spans="1:2">
      <c r="A1398" s="112" t="s">
        <v>142</v>
      </c>
      <c r="B1398">
        <v>0</v>
      </c>
    </row>
    <row r="1401" spans="1:2">
      <c r="A1401" s="112" t="s">
        <v>142</v>
      </c>
      <c r="B1401">
        <v>0</v>
      </c>
    </row>
    <row r="1404" spans="1:2">
      <c r="A1404" s="112" t="s">
        <v>142</v>
      </c>
      <c r="B1404">
        <v>0</v>
      </c>
    </row>
    <row r="1409" spans="1:2">
      <c r="A1409" s="112" t="s">
        <v>142</v>
      </c>
      <c r="B1409">
        <v>0</v>
      </c>
    </row>
    <row r="1412" spans="1:2">
      <c r="A1412" s="112" t="s">
        <v>142</v>
      </c>
      <c r="B1412">
        <v>0</v>
      </c>
    </row>
    <row r="1415" spans="1:2">
      <c r="A1415" s="112" t="s">
        <v>142</v>
      </c>
      <c r="B1415">
        <v>0</v>
      </c>
    </row>
    <row r="1416" spans="1:2">
      <c r="A1416" s="112" t="s">
        <v>145</v>
      </c>
    </row>
    <row r="1418" spans="1:2">
      <c r="B1418" t="s">
        <v>816</v>
      </c>
    </row>
    <row r="1423" spans="1:2">
      <c r="A1423" s="112" t="s">
        <v>142</v>
      </c>
      <c r="B1423">
        <v>0</v>
      </c>
    </row>
    <row r="1426" spans="1:2">
      <c r="A1426" s="112" t="s">
        <v>142</v>
      </c>
      <c r="B1426">
        <v>0</v>
      </c>
    </row>
    <row r="1429" spans="1:2">
      <c r="A1429" s="112" t="s">
        <v>142</v>
      </c>
      <c r="B1429">
        <v>0</v>
      </c>
    </row>
    <row r="1432" spans="1:2">
      <c r="A1432" s="112" t="s">
        <v>142</v>
      </c>
      <c r="B1432">
        <v>0</v>
      </c>
    </row>
    <row r="1435" spans="1:2">
      <c r="A1435" s="112" t="s">
        <v>142</v>
      </c>
      <c r="B1435">
        <v>0</v>
      </c>
    </row>
    <row r="1438" spans="1:2">
      <c r="A1438" s="112" t="s">
        <v>142</v>
      </c>
      <c r="B1438">
        <v>0</v>
      </c>
    </row>
    <row r="1441" spans="1:2">
      <c r="A1441" s="112" t="s">
        <v>142</v>
      </c>
      <c r="B1441">
        <v>0</v>
      </c>
    </row>
    <row r="1444" spans="1:2">
      <c r="A1444" s="112" t="s">
        <v>142</v>
      </c>
      <c r="B1444">
        <v>0</v>
      </c>
    </row>
    <row r="1447" spans="1:2">
      <c r="A1447" s="112" t="s">
        <v>142</v>
      </c>
      <c r="B1447">
        <v>0</v>
      </c>
    </row>
    <row r="1450" spans="1:2">
      <c r="A1450" s="112" t="s">
        <v>142</v>
      </c>
      <c r="B1450">
        <v>0</v>
      </c>
    </row>
    <row r="1458" spans="1:2">
      <c r="A1458" s="112" t="s">
        <v>142</v>
      </c>
      <c r="B1458">
        <v>0</v>
      </c>
    </row>
    <row r="1461" spans="1:2">
      <c r="A1461" s="112" t="s">
        <v>142</v>
      </c>
      <c r="B1461">
        <v>0</v>
      </c>
    </row>
    <row r="1464" spans="1:2">
      <c r="A1464" s="112" t="s">
        <v>142</v>
      </c>
      <c r="B1464">
        <v>0</v>
      </c>
    </row>
    <row r="1467" spans="1:2">
      <c r="A1467" s="112" t="s">
        <v>142</v>
      </c>
      <c r="B1467">
        <v>0</v>
      </c>
    </row>
    <row r="1470" spans="1:2">
      <c r="A1470" s="112" t="s">
        <v>142</v>
      </c>
      <c r="B1470">
        <v>0</v>
      </c>
    </row>
    <row r="1473" spans="1:2">
      <c r="A1473" s="112" t="s">
        <v>142</v>
      </c>
      <c r="B1473">
        <v>0</v>
      </c>
    </row>
    <row r="1476" spans="1:2">
      <c r="A1476" s="112" t="s">
        <v>142</v>
      </c>
      <c r="B1476">
        <v>0</v>
      </c>
    </row>
    <row r="1479" spans="1:2">
      <c r="A1479" s="112" t="s">
        <v>142</v>
      </c>
      <c r="B1479">
        <v>0</v>
      </c>
    </row>
    <row r="1482" spans="1:2">
      <c r="A1482" s="112" t="s">
        <v>142</v>
      </c>
      <c r="B1482">
        <v>0</v>
      </c>
    </row>
    <row r="1483" spans="1:2">
      <c r="A1483" s="112" t="s">
        <v>145</v>
      </c>
    </row>
    <row r="1485" spans="1:2">
      <c r="B1485" t="s">
        <v>816</v>
      </c>
    </row>
    <row r="1495" spans="1:2">
      <c r="A1495" s="112" t="s">
        <v>142</v>
      </c>
      <c r="B1495">
        <v>0</v>
      </c>
    </row>
    <row r="1498" spans="1:2">
      <c r="A1498" s="112" t="s">
        <v>142</v>
      </c>
      <c r="B1498">
        <v>0</v>
      </c>
    </row>
    <row r="1501" spans="1:2">
      <c r="A1501" s="112" t="s">
        <v>142</v>
      </c>
      <c r="B1501">
        <v>0</v>
      </c>
    </row>
    <row r="1506" spans="1:2">
      <c r="A1506" s="112" t="s">
        <v>142</v>
      </c>
      <c r="B1506">
        <v>0</v>
      </c>
    </row>
    <row r="1509" spans="1:2">
      <c r="A1509" s="112" t="s">
        <v>142</v>
      </c>
      <c r="B1509">
        <v>0</v>
      </c>
    </row>
    <row r="1512" spans="1:2">
      <c r="A1512" s="112" t="s">
        <v>142</v>
      </c>
      <c r="B1512">
        <v>0</v>
      </c>
    </row>
    <row r="1513" spans="1:2">
      <c r="A1513" s="112" t="s">
        <v>145</v>
      </c>
    </row>
    <row r="1515" spans="1:2">
      <c r="B1515" t="s">
        <v>816</v>
      </c>
    </row>
    <row r="1528" spans="1:2">
      <c r="A1528" s="112" t="s">
        <v>142</v>
      </c>
      <c r="B1528">
        <v>0</v>
      </c>
    </row>
    <row r="1531" spans="1:2">
      <c r="A1531" s="112" t="s">
        <v>142</v>
      </c>
      <c r="B1531">
        <v>0</v>
      </c>
    </row>
    <row r="1534" spans="1:2">
      <c r="A1534" s="112" t="s">
        <v>142</v>
      </c>
      <c r="B1534">
        <v>0</v>
      </c>
    </row>
    <row r="1537" spans="1:2">
      <c r="A1537" s="112" t="s">
        <v>142</v>
      </c>
      <c r="B1537">
        <v>0</v>
      </c>
    </row>
    <row r="1540" spans="1:2">
      <c r="A1540" s="112" t="s">
        <v>142</v>
      </c>
      <c r="B1540">
        <v>0</v>
      </c>
    </row>
    <row r="1543" spans="1:2">
      <c r="A1543" s="112" t="s">
        <v>142</v>
      </c>
      <c r="B1543">
        <v>0</v>
      </c>
    </row>
    <row r="1546" spans="1:2">
      <c r="A1546" s="112" t="s">
        <v>142</v>
      </c>
      <c r="B1546">
        <v>0</v>
      </c>
    </row>
    <row r="1549" spans="1:2">
      <c r="A1549" s="112" t="s">
        <v>142</v>
      </c>
      <c r="B1549">
        <v>0</v>
      </c>
    </row>
    <row r="1552" spans="1:2">
      <c r="A1552" s="112" t="s">
        <v>142</v>
      </c>
      <c r="B1552">
        <v>0</v>
      </c>
    </row>
    <row r="1555" spans="1:2">
      <c r="A1555" s="112" t="s">
        <v>142</v>
      </c>
      <c r="B1555">
        <v>0</v>
      </c>
    </row>
    <row r="1558" spans="1:2">
      <c r="A1558" s="112" t="s">
        <v>142</v>
      </c>
      <c r="B1558">
        <v>0</v>
      </c>
    </row>
    <row r="1561" spans="1:2">
      <c r="A1561" s="112" t="s">
        <v>142</v>
      </c>
      <c r="B1561">
        <v>0</v>
      </c>
    </row>
    <row r="1564" spans="1:2">
      <c r="A1564" s="112" t="s">
        <v>142</v>
      </c>
      <c r="B1564">
        <v>0</v>
      </c>
    </row>
    <row r="1567" spans="1:2">
      <c r="A1567" s="112" t="s">
        <v>142</v>
      </c>
      <c r="B1567">
        <v>0</v>
      </c>
    </row>
    <row r="1572" spans="1:2">
      <c r="A1572" s="112" t="s">
        <v>142</v>
      </c>
      <c r="B1572">
        <v>0</v>
      </c>
    </row>
    <row r="1575" spans="1:2">
      <c r="A1575" s="112" t="s">
        <v>142</v>
      </c>
      <c r="B1575">
        <v>0</v>
      </c>
    </row>
    <row r="1576" spans="1:2">
      <c r="A1576" s="112" t="s">
        <v>145</v>
      </c>
    </row>
    <row r="1578" spans="1:2">
      <c r="B1578" t="s">
        <v>816</v>
      </c>
    </row>
    <row r="1585" spans="1:2">
      <c r="B1585" t="s">
        <v>1474</v>
      </c>
    </row>
    <row r="1587" spans="1:2">
      <c r="A1587" s="112" t="s">
        <v>142</v>
      </c>
      <c r="B1587">
        <v>0</v>
      </c>
    </row>
    <row r="1588" spans="1:2">
      <c r="B1588" t="s">
        <v>1475</v>
      </c>
    </row>
    <row r="1590" spans="1:2">
      <c r="A1590" s="112" t="s">
        <v>142</v>
      </c>
      <c r="B1590">
        <v>0</v>
      </c>
    </row>
    <row r="1595" spans="1:2">
      <c r="B1595" t="s">
        <v>1474</v>
      </c>
    </row>
    <row r="1597" spans="1:2">
      <c r="A1597" s="112" t="s">
        <v>142</v>
      </c>
      <c r="B1597">
        <v>0</v>
      </c>
    </row>
    <row r="1598" spans="1:2">
      <c r="B1598" t="s">
        <v>1475</v>
      </c>
    </row>
    <row r="1600" spans="1:2">
      <c r="A1600" s="112" t="s">
        <v>142</v>
      </c>
      <c r="B1600">
        <v>0</v>
      </c>
    </row>
    <row r="1607" spans="1:2">
      <c r="A1607" s="112" t="s">
        <v>142</v>
      </c>
      <c r="B1607">
        <v>0</v>
      </c>
    </row>
    <row r="1610" spans="1:2">
      <c r="A1610" s="112" t="s">
        <v>142</v>
      </c>
      <c r="B1610">
        <v>0</v>
      </c>
    </row>
    <row r="1615" spans="1:2">
      <c r="A1615" s="112" t="s">
        <v>142</v>
      </c>
      <c r="B1615">
        <v>0</v>
      </c>
    </row>
    <row r="1618" spans="1:2">
      <c r="A1618" s="112" t="s">
        <v>142</v>
      </c>
      <c r="B1618">
        <v>0</v>
      </c>
    </row>
    <row r="1621" spans="1:2">
      <c r="A1621" s="112" t="s">
        <v>142</v>
      </c>
      <c r="B1621">
        <v>0</v>
      </c>
    </row>
    <row r="1624" spans="1:2">
      <c r="A1624" s="112" t="s">
        <v>142</v>
      </c>
      <c r="B1624">
        <v>0</v>
      </c>
    </row>
    <row r="1627" spans="1:2">
      <c r="A1627" s="112" t="s">
        <v>142</v>
      </c>
      <c r="B1627">
        <v>0</v>
      </c>
    </row>
    <row r="1630" spans="1:2">
      <c r="A1630" s="112" t="s">
        <v>142</v>
      </c>
      <c r="B1630">
        <v>0</v>
      </c>
    </row>
    <row r="1633" spans="1:2">
      <c r="A1633" s="112" t="s">
        <v>142</v>
      </c>
      <c r="B1633">
        <v>0</v>
      </c>
    </row>
    <row r="1636" spans="1:2">
      <c r="A1636" s="112" t="s">
        <v>142</v>
      </c>
      <c r="B1636">
        <v>0</v>
      </c>
    </row>
    <row r="1639" spans="1:2">
      <c r="A1639" s="112" t="s">
        <v>142</v>
      </c>
      <c r="B1639">
        <v>0</v>
      </c>
    </row>
    <row r="1642" spans="1:2">
      <c r="A1642" s="112" t="s">
        <v>142</v>
      </c>
      <c r="B1642">
        <v>0</v>
      </c>
    </row>
    <row r="1645" spans="1:2">
      <c r="A1645" s="112" t="s">
        <v>142</v>
      </c>
      <c r="B1645">
        <v>0</v>
      </c>
    </row>
    <row r="1648" spans="1:2">
      <c r="A1648" s="112" t="s">
        <v>142</v>
      </c>
      <c r="B1648">
        <v>0</v>
      </c>
    </row>
    <row r="1651" spans="1:2">
      <c r="A1651" s="112" t="s">
        <v>142</v>
      </c>
      <c r="B1651">
        <v>0</v>
      </c>
    </row>
    <row r="1654" spans="1:2">
      <c r="A1654" s="112" t="s">
        <v>142</v>
      </c>
      <c r="B1654">
        <v>0</v>
      </c>
    </row>
    <row r="1657" spans="1:2">
      <c r="A1657" s="112" t="s">
        <v>142</v>
      </c>
      <c r="B1657">
        <v>0</v>
      </c>
    </row>
    <row r="1660" spans="1:2">
      <c r="A1660" s="112" t="s">
        <v>142</v>
      </c>
      <c r="B1660">
        <v>0</v>
      </c>
    </row>
    <row r="1661" spans="1:2">
      <c r="A1661" s="112" t="s">
        <v>145</v>
      </c>
    </row>
    <row r="1663" spans="1:2">
      <c r="B1663" t="s">
        <v>816</v>
      </c>
    </row>
    <row r="1673" spans="1:2">
      <c r="A1673" s="112" t="s">
        <v>142</v>
      </c>
      <c r="B1673">
        <v>0</v>
      </c>
    </row>
    <row r="1676" spans="1:2">
      <c r="A1676" s="112" t="s">
        <v>142</v>
      </c>
      <c r="B1676">
        <v>0</v>
      </c>
    </row>
    <row r="1679" spans="1:2">
      <c r="A1679" s="112" t="s">
        <v>142</v>
      </c>
      <c r="B1679">
        <v>0</v>
      </c>
    </row>
    <row r="1682" spans="1:2">
      <c r="A1682" s="112" t="s">
        <v>142</v>
      </c>
      <c r="B1682">
        <v>0</v>
      </c>
    </row>
    <row r="1685" spans="1:2">
      <c r="A1685" s="112" t="s">
        <v>142</v>
      </c>
      <c r="B1685">
        <v>0</v>
      </c>
    </row>
    <row r="1688" spans="1:2">
      <c r="A1688" s="112" t="s">
        <v>142</v>
      </c>
      <c r="B1688">
        <v>0</v>
      </c>
    </row>
    <row r="1691" spans="1:2">
      <c r="A1691" s="112" t="s">
        <v>142</v>
      </c>
      <c r="B1691">
        <v>0</v>
      </c>
    </row>
    <row r="1699" spans="1:2">
      <c r="A1699" s="112" t="s">
        <v>142</v>
      </c>
      <c r="B1699">
        <v>0</v>
      </c>
    </row>
    <row r="1702" spans="1:2">
      <c r="A1702" s="112" t="s">
        <v>142</v>
      </c>
      <c r="B1702">
        <v>0</v>
      </c>
    </row>
    <row r="1705" spans="1:2">
      <c r="A1705" s="112" t="s">
        <v>142</v>
      </c>
      <c r="B1705">
        <v>0</v>
      </c>
    </row>
    <row r="1708" spans="1:2">
      <c r="A1708" s="112" t="s">
        <v>142</v>
      </c>
      <c r="B1708">
        <v>0</v>
      </c>
    </row>
    <row r="1713" spans="1:2">
      <c r="A1713" s="112" t="s">
        <v>142</v>
      </c>
      <c r="B1713">
        <v>0</v>
      </c>
    </row>
    <row r="1716" spans="1:2">
      <c r="A1716" s="112" t="s">
        <v>142</v>
      </c>
      <c r="B1716">
        <v>0</v>
      </c>
    </row>
    <row r="1719" spans="1:2">
      <c r="A1719" s="112" t="s">
        <v>142</v>
      </c>
      <c r="B1719">
        <v>0</v>
      </c>
    </row>
    <row r="1722" spans="1:2">
      <c r="A1722" s="112" t="s">
        <v>142</v>
      </c>
      <c r="B1722">
        <v>0</v>
      </c>
    </row>
    <row r="1723" spans="1:2">
      <c r="A1723" s="112" t="s">
        <v>145</v>
      </c>
    </row>
    <row r="1725" spans="1:2">
      <c r="B1725" t="s">
        <v>816</v>
      </c>
    </row>
    <row r="1735" spans="1:2">
      <c r="A1735" s="112" t="s">
        <v>142</v>
      </c>
      <c r="B1735">
        <v>0</v>
      </c>
    </row>
    <row r="1738" spans="1:2">
      <c r="A1738" s="112" t="s">
        <v>142</v>
      </c>
      <c r="B1738">
        <v>0</v>
      </c>
    </row>
    <row r="1741" spans="1:2">
      <c r="A1741" s="112" t="s">
        <v>142</v>
      </c>
      <c r="B1741">
        <v>0</v>
      </c>
    </row>
    <row r="1749" spans="1:2">
      <c r="A1749" s="112" t="s">
        <v>142</v>
      </c>
      <c r="B1749">
        <v>0</v>
      </c>
    </row>
    <row r="1750" spans="1:2">
      <c r="A1750" s="112" t="s">
        <v>145</v>
      </c>
    </row>
    <row r="1752" spans="1:2">
      <c r="B1752" t="s">
        <v>816</v>
      </c>
    </row>
    <row r="1765" spans="1:2">
      <c r="A1765" s="112" t="s">
        <v>142</v>
      </c>
      <c r="B1765">
        <v>0</v>
      </c>
    </row>
    <row r="1768" spans="1:2">
      <c r="A1768" s="112" t="s">
        <v>142</v>
      </c>
      <c r="B1768">
        <v>0</v>
      </c>
    </row>
    <row r="1771" spans="1:2">
      <c r="A1771" s="112" t="s">
        <v>142</v>
      </c>
      <c r="B1771">
        <v>0</v>
      </c>
    </row>
    <row r="1774" spans="1:2">
      <c r="A1774" s="112" t="s">
        <v>142</v>
      </c>
      <c r="B1774">
        <v>0</v>
      </c>
    </row>
    <row r="1777" spans="1:2">
      <c r="A1777" s="112" t="s">
        <v>142</v>
      </c>
      <c r="B1777">
        <v>0</v>
      </c>
    </row>
    <row r="1780" spans="1:2">
      <c r="A1780" s="112" t="s">
        <v>142</v>
      </c>
      <c r="B1780">
        <v>0</v>
      </c>
    </row>
    <row r="1783" spans="1:2">
      <c r="A1783" s="112" t="s">
        <v>142</v>
      </c>
      <c r="B1783">
        <v>0</v>
      </c>
    </row>
    <row r="1786" spans="1:2">
      <c r="A1786" s="112" t="s">
        <v>142</v>
      </c>
      <c r="B1786">
        <v>0</v>
      </c>
    </row>
    <row r="1789" spans="1:2">
      <c r="A1789" s="112" t="s">
        <v>142</v>
      </c>
      <c r="B1789">
        <v>0</v>
      </c>
    </row>
    <row r="1792" spans="1:2">
      <c r="A1792" s="112" t="s">
        <v>142</v>
      </c>
      <c r="B1792">
        <v>0</v>
      </c>
    </row>
    <row r="1795" spans="1:2">
      <c r="A1795" s="112" t="s">
        <v>142</v>
      </c>
      <c r="B1795">
        <v>0</v>
      </c>
    </row>
    <row r="1798" spans="1:2">
      <c r="A1798" s="112" t="s">
        <v>142</v>
      </c>
      <c r="B1798">
        <v>0</v>
      </c>
    </row>
    <row r="1801" spans="1:2">
      <c r="A1801" s="112" t="s">
        <v>142</v>
      </c>
      <c r="B1801">
        <v>0</v>
      </c>
    </row>
    <row r="1804" spans="1:2">
      <c r="A1804" s="112" t="s">
        <v>142</v>
      </c>
      <c r="B1804">
        <v>0</v>
      </c>
    </row>
    <row r="1807" spans="1:2">
      <c r="A1807" s="112" t="s">
        <v>142</v>
      </c>
      <c r="B1807">
        <v>0</v>
      </c>
    </row>
    <row r="1812" spans="1:2">
      <c r="A1812" s="112" t="s">
        <v>142</v>
      </c>
      <c r="B1812">
        <v>0</v>
      </c>
    </row>
    <row r="1815" spans="1:2">
      <c r="A1815" s="112" t="s">
        <v>142</v>
      </c>
      <c r="B1815">
        <v>0</v>
      </c>
    </row>
    <row r="1816" spans="1:2">
      <c r="A1816" s="112" t="s">
        <v>145</v>
      </c>
    </row>
    <row r="1818" spans="1:2">
      <c r="B1818" t="s">
        <v>816</v>
      </c>
    </row>
    <row r="1825" spans="1:2">
      <c r="B1825" t="s">
        <v>1474</v>
      </c>
    </row>
    <row r="1827" spans="1:2">
      <c r="A1827" s="112" t="s">
        <v>142</v>
      </c>
      <c r="B1827">
        <v>0</v>
      </c>
    </row>
    <row r="1828" spans="1:2">
      <c r="B1828" t="s">
        <v>1475</v>
      </c>
    </row>
    <row r="1830" spans="1:2">
      <c r="A1830" s="112" t="s">
        <v>142</v>
      </c>
      <c r="B1830">
        <v>0</v>
      </c>
    </row>
    <row r="1835" spans="1:2">
      <c r="B1835" t="s">
        <v>1474</v>
      </c>
    </row>
    <row r="1837" spans="1:2">
      <c r="A1837" s="112" t="s">
        <v>142</v>
      </c>
      <c r="B1837">
        <v>0</v>
      </c>
    </row>
    <row r="1838" spans="1:2">
      <c r="B1838" t="s">
        <v>1475</v>
      </c>
    </row>
    <row r="1840" spans="1:2">
      <c r="A1840" s="112" t="s">
        <v>142</v>
      </c>
      <c r="B1840">
        <v>0</v>
      </c>
    </row>
    <row r="1847" spans="1:2">
      <c r="A1847" s="112" t="s">
        <v>142</v>
      </c>
      <c r="B1847">
        <v>0</v>
      </c>
    </row>
    <row r="1850" spans="1:2">
      <c r="A1850" s="112" t="s">
        <v>142</v>
      </c>
      <c r="B1850">
        <v>0</v>
      </c>
    </row>
    <row r="1853" spans="1:2">
      <c r="A1853" s="112" t="s">
        <v>142</v>
      </c>
      <c r="B1853">
        <v>0</v>
      </c>
    </row>
    <row r="1858" spans="1:2">
      <c r="A1858" s="112" t="s">
        <v>142</v>
      </c>
      <c r="B1858">
        <v>0</v>
      </c>
    </row>
    <row r="1861" spans="1:2">
      <c r="A1861" s="112" t="s">
        <v>142</v>
      </c>
      <c r="B1861">
        <v>0</v>
      </c>
    </row>
    <row r="1864" spans="1:2">
      <c r="A1864" s="112" t="s">
        <v>142</v>
      </c>
      <c r="B1864">
        <v>0</v>
      </c>
    </row>
    <row r="1867" spans="1:2">
      <c r="A1867" s="112" t="s">
        <v>142</v>
      </c>
      <c r="B1867">
        <v>0</v>
      </c>
    </row>
    <row r="1870" spans="1:2">
      <c r="A1870" s="112" t="s">
        <v>142</v>
      </c>
      <c r="B1870">
        <v>0</v>
      </c>
    </row>
    <row r="1873" spans="1:2">
      <c r="A1873" s="112" t="s">
        <v>142</v>
      </c>
      <c r="B1873">
        <v>0</v>
      </c>
    </row>
    <row r="1876" spans="1:2">
      <c r="A1876" s="112" t="s">
        <v>142</v>
      </c>
      <c r="B1876">
        <v>0</v>
      </c>
    </row>
    <row r="1879" spans="1:2">
      <c r="A1879" s="112" t="s">
        <v>142</v>
      </c>
      <c r="B1879">
        <v>0</v>
      </c>
    </row>
    <row r="1882" spans="1:2">
      <c r="A1882" s="112" t="s">
        <v>142</v>
      </c>
      <c r="B1882">
        <v>0</v>
      </c>
    </row>
    <row r="1885" spans="1:2">
      <c r="A1885" s="112" t="s">
        <v>142</v>
      </c>
      <c r="B1885">
        <v>0</v>
      </c>
    </row>
    <row r="1888" spans="1:2">
      <c r="A1888" s="112" t="s">
        <v>142</v>
      </c>
      <c r="B1888">
        <v>0</v>
      </c>
    </row>
    <row r="1891" spans="1:2">
      <c r="A1891" s="112" t="s">
        <v>142</v>
      </c>
      <c r="B1891">
        <v>0</v>
      </c>
    </row>
    <row r="1894" spans="1:2">
      <c r="A1894" s="112" t="s">
        <v>142</v>
      </c>
      <c r="B1894">
        <v>0</v>
      </c>
    </row>
    <row r="1895" spans="1:2">
      <c r="A1895" s="112" t="s">
        <v>145</v>
      </c>
    </row>
    <row r="1897" spans="1:2">
      <c r="B1897" t="s">
        <v>816</v>
      </c>
    </row>
    <row r="1902" spans="1:2">
      <c r="A1902" s="112" t="s">
        <v>142</v>
      </c>
      <c r="B1902">
        <v>0</v>
      </c>
    </row>
    <row r="1905" spans="1:2">
      <c r="A1905" s="112" t="s">
        <v>142</v>
      </c>
      <c r="B1905">
        <v>0</v>
      </c>
    </row>
    <row r="1908" spans="1:2">
      <c r="A1908" s="112" t="s">
        <v>142</v>
      </c>
      <c r="B1908">
        <v>0</v>
      </c>
    </row>
    <row r="1911" spans="1:2">
      <c r="A1911" s="112" t="s">
        <v>142</v>
      </c>
      <c r="B1911">
        <v>0</v>
      </c>
    </row>
    <row r="1914" spans="1:2">
      <c r="A1914" s="112" t="s">
        <v>142</v>
      </c>
      <c r="B1914">
        <v>0</v>
      </c>
    </row>
    <row r="1917" spans="1:2">
      <c r="A1917" s="112" t="s">
        <v>142</v>
      </c>
      <c r="B1917">
        <v>0</v>
      </c>
    </row>
    <row r="1920" spans="1:2">
      <c r="A1920" s="112" t="s">
        <v>142</v>
      </c>
      <c r="B1920">
        <v>0</v>
      </c>
    </row>
    <row r="1923" spans="1:2">
      <c r="A1923" s="112" t="s">
        <v>142</v>
      </c>
      <c r="B1923">
        <v>0</v>
      </c>
    </row>
    <row r="1931" spans="1:2">
      <c r="A1931" s="112" t="s">
        <v>142</v>
      </c>
      <c r="B1931">
        <v>0</v>
      </c>
    </row>
    <row r="1934" spans="1:2">
      <c r="A1934" s="112" t="s">
        <v>142</v>
      </c>
      <c r="B1934">
        <v>0</v>
      </c>
    </row>
    <row r="1937" spans="1:2">
      <c r="A1937" s="112" t="s">
        <v>142</v>
      </c>
      <c r="B1937">
        <v>0</v>
      </c>
    </row>
    <row r="1940" spans="1:2">
      <c r="A1940" s="112" t="s">
        <v>142</v>
      </c>
      <c r="B1940">
        <v>0</v>
      </c>
    </row>
    <row r="1943" spans="1:2">
      <c r="A1943" s="112" t="s">
        <v>142</v>
      </c>
      <c r="B1943">
        <v>0</v>
      </c>
    </row>
    <row r="1946" spans="1:2">
      <c r="A1946" s="112" t="s">
        <v>142</v>
      </c>
      <c r="B1946">
        <v>0</v>
      </c>
    </row>
    <row r="1949" spans="1:2">
      <c r="A1949" s="112" t="s">
        <v>142</v>
      </c>
      <c r="B1949">
        <v>0</v>
      </c>
    </row>
    <row r="1952" spans="1:2">
      <c r="A1952" s="112" t="s">
        <v>142</v>
      </c>
      <c r="B1952">
        <v>0</v>
      </c>
    </row>
    <row r="1953" spans="1:2">
      <c r="A1953" s="112" t="s">
        <v>145</v>
      </c>
    </row>
    <row r="1955" spans="1:2">
      <c r="B1955" t="s">
        <v>816</v>
      </c>
    </row>
    <row r="1965" spans="1:2">
      <c r="A1965" s="112" t="s">
        <v>142</v>
      </c>
      <c r="B1965">
        <v>0</v>
      </c>
    </row>
    <row r="1968" spans="1:2">
      <c r="A1968" s="112" t="s">
        <v>142</v>
      </c>
      <c r="B1968">
        <v>0</v>
      </c>
    </row>
    <row r="1971" spans="1:2">
      <c r="A1971" s="112" t="s">
        <v>142</v>
      </c>
      <c r="B1971">
        <v>0</v>
      </c>
    </row>
    <row r="1974" spans="1:2">
      <c r="A1974" s="112" t="s">
        <v>142</v>
      </c>
      <c r="B1974">
        <v>0</v>
      </c>
    </row>
    <row r="1979" spans="1:2">
      <c r="A1979" s="112" t="s">
        <v>142</v>
      </c>
      <c r="B1979">
        <v>0</v>
      </c>
    </row>
    <row r="1982" spans="1:2">
      <c r="A1982" s="112" t="s">
        <v>142</v>
      </c>
      <c r="B1982">
        <v>0</v>
      </c>
    </row>
    <row r="1985" spans="1:2">
      <c r="A1985" s="112" t="s">
        <v>142</v>
      </c>
      <c r="B1985">
        <v>0</v>
      </c>
    </row>
    <row r="1988" spans="1:2">
      <c r="A1988" s="112" t="s">
        <v>142</v>
      </c>
      <c r="B1988">
        <v>0</v>
      </c>
    </row>
    <row r="1995" spans="1:2">
      <c r="A1995" s="112" t="s">
        <v>142</v>
      </c>
      <c r="B1995">
        <v>0</v>
      </c>
    </row>
    <row r="1998" spans="1:2">
      <c r="A1998" s="112" t="s">
        <v>142</v>
      </c>
      <c r="B1998">
        <v>0</v>
      </c>
    </row>
    <row r="2001" spans="1:2">
      <c r="A2001" s="112" t="s">
        <v>142</v>
      </c>
      <c r="B2001">
        <v>0</v>
      </c>
    </row>
    <row r="2002" spans="1:2">
      <c r="A2002" s="112" t="s">
        <v>145</v>
      </c>
    </row>
    <row r="2004" spans="1:2">
      <c r="B2004" t="s">
        <v>816</v>
      </c>
    </row>
    <row r="2017" spans="1:2">
      <c r="A2017" s="112" t="s">
        <v>142</v>
      </c>
      <c r="B2017">
        <v>0</v>
      </c>
    </row>
    <row r="2020" spans="1:2">
      <c r="A2020" s="112" t="s">
        <v>142</v>
      </c>
      <c r="B2020">
        <v>0</v>
      </c>
    </row>
    <row r="2023" spans="1:2">
      <c r="A2023" s="112" t="s">
        <v>142</v>
      </c>
      <c r="B2023">
        <v>0</v>
      </c>
    </row>
    <row r="2026" spans="1:2">
      <c r="A2026" s="112" t="s">
        <v>142</v>
      </c>
      <c r="B2026">
        <v>0</v>
      </c>
    </row>
    <row r="2029" spans="1:2">
      <c r="A2029" s="112" t="s">
        <v>142</v>
      </c>
      <c r="B2029">
        <v>0</v>
      </c>
    </row>
    <row r="2032" spans="1:2">
      <c r="A2032" s="112" t="s">
        <v>142</v>
      </c>
      <c r="B2032">
        <v>0</v>
      </c>
    </row>
    <row r="2035" spans="1:2">
      <c r="A2035" s="112" t="s">
        <v>142</v>
      </c>
      <c r="B2035">
        <v>0</v>
      </c>
    </row>
    <row r="2038" spans="1:2">
      <c r="A2038" s="112" t="s">
        <v>142</v>
      </c>
      <c r="B2038">
        <v>0</v>
      </c>
    </row>
    <row r="2041" spans="1:2">
      <c r="A2041" s="112" t="s">
        <v>142</v>
      </c>
      <c r="B2041">
        <v>0</v>
      </c>
    </row>
    <row r="2044" spans="1:2">
      <c r="A2044" s="112" t="s">
        <v>142</v>
      </c>
      <c r="B2044">
        <v>0</v>
      </c>
    </row>
    <row r="2047" spans="1:2">
      <c r="A2047" s="112" t="s">
        <v>142</v>
      </c>
      <c r="B2047">
        <v>0</v>
      </c>
    </row>
    <row r="2050" spans="1:2">
      <c r="A2050" s="112" t="s">
        <v>142</v>
      </c>
      <c r="B2050">
        <v>0</v>
      </c>
    </row>
    <row r="2053" spans="1:2">
      <c r="A2053" s="112" t="s">
        <v>142</v>
      </c>
      <c r="B2053">
        <v>0</v>
      </c>
    </row>
    <row r="2056" spans="1:2">
      <c r="A2056" s="112" t="s">
        <v>142</v>
      </c>
      <c r="B2056">
        <v>0</v>
      </c>
    </row>
    <row r="2059" spans="1:2">
      <c r="A2059" s="112" t="s">
        <v>142</v>
      </c>
      <c r="B2059">
        <v>0</v>
      </c>
    </row>
    <row r="2062" spans="1:2">
      <c r="A2062" s="112" t="s">
        <v>142</v>
      </c>
      <c r="B2062">
        <v>0</v>
      </c>
    </row>
    <row r="2065" spans="1:2">
      <c r="A2065" s="112" t="s">
        <v>142</v>
      </c>
      <c r="B2065">
        <v>0</v>
      </c>
    </row>
    <row r="2066" spans="1:2">
      <c r="A2066" s="112" t="s">
        <v>145</v>
      </c>
    </row>
    <row r="2068" spans="1:2">
      <c r="B2068" t="s">
        <v>816</v>
      </c>
    </row>
    <row r="2075" spans="1:2">
      <c r="A2075" s="112" t="s">
        <v>142</v>
      </c>
      <c r="B2075">
        <v>0</v>
      </c>
    </row>
    <row r="2078" spans="1:2">
      <c r="A2078" s="112" t="s">
        <v>142</v>
      </c>
      <c r="B2078">
        <v>0</v>
      </c>
    </row>
    <row r="2083" spans="1:2">
      <c r="B2083" t="s">
        <v>1474</v>
      </c>
    </row>
    <row r="2085" spans="1:2">
      <c r="A2085" s="112" t="s">
        <v>142</v>
      </c>
      <c r="B2085">
        <v>0</v>
      </c>
    </row>
    <row r="2086" spans="1:2">
      <c r="B2086" t="s">
        <v>1475</v>
      </c>
    </row>
    <row r="2088" spans="1:2">
      <c r="A2088" s="112" t="s">
        <v>142</v>
      </c>
      <c r="B2088">
        <v>0</v>
      </c>
    </row>
    <row r="2093" spans="1:2">
      <c r="B2093" t="s">
        <v>1474</v>
      </c>
    </row>
    <row r="2095" spans="1:2">
      <c r="A2095" s="112" t="s">
        <v>142</v>
      </c>
      <c r="B2095">
        <v>0</v>
      </c>
    </row>
    <row r="2096" spans="1:2">
      <c r="B2096" t="s">
        <v>1475</v>
      </c>
    </row>
    <row r="2098" spans="1:2">
      <c r="A2098" s="112" t="s">
        <v>142</v>
      </c>
      <c r="B2098">
        <v>0</v>
      </c>
    </row>
    <row r="2105" spans="1:2">
      <c r="A2105" s="112" t="s">
        <v>142</v>
      </c>
      <c r="B2105">
        <v>0</v>
      </c>
    </row>
    <row r="2108" spans="1:2">
      <c r="A2108" s="112" t="s">
        <v>142</v>
      </c>
      <c r="B2108">
        <v>0</v>
      </c>
    </row>
    <row r="2113" spans="1:2">
      <c r="A2113" s="112" t="s">
        <v>142</v>
      </c>
      <c r="B2113">
        <v>0</v>
      </c>
    </row>
    <row r="2116" spans="1:2">
      <c r="A2116" s="112" t="s">
        <v>142</v>
      </c>
      <c r="B2116">
        <v>0</v>
      </c>
    </row>
    <row r="2119" spans="1:2">
      <c r="A2119" s="112" t="s">
        <v>142</v>
      </c>
      <c r="B2119">
        <v>0</v>
      </c>
    </row>
    <row r="2122" spans="1:2">
      <c r="A2122" s="112" t="s">
        <v>142</v>
      </c>
      <c r="B2122">
        <v>0</v>
      </c>
    </row>
    <row r="2125" spans="1:2">
      <c r="A2125" s="112" t="s">
        <v>142</v>
      </c>
      <c r="B2125">
        <v>0</v>
      </c>
    </row>
    <row r="2128" spans="1:2">
      <c r="A2128" s="112" t="s">
        <v>142</v>
      </c>
      <c r="B2128">
        <v>0</v>
      </c>
    </row>
    <row r="2131" spans="1:2">
      <c r="A2131" s="112" t="s">
        <v>142</v>
      </c>
      <c r="B2131">
        <v>0</v>
      </c>
    </row>
    <row r="2134" spans="1:2">
      <c r="A2134" s="112" t="s">
        <v>142</v>
      </c>
      <c r="B2134">
        <v>0</v>
      </c>
    </row>
    <row r="2137" spans="1:2">
      <c r="A2137" s="112" t="s">
        <v>142</v>
      </c>
      <c r="B2137">
        <v>0</v>
      </c>
    </row>
    <row r="2140" spans="1:2">
      <c r="A2140" s="112" t="s">
        <v>142</v>
      </c>
      <c r="B2140">
        <v>0</v>
      </c>
    </row>
    <row r="2143" spans="1:2">
      <c r="A2143" s="112" t="s">
        <v>142</v>
      </c>
      <c r="B2143">
        <v>0</v>
      </c>
    </row>
    <row r="2144" spans="1:2">
      <c r="A2144" s="112" t="s">
        <v>145</v>
      </c>
    </row>
    <row r="2146" spans="1:2">
      <c r="B2146" t="s">
        <v>816</v>
      </c>
    </row>
    <row r="2151" spans="1:2">
      <c r="A2151" s="112" t="s">
        <v>142</v>
      </c>
      <c r="B2151">
        <v>0</v>
      </c>
    </row>
    <row r="2154" spans="1:2">
      <c r="A2154" s="112" t="s">
        <v>142</v>
      </c>
      <c r="B2154">
        <v>0</v>
      </c>
    </row>
    <row r="2157" spans="1:2">
      <c r="A2157" s="112" t="s">
        <v>142</v>
      </c>
      <c r="B2157">
        <v>0</v>
      </c>
    </row>
    <row r="2165" spans="1:2">
      <c r="A2165" s="112" t="s">
        <v>142</v>
      </c>
      <c r="B2165">
        <v>0</v>
      </c>
    </row>
    <row r="2168" spans="1:2">
      <c r="A2168" s="112" t="s">
        <v>142</v>
      </c>
      <c r="B2168">
        <v>0</v>
      </c>
    </row>
    <row r="2171" spans="1:2">
      <c r="A2171" s="112" t="s">
        <v>142</v>
      </c>
      <c r="B2171">
        <v>0</v>
      </c>
    </row>
    <row r="2174" spans="1:2">
      <c r="A2174" s="112" t="s">
        <v>142</v>
      </c>
      <c r="B2174">
        <v>0</v>
      </c>
    </row>
    <row r="2177" spans="1:2">
      <c r="A2177" s="112" t="s">
        <v>142</v>
      </c>
      <c r="B2177">
        <v>0</v>
      </c>
    </row>
    <row r="2180" spans="1:2">
      <c r="A2180" s="112" t="s">
        <v>142</v>
      </c>
      <c r="B2180">
        <v>0</v>
      </c>
    </row>
    <row r="2183" spans="1:2">
      <c r="A2183" s="112" t="s">
        <v>142</v>
      </c>
      <c r="B2183">
        <v>0</v>
      </c>
    </row>
    <row r="2186" spans="1:2">
      <c r="A2186" s="112" t="s">
        <v>142</v>
      </c>
      <c r="B2186">
        <v>0</v>
      </c>
    </row>
    <row r="2194" spans="1:2">
      <c r="A2194" s="112" t="s">
        <v>142</v>
      </c>
      <c r="B2194">
        <v>0</v>
      </c>
    </row>
    <row r="2197" spans="1:2">
      <c r="A2197" s="112" t="s">
        <v>142</v>
      </c>
      <c r="B2197">
        <v>0</v>
      </c>
    </row>
    <row r="2200" spans="1:2">
      <c r="A2200" s="112" t="s">
        <v>142</v>
      </c>
      <c r="B2200">
        <v>0</v>
      </c>
    </row>
    <row r="2203" spans="1:2">
      <c r="A2203" s="112" t="s">
        <v>142</v>
      </c>
      <c r="B2203">
        <v>0</v>
      </c>
    </row>
    <row r="2206" spans="1:2">
      <c r="A2206" s="112" t="s">
        <v>142</v>
      </c>
      <c r="B2206">
        <v>0</v>
      </c>
    </row>
    <row r="2207" spans="1:2">
      <c r="A2207" s="112" t="s">
        <v>145</v>
      </c>
    </row>
    <row r="2209" spans="1:2">
      <c r="B2209" t="s">
        <v>816</v>
      </c>
    </row>
    <row r="2216" spans="1:2">
      <c r="A2216" s="112" t="s">
        <v>142</v>
      </c>
      <c r="B2216">
        <v>0</v>
      </c>
    </row>
    <row r="2219" spans="1:2">
      <c r="A2219" s="112" t="s">
        <v>142</v>
      </c>
      <c r="B2219">
        <v>0</v>
      </c>
    </row>
    <row r="2222" spans="1:2">
      <c r="A2222" s="112" t="s">
        <v>142</v>
      </c>
      <c r="B2222">
        <v>0</v>
      </c>
    </row>
    <row r="2225" spans="1:2">
      <c r="A2225" s="112" t="s">
        <v>142</v>
      </c>
      <c r="B2225">
        <v>0</v>
      </c>
    </row>
    <row r="2228" spans="1:2">
      <c r="A2228" s="112" t="s">
        <v>142</v>
      </c>
      <c r="B2228">
        <v>0</v>
      </c>
    </row>
    <row r="2236" spans="1:2">
      <c r="A2236" s="112" t="s">
        <v>142</v>
      </c>
      <c r="B2236">
        <v>0</v>
      </c>
    </row>
    <row r="2239" spans="1:2">
      <c r="A2239" s="112" t="s">
        <v>142</v>
      </c>
      <c r="B2239">
        <v>0</v>
      </c>
    </row>
    <row r="2242" spans="1:2">
      <c r="A2242" s="112" t="s">
        <v>142</v>
      </c>
      <c r="B2242">
        <v>0</v>
      </c>
    </row>
    <row r="2243" spans="1:2">
      <c r="A2243" s="112" t="s">
        <v>145</v>
      </c>
    </row>
    <row r="2245" spans="1:2">
      <c r="B2245" t="s">
        <v>816</v>
      </c>
    </row>
    <row r="2258" spans="1:2">
      <c r="A2258" s="112" t="s">
        <v>142</v>
      </c>
      <c r="B2258">
        <v>0</v>
      </c>
    </row>
    <row r="2261" spans="1:2">
      <c r="A2261" s="112" t="s">
        <v>142</v>
      </c>
      <c r="B2261">
        <v>0</v>
      </c>
    </row>
    <row r="2264" spans="1:2">
      <c r="A2264" s="112" t="s">
        <v>142</v>
      </c>
      <c r="B2264">
        <v>0</v>
      </c>
    </row>
    <row r="2267" spans="1:2">
      <c r="A2267" s="112" t="s">
        <v>142</v>
      </c>
      <c r="B2267">
        <v>0</v>
      </c>
    </row>
    <row r="2270" spans="1:2">
      <c r="A2270" s="112" t="s">
        <v>142</v>
      </c>
      <c r="B2270">
        <v>0</v>
      </c>
    </row>
    <row r="2273" spans="1:2">
      <c r="A2273" s="112" t="s">
        <v>142</v>
      </c>
      <c r="B2273">
        <v>0</v>
      </c>
    </row>
    <row r="2276" spans="1:2">
      <c r="A2276" s="112" t="s">
        <v>142</v>
      </c>
      <c r="B2276">
        <v>0</v>
      </c>
    </row>
    <row r="2279" spans="1:2">
      <c r="A2279" s="112" t="s">
        <v>142</v>
      </c>
      <c r="B2279">
        <v>0</v>
      </c>
    </row>
    <row r="2282" spans="1:2">
      <c r="A2282" s="112" t="s">
        <v>142</v>
      </c>
      <c r="B2282">
        <v>0</v>
      </c>
    </row>
    <row r="2285" spans="1:2">
      <c r="A2285" s="112" t="s">
        <v>142</v>
      </c>
      <c r="B2285">
        <v>0</v>
      </c>
    </row>
    <row r="2288" spans="1:2">
      <c r="A2288" s="112" t="s">
        <v>142</v>
      </c>
      <c r="B2288">
        <v>0</v>
      </c>
    </row>
    <row r="2291" spans="1:2">
      <c r="A2291" s="112" t="s">
        <v>142</v>
      </c>
      <c r="B2291">
        <v>0</v>
      </c>
    </row>
    <row r="2294" spans="1:2">
      <c r="A2294" s="112" t="s">
        <v>142</v>
      </c>
      <c r="B2294">
        <v>0</v>
      </c>
    </row>
    <row r="2297" spans="1:2">
      <c r="A2297" s="112" t="s">
        <v>142</v>
      </c>
      <c r="B2297">
        <v>0</v>
      </c>
    </row>
    <row r="2300" spans="1:2">
      <c r="A2300" s="112" t="s">
        <v>142</v>
      </c>
      <c r="B2300">
        <v>0</v>
      </c>
    </row>
    <row r="2303" spans="1:2">
      <c r="A2303" s="112" t="s">
        <v>142</v>
      </c>
      <c r="B2303">
        <v>0</v>
      </c>
    </row>
    <row r="2306" spans="1:2">
      <c r="A2306" s="112" t="s">
        <v>142</v>
      </c>
      <c r="B2306">
        <v>0</v>
      </c>
    </row>
    <row r="2311" spans="1:2">
      <c r="A2311" s="112" t="s">
        <v>142</v>
      </c>
      <c r="B2311">
        <v>0</v>
      </c>
    </row>
    <row r="2314" spans="1:2">
      <c r="A2314" s="112" t="s">
        <v>142</v>
      </c>
      <c r="B2314">
        <v>0</v>
      </c>
    </row>
    <row r="2315" spans="1:2">
      <c r="A2315" s="112" t="s">
        <v>145</v>
      </c>
    </row>
    <row r="2317" spans="1:2">
      <c r="B2317" t="s">
        <v>816</v>
      </c>
    </row>
    <row r="2324" spans="1:2">
      <c r="B2324" t="s">
        <v>1474</v>
      </c>
    </row>
    <row r="2326" spans="1:2">
      <c r="A2326" s="112" t="s">
        <v>142</v>
      </c>
      <c r="B2326">
        <v>0</v>
      </c>
    </row>
    <row r="2327" spans="1:2">
      <c r="B2327" t="s">
        <v>1475</v>
      </c>
    </row>
    <row r="2329" spans="1:2">
      <c r="A2329" s="112" t="s">
        <v>142</v>
      </c>
      <c r="B2329">
        <v>0</v>
      </c>
    </row>
    <row r="2334" spans="1:2">
      <c r="B2334" t="s">
        <v>1474</v>
      </c>
    </row>
    <row r="2336" spans="1:2">
      <c r="A2336" s="112" t="s">
        <v>142</v>
      </c>
      <c r="B2336">
        <v>0</v>
      </c>
    </row>
    <row r="2337" spans="1:2">
      <c r="B2337" t="s">
        <v>1475</v>
      </c>
    </row>
    <row r="2339" spans="1:2">
      <c r="A2339" s="112" t="s">
        <v>142</v>
      </c>
      <c r="B2339">
        <v>0</v>
      </c>
    </row>
    <row r="2347" spans="1:2">
      <c r="A2347" s="112" t="s">
        <v>142</v>
      </c>
      <c r="B2347">
        <v>0</v>
      </c>
    </row>
    <row r="2350" spans="1:2">
      <c r="A2350" s="112" t="s">
        <v>142</v>
      </c>
      <c r="B2350">
        <v>0</v>
      </c>
    </row>
    <row r="2355" spans="1:2">
      <c r="A2355" s="112" t="s">
        <v>142</v>
      </c>
      <c r="B2355">
        <v>0</v>
      </c>
    </row>
    <row r="2358" spans="1:2">
      <c r="A2358" s="112" t="s">
        <v>142</v>
      </c>
      <c r="B2358">
        <v>0</v>
      </c>
    </row>
    <row r="2361" spans="1:2">
      <c r="A2361" s="112" t="s">
        <v>142</v>
      </c>
      <c r="B2361">
        <v>0</v>
      </c>
    </row>
    <row r="2364" spans="1:2">
      <c r="A2364" s="112" t="s">
        <v>142</v>
      </c>
      <c r="B2364">
        <v>0</v>
      </c>
    </row>
    <row r="2367" spans="1:2">
      <c r="A2367" s="112" t="s">
        <v>142</v>
      </c>
      <c r="B2367">
        <v>0</v>
      </c>
    </row>
    <row r="2370" spans="1:2">
      <c r="A2370" s="112" t="s">
        <v>142</v>
      </c>
      <c r="B2370">
        <v>0</v>
      </c>
    </row>
    <row r="2373" spans="1:2">
      <c r="A2373" s="112" t="s">
        <v>142</v>
      </c>
      <c r="B2373">
        <v>0</v>
      </c>
    </row>
    <row r="2376" spans="1:2">
      <c r="A2376" s="112" t="s">
        <v>142</v>
      </c>
      <c r="B2376">
        <v>0</v>
      </c>
    </row>
    <row r="2379" spans="1:2">
      <c r="A2379" s="112" t="s">
        <v>142</v>
      </c>
      <c r="B2379">
        <v>0</v>
      </c>
    </row>
    <row r="2383" spans="1:2">
      <c r="A2383" s="112" t="s">
        <v>142</v>
      </c>
      <c r="B2383">
        <v>0</v>
      </c>
    </row>
    <row r="2386" spans="1:2">
      <c r="A2386" s="112" t="s">
        <v>142</v>
      </c>
      <c r="B2386">
        <v>0</v>
      </c>
    </row>
    <row r="2389" spans="1:2">
      <c r="A2389" s="112" t="s">
        <v>142</v>
      </c>
      <c r="B2389">
        <v>0</v>
      </c>
    </row>
    <row r="2392" spans="1:2">
      <c r="A2392" s="112" t="s">
        <v>142</v>
      </c>
      <c r="B2392">
        <v>0</v>
      </c>
    </row>
    <row r="2393" spans="1:2">
      <c r="A2393" s="112" t="s">
        <v>145</v>
      </c>
    </row>
    <row r="2395" spans="1:2">
      <c r="B2395" t="s">
        <v>816</v>
      </c>
    </row>
    <row r="2405" spans="1:2">
      <c r="A2405" s="112" t="s">
        <v>142</v>
      </c>
      <c r="B2405">
        <v>0</v>
      </c>
    </row>
    <row r="2408" spans="1:2">
      <c r="A2408" s="112" t="s">
        <v>142</v>
      </c>
      <c r="B2408">
        <v>0</v>
      </c>
    </row>
    <row r="2411" spans="1:2">
      <c r="A2411" s="112" t="s">
        <v>142</v>
      </c>
      <c r="B2411">
        <v>0</v>
      </c>
    </row>
    <row r="2414" spans="1:2">
      <c r="A2414" s="112" t="s">
        <v>142</v>
      </c>
      <c r="B2414">
        <v>0</v>
      </c>
    </row>
    <row r="2417" spans="1:2">
      <c r="A2417" s="112" t="s">
        <v>142</v>
      </c>
      <c r="B2417">
        <v>0</v>
      </c>
    </row>
    <row r="2420" spans="1:2">
      <c r="A2420" s="112" t="s">
        <v>142</v>
      </c>
      <c r="B2420">
        <v>0</v>
      </c>
    </row>
    <row r="2423" spans="1:2">
      <c r="A2423" s="112" t="s">
        <v>142</v>
      </c>
      <c r="B2423">
        <v>0</v>
      </c>
    </row>
    <row r="2426" spans="1:2">
      <c r="A2426" s="112" t="s">
        <v>142</v>
      </c>
      <c r="B2426">
        <v>0</v>
      </c>
    </row>
    <row r="2434" spans="1:2">
      <c r="A2434" s="112" t="s">
        <v>142</v>
      </c>
      <c r="B2434">
        <v>0</v>
      </c>
    </row>
    <row r="2437" spans="1:2">
      <c r="A2437" s="112" t="s">
        <v>142</v>
      </c>
      <c r="B2437">
        <v>0</v>
      </c>
    </row>
    <row r="2440" spans="1:2">
      <c r="A2440" s="112" t="s">
        <v>142</v>
      </c>
      <c r="B2440">
        <v>0</v>
      </c>
    </row>
    <row r="2443" spans="1:2">
      <c r="A2443" s="112" t="s">
        <v>142</v>
      </c>
      <c r="B2443">
        <v>0</v>
      </c>
    </row>
    <row r="2446" spans="1:2">
      <c r="A2446" s="112" t="s">
        <v>142</v>
      </c>
      <c r="B2446">
        <v>0</v>
      </c>
    </row>
    <row r="2451" spans="1:2">
      <c r="A2451" s="112" t="s">
        <v>142</v>
      </c>
      <c r="B2451">
        <v>0</v>
      </c>
    </row>
    <row r="2454" spans="1:2">
      <c r="A2454" s="112" t="s">
        <v>142</v>
      </c>
      <c r="B2454">
        <v>0</v>
      </c>
    </row>
    <row r="2457" spans="1:2">
      <c r="A2457" s="112" t="s">
        <v>142</v>
      </c>
      <c r="B2457">
        <v>0</v>
      </c>
    </row>
    <row r="2460" spans="1:2">
      <c r="A2460" s="112" t="s">
        <v>142</v>
      </c>
      <c r="B2460">
        <v>0</v>
      </c>
    </row>
    <row r="2463" spans="1:2">
      <c r="A2463" s="112" t="s">
        <v>142</v>
      </c>
      <c r="B2463">
        <v>0</v>
      </c>
    </row>
    <row r="2464" spans="1:2">
      <c r="A2464" s="112" t="s">
        <v>145</v>
      </c>
    </row>
    <row r="2466" spans="1:2">
      <c r="B2466" t="s">
        <v>816</v>
      </c>
    </row>
    <row r="2476" spans="1:2">
      <c r="A2476" s="112" t="s">
        <v>142</v>
      </c>
      <c r="B2476">
        <v>0</v>
      </c>
    </row>
    <row r="2479" spans="1:2">
      <c r="A2479" s="112" t="s">
        <v>142</v>
      </c>
      <c r="B2479">
        <v>0</v>
      </c>
    </row>
    <row r="2482" spans="1:2">
      <c r="A2482" s="112" t="s">
        <v>142</v>
      </c>
      <c r="B2482">
        <v>0</v>
      </c>
    </row>
    <row r="2483" spans="1:2">
      <c r="A2483" s="112" t="s">
        <v>145</v>
      </c>
    </row>
    <row r="2485" spans="1:2">
      <c r="B2485" t="s">
        <v>816</v>
      </c>
    </row>
    <row r="2498" spans="1:2">
      <c r="A2498" s="112" t="s">
        <v>142</v>
      </c>
      <c r="B2498">
        <v>0</v>
      </c>
    </row>
    <row r="2501" spans="1:2">
      <c r="A2501" s="112" t="s">
        <v>142</v>
      </c>
      <c r="B2501">
        <v>0</v>
      </c>
    </row>
    <row r="2504" spans="1:2">
      <c r="A2504" s="112" t="s">
        <v>142</v>
      </c>
      <c r="B2504">
        <v>0</v>
      </c>
    </row>
    <row r="2507" spans="1:2">
      <c r="A2507" s="112" t="s">
        <v>142</v>
      </c>
      <c r="B2507">
        <v>0</v>
      </c>
    </row>
    <row r="2510" spans="1:2">
      <c r="A2510" s="112" t="s">
        <v>142</v>
      </c>
      <c r="B2510">
        <v>0</v>
      </c>
    </row>
    <row r="2513" spans="1:2">
      <c r="A2513" s="112" t="s">
        <v>142</v>
      </c>
      <c r="B2513">
        <v>0</v>
      </c>
    </row>
    <row r="2516" spans="1:2">
      <c r="A2516" s="112" t="s">
        <v>142</v>
      </c>
      <c r="B2516">
        <v>0</v>
      </c>
    </row>
    <row r="2519" spans="1:2">
      <c r="A2519" s="112" t="s">
        <v>142</v>
      </c>
      <c r="B2519">
        <v>0</v>
      </c>
    </row>
    <row r="2522" spans="1:2">
      <c r="A2522" s="112" t="s">
        <v>142</v>
      </c>
      <c r="B2522">
        <v>0</v>
      </c>
    </row>
    <row r="2525" spans="1:2">
      <c r="A2525" s="112" t="s">
        <v>142</v>
      </c>
      <c r="B2525">
        <v>0</v>
      </c>
    </row>
    <row r="2528" spans="1:2">
      <c r="A2528" s="112" t="s">
        <v>142</v>
      </c>
      <c r="B2528">
        <v>0</v>
      </c>
    </row>
    <row r="2531" spans="1:2">
      <c r="A2531" s="112" t="s">
        <v>142</v>
      </c>
      <c r="B2531">
        <v>0</v>
      </c>
    </row>
    <row r="2534" spans="1:2">
      <c r="A2534" s="112" t="s">
        <v>142</v>
      </c>
      <c r="B2534">
        <v>0</v>
      </c>
    </row>
    <row r="2537" spans="1:2">
      <c r="A2537" s="112" t="s">
        <v>142</v>
      </c>
      <c r="B2537">
        <v>0</v>
      </c>
    </row>
    <row r="2540" spans="1:2">
      <c r="A2540" s="112" t="s">
        <v>142</v>
      </c>
      <c r="B2540">
        <v>0</v>
      </c>
    </row>
    <row r="2543" spans="1:2">
      <c r="A2543" s="112" t="s">
        <v>142</v>
      </c>
      <c r="B2543">
        <v>0</v>
      </c>
    </row>
    <row r="2546" spans="1:2">
      <c r="A2546" s="112" t="s">
        <v>142</v>
      </c>
      <c r="B2546">
        <v>0</v>
      </c>
    </row>
    <row r="2549" spans="1:2">
      <c r="A2549" s="112" t="s">
        <v>142</v>
      </c>
      <c r="B2549">
        <v>0</v>
      </c>
    </row>
    <row r="2550" spans="1:2">
      <c r="A2550" s="112" t="s">
        <v>145</v>
      </c>
    </row>
    <row r="2552" spans="1:2">
      <c r="B2552" t="s">
        <v>816</v>
      </c>
    </row>
    <row r="2559" spans="1:2">
      <c r="A2559" s="112" t="s">
        <v>142</v>
      </c>
      <c r="B2559">
        <v>0</v>
      </c>
    </row>
    <row r="2564" spans="1:2">
      <c r="B2564" t="s">
        <v>1474</v>
      </c>
    </row>
    <row r="2566" spans="1:2">
      <c r="A2566" s="112" t="s">
        <v>142</v>
      </c>
      <c r="B2566">
        <v>0</v>
      </c>
    </row>
    <row r="2567" spans="1:2">
      <c r="B2567" t="s">
        <v>1475</v>
      </c>
    </row>
    <row r="2569" spans="1:2">
      <c r="A2569" s="112" t="s">
        <v>142</v>
      </c>
      <c r="B2569">
        <v>0</v>
      </c>
    </row>
    <row r="2576" spans="1:2">
      <c r="A2576" s="112" t="s">
        <v>142</v>
      </c>
      <c r="B2576">
        <v>0</v>
      </c>
    </row>
    <row r="2580" spans="1:2">
      <c r="A2580" s="112" t="s">
        <v>142</v>
      </c>
      <c r="B2580">
        <v>0</v>
      </c>
    </row>
    <row r="2583" spans="1:2">
      <c r="A2583" s="112" t="s">
        <v>142</v>
      </c>
      <c r="B2583">
        <v>0</v>
      </c>
    </row>
    <row r="2588" spans="1:2">
      <c r="A2588" s="112" t="s">
        <v>142</v>
      </c>
      <c r="B2588">
        <v>0</v>
      </c>
    </row>
    <row r="2591" spans="1:2">
      <c r="A2591" s="112" t="s">
        <v>142</v>
      </c>
      <c r="B2591">
        <v>0</v>
      </c>
    </row>
    <row r="2594" spans="1:2">
      <c r="A2594" s="112" t="s">
        <v>142</v>
      </c>
      <c r="B2594">
        <v>0</v>
      </c>
    </row>
    <row r="2597" spans="1:2">
      <c r="A2597" s="112" t="s">
        <v>142</v>
      </c>
      <c r="B2597">
        <v>0</v>
      </c>
    </row>
    <row r="2600" spans="1:2">
      <c r="A2600" s="112" t="s">
        <v>142</v>
      </c>
      <c r="B2600">
        <v>0</v>
      </c>
    </row>
    <row r="2603" spans="1:2">
      <c r="A2603" s="112" t="s">
        <v>142</v>
      </c>
      <c r="B2603">
        <v>0</v>
      </c>
    </row>
    <row r="2606" spans="1:2">
      <c r="A2606" s="112" t="s">
        <v>142</v>
      </c>
      <c r="B2606">
        <v>0</v>
      </c>
    </row>
    <row r="2609" spans="1:2">
      <c r="A2609" s="112" t="s">
        <v>142</v>
      </c>
      <c r="B2609">
        <v>0</v>
      </c>
    </row>
    <row r="2612" spans="1:2">
      <c r="A2612" s="112" t="s">
        <v>142</v>
      </c>
      <c r="B2612">
        <v>0</v>
      </c>
    </row>
    <row r="2615" spans="1:2">
      <c r="A2615" s="112" t="s">
        <v>142</v>
      </c>
      <c r="B2615">
        <v>0</v>
      </c>
    </row>
    <row r="2618" spans="1:2">
      <c r="A2618" s="112" t="s">
        <v>142</v>
      </c>
      <c r="B2618">
        <v>0</v>
      </c>
    </row>
    <row r="2622" spans="1:2">
      <c r="A2622" s="112" t="s">
        <v>142</v>
      </c>
      <c r="B2622">
        <v>0</v>
      </c>
    </row>
    <row r="2623" spans="1:2">
      <c r="A2623" s="112" t="s">
        <v>145</v>
      </c>
    </row>
    <row r="2625" spans="1:2">
      <c r="B2625" t="s">
        <v>816</v>
      </c>
    </row>
    <row r="2630" spans="1:2">
      <c r="A2630" s="112" t="s">
        <v>142</v>
      </c>
      <c r="B2630">
        <v>0</v>
      </c>
    </row>
    <row r="2633" spans="1:2">
      <c r="A2633" s="112" t="s">
        <v>142</v>
      </c>
      <c r="B2633">
        <v>0</v>
      </c>
    </row>
    <row r="2636" spans="1:2">
      <c r="A2636" s="112" t="s">
        <v>142</v>
      </c>
      <c r="B2636">
        <v>0</v>
      </c>
    </row>
    <row r="2644" spans="1:2">
      <c r="A2644" s="112" t="s">
        <v>142</v>
      </c>
      <c r="B2644">
        <v>0</v>
      </c>
    </row>
    <row r="2647" spans="1:2">
      <c r="A2647" s="112" t="s">
        <v>142</v>
      </c>
      <c r="B2647">
        <v>0</v>
      </c>
    </row>
    <row r="2650" spans="1:2">
      <c r="A2650" s="112" t="s">
        <v>142</v>
      </c>
      <c r="B2650">
        <v>0</v>
      </c>
    </row>
    <row r="2653" spans="1:2">
      <c r="A2653" s="112" t="s">
        <v>142</v>
      </c>
      <c r="B2653">
        <v>0</v>
      </c>
    </row>
    <row r="2656" spans="1:2">
      <c r="A2656" s="112" t="s">
        <v>142</v>
      </c>
      <c r="B2656">
        <v>0</v>
      </c>
    </row>
    <row r="2659" spans="1:2">
      <c r="A2659" s="112" t="s">
        <v>142</v>
      </c>
      <c r="B2659">
        <v>0</v>
      </c>
    </row>
    <row r="2662" spans="1:2">
      <c r="A2662" s="112" t="s">
        <v>142</v>
      </c>
      <c r="B2662">
        <v>0</v>
      </c>
    </row>
    <row r="2665" spans="1:2">
      <c r="A2665" s="112" t="s">
        <v>142</v>
      </c>
      <c r="B2665">
        <v>0</v>
      </c>
    </row>
    <row r="2668" spans="1:2">
      <c r="A2668" s="112" t="s">
        <v>142</v>
      </c>
      <c r="B2668">
        <v>0</v>
      </c>
    </row>
    <row r="2676" spans="1:2">
      <c r="A2676" s="112" t="s">
        <v>142</v>
      </c>
      <c r="B2676">
        <v>0</v>
      </c>
    </row>
    <row r="2679" spans="1:2">
      <c r="A2679" s="112" t="s">
        <v>142</v>
      </c>
      <c r="B2679">
        <v>0</v>
      </c>
    </row>
    <row r="2682" spans="1:2">
      <c r="A2682" s="112" t="s">
        <v>142</v>
      </c>
      <c r="B2682">
        <v>0</v>
      </c>
    </row>
    <row r="2685" spans="1:2">
      <c r="A2685" s="112" t="s">
        <v>142</v>
      </c>
      <c r="B2685">
        <v>0</v>
      </c>
    </row>
    <row r="2688" spans="1:2">
      <c r="A2688" s="112" t="s">
        <v>142</v>
      </c>
      <c r="B2688">
        <v>0</v>
      </c>
    </row>
    <row r="2691" spans="1:2">
      <c r="A2691" s="112" t="s">
        <v>142</v>
      </c>
      <c r="B2691">
        <v>0</v>
      </c>
    </row>
    <row r="2694" spans="1:2">
      <c r="A2694" s="112" t="s">
        <v>142</v>
      </c>
      <c r="B2694">
        <v>0</v>
      </c>
    </row>
    <row r="2695" spans="1:2">
      <c r="A2695" s="112" t="s">
        <v>145</v>
      </c>
    </row>
    <row r="2697" spans="1:2">
      <c r="B2697" t="s">
        <v>816</v>
      </c>
    </row>
    <row r="2702" spans="1:2">
      <c r="A2702" s="112" t="s">
        <v>142</v>
      </c>
      <c r="B2702">
        <v>0</v>
      </c>
    </row>
    <row r="2705" spans="1:2">
      <c r="A2705" s="112" t="s">
        <v>142</v>
      </c>
      <c r="B2705">
        <v>0</v>
      </c>
    </row>
    <row r="2708" spans="1:2">
      <c r="A2708" s="112" t="s">
        <v>142</v>
      </c>
      <c r="B2708">
        <v>0</v>
      </c>
    </row>
    <row r="2711" spans="1:2">
      <c r="A2711" s="112" t="s">
        <v>142</v>
      </c>
      <c r="B2711">
        <v>0</v>
      </c>
    </row>
    <row r="2716" spans="1:2">
      <c r="A2716" s="112" t="s">
        <v>142</v>
      </c>
      <c r="B2716">
        <v>0</v>
      </c>
    </row>
    <row r="2719" spans="1:2">
      <c r="A2719" s="112" t="s">
        <v>142</v>
      </c>
      <c r="B2719">
        <v>0</v>
      </c>
    </row>
    <row r="2722" spans="1:2">
      <c r="A2722" s="112" t="s">
        <v>142</v>
      </c>
      <c r="B2722">
        <v>0</v>
      </c>
    </row>
    <row r="2725" spans="1:2">
      <c r="A2725" s="112" t="s">
        <v>142</v>
      </c>
      <c r="B2725">
        <v>0</v>
      </c>
    </row>
    <row r="2728" spans="1:2">
      <c r="A2728" s="112" t="s">
        <v>142</v>
      </c>
      <c r="B2728">
        <v>0</v>
      </c>
    </row>
    <row r="2731" spans="1:2">
      <c r="A2731" s="112" t="s">
        <v>142</v>
      </c>
      <c r="B2731">
        <v>0</v>
      </c>
    </row>
    <row r="2734" spans="1:2">
      <c r="A2734" s="112" t="s">
        <v>142</v>
      </c>
      <c r="B2734">
        <v>0</v>
      </c>
    </row>
    <row r="2737" spans="1:2">
      <c r="A2737" s="112" t="s">
        <v>142</v>
      </c>
      <c r="B2737">
        <v>0</v>
      </c>
    </row>
    <row r="2740" spans="1:2">
      <c r="A2740" s="112" t="s">
        <v>142</v>
      </c>
      <c r="B2740">
        <v>0</v>
      </c>
    </row>
    <row r="2743" spans="1:2">
      <c r="A2743" s="112" t="s">
        <v>142</v>
      </c>
      <c r="B2743">
        <v>0</v>
      </c>
    </row>
    <row r="2746" spans="1:2">
      <c r="A2746" s="112" t="s">
        <v>142</v>
      </c>
      <c r="B2746">
        <v>0</v>
      </c>
    </row>
    <row r="2754" spans="1:2">
      <c r="A2754" s="112" t="s">
        <v>142</v>
      </c>
      <c r="B2754">
        <v>0</v>
      </c>
    </row>
    <row r="2757" spans="1:2">
      <c r="A2757" s="112" t="s">
        <v>142</v>
      </c>
      <c r="B2757">
        <v>0</v>
      </c>
    </row>
    <row r="2758" spans="1:2">
      <c r="A2758" s="112" t="s">
        <v>145</v>
      </c>
    </row>
    <row r="2760" spans="1:2">
      <c r="B2760" t="s">
        <v>816</v>
      </c>
    </row>
    <row r="2765" spans="1:2">
      <c r="A2765" s="112" t="s">
        <v>142</v>
      </c>
      <c r="B2765">
        <v>0</v>
      </c>
    </row>
    <row r="2768" spans="1:2">
      <c r="A2768" s="112" t="s">
        <v>142</v>
      </c>
      <c r="B2768">
        <v>0</v>
      </c>
    </row>
    <row r="2771" spans="1:2">
      <c r="A2771" s="112" t="s">
        <v>142</v>
      </c>
      <c r="B2771">
        <v>0</v>
      </c>
    </row>
    <row r="2774" spans="1:2">
      <c r="A2774" s="112" t="s">
        <v>142</v>
      </c>
      <c r="B2774">
        <v>0</v>
      </c>
    </row>
    <row r="2775" spans="1:2">
      <c r="A2775" s="112" t="s">
        <v>145</v>
      </c>
    </row>
    <row r="2777" spans="1:2">
      <c r="B2777" t="s">
        <v>816</v>
      </c>
    </row>
    <row r="2790" spans="1:2">
      <c r="A2790" s="112" t="s">
        <v>142</v>
      </c>
      <c r="B2790">
        <v>0</v>
      </c>
    </row>
    <row r="2793" spans="1:2">
      <c r="A2793" s="112" t="s">
        <v>142</v>
      </c>
      <c r="B2793">
        <v>0</v>
      </c>
    </row>
    <row r="2796" spans="1:2">
      <c r="A2796" s="112" t="s">
        <v>142</v>
      </c>
      <c r="B2796">
        <v>0</v>
      </c>
    </row>
    <row r="2801" spans="1:2">
      <c r="A2801" s="112" t="s">
        <v>142</v>
      </c>
      <c r="B2801">
        <v>0</v>
      </c>
    </row>
    <row r="2806" spans="1:2">
      <c r="A2806" s="112" t="s">
        <v>142</v>
      </c>
      <c r="B2806">
        <v>0</v>
      </c>
    </row>
    <row r="2809" spans="1:2">
      <c r="A2809" s="112" t="s">
        <v>142</v>
      </c>
      <c r="B2809">
        <v>0</v>
      </c>
    </row>
    <row r="2812" spans="1:2">
      <c r="A2812" s="112" t="s">
        <v>142</v>
      </c>
      <c r="B2812">
        <v>0</v>
      </c>
    </row>
    <row r="2813" spans="1:2">
      <c r="A2813" s="112" t="s">
        <v>145</v>
      </c>
    </row>
    <row r="2815" spans="1:2">
      <c r="B2815" t="s">
        <v>816</v>
      </c>
    </row>
    <row r="2823" spans="1:2">
      <c r="A2823" s="112" t="s">
        <v>142</v>
      </c>
      <c r="B2823">
        <v>0</v>
      </c>
    </row>
    <row r="2826" spans="1:2">
      <c r="A2826" s="112" t="s">
        <v>142</v>
      </c>
      <c r="B2826">
        <v>0</v>
      </c>
    </row>
    <row r="2830" spans="1:2">
      <c r="A2830" s="112" t="s">
        <v>142</v>
      </c>
      <c r="B2830">
        <v>0</v>
      </c>
    </row>
    <row r="2834" spans="1:2">
      <c r="A2834" s="112" t="s">
        <v>142</v>
      </c>
      <c r="B2834">
        <v>0</v>
      </c>
    </row>
    <row r="2839" spans="1:2">
      <c r="B2839" t="s">
        <v>1474</v>
      </c>
    </row>
    <row r="2841" spans="1:2">
      <c r="A2841" s="112" t="s">
        <v>142</v>
      </c>
      <c r="B2841">
        <v>0</v>
      </c>
    </row>
    <row r="2842" spans="1:2">
      <c r="B2842" t="s">
        <v>1475</v>
      </c>
    </row>
    <row r="2844" spans="1:2">
      <c r="A2844" s="112" t="s">
        <v>142</v>
      </c>
      <c r="B2844">
        <v>0</v>
      </c>
    </row>
    <row r="2849" spans="1:2">
      <c r="A2849" s="112" t="s">
        <v>142</v>
      </c>
      <c r="B2849">
        <v>0</v>
      </c>
    </row>
    <row r="2852" spans="1:2">
      <c r="A2852" s="112" t="s">
        <v>142</v>
      </c>
      <c r="B2852">
        <v>0</v>
      </c>
    </row>
    <row r="2853" spans="1:2">
      <c r="A2853" s="112" t="s">
        <v>145</v>
      </c>
    </row>
    <row r="2855" spans="1:2">
      <c r="B2855" t="s">
        <v>816</v>
      </c>
    </row>
    <row r="2858" spans="1:2">
      <c r="A2858" s="112" t="s">
        <v>145</v>
      </c>
    </row>
    <row r="2860" spans="1:2">
      <c r="B2860" t="s">
        <v>816</v>
      </c>
    </row>
    <row r="2868" spans="1:2">
      <c r="A2868" s="112" t="s">
        <v>142</v>
      </c>
      <c r="B2868">
        <v>0</v>
      </c>
    </row>
    <row r="2871" spans="1:2">
      <c r="A2871" s="112" t="s">
        <v>142</v>
      </c>
      <c r="B2871">
        <v>0</v>
      </c>
    </row>
    <row r="2874" spans="1:2">
      <c r="A2874" s="112" t="s">
        <v>142</v>
      </c>
      <c r="B2874">
        <v>0</v>
      </c>
    </row>
    <row r="2877" spans="1:2">
      <c r="A2877" s="112" t="s">
        <v>142</v>
      </c>
      <c r="B2877">
        <v>0</v>
      </c>
    </row>
    <row r="2878" spans="1:2">
      <c r="A2878" s="112" t="s">
        <v>145</v>
      </c>
    </row>
    <row r="2880" spans="1:2">
      <c r="B2880" t="s">
        <v>816</v>
      </c>
    </row>
    <row r="2883" spans="1:2">
      <c r="A2883" s="112" t="s">
        <v>145</v>
      </c>
    </row>
    <row r="2885" spans="1:2">
      <c r="B2885" t="s">
        <v>816</v>
      </c>
    </row>
    <row r="2893" spans="1:2">
      <c r="A2893" s="112" t="s">
        <v>142</v>
      </c>
      <c r="B2893">
        <v>0</v>
      </c>
    </row>
    <row r="2894" spans="1:2">
      <c r="A2894" s="112" t="s">
        <v>145</v>
      </c>
    </row>
    <row r="2896" spans="1:2">
      <c r="B2896" t="s">
        <v>816</v>
      </c>
    </row>
    <row r="2899" spans="1:2">
      <c r="A2899" s="112" t="s">
        <v>145</v>
      </c>
    </row>
    <row r="2901" spans="1:2">
      <c r="B2901" t="s">
        <v>816</v>
      </c>
    </row>
    <row r="2915" spans="1:2">
      <c r="A2915" s="112" t="s">
        <v>142</v>
      </c>
      <c r="B2915">
        <v>0</v>
      </c>
    </row>
    <row r="2918" spans="1:2">
      <c r="A2918" s="112" t="s">
        <v>142</v>
      </c>
      <c r="B2918">
        <v>0</v>
      </c>
    </row>
    <row r="2921" spans="1:2">
      <c r="A2921" s="112" t="s">
        <v>142</v>
      </c>
      <c r="B2921">
        <v>0</v>
      </c>
    </row>
    <row r="2924" spans="1:2">
      <c r="A2924" s="112" t="s">
        <v>142</v>
      </c>
      <c r="B2924">
        <v>0</v>
      </c>
    </row>
    <row r="2927" spans="1:2">
      <c r="A2927" s="112" t="s">
        <v>142</v>
      </c>
      <c r="B2927">
        <v>0</v>
      </c>
    </row>
    <row r="2930" spans="1:2">
      <c r="B2930" t="s">
        <v>1474</v>
      </c>
    </row>
    <row r="2932" spans="1:2">
      <c r="A2932" s="112" t="s">
        <v>142</v>
      </c>
      <c r="B2932">
        <v>0</v>
      </c>
    </row>
    <row r="2933" spans="1:2">
      <c r="B2933" t="s">
        <v>1475</v>
      </c>
    </row>
    <row r="2935" spans="1:2">
      <c r="A2935" s="112" t="s">
        <v>142</v>
      </c>
      <c r="B2935">
        <v>0</v>
      </c>
    </row>
    <row r="2940" spans="1:2">
      <c r="B2940" t="s">
        <v>1474</v>
      </c>
    </row>
    <row r="2942" spans="1:2">
      <c r="A2942" s="112" t="s">
        <v>142</v>
      </c>
      <c r="B2942">
        <v>0</v>
      </c>
    </row>
    <row r="2943" spans="1:2">
      <c r="B2943" t="s">
        <v>1475</v>
      </c>
    </row>
    <row r="2945" spans="1:2">
      <c r="A2945" s="112" t="s">
        <v>142</v>
      </c>
      <c r="B2945">
        <v>0</v>
      </c>
    </row>
    <row r="2950" spans="1:2">
      <c r="A2950" s="112" t="s">
        <v>142</v>
      </c>
      <c r="B2950">
        <v>0</v>
      </c>
    </row>
    <row r="2953" spans="1:2">
      <c r="A2953" s="112" t="s">
        <v>142</v>
      </c>
      <c r="B2953">
        <v>0</v>
      </c>
    </row>
    <row r="2959" spans="1:2">
      <c r="B2959" t="s">
        <v>1474</v>
      </c>
    </row>
    <row r="2961" spans="1:2">
      <c r="A2961" s="112" t="s">
        <v>142</v>
      </c>
      <c r="B2961">
        <v>0</v>
      </c>
    </row>
    <row r="2962" spans="1:2">
      <c r="B2962" t="s">
        <v>1475</v>
      </c>
    </row>
    <row r="2964" spans="1:2">
      <c r="A2964" s="112" t="s">
        <v>142</v>
      </c>
      <c r="B2964">
        <v>0</v>
      </c>
    </row>
    <row r="2969" spans="1:2">
      <c r="A2969" s="112" t="s">
        <v>142</v>
      </c>
      <c r="B2969">
        <v>0</v>
      </c>
    </row>
    <row r="2970" spans="1:2">
      <c r="A2970" s="112" t="s">
        <v>145</v>
      </c>
    </row>
    <row r="2972" spans="1:2">
      <c r="B2972" t="s">
        <v>816</v>
      </c>
    </row>
    <row r="2977" spans="1:2">
      <c r="A2977" s="112" t="s">
        <v>142</v>
      </c>
      <c r="B2977">
        <v>0</v>
      </c>
    </row>
    <row r="2980" spans="1:2">
      <c r="A2980" s="112" t="s">
        <v>142</v>
      </c>
      <c r="B2980">
        <v>0</v>
      </c>
    </row>
    <row r="2983" spans="1:2">
      <c r="B2983" t="s">
        <v>1474</v>
      </c>
    </row>
    <row r="2985" spans="1:2">
      <c r="A2985" s="112" t="s">
        <v>142</v>
      </c>
      <c r="B2985">
        <v>0</v>
      </c>
    </row>
    <row r="2986" spans="1:2">
      <c r="B2986" t="s">
        <v>1475</v>
      </c>
    </row>
    <row r="2988" spans="1:2">
      <c r="A2988" s="112" t="s">
        <v>142</v>
      </c>
      <c r="B2988">
        <v>0</v>
      </c>
    </row>
    <row r="2993" spans="1:2">
      <c r="B2993" t="s">
        <v>1474</v>
      </c>
    </row>
    <row r="2995" spans="1:2">
      <c r="A2995" s="112" t="s">
        <v>142</v>
      </c>
      <c r="B2995">
        <v>0</v>
      </c>
    </row>
    <row r="2996" spans="1:2">
      <c r="B2996" t="s">
        <v>1475</v>
      </c>
    </row>
    <row r="2998" spans="1:2">
      <c r="A2998" s="112" t="s">
        <v>142</v>
      </c>
      <c r="B2998">
        <v>0</v>
      </c>
    </row>
    <row r="3003" spans="1:2">
      <c r="A3003" s="112" t="s">
        <v>142</v>
      </c>
      <c r="B3003">
        <v>0</v>
      </c>
    </row>
    <row r="3006" spans="1:2">
      <c r="B3006" t="s">
        <v>1474</v>
      </c>
    </row>
    <row r="3008" spans="1:2">
      <c r="A3008" s="112" t="s">
        <v>142</v>
      </c>
      <c r="B3008">
        <v>0</v>
      </c>
    </row>
    <row r="3009" spans="1:2">
      <c r="B3009" t="s">
        <v>1475</v>
      </c>
    </row>
    <row r="3011" spans="1:2">
      <c r="A3011" s="112" t="s">
        <v>142</v>
      </c>
      <c r="B3011">
        <v>0</v>
      </c>
    </row>
    <row r="3019" spans="1:2">
      <c r="A3019" s="112" t="s">
        <v>142</v>
      </c>
      <c r="B3019">
        <v>0</v>
      </c>
    </row>
    <row r="3022" spans="1:2">
      <c r="A3022" s="112" t="s">
        <v>142</v>
      </c>
      <c r="B3022">
        <v>0</v>
      </c>
    </row>
    <row r="3025" spans="1:2">
      <c r="A3025" s="112" t="s">
        <v>142</v>
      </c>
      <c r="B3025">
        <v>0</v>
      </c>
    </row>
    <row r="3028" spans="1:2">
      <c r="A3028" s="112" t="s">
        <v>142</v>
      </c>
      <c r="B3028">
        <v>0</v>
      </c>
    </row>
    <row r="3031" spans="1:2">
      <c r="B3031" t="s">
        <v>1474</v>
      </c>
    </row>
    <row r="3033" spans="1:2">
      <c r="A3033" s="112" t="s">
        <v>142</v>
      </c>
      <c r="B3033">
        <v>0</v>
      </c>
    </row>
    <row r="3034" spans="1:2">
      <c r="B3034" t="s">
        <v>1475</v>
      </c>
    </row>
    <row r="3036" spans="1:2">
      <c r="A3036" s="112" t="s">
        <v>142</v>
      </c>
      <c r="B3036">
        <v>0</v>
      </c>
    </row>
    <row r="3041" spans="1:2">
      <c r="B3041" t="s">
        <v>1474</v>
      </c>
    </row>
    <row r="3043" spans="1:2">
      <c r="A3043" s="112" t="s">
        <v>142</v>
      </c>
      <c r="B3043">
        <v>0</v>
      </c>
    </row>
    <row r="3044" spans="1:2">
      <c r="B3044" t="s">
        <v>1475</v>
      </c>
    </row>
    <row r="3046" spans="1:2">
      <c r="A3046" s="112" t="s">
        <v>142</v>
      </c>
      <c r="B3046">
        <v>0</v>
      </c>
    </row>
    <row r="3051" spans="1:2">
      <c r="A3051" s="112" t="s">
        <v>142</v>
      </c>
      <c r="B3051">
        <v>0</v>
      </c>
    </row>
    <row r="3054" spans="1:2">
      <c r="B3054" t="s">
        <v>1474</v>
      </c>
    </row>
    <row r="3056" spans="1:2">
      <c r="A3056" s="112" t="s">
        <v>142</v>
      </c>
      <c r="B3056">
        <v>0</v>
      </c>
    </row>
    <row r="3057" spans="1:2">
      <c r="B3057" t="s">
        <v>1475</v>
      </c>
    </row>
    <row r="3059" spans="1:2">
      <c r="A3059" s="112" t="s">
        <v>142</v>
      </c>
      <c r="B3059">
        <v>0</v>
      </c>
    </row>
    <row r="3062" spans="1:2">
      <c r="A3062" s="112" t="s">
        <v>145</v>
      </c>
    </row>
    <row r="3064" spans="1:2">
      <c r="B3064" t="s">
        <v>816</v>
      </c>
    </row>
    <row r="3072" spans="1:2">
      <c r="A3072" s="112" t="s">
        <v>142</v>
      </c>
      <c r="B3072">
        <v>0</v>
      </c>
    </row>
    <row r="3075" spans="1:2">
      <c r="A3075" s="112" t="s">
        <v>142</v>
      </c>
      <c r="B3075">
        <v>0</v>
      </c>
    </row>
    <row r="3078" spans="1:2">
      <c r="A3078" s="112" t="s">
        <v>142</v>
      </c>
      <c r="B3078">
        <v>0</v>
      </c>
    </row>
    <row r="3081" spans="1:2">
      <c r="B3081" t="s">
        <v>1474</v>
      </c>
    </row>
    <row r="3083" spans="1:2">
      <c r="A3083" s="112" t="s">
        <v>142</v>
      </c>
      <c r="B3083">
        <v>0</v>
      </c>
    </row>
    <row r="3084" spans="1:2">
      <c r="B3084" t="s">
        <v>1475</v>
      </c>
    </row>
    <row r="3086" spans="1:2">
      <c r="A3086" s="112" t="s">
        <v>142</v>
      </c>
      <c r="B3086">
        <v>0</v>
      </c>
    </row>
    <row r="3091" spans="1:2">
      <c r="B3091" t="s">
        <v>1474</v>
      </c>
    </row>
    <row r="3093" spans="1:2">
      <c r="A3093" s="112" t="s">
        <v>142</v>
      </c>
      <c r="B3093">
        <v>0</v>
      </c>
    </row>
    <row r="3094" spans="1:2">
      <c r="B3094" t="s">
        <v>1475</v>
      </c>
    </row>
    <row r="3096" spans="1:2">
      <c r="A3096" s="112" t="s">
        <v>142</v>
      </c>
      <c r="B3096">
        <v>0</v>
      </c>
    </row>
    <row r="3101" spans="1:2">
      <c r="A3101" s="112" t="s">
        <v>142</v>
      </c>
      <c r="B3101">
        <v>0</v>
      </c>
    </row>
    <row r="3104" spans="1:2">
      <c r="B3104" t="s">
        <v>1474</v>
      </c>
    </row>
    <row r="3106" spans="1:2">
      <c r="A3106" s="112" t="s">
        <v>142</v>
      </c>
      <c r="B3106">
        <v>0</v>
      </c>
    </row>
    <row r="3107" spans="1:2">
      <c r="B3107" t="s">
        <v>1475</v>
      </c>
    </row>
    <row r="3109" spans="1:2">
      <c r="A3109" s="112" t="s">
        <v>142</v>
      </c>
      <c r="B3109">
        <v>0</v>
      </c>
    </row>
    <row r="3117" spans="1:2">
      <c r="A3117" s="112" t="s">
        <v>142</v>
      </c>
      <c r="B3117">
        <v>0</v>
      </c>
    </row>
    <row r="3120" spans="1:2">
      <c r="A3120" s="112" t="s">
        <v>142</v>
      </c>
      <c r="B3120">
        <v>0</v>
      </c>
    </row>
    <row r="3123" spans="1:2">
      <c r="A3123" s="112" t="s">
        <v>142</v>
      </c>
      <c r="B3123">
        <v>0</v>
      </c>
    </row>
    <row r="3126" spans="1:2">
      <c r="B3126" t="s">
        <v>1474</v>
      </c>
    </row>
    <row r="3128" spans="1:2">
      <c r="A3128" s="112" t="s">
        <v>142</v>
      </c>
      <c r="B3128">
        <v>0</v>
      </c>
    </row>
    <row r="3129" spans="1:2">
      <c r="B3129" t="s">
        <v>1475</v>
      </c>
    </row>
    <row r="3131" spans="1:2">
      <c r="A3131" s="112" t="s">
        <v>142</v>
      </c>
      <c r="B3131">
        <v>0</v>
      </c>
    </row>
    <row r="3136" spans="1:2">
      <c r="B3136" t="s">
        <v>1474</v>
      </c>
    </row>
    <row r="3138" spans="1:2">
      <c r="A3138" s="112" t="s">
        <v>142</v>
      </c>
      <c r="B3138">
        <v>0</v>
      </c>
    </row>
    <row r="3139" spans="1:2">
      <c r="B3139" t="s">
        <v>1475</v>
      </c>
    </row>
    <row r="3141" spans="1:2">
      <c r="A3141" s="112" t="s">
        <v>142</v>
      </c>
      <c r="B3141">
        <v>0</v>
      </c>
    </row>
    <row r="3144" spans="1:2">
      <c r="A3144" s="112" t="s">
        <v>145</v>
      </c>
    </row>
    <row r="3146" spans="1:2">
      <c r="B3146" t="s">
        <v>816</v>
      </c>
    </row>
    <row r="3151" spans="1:2">
      <c r="A3151" s="112" t="s">
        <v>142</v>
      </c>
      <c r="B3151">
        <v>0</v>
      </c>
    </row>
    <row r="3154" spans="1:2">
      <c r="B3154" t="s">
        <v>1474</v>
      </c>
    </row>
    <row r="3156" spans="1:2">
      <c r="A3156" s="112" t="s">
        <v>142</v>
      </c>
      <c r="B3156">
        <v>0</v>
      </c>
    </row>
    <row r="3157" spans="1:2">
      <c r="B3157" t="s">
        <v>1475</v>
      </c>
    </row>
    <row r="3159" spans="1:2">
      <c r="A3159" s="112" t="s">
        <v>142</v>
      </c>
      <c r="B3159">
        <v>0</v>
      </c>
    </row>
    <row r="3167" spans="1:2">
      <c r="A3167" s="112" t="s">
        <v>142</v>
      </c>
      <c r="B3167">
        <v>0</v>
      </c>
    </row>
    <row r="3170" spans="1:2">
      <c r="A3170" s="112" t="s">
        <v>142</v>
      </c>
      <c r="B3170">
        <v>0</v>
      </c>
    </row>
    <row r="3173" spans="1:2">
      <c r="A3173" s="112" t="s">
        <v>142</v>
      </c>
      <c r="B3173">
        <v>0</v>
      </c>
    </row>
    <row r="3176" spans="1:2">
      <c r="B3176" t="s">
        <v>1474</v>
      </c>
    </row>
    <row r="3178" spans="1:2">
      <c r="A3178" s="112" t="s">
        <v>142</v>
      </c>
      <c r="B3178">
        <v>0</v>
      </c>
    </row>
    <row r="3179" spans="1:2">
      <c r="B3179" t="s">
        <v>1475</v>
      </c>
    </row>
    <row r="3181" spans="1:2">
      <c r="A3181" s="112" t="s">
        <v>142</v>
      </c>
      <c r="B3181">
        <v>0</v>
      </c>
    </row>
    <row r="3186" spans="1:2">
      <c r="B3186" t="s">
        <v>1474</v>
      </c>
    </row>
    <row r="3188" spans="1:2">
      <c r="A3188" s="112" t="s">
        <v>142</v>
      </c>
      <c r="B3188">
        <v>0</v>
      </c>
    </row>
    <row r="3189" spans="1:2">
      <c r="B3189" t="s">
        <v>1475</v>
      </c>
    </row>
    <row r="3191" spans="1:2">
      <c r="A3191" s="112" t="s">
        <v>142</v>
      </c>
      <c r="B3191">
        <v>0</v>
      </c>
    </row>
    <row r="3196" spans="1:2">
      <c r="A3196" s="112" t="s">
        <v>142</v>
      </c>
      <c r="B3196">
        <v>0</v>
      </c>
    </row>
    <row r="3199" spans="1:2">
      <c r="B3199" t="s">
        <v>1474</v>
      </c>
    </row>
    <row r="3201" spans="1:2">
      <c r="A3201" s="112" t="s">
        <v>142</v>
      </c>
      <c r="B3201">
        <v>0</v>
      </c>
    </row>
    <row r="3202" spans="1:2">
      <c r="B3202" t="s">
        <v>1475</v>
      </c>
    </row>
    <row r="3204" spans="1:2">
      <c r="A3204" s="112" t="s">
        <v>142</v>
      </c>
      <c r="B3204">
        <v>0</v>
      </c>
    </row>
    <row r="3212" spans="1:2">
      <c r="A3212" s="112" t="s">
        <v>142</v>
      </c>
      <c r="B3212">
        <v>0</v>
      </c>
    </row>
    <row r="3215" spans="1:2">
      <c r="A3215" s="112" t="s">
        <v>142</v>
      </c>
      <c r="B3215">
        <v>0</v>
      </c>
    </row>
    <row r="3218" spans="1:2">
      <c r="A3218" s="112" t="s">
        <v>142</v>
      </c>
      <c r="B3218">
        <v>0</v>
      </c>
    </row>
    <row r="3221" spans="1:2">
      <c r="A3221" s="112" t="s">
        <v>142</v>
      </c>
      <c r="B3221">
        <v>0</v>
      </c>
    </row>
    <row r="3224" spans="1:2">
      <c r="B3224" t="s">
        <v>1474</v>
      </c>
    </row>
    <row r="3226" spans="1:2">
      <c r="A3226" s="112" t="s">
        <v>142</v>
      </c>
      <c r="B3226">
        <v>0</v>
      </c>
    </row>
    <row r="3227" spans="1:2">
      <c r="B3227" t="s">
        <v>1475</v>
      </c>
    </row>
    <row r="3229" spans="1:2">
      <c r="A3229" s="112" t="s">
        <v>142</v>
      </c>
      <c r="B3229">
        <v>0</v>
      </c>
    </row>
    <row r="3232" spans="1:2">
      <c r="A3232" s="112" t="s">
        <v>145</v>
      </c>
    </row>
    <row r="3234" spans="1:2">
      <c r="B3234" t="s">
        <v>816</v>
      </c>
    </row>
    <row r="3239" spans="1:2">
      <c r="B3239" t="s">
        <v>1474</v>
      </c>
    </row>
    <row r="3241" spans="1:2">
      <c r="A3241" s="112" t="s">
        <v>142</v>
      </c>
      <c r="B3241">
        <v>0</v>
      </c>
    </row>
    <row r="3242" spans="1:2">
      <c r="B3242" t="s">
        <v>1475</v>
      </c>
    </row>
    <row r="3244" spans="1:2">
      <c r="A3244" s="112" t="s">
        <v>142</v>
      </c>
      <c r="B3244">
        <v>0</v>
      </c>
    </row>
    <row r="3249" spans="1:2">
      <c r="A3249" s="112" t="s">
        <v>142</v>
      </c>
      <c r="B3249">
        <v>0</v>
      </c>
    </row>
    <row r="3252" spans="1:2">
      <c r="A3252" s="112" t="s">
        <v>142</v>
      </c>
      <c r="B3252">
        <v>0</v>
      </c>
    </row>
    <row r="3258" spans="1:2">
      <c r="B3258" t="s">
        <v>1474</v>
      </c>
    </row>
    <row r="3260" spans="1:2">
      <c r="A3260" s="112" t="s">
        <v>142</v>
      </c>
      <c r="B3260">
        <v>0</v>
      </c>
    </row>
    <row r="3261" spans="1:2">
      <c r="B3261" t="s">
        <v>1475</v>
      </c>
    </row>
    <row r="3263" spans="1:2">
      <c r="A3263" s="112" t="s">
        <v>142</v>
      </c>
      <c r="B3263">
        <v>0</v>
      </c>
    </row>
    <row r="3266" spans="1:2">
      <c r="A3266" s="112" t="s">
        <v>145</v>
      </c>
    </row>
    <row r="3268" spans="1:2">
      <c r="B3268" t="s">
        <v>816</v>
      </c>
    </row>
    <row r="3271" spans="1:2">
      <c r="A3271" s="112" t="s">
        <v>145</v>
      </c>
    </row>
    <row r="3273" spans="1:2">
      <c r="B3273" t="s">
        <v>816</v>
      </c>
    </row>
    <row r="3289" spans="1:2">
      <c r="A3289" s="112" t="s">
        <v>142</v>
      </c>
      <c r="B3289">
        <v>0</v>
      </c>
    </row>
    <row r="3295" spans="1:2">
      <c r="A3295" s="112" t="s">
        <v>142</v>
      </c>
      <c r="B3295">
        <v>0</v>
      </c>
    </row>
    <row r="3298" spans="1:2">
      <c r="A3298" s="112" t="s">
        <v>142</v>
      </c>
      <c r="B3298">
        <v>0</v>
      </c>
    </row>
    <row r="3301" spans="1:2">
      <c r="A3301" s="112" t="s">
        <v>142</v>
      </c>
      <c r="B3301">
        <v>0</v>
      </c>
    </row>
    <row r="3307" spans="1:2">
      <c r="A3307" s="112" t="s">
        <v>142</v>
      </c>
      <c r="B3307">
        <v>0</v>
      </c>
    </row>
    <row r="3313" spans="1:2">
      <c r="A3313" s="112" t="s">
        <v>142</v>
      </c>
      <c r="B3313">
        <v>0</v>
      </c>
    </row>
    <row r="3317" spans="1:2">
      <c r="A3317" s="112" t="s">
        <v>145</v>
      </c>
    </row>
    <row r="3319" spans="1:2">
      <c r="B3319" t="s">
        <v>816</v>
      </c>
    </row>
    <row r="3322" spans="1:2">
      <c r="A3322" s="112" t="s">
        <v>145</v>
      </c>
    </row>
    <row r="3324" spans="1:2">
      <c r="B3324" t="s">
        <v>816</v>
      </c>
    </row>
    <row r="3338" spans="1:2">
      <c r="B3338" t="s">
        <v>1474</v>
      </c>
    </row>
    <row r="3340" spans="1:2">
      <c r="A3340" s="112" t="s">
        <v>142</v>
      </c>
      <c r="B3340">
        <v>0</v>
      </c>
    </row>
    <row r="3341" spans="1:2">
      <c r="B3341" t="s">
        <v>1475</v>
      </c>
    </row>
    <row r="3343" spans="1:2">
      <c r="A3343" s="112" t="s">
        <v>142</v>
      </c>
      <c r="B3343">
        <v>0</v>
      </c>
    </row>
    <row r="3348" spans="1:2">
      <c r="B3348" t="s">
        <v>1474</v>
      </c>
    </row>
    <row r="3350" spans="1:2">
      <c r="A3350" s="112" t="s">
        <v>142</v>
      </c>
      <c r="B3350">
        <v>0</v>
      </c>
    </row>
    <row r="3351" spans="1:2">
      <c r="B3351" t="s">
        <v>1475</v>
      </c>
    </row>
    <row r="3353" spans="1:2">
      <c r="A3353" s="112" t="s">
        <v>142</v>
      </c>
      <c r="B3353">
        <v>0</v>
      </c>
    </row>
    <row r="3358" spans="1:2">
      <c r="A3358" s="112" t="s">
        <v>142</v>
      </c>
      <c r="B3358">
        <v>0</v>
      </c>
    </row>
    <row r="3364" spans="1:2">
      <c r="A3364" s="112" t="s">
        <v>142</v>
      </c>
      <c r="B3364">
        <v>0</v>
      </c>
    </row>
    <row r="3367" spans="1:2">
      <c r="A3367" s="112" t="s">
        <v>142</v>
      </c>
      <c r="B3367">
        <v>0</v>
      </c>
    </row>
    <row r="3370" spans="1:2">
      <c r="A3370" s="112" t="s">
        <v>142</v>
      </c>
      <c r="B3370">
        <v>0</v>
      </c>
    </row>
    <row r="3373" spans="1:2">
      <c r="A3373" s="112" t="s">
        <v>142</v>
      </c>
      <c r="B3373">
        <v>0</v>
      </c>
    </row>
    <row r="3376" spans="1:2">
      <c r="B3376" t="s">
        <v>1474</v>
      </c>
    </row>
    <row r="3378" spans="1:2">
      <c r="A3378" s="112" t="s">
        <v>142</v>
      </c>
      <c r="B3378">
        <v>0</v>
      </c>
    </row>
    <row r="3379" spans="1:2">
      <c r="B3379" t="s">
        <v>1475</v>
      </c>
    </row>
    <row r="3381" spans="1:2">
      <c r="A3381" s="112" t="s">
        <v>142</v>
      </c>
      <c r="B3381">
        <v>0</v>
      </c>
    </row>
    <row r="3386" spans="1:2">
      <c r="B3386" t="s">
        <v>1474</v>
      </c>
    </row>
    <row r="3388" spans="1:2">
      <c r="A3388" s="112" t="s">
        <v>142</v>
      </c>
      <c r="B3388">
        <v>0</v>
      </c>
    </row>
    <row r="3389" spans="1:2">
      <c r="B3389" t="s">
        <v>1475</v>
      </c>
    </row>
    <row r="3391" spans="1:2">
      <c r="A3391" s="112" t="s">
        <v>142</v>
      </c>
      <c r="B3391">
        <v>0</v>
      </c>
    </row>
    <row r="3396" spans="1:2">
      <c r="A3396" s="112" t="s">
        <v>142</v>
      </c>
      <c r="B3396">
        <v>0</v>
      </c>
    </row>
    <row r="3397" spans="1:2">
      <c r="A3397" s="112" t="s">
        <v>145</v>
      </c>
    </row>
    <row r="3399" spans="1:2">
      <c r="B3399" t="s">
        <v>816</v>
      </c>
    </row>
    <row r="3407" spans="1:2">
      <c r="B3407" t="s">
        <v>1474</v>
      </c>
    </row>
    <row r="3409" spans="1:2">
      <c r="A3409" s="112" t="s">
        <v>142</v>
      </c>
      <c r="B3409">
        <v>0</v>
      </c>
    </row>
    <row r="3410" spans="1:2">
      <c r="B3410" t="s">
        <v>1475</v>
      </c>
    </row>
    <row r="3412" spans="1:2">
      <c r="A3412" s="112" t="s">
        <v>142</v>
      </c>
      <c r="B3412">
        <v>0</v>
      </c>
    </row>
    <row r="3417" spans="1:2">
      <c r="A3417" s="112" t="s">
        <v>142</v>
      </c>
      <c r="B3417">
        <v>0</v>
      </c>
    </row>
    <row r="3423" spans="1:2">
      <c r="B3423" t="s">
        <v>1474</v>
      </c>
    </row>
    <row r="3425" spans="1:2">
      <c r="A3425" s="112" t="s">
        <v>142</v>
      </c>
      <c r="B3425">
        <v>0</v>
      </c>
    </row>
    <row r="3426" spans="1:2">
      <c r="B3426" t="s">
        <v>1475</v>
      </c>
    </row>
    <row r="3428" spans="1:2">
      <c r="A3428" s="112" t="s">
        <v>142</v>
      </c>
      <c r="B3428">
        <v>0</v>
      </c>
    </row>
    <row r="3433" spans="1:2">
      <c r="B3433" t="s">
        <v>1474</v>
      </c>
    </row>
    <row r="3435" spans="1:2">
      <c r="A3435" s="112" t="s">
        <v>142</v>
      </c>
      <c r="B3435">
        <v>0</v>
      </c>
    </row>
    <row r="3436" spans="1:2">
      <c r="B3436" t="s">
        <v>1475</v>
      </c>
    </row>
    <row r="3438" spans="1:2">
      <c r="A3438" s="112" t="s">
        <v>142</v>
      </c>
      <c r="B3438">
        <v>0</v>
      </c>
    </row>
    <row r="3443" spans="1:2">
      <c r="A3443" s="112" t="s">
        <v>142</v>
      </c>
      <c r="B3443">
        <v>0</v>
      </c>
    </row>
    <row r="3449" spans="1:2">
      <c r="B3449" t="s">
        <v>1474</v>
      </c>
    </row>
    <row r="3451" spans="1:2">
      <c r="A3451" s="112" t="s">
        <v>142</v>
      </c>
      <c r="B3451">
        <v>0</v>
      </c>
    </row>
    <row r="3452" spans="1:2">
      <c r="B3452" t="s">
        <v>1475</v>
      </c>
    </row>
    <row r="3454" spans="1:2">
      <c r="A3454" s="112" t="s">
        <v>142</v>
      </c>
      <c r="B3454">
        <v>0</v>
      </c>
    </row>
    <row r="3459" spans="1:2">
      <c r="A3459" s="112" t="s">
        <v>142</v>
      </c>
      <c r="B3459">
        <v>0</v>
      </c>
    </row>
    <row r="3465" spans="1:2">
      <c r="B3465" t="s">
        <v>1474</v>
      </c>
    </row>
    <row r="3467" spans="1:2">
      <c r="A3467" s="112" t="s">
        <v>142</v>
      </c>
      <c r="B3467">
        <v>0</v>
      </c>
    </row>
    <row r="3468" spans="1:2">
      <c r="B3468" t="s">
        <v>1475</v>
      </c>
    </row>
    <row r="3470" spans="1:2">
      <c r="A3470" s="112" t="s">
        <v>142</v>
      </c>
      <c r="B3470">
        <v>0</v>
      </c>
    </row>
    <row r="3475" spans="1:2">
      <c r="A3475" s="112" t="s">
        <v>142</v>
      </c>
      <c r="B3475">
        <v>0</v>
      </c>
    </row>
    <row r="3481" spans="1:2">
      <c r="B3481" t="s">
        <v>1474</v>
      </c>
    </row>
    <row r="3483" spans="1:2">
      <c r="A3483" s="112" t="s">
        <v>142</v>
      </c>
      <c r="B3483">
        <v>0</v>
      </c>
    </row>
    <row r="3484" spans="1:2">
      <c r="B3484" t="s">
        <v>1475</v>
      </c>
    </row>
    <row r="3486" spans="1:2">
      <c r="A3486" s="112" t="s">
        <v>142</v>
      </c>
      <c r="B3486">
        <v>0</v>
      </c>
    </row>
    <row r="3491" spans="1:2">
      <c r="A3491" s="112" t="s">
        <v>142</v>
      </c>
      <c r="B3491">
        <v>0</v>
      </c>
    </row>
    <row r="3492" spans="1:2">
      <c r="A3492" s="112" t="s">
        <v>145</v>
      </c>
    </row>
    <row r="3494" spans="1:2">
      <c r="B3494" t="s">
        <v>816</v>
      </c>
    </row>
    <row r="3497" spans="1:2">
      <c r="A3497" s="112" t="s">
        <v>145</v>
      </c>
    </row>
    <row r="3499" spans="1:2">
      <c r="B3499" t="s">
        <v>816</v>
      </c>
    </row>
    <row r="3513" spans="1:2">
      <c r="A3513" s="112" t="s">
        <v>142</v>
      </c>
      <c r="B3513">
        <v>0</v>
      </c>
    </row>
    <row r="3516" spans="1:2">
      <c r="B3516" t="s">
        <v>1474</v>
      </c>
    </row>
    <row r="3518" spans="1:2">
      <c r="A3518" s="112" t="s">
        <v>142</v>
      </c>
      <c r="B3518">
        <v>0</v>
      </c>
    </row>
    <row r="3519" spans="1:2">
      <c r="B3519" t="s">
        <v>1475</v>
      </c>
    </row>
    <row r="3521" spans="1:2">
      <c r="A3521" s="112" t="s">
        <v>142</v>
      </c>
      <c r="B3521">
        <v>0</v>
      </c>
    </row>
    <row r="3526" spans="1:2">
      <c r="B3526" t="s">
        <v>1474</v>
      </c>
    </row>
    <row r="3528" spans="1:2">
      <c r="A3528" s="112" t="s">
        <v>142</v>
      </c>
      <c r="B3528">
        <v>0</v>
      </c>
    </row>
    <row r="3529" spans="1:2">
      <c r="B3529" t="s">
        <v>1475</v>
      </c>
    </row>
    <row r="3531" spans="1:2">
      <c r="A3531" s="112" t="s">
        <v>142</v>
      </c>
      <c r="B3531">
        <v>0</v>
      </c>
    </row>
    <row r="3536" spans="1:2">
      <c r="B3536" t="s">
        <v>1474</v>
      </c>
    </row>
    <row r="3538" spans="1:2">
      <c r="A3538" s="112" t="s">
        <v>142</v>
      </c>
      <c r="B3538">
        <v>0</v>
      </c>
    </row>
    <row r="3539" spans="1:2">
      <c r="B3539" t="s">
        <v>1475</v>
      </c>
    </row>
    <row r="3541" spans="1:2">
      <c r="A3541" s="112" t="s">
        <v>142</v>
      </c>
      <c r="B3541">
        <v>0</v>
      </c>
    </row>
    <row r="3546" spans="1:2">
      <c r="A3546" s="112" t="s">
        <v>142</v>
      </c>
      <c r="B3546">
        <v>0</v>
      </c>
    </row>
    <row r="3549" spans="1:2">
      <c r="A3549" s="112" t="s">
        <v>142</v>
      </c>
      <c r="B3549">
        <v>0</v>
      </c>
    </row>
    <row r="3550" spans="1:2">
      <c r="A3550" s="112" t="s">
        <v>145</v>
      </c>
    </row>
    <row r="3552" spans="1:2">
      <c r="B3552" t="s">
        <v>816</v>
      </c>
    </row>
    <row r="3555" spans="1:2">
      <c r="A3555" s="112" t="s">
        <v>145</v>
      </c>
    </row>
    <row r="3557" spans="1:2">
      <c r="B3557" t="s">
        <v>816</v>
      </c>
    </row>
    <row r="3568" spans="1:2">
      <c r="A3568" s="112" t="s">
        <v>142</v>
      </c>
      <c r="B3568">
        <v>0</v>
      </c>
    </row>
    <row r="3571" spans="1:2">
      <c r="A3571" s="112" t="s">
        <v>142</v>
      </c>
      <c r="B3571">
        <v>0</v>
      </c>
    </row>
  </sheetData>
  <sortState xmlns:xlrd2="http://schemas.microsoft.com/office/spreadsheetml/2017/richdata2" ref="A2:R3571">
    <sortCondition ref="D2:D357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EAAA-BC55-4D6F-A68F-D4C6E9A43244}">
  <sheetPr>
    <tabColor rgb="FFFFC000"/>
  </sheetPr>
  <dimension ref="A1:T70"/>
  <sheetViews>
    <sheetView topLeftCell="A29" zoomScaleNormal="100" workbookViewId="0">
      <selection activeCell="I48" sqref="I48:I66"/>
    </sheetView>
  </sheetViews>
  <sheetFormatPr defaultRowHeight="13.2"/>
  <cols>
    <col min="1" max="1" width="0.5546875" style="1097" customWidth="1"/>
    <col min="2" max="2" width="25.33203125" style="1097" customWidth="1"/>
    <col min="3" max="3" width="11.5546875" style="1097" customWidth="1"/>
    <col min="4" max="5" width="12.33203125" style="1097" hidden="1" customWidth="1"/>
    <col min="6" max="6" width="11.33203125" style="1097" customWidth="1"/>
    <col min="7" max="8" width="12.33203125" style="1097" hidden="1" customWidth="1"/>
    <col min="9" max="9" width="11.109375" style="1097" customWidth="1"/>
    <col min="10" max="11" width="12.33203125" style="1097" hidden="1" customWidth="1"/>
    <col min="12" max="12" width="11.44140625" style="1097" customWidth="1"/>
    <col min="13" max="14" width="12.33203125" style="1097" hidden="1" customWidth="1"/>
    <col min="15" max="15" width="1.6640625" style="1097" customWidth="1"/>
    <col min="16" max="16" width="8" style="1097" customWidth="1"/>
    <col min="17" max="17" width="1.6640625" style="1097" customWidth="1"/>
    <col min="18" max="18" width="8.109375" style="1097" customWidth="1"/>
    <col min="19" max="19" width="8.44140625" style="1097" customWidth="1"/>
    <col min="20" max="20" width="2" style="1097" customWidth="1"/>
    <col min="21" max="21" width="3.6640625" style="1097" customWidth="1"/>
    <col min="22" max="256" width="8.88671875" style="1097"/>
    <col min="257" max="257" width="0.5546875" style="1097" customWidth="1"/>
    <col min="258" max="258" width="25.33203125" style="1097" customWidth="1"/>
    <col min="259" max="259" width="11.5546875" style="1097" customWidth="1"/>
    <col min="260" max="261" width="0" style="1097" hidden="1" customWidth="1"/>
    <col min="262" max="262" width="11.33203125" style="1097" customWidth="1"/>
    <col min="263" max="264" width="0" style="1097" hidden="1" customWidth="1"/>
    <col min="265" max="265" width="11.109375" style="1097" customWidth="1"/>
    <col min="266" max="267" width="0" style="1097" hidden="1" customWidth="1"/>
    <col min="268" max="268" width="11.44140625" style="1097" customWidth="1"/>
    <col min="269" max="270" width="0" style="1097" hidden="1" customWidth="1"/>
    <col min="271" max="271" width="1.6640625" style="1097" customWidth="1"/>
    <col min="272" max="272" width="8" style="1097" customWidth="1"/>
    <col min="273" max="273" width="1.6640625" style="1097" customWidth="1"/>
    <col min="274" max="274" width="8.109375" style="1097" customWidth="1"/>
    <col min="275" max="275" width="8.44140625" style="1097" customWidth="1"/>
    <col min="276" max="276" width="2" style="1097" customWidth="1"/>
    <col min="277" max="277" width="3.6640625" style="1097" customWidth="1"/>
    <col min="278" max="512" width="8.88671875" style="1097"/>
    <col min="513" max="513" width="0.5546875" style="1097" customWidth="1"/>
    <col min="514" max="514" width="25.33203125" style="1097" customWidth="1"/>
    <col min="515" max="515" width="11.5546875" style="1097" customWidth="1"/>
    <col min="516" max="517" width="0" style="1097" hidden="1" customWidth="1"/>
    <col min="518" max="518" width="11.33203125" style="1097" customWidth="1"/>
    <col min="519" max="520" width="0" style="1097" hidden="1" customWidth="1"/>
    <col min="521" max="521" width="11.109375" style="1097" customWidth="1"/>
    <col min="522" max="523" width="0" style="1097" hidden="1" customWidth="1"/>
    <col min="524" max="524" width="11.44140625" style="1097" customWidth="1"/>
    <col min="525" max="526" width="0" style="1097" hidden="1" customWidth="1"/>
    <col min="527" max="527" width="1.6640625" style="1097" customWidth="1"/>
    <col min="528" max="528" width="8" style="1097" customWidth="1"/>
    <col min="529" max="529" width="1.6640625" style="1097" customWidth="1"/>
    <col min="530" max="530" width="8.109375" style="1097" customWidth="1"/>
    <col min="531" max="531" width="8.44140625" style="1097" customWidth="1"/>
    <col min="532" max="532" width="2" style="1097" customWidth="1"/>
    <col min="533" max="533" width="3.6640625" style="1097" customWidth="1"/>
    <col min="534" max="768" width="8.88671875" style="1097"/>
    <col min="769" max="769" width="0.5546875" style="1097" customWidth="1"/>
    <col min="770" max="770" width="25.33203125" style="1097" customWidth="1"/>
    <col min="771" max="771" width="11.5546875" style="1097" customWidth="1"/>
    <col min="772" max="773" width="0" style="1097" hidden="1" customWidth="1"/>
    <col min="774" max="774" width="11.33203125" style="1097" customWidth="1"/>
    <col min="775" max="776" width="0" style="1097" hidden="1" customWidth="1"/>
    <col min="777" max="777" width="11.109375" style="1097" customWidth="1"/>
    <col min="778" max="779" width="0" style="1097" hidden="1" customWidth="1"/>
    <col min="780" max="780" width="11.44140625" style="1097" customWidth="1"/>
    <col min="781" max="782" width="0" style="1097" hidden="1" customWidth="1"/>
    <col min="783" max="783" width="1.6640625" style="1097" customWidth="1"/>
    <col min="784" max="784" width="8" style="1097" customWidth="1"/>
    <col min="785" max="785" width="1.6640625" style="1097" customWidth="1"/>
    <col min="786" max="786" width="8.109375" style="1097" customWidth="1"/>
    <col min="787" max="787" width="8.44140625" style="1097" customWidth="1"/>
    <col min="788" max="788" width="2" style="1097" customWidth="1"/>
    <col min="789" max="789" width="3.6640625" style="1097" customWidth="1"/>
    <col min="790" max="1024" width="8.88671875" style="1097"/>
    <col min="1025" max="1025" width="0.5546875" style="1097" customWidth="1"/>
    <col min="1026" max="1026" width="25.33203125" style="1097" customWidth="1"/>
    <col min="1027" max="1027" width="11.5546875" style="1097" customWidth="1"/>
    <col min="1028" max="1029" width="0" style="1097" hidden="1" customWidth="1"/>
    <col min="1030" max="1030" width="11.33203125" style="1097" customWidth="1"/>
    <col min="1031" max="1032" width="0" style="1097" hidden="1" customWidth="1"/>
    <col min="1033" max="1033" width="11.109375" style="1097" customWidth="1"/>
    <col min="1034" max="1035" width="0" style="1097" hidden="1" customWidth="1"/>
    <col min="1036" max="1036" width="11.44140625" style="1097" customWidth="1"/>
    <col min="1037" max="1038" width="0" style="1097" hidden="1" customWidth="1"/>
    <col min="1039" max="1039" width="1.6640625" style="1097" customWidth="1"/>
    <col min="1040" max="1040" width="8" style="1097" customWidth="1"/>
    <col min="1041" max="1041" width="1.6640625" style="1097" customWidth="1"/>
    <col min="1042" max="1042" width="8.109375" style="1097" customWidth="1"/>
    <col min="1043" max="1043" width="8.44140625" style="1097" customWidth="1"/>
    <col min="1044" max="1044" width="2" style="1097" customWidth="1"/>
    <col min="1045" max="1045" width="3.6640625" style="1097" customWidth="1"/>
    <col min="1046" max="1280" width="8.88671875" style="1097"/>
    <col min="1281" max="1281" width="0.5546875" style="1097" customWidth="1"/>
    <col min="1282" max="1282" width="25.33203125" style="1097" customWidth="1"/>
    <col min="1283" max="1283" width="11.5546875" style="1097" customWidth="1"/>
    <col min="1284" max="1285" width="0" style="1097" hidden="1" customWidth="1"/>
    <col min="1286" max="1286" width="11.33203125" style="1097" customWidth="1"/>
    <col min="1287" max="1288" width="0" style="1097" hidden="1" customWidth="1"/>
    <col min="1289" max="1289" width="11.109375" style="1097" customWidth="1"/>
    <col min="1290" max="1291" width="0" style="1097" hidden="1" customWidth="1"/>
    <col min="1292" max="1292" width="11.44140625" style="1097" customWidth="1"/>
    <col min="1293" max="1294" width="0" style="1097" hidden="1" customWidth="1"/>
    <col min="1295" max="1295" width="1.6640625" style="1097" customWidth="1"/>
    <col min="1296" max="1296" width="8" style="1097" customWidth="1"/>
    <col min="1297" max="1297" width="1.6640625" style="1097" customWidth="1"/>
    <col min="1298" max="1298" width="8.109375" style="1097" customWidth="1"/>
    <col min="1299" max="1299" width="8.44140625" style="1097" customWidth="1"/>
    <col min="1300" max="1300" width="2" style="1097" customWidth="1"/>
    <col min="1301" max="1301" width="3.6640625" style="1097" customWidth="1"/>
    <col min="1302" max="1536" width="8.88671875" style="1097"/>
    <col min="1537" max="1537" width="0.5546875" style="1097" customWidth="1"/>
    <col min="1538" max="1538" width="25.33203125" style="1097" customWidth="1"/>
    <col min="1539" max="1539" width="11.5546875" style="1097" customWidth="1"/>
    <col min="1540" max="1541" width="0" style="1097" hidden="1" customWidth="1"/>
    <col min="1542" max="1542" width="11.33203125" style="1097" customWidth="1"/>
    <col min="1543" max="1544" width="0" style="1097" hidden="1" customWidth="1"/>
    <col min="1545" max="1545" width="11.109375" style="1097" customWidth="1"/>
    <col min="1546" max="1547" width="0" style="1097" hidden="1" customWidth="1"/>
    <col min="1548" max="1548" width="11.44140625" style="1097" customWidth="1"/>
    <col min="1549" max="1550" width="0" style="1097" hidden="1" customWidth="1"/>
    <col min="1551" max="1551" width="1.6640625" style="1097" customWidth="1"/>
    <col min="1552" max="1552" width="8" style="1097" customWidth="1"/>
    <col min="1553" max="1553" width="1.6640625" style="1097" customWidth="1"/>
    <col min="1554" max="1554" width="8.109375" style="1097" customWidth="1"/>
    <col min="1555" max="1555" width="8.44140625" style="1097" customWidth="1"/>
    <col min="1556" max="1556" width="2" style="1097" customWidth="1"/>
    <col min="1557" max="1557" width="3.6640625" style="1097" customWidth="1"/>
    <col min="1558" max="1792" width="8.88671875" style="1097"/>
    <col min="1793" max="1793" width="0.5546875" style="1097" customWidth="1"/>
    <col min="1794" max="1794" width="25.33203125" style="1097" customWidth="1"/>
    <col min="1795" max="1795" width="11.5546875" style="1097" customWidth="1"/>
    <col min="1796" max="1797" width="0" style="1097" hidden="1" customWidth="1"/>
    <col min="1798" max="1798" width="11.33203125" style="1097" customWidth="1"/>
    <col min="1799" max="1800" width="0" style="1097" hidden="1" customWidth="1"/>
    <col min="1801" max="1801" width="11.109375" style="1097" customWidth="1"/>
    <col min="1802" max="1803" width="0" style="1097" hidden="1" customWidth="1"/>
    <col min="1804" max="1804" width="11.44140625" style="1097" customWidth="1"/>
    <col min="1805" max="1806" width="0" style="1097" hidden="1" customWidth="1"/>
    <col min="1807" max="1807" width="1.6640625" style="1097" customWidth="1"/>
    <col min="1808" max="1808" width="8" style="1097" customWidth="1"/>
    <col min="1809" max="1809" width="1.6640625" style="1097" customWidth="1"/>
    <col min="1810" max="1810" width="8.109375" style="1097" customWidth="1"/>
    <col min="1811" max="1811" width="8.44140625" style="1097" customWidth="1"/>
    <col min="1812" max="1812" width="2" style="1097" customWidth="1"/>
    <col min="1813" max="1813" width="3.6640625" style="1097" customWidth="1"/>
    <col min="1814" max="2048" width="8.88671875" style="1097"/>
    <col min="2049" max="2049" width="0.5546875" style="1097" customWidth="1"/>
    <col min="2050" max="2050" width="25.33203125" style="1097" customWidth="1"/>
    <col min="2051" max="2051" width="11.5546875" style="1097" customWidth="1"/>
    <col min="2052" max="2053" width="0" style="1097" hidden="1" customWidth="1"/>
    <col min="2054" max="2054" width="11.33203125" style="1097" customWidth="1"/>
    <col min="2055" max="2056" width="0" style="1097" hidden="1" customWidth="1"/>
    <col min="2057" max="2057" width="11.109375" style="1097" customWidth="1"/>
    <col min="2058" max="2059" width="0" style="1097" hidden="1" customWidth="1"/>
    <col min="2060" max="2060" width="11.44140625" style="1097" customWidth="1"/>
    <col min="2061" max="2062" width="0" style="1097" hidden="1" customWidth="1"/>
    <col min="2063" max="2063" width="1.6640625" style="1097" customWidth="1"/>
    <col min="2064" max="2064" width="8" style="1097" customWidth="1"/>
    <col min="2065" max="2065" width="1.6640625" style="1097" customWidth="1"/>
    <col min="2066" max="2066" width="8.109375" style="1097" customWidth="1"/>
    <col min="2067" max="2067" width="8.44140625" style="1097" customWidth="1"/>
    <col min="2068" max="2068" width="2" style="1097" customWidth="1"/>
    <col min="2069" max="2069" width="3.6640625" style="1097" customWidth="1"/>
    <col min="2070" max="2304" width="8.88671875" style="1097"/>
    <col min="2305" max="2305" width="0.5546875" style="1097" customWidth="1"/>
    <col min="2306" max="2306" width="25.33203125" style="1097" customWidth="1"/>
    <col min="2307" max="2307" width="11.5546875" style="1097" customWidth="1"/>
    <col min="2308" max="2309" width="0" style="1097" hidden="1" customWidth="1"/>
    <col min="2310" max="2310" width="11.33203125" style="1097" customWidth="1"/>
    <col min="2311" max="2312" width="0" style="1097" hidden="1" customWidth="1"/>
    <col min="2313" max="2313" width="11.109375" style="1097" customWidth="1"/>
    <col min="2314" max="2315" width="0" style="1097" hidden="1" customWidth="1"/>
    <col min="2316" max="2316" width="11.44140625" style="1097" customWidth="1"/>
    <col min="2317" max="2318" width="0" style="1097" hidden="1" customWidth="1"/>
    <col min="2319" max="2319" width="1.6640625" style="1097" customWidth="1"/>
    <col min="2320" max="2320" width="8" style="1097" customWidth="1"/>
    <col min="2321" max="2321" width="1.6640625" style="1097" customWidth="1"/>
    <col min="2322" max="2322" width="8.109375" style="1097" customWidth="1"/>
    <col min="2323" max="2323" width="8.44140625" style="1097" customWidth="1"/>
    <col min="2324" max="2324" width="2" style="1097" customWidth="1"/>
    <col min="2325" max="2325" width="3.6640625" style="1097" customWidth="1"/>
    <col min="2326" max="2560" width="8.88671875" style="1097"/>
    <col min="2561" max="2561" width="0.5546875" style="1097" customWidth="1"/>
    <col min="2562" max="2562" width="25.33203125" style="1097" customWidth="1"/>
    <col min="2563" max="2563" width="11.5546875" style="1097" customWidth="1"/>
    <col min="2564" max="2565" width="0" style="1097" hidden="1" customWidth="1"/>
    <col min="2566" max="2566" width="11.33203125" style="1097" customWidth="1"/>
    <col min="2567" max="2568" width="0" style="1097" hidden="1" customWidth="1"/>
    <col min="2569" max="2569" width="11.109375" style="1097" customWidth="1"/>
    <col min="2570" max="2571" width="0" style="1097" hidden="1" customWidth="1"/>
    <col min="2572" max="2572" width="11.44140625" style="1097" customWidth="1"/>
    <col min="2573" max="2574" width="0" style="1097" hidden="1" customWidth="1"/>
    <col min="2575" max="2575" width="1.6640625" style="1097" customWidth="1"/>
    <col min="2576" max="2576" width="8" style="1097" customWidth="1"/>
    <col min="2577" max="2577" width="1.6640625" style="1097" customWidth="1"/>
    <col min="2578" max="2578" width="8.109375" style="1097" customWidth="1"/>
    <col min="2579" max="2579" width="8.44140625" style="1097" customWidth="1"/>
    <col min="2580" max="2580" width="2" style="1097" customWidth="1"/>
    <col min="2581" max="2581" width="3.6640625" style="1097" customWidth="1"/>
    <col min="2582" max="2816" width="8.88671875" style="1097"/>
    <col min="2817" max="2817" width="0.5546875" style="1097" customWidth="1"/>
    <col min="2818" max="2818" width="25.33203125" style="1097" customWidth="1"/>
    <col min="2819" max="2819" width="11.5546875" style="1097" customWidth="1"/>
    <col min="2820" max="2821" width="0" style="1097" hidden="1" customWidth="1"/>
    <col min="2822" max="2822" width="11.33203125" style="1097" customWidth="1"/>
    <col min="2823" max="2824" width="0" style="1097" hidden="1" customWidth="1"/>
    <col min="2825" max="2825" width="11.109375" style="1097" customWidth="1"/>
    <col min="2826" max="2827" width="0" style="1097" hidden="1" customWidth="1"/>
    <col min="2828" max="2828" width="11.44140625" style="1097" customWidth="1"/>
    <col min="2829" max="2830" width="0" style="1097" hidden="1" customWidth="1"/>
    <col min="2831" max="2831" width="1.6640625" style="1097" customWidth="1"/>
    <col min="2832" max="2832" width="8" style="1097" customWidth="1"/>
    <col min="2833" max="2833" width="1.6640625" style="1097" customWidth="1"/>
    <col min="2834" max="2834" width="8.109375" style="1097" customWidth="1"/>
    <col min="2835" max="2835" width="8.44140625" style="1097" customWidth="1"/>
    <col min="2836" max="2836" width="2" style="1097" customWidth="1"/>
    <col min="2837" max="2837" width="3.6640625" style="1097" customWidth="1"/>
    <col min="2838" max="3072" width="8.88671875" style="1097"/>
    <col min="3073" max="3073" width="0.5546875" style="1097" customWidth="1"/>
    <col min="3074" max="3074" width="25.33203125" style="1097" customWidth="1"/>
    <col min="3075" max="3075" width="11.5546875" style="1097" customWidth="1"/>
    <col min="3076" max="3077" width="0" style="1097" hidden="1" customWidth="1"/>
    <col min="3078" max="3078" width="11.33203125" style="1097" customWidth="1"/>
    <col min="3079" max="3080" width="0" style="1097" hidden="1" customWidth="1"/>
    <col min="3081" max="3081" width="11.109375" style="1097" customWidth="1"/>
    <col min="3082" max="3083" width="0" style="1097" hidden="1" customWidth="1"/>
    <col min="3084" max="3084" width="11.44140625" style="1097" customWidth="1"/>
    <col min="3085" max="3086" width="0" style="1097" hidden="1" customWidth="1"/>
    <col min="3087" max="3087" width="1.6640625" style="1097" customWidth="1"/>
    <col min="3088" max="3088" width="8" style="1097" customWidth="1"/>
    <col min="3089" max="3089" width="1.6640625" style="1097" customWidth="1"/>
    <col min="3090" max="3090" width="8.109375" style="1097" customWidth="1"/>
    <col min="3091" max="3091" width="8.44140625" style="1097" customWidth="1"/>
    <col min="3092" max="3092" width="2" style="1097" customWidth="1"/>
    <col min="3093" max="3093" width="3.6640625" style="1097" customWidth="1"/>
    <col min="3094" max="3328" width="8.88671875" style="1097"/>
    <col min="3329" max="3329" width="0.5546875" style="1097" customWidth="1"/>
    <col min="3330" max="3330" width="25.33203125" style="1097" customWidth="1"/>
    <col min="3331" max="3331" width="11.5546875" style="1097" customWidth="1"/>
    <col min="3332" max="3333" width="0" style="1097" hidden="1" customWidth="1"/>
    <col min="3334" max="3334" width="11.33203125" style="1097" customWidth="1"/>
    <col min="3335" max="3336" width="0" style="1097" hidden="1" customWidth="1"/>
    <col min="3337" max="3337" width="11.109375" style="1097" customWidth="1"/>
    <col min="3338" max="3339" width="0" style="1097" hidden="1" customWidth="1"/>
    <col min="3340" max="3340" width="11.44140625" style="1097" customWidth="1"/>
    <col min="3341" max="3342" width="0" style="1097" hidden="1" customWidth="1"/>
    <col min="3343" max="3343" width="1.6640625" style="1097" customWidth="1"/>
    <col min="3344" max="3344" width="8" style="1097" customWidth="1"/>
    <col min="3345" max="3345" width="1.6640625" style="1097" customWidth="1"/>
    <col min="3346" max="3346" width="8.109375" style="1097" customWidth="1"/>
    <col min="3347" max="3347" width="8.44140625" style="1097" customWidth="1"/>
    <col min="3348" max="3348" width="2" style="1097" customWidth="1"/>
    <col min="3349" max="3349" width="3.6640625" style="1097" customWidth="1"/>
    <col min="3350" max="3584" width="8.88671875" style="1097"/>
    <col min="3585" max="3585" width="0.5546875" style="1097" customWidth="1"/>
    <col min="3586" max="3586" width="25.33203125" style="1097" customWidth="1"/>
    <col min="3587" max="3587" width="11.5546875" style="1097" customWidth="1"/>
    <col min="3588" max="3589" width="0" style="1097" hidden="1" customWidth="1"/>
    <col min="3590" max="3590" width="11.33203125" style="1097" customWidth="1"/>
    <col min="3591" max="3592" width="0" style="1097" hidden="1" customWidth="1"/>
    <col min="3593" max="3593" width="11.109375" style="1097" customWidth="1"/>
    <col min="3594" max="3595" width="0" style="1097" hidden="1" customWidth="1"/>
    <col min="3596" max="3596" width="11.44140625" style="1097" customWidth="1"/>
    <col min="3597" max="3598" width="0" style="1097" hidden="1" customWidth="1"/>
    <col min="3599" max="3599" width="1.6640625" style="1097" customWidth="1"/>
    <col min="3600" max="3600" width="8" style="1097" customWidth="1"/>
    <col min="3601" max="3601" width="1.6640625" style="1097" customWidth="1"/>
    <col min="3602" max="3602" width="8.109375" style="1097" customWidth="1"/>
    <col min="3603" max="3603" width="8.44140625" style="1097" customWidth="1"/>
    <col min="3604" max="3604" width="2" style="1097" customWidth="1"/>
    <col min="3605" max="3605" width="3.6640625" style="1097" customWidth="1"/>
    <col min="3606" max="3840" width="8.88671875" style="1097"/>
    <col min="3841" max="3841" width="0.5546875" style="1097" customWidth="1"/>
    <col min="3842" max="3842" width="25.33203125" style="1097" customWidth="1"/>
    <col min="3843" max="3843" width="11.5546875" style="1097" customWidth="1"/>
    <col min="3844" max="3845" width="0" style="1097" hidden="1" customWidth="1"/>
    <col min="3846" max="3846" width="11.33203125" style="1097" customWidth="1"/>
    <col min="3847" max="3848" width="0" style="1097" hidden="1" customWidth="1"/>
    <col min="3849" max="3849" width="11.109375" style="1097" customWidth="1"/>
    <col min="3850" max="3851" width="0" style="1097" hidden="1" customWidth="1"/>
    <col min="3852" max="3852" width="11.44140625" style="1097" customWidth="1"/>
    <col min="3853" max="3854" width="0" style="1097" hidden="1" customWidth="1"/>
    <col min="3855" max="3855" width="1.6640625" style="1097" customWidth="1"/>
    <col min="3856" max="3856" width="8" style="1097" customWidth="1"/>
    <col min="3857" max="3857" width="1.6640625" style="1097" customWidth="1"/>
    <col min="3858" max="3858" width="8.109375" style="1097" customWidth="1"/>
    <col min="3859" max="3859" width="8.44140625" style="1097" customWidth="1"/>
    <col min="3860" max="3860" width="2" style="1097" customWidth="1"/>
    <col min="3861" max="3861" width="3.6640625" style="1097" customWidth="1"/>
    <col min="3862" max="4096" width="8.88671875" style="1097"/>
    <col min="4097" max="4097" width="0.5546875" style="1097" customWidth="1"/>
    <col min="4098" max="4098" width="25.33203125" style="1097" customWidth="1"/>
    <col min="4099" max="4099" width="11.5546875" style="1097" customWidth="1"/>
    <col min="4100" max="4101" width="0" style="1097" hidden="1" customWidth="1"/>
    <col min="4102" max="4102" width="11.33203125" style="1097" customWidth="1"/>
    <col min="4103" max="4104" width="0" style="1097" hidden="1" customWidth="1"/>
    <col min="4105" max="4105" width="11.109375" style="1097" customWidth="1"/>
    <col min="4106" max="4107" width="0" style="1097" hidden="1" customWidth="1"/>
    <col min="4108" max="4108" width="11.44140625" style="1097" customWidth="1"/>
    <col min="4109" max="4110" width="0" style="1097" hidden="1" customWidth="1"/>
    <col min="4111" max="4111" width="1.6640625" style="1097" customWidth="1"/>
    <col min="4112" max="4112" width="8" style="1097" customWidth="1"/>
    <col min="4113" max="4113" width="1.6640625" style="1097" customWidth="1"/>
    <col min="4114" max="4114" width="8.109375" style="1097" customWidth="1"/>
    <col min="4115" max="4115" width="8.44140625" style="1097" customWidth="1"/>
    <col min="4116" max="4116" width="2" style="1097" customWidth="1"/>
    <col min="4117" max="4117" width="3.6640625" style="1097" customWidth="1"/>
    <col min="4118" max="4352" width="8.88671875" style="1097"/>
    <col min="4353" max="4353" width="0.5546875" style="1097" customWidth="1"/>
    <col min="4354" max="4354" width="25.33203125" style="1097" customWidth="1"/>
    <col min="4355" max="4355" width="11.5546875" style="1097" customWidth="1"/>
    <col min="4356" max="4357" width="0" style="1097" hidden="1" customWidth="1"/>
    <col min="4358" max="4358" width="11.33203125" style="1097" customWidth="1"/>
    <col min="4359" max="4360" width="0" style="1097" hidden="1" customWidth="1"/>
    <col min="4361" max="4361" width="11.109375" style="1097" customWidth="1"/>
    <col min="4362" max="4363" width="0" style="1097" hidden="1" customWidth="1"/>
    <col min="4364" max="4364" width="11.44140625" style="1097" customWidth="1"/>
    <col min="4365" max="4366" width="0" style="1097" hidden="1" customWidth="1"/>
    <col min="4367" max="4367" width="1.6640625" style="1097" customWidth="1"/>
    <col min="4368" max="4368" width="8" style="1097" customWidth="1"/>
    <col min="4369" max="4369" width="1.6640625" style="1097" customWidth="1"/>
    <col min="4370" max="4370" width="8.109375" style="1097" customWidth="1"/>
    <col min="4371" max="4371" width="8.44140625" style="1097" customWidth="1"/>
    <col min="4372" max="4372" width="2" style="1097" customWidth="1"/>
    <col min="4373" max="4373" width="3.6640625" style="1097" customWidth="1"/>
    <col min="4374" max="4608" width="8.88671875" style="1097"/>
    <col min="4609" max="4609" width="0.5546875" style="1097" customWidth="1"/>
    <col min="4610" max="4610" width="25.33203125" style="1097" customWidth="1"/>
    <col min="4611" max="4611" width="11.5546875" style="1097" customWidth="1"/>
    <col min="4612" max="4613" width="0" style="1097" hidden="1" customWidth="1"/>
    <col min="4614" max="4614" width="11.33203125" style="1097" customWidth="1"/>
    <col min="4615" max="4616" width="0" style="1097" hidden="1" customWidth="1"/>
    <col min="4617" max="4617" width="11.109375" style="1097" customWidth="1"/>
    <col min="4618" max="4619" width="0" style="1097" hidden="1" customWidth="1"/>
    <col min="4620" max="4620" width="11.44140625" style="1097" customWidth="1"/>
    <col min="4621" max="4622" width="0" style="1097" hidden="1" customWidth="1"/>
    <col min="4623" max="4623" width="1.6640625" style="1097" customWidth="1"/>
    <col min="4624" max="4624" width="8" style="1097" customWidth="1"/>
    <col min="4625" max="4625" width="1.6640625" style="1097" customWidth="1"/>
    <col min="4626" max="4626" width="8.109375" style="1097" customWidth="1"/>
    <col min="4627" max="4627" width="8.44140625" style="1097" customWidth="1"/>
    <col min="4628" max="4628" width="2" style="1097" customWidth="1"/>
    <col min="4629" max="4629" width="3.6640625" style="1097" customWidth="1"/>
    <col min="4630" max="4864" width="8.88671875" style="1097"/>
    <col min="4865" max="4865" width="0.5546875" style="1097" customWidth="1"/>
    <col min="4866" max="4866" width="25.33203125" style="1097" customWidth="1"/>
    <col min="4867" max="4867" width="11.5546875" style="1097" customWidth="1"/>
    <col min="4868" max="4869" width="0" style="1097" hidden="1" customWidth="1"/>
    <col min="4870" max="4870" width="11.33203125" style="1097" customWidth="1"/>
    <col min="4871" max="4872" width="0" style="1097" hidden="1" customWidth="1"/>
    <col min="4873" max="4873" width="11.109375" style="1097" customWidth="1"/>
    <col min="4874" max="4875" width="0" style="1097" hidden="1" customWidth="1"/>
    <col min="4876" max="4876" width="11.44140625" style="1097" customWidth="1"/>
    <col min="4877" max="4878" width="0" style="1097" hidden="1" customWidth="1"/>
    <col min="4879" max="4879" width="1.6640625" style="1097" customWidth="1"/>
    <col min="4880" max="4880" width="8" style="1097" customWidth="1"/>
    <col min="4881" max="4881" width="1.6640625" style="1097" customWidth="1"/>
    <col min="4882" max="4882" width="8.109375" style="1097" customWidth="1"/>
    <col min="4883" max="4883" width="8.44140625" style="1097" customWidth="1"/>
    <col min="4884" max="4884" width="2" style="1097" customWidth="1"/>
    <col min="4885" max="4885" width="3.6640625" style="1097" customWidth="1"/>
    <col min="4886" max="5120" width="8.88671875" style="1097"/>
    <col min="5121" max="5121" width="0.5546875" style="1097" customWidth="1"/>
    <col min="5122" max="5122" width="25.33203125" style="1097" customWidth="1"/>
    <col min="5123" max="5123" width="11.5546875" style="1097" customWidth="1"/>
    <col min="5124" max="5125" width="0" style="1097" hidden="1" customWidth="1"/>
    <col min="5126" max="5126" width="11.33203125" style="1097" customWidth="1"/>
    <col min="5127" max="5128" width="0" style="1097" hidden="1" customWidth="1"/>
    <col min="5129" max="5129" width="11.109375" style="1097" customWidth="1"/>
    <col min="5130" max="5131" width="0" style="1097" hidden="1" customWidth="1"/>
    <col min="5132" max="5132" width="11.44140625" style="1097" customWidth="1"/>
    <col min="5133" max="5134" width="0" style="1097" hidden="1" customWidth="1"/>
    <col min="5135" max="5135" width="1.6640625" style="1097" customWidth="1"/>
    <col min="5136" max="5136" width="8" style="1097" customWidth="1"/>
    <col min="5137" max="5137" width="1.6640625" style="1097" customWidth="1"/>
    <col min="5138" max="5138" width="8.109375" style="1097" customWidth="1"/>
    <col min="5139" max="5139" width="8.44140625" style="1097" customWidth="1"/>
    <col min="5140" max="5140" width="2" style="1097" customWidth="1"/>
    <col min="5141" max="5141" width="3.6640625" style="1097" customWidth="1"/>
    <col min="5142" max="5376" width="8.88671875" style="1097"/>
    <col min="5377" max="5377" width="0.5546875" style="1097" customWidth="1"/>
    <col min="5378" max="5378" width="25.33203125" style="1097" customWidth="1"/>
    <col min="5379" max="5379" width="11.5546875" style="1097" customWidth="1"/>
    <col min="5380" max="5381" width="0" style="1097" hidden="1" customWidth="1"/>
    <col min="5382" max="5382" width="11.33203125" style="1097" customWidth="1"/>
    <col min="5383" max="5384" width="0" style="1097" hidden="1" customWidth="1"/>
    <col min="5385" max="5385" width="11.109375" style="1097" customWidth="1"/>
    <col min="5386" max="5387" width="0" style="1097" hidden="1" customWidth="1"/>
    <col min="5388" max="5388" width="11.44140625" style="1097" customWidth="1"/>
    <col min="5389" max="5390" width="0" style="1097" hidden="1" customWidth="1"/>
    <col min="5391" max="5391" width="1.6640625" style="1097" customWidth="1"/>
    <col min="5392" max="5392" width="8" style="1097" customWidth="1"/>
    <col min="5393" max="5393" width="1.6640625" style="1097" customWidth="1"/>
    <col min="5394" max="5394" width="8.109375" style="1097" customWidth="1"/>
    <col min="5395" max="5395" width="8.44140625" style="1097" customWidth="1"/>
    <col min="5396" max="5396" width="2" style="1097" customWidth="1"/>
    <col min="5397" max="5397" width="3.6640625" style="1097" customWidth="1"/>
    <col min="5398" max="5632" width="8.88671875" style="1097"/>
    <col min="5633" max="5633" width="0.5546875" style="1097" customWidth="1"/>
    <col min="5634" max="5634" width="25.33203125" style="1097" customWidth="1"/>
    <col min="5635" max="5635" width="11.5546875" style="1097" customWidth="1"/>
    <col min="5636" max="5637" width="0" style="1097" hidden="1" customWidth="1"/>
    <col min="5638" max="5638" width="11.33203125" style="1097" customWidth="1"/>
    <col min="5639" max="5640" width="0" style="1097" hidden="1" customWidth="1"/>
    <col min="5641" max="5641" width="11.109375" style="1097" customWidth="1"/>
    <col min="5642" max="5643" width="0" style="1097" hidden="1" customWidth="1"/>
    <col min="5644" max="5644" width="11.44140625" style="1097" customWidth="1"/>
    <col min="5645" max="5646" width="0" style="1097" hidden="1" customWidth="1"/>
    <col min="5647" max="5647" width="1.6640625" style="1097" customWidth="1"/>
    <col min="5648" max="5648" width="8" style="1097" customWidth="1"/>
    <col min="5649" max="5649" width="1.6640625" style="1097" customWidth="1"/>
    <col min="5650" max="5650" width="8.109375" style="1097" customWidth="1"/>
    <col min="5651" max="5651" width="8.44140625" style="1097" customWidth="1"/>
    <col min="5652" max="5652" width="2" style="1097" customWidth="1"/>
    <col min="5653" max="5653" width="3.6640625" style="1097" customWidth="1"/>
    <col min="5654" max="5888" width="8.88671875" style="1097"/>
    <col min="5889" max="5889" width="0.5546875" style="1097" customWidth="1"/>
    <col min="5890" max="5890" width="25.33203125" style="1097" customWidth="1"/>
    <col min="5891" max="5891" width="11.5546875" style="1097" customWidth="1"/>
    <col min="5892" max="5893" width="0" style="1097" hidden="1" customWidth="1"/>
    <col min="5894" max="5894" width="11.33203125" style="1097" customWidth="1"/>
    <col min="5895" max="5896" width="0" style="1097" hidden="1" customWidth="1"/>
    <col min="5897" max="5897" width="11.109375" style="1097" customWidth="1"/>
    <col min="5898" max="5899" width="0" style="1097" hidden="1" customWidth="1"/>
    <col min="5900" max="5900" width="11.44140625" style="1097" customWidth="1"/>
    <col min="5901" max="5902" width="0" style="1097" hidden="1" customWidth="1"/>
    <col min="5903" max="5903" width="1.6640625" style="1097" customWidth="1"/>
    <col min="5904" max="5904" width="8" style="1097" customWidth="1"/>
    <col min="5905" max="5905" width="1.6640625" style="1097" customWidth="1"/>
    <col min="5906" max="5906" width="8.109375" style="1097" customWidth="1"/>
    <col min="5907" max="5907" width="8.44140625" style="1097" customWidth="1"/>
    <col min="5908" max="5908" width="2" style="1097" customWidth="1"/>
    <col min="5909" max="5909" width="3.6640625" style="1097" customWidth="1"/>
    <col min="5910" max="6144" width="8.88671875" style="1097"/>
    <col min="6145" max="6145" width="0.5546875" style="1097" customWidth="1"/>
    <col min="6146" max="6146" width="25.33203125" style="1097" customWidth="1"/>
    <col min="6147" max="6147" width="11.5546875" style="1097" customWidth="1"/>
    <col min="6148" max="6149" width="0" style="1097" hidden="1" customWidth="1"/>
    <col min="6150" max="6150" width="11.33203125" style="1097" customWidth="1"/>
    <col min="6151" max="6152" width="0" style="1097" hidden="1" customWidth="1"/>
    <col min="6153" max="6153" width="11.109375" style="1097" customWidth="1"/>
    <col min="6154" max="6155" width="0" style="1097" hidden="1" customWidth="1"/>
    <col min="6156" max="6156" width="11.44140625" style="1097" customWidth="1"/>
    <col min="6157" max="6158" width="0" style="1097" hidden="1" customWidth="1"/>
    <col min="6159" max="6159" width="1.6640625" style="1097" customWidth="1"/>
    <col min="6160" max="6160" width="8" style="1097" customWidth="1"/>
    <col min="6161" max="6161" width="1.6640625" style="1097" customWidth="1"/>
    <col min="6162" max="6162" width="8.109375" style="1097" customWidth="1"/>
    <col min="6163" max="6163" width="8.44140625" style="1097" customWidth="1"/>
    <col min="6164" max="6164" width="2" style="1097" customWidth="1"/>
    <col min="6165" max="6165" width="3.6640625" style="1097" customWidth="1"/>
    <col min="6166" max="6400" width="8.88671875" style="1097"/>
    <col min="6401" max="6401" width="0.5546875" style="1097" customWidth="1"/>
    <col min="6402" max="6402" width="25.33203125" style="1097" customWidth="1"/>
    <col min="6403" max="6403" width="11.5546875" style="1097" customWidth="1"/>
    <col min="6404" max="6405" width="0" style="1097" hidden="1" customWidth="1"/>
    <col min="6406" max="6406" width="11.33203125" style="1097" customWidth="1"/>
    <col min="6407" max="6408" width="0" style="1097" hidden="1" customWidth="1"/>
    <col min="6409" max="6409" width="11.109375" style="1097" customWidth="1"/>
    <col min="6410" max="6411" width="0" style="1097" hidden="1" customWidth="1"/>
    <col min="6412" max="6412" width="11.44140625" style="1097" customWidth="1"/>
    <col min="6413" max="6414" width="0" style="1097" hidden="1" customWidth="1"/>
    <col min="6415" max="6415" width="1.6640625" style="1097" customWidth="1"/>
    <col min="6416" max="6416" width="8" style="1097" customWidth="1"/>
    <col min="6417" max="6417" width="1.6640625" style="1097" customWidth="1"/>
    <col min="6418" max="6418" width="8.109375" style="1097" customWidth="1"/>
    <col min="6419" max="6419" width="8.44140625" style="1097" customWidth="1"/>
    <col min="6420" max="6420" width="2" style="1097" customWidth="1"/>
    <col min="6421" max="6421" width="3.6640625" style="1097" customWidth="1"/>
    <col min="6422" max="6656" width="8.88671875" style="1097"/>
    <col min="6657" max="6657" width="0.5546875" style="1097" customWidth="1"/>
    <col min="6658" max="6658" width="25.33203125" style="1097" customWidth="1"/>
    <col min="6659" max="6659" width="11.5546875" style="1097" customWidth="1"/>
    <col min="6660" max="6661" width="0" style="1097" hidden="1" customWidth="1"/>
    <col min="6662" max="6662" width="11.33203125" style="1097" customWidth="1"/>
    <col min="6663" max="6664" width="0" style="1097" hidden="1" customWidth="1"/>
    <col min="6665" max="6665" width="11.109375" style="1097" customWidth="1"/>
    <col min="6666" max="6667" width="0" style="1097" hidden="1" customWidth="1"/>
    <col min="6668" max="6668" width="11.44140625" style="1097" customWidth="1"/>
    <col min="6669" max="6670" width="0" style="1097" hidden="1" customWidth="1"/>
    <col min="6671" max="6671" width="1.6640625" style="1097" customWidth="1"/>
    <col min="6672" max="6672" width="8" style="1097" customWidth="1"/>
    <col min="6673" max="6673" width="1.6640625" style="1097" customWidth="1"/>
    <col min="6674" max="6674" width="8.109375" style="1097" customWidth="1"/>
    <col min="6675" max="6675" width="8.44140625" style="1097" customWidth="1"/>
    <col min="6676" max="6676" width="2" style="1097" customWidth="1"/>
    <col min="6677" max="6677" width="3.6640625" style="1097" customWidth="1"/>
    <col min="6678" max="6912" width="8.88671875" style="1097"/>
    <col min="6913" max="6913" width="0.5546875" style="1097" customWidth="1"/>
    <col min="6914" max="6914" width="25.33203125" style="1097" customWidth="1"/>
    <col min="6915" max="6915" width="11.5546875" style="1097" customWidth="1"/>
    <col min="6916" max="6917" width="0" style="1097" hidden="1" customWidth="1"/>
    <col min="6918" max="6918" width="11.33203125" style="1097" customWidth="1"/>
    <col min="6919" max="6920" width="0" style="1097" hidden="1" customWidth="1"/>
    <col min="6921" max="6921" width="11.109375" style="1097" customWidth="1"/>
    <col min="6922" max="6923" width="0" style="1097" hidden="1" customWidth="1"/>
    <col min="6924" max="6924" width="11.44140625" style="1097" customWidth="1"/>
    <col min="6925" max="6926" width="0" style="1097" hidden="1" customWidth="1"/>
    <col min="6927" max="6927" width="1.6640625" style="1097" customWidth="1"/>
    <col min="6928" max="6928" width="8" style="1097" customWidth="1"/>
    <col min="6929" max="6929" width="1.6640625" style="1097" customWidth="1"/>
    <col min="6930" max="6930" width="8.109375" style="1097" customWidth="1"/>
    <col min="6931" max="6931" width="8.44140625" style="1097" customWidth="1"/>
    <col min="6932" max="6932" width="2" style="1097" customWidth="1"/>
    <col min="6933" max="6933" width="3.6640625" style="1097" customWidth="1"/>
    <col min="6934" max="7168" width="8.88671875" style="1097"/>
    <col min="7169" max="7169" width="0.5546875" style="1097" customWidth="1"/>
    <col min="7170" max="7170" width="25.33203125" style="1097" customWidth="1"/>
    <col min="7171" max="7171" width="11.5546875" style="1097" customWidth="1"/>
    <col min="7172" max="7173" width="0" style="1097" hidden="1" customWidth="1"/>
    <col min="7174" max="7174" width="11.33203125" style="1097" customWidth="1"/>
    <col min="7175" max="7176" width="0" style="1097" hidden="1" customWidth="1"/>
    <col min="7177" max="7177" width="11.109375" style="1097" customWidth="1"/>
    <col min="7178" max="7179" width="0" style="1097" hidden="1" customWidth="1"/>
    <col min="7180" max="7180" width="11.44140625" style="1097" customWidth="1"/>
    <col min="7181" max="7182" width="0" style="1097" hidden="1" customWidth="1"/>
    <col min="7183" max="7183" width="1.6640625" style="1097" customWidth="1"/>
    <col min="7184" max="7184" width="8" style="1097" customWidth="1"/>
    <col min="7185" max="7185" width="1.6640625" style="1097" customWidth="1"/>
    <col min="7186" max="7186" width="8.109375" style="1097" customWidth="1"/>
    <col min="7187" max="7187" width="8.44140625" style="1097" customWidth="1"/>
    <col min="7188" max="7188" width="2" style="1097" customWidth="1"/>
    <col min="7189" max="7189" width="3.6640625" style="1097" customWidth="1"/>
    <col min="7190" max="7424" width="8.88671875" style="1097"/>
    <col min="7425" max="7425" width="0.5546875" style="1097" customWidth="1"/>
    <col min="7426" max="7426" width="25.33203125" style="1097" customWidth="1"/>
    <col min="7427" max="7427" width="11.5546875" style="1097" customWidth="1"/>
    <col min="7428" max="7429" width="0" style="1097" hidden="1" customWidth="1"/>
    <col min="7430" max="7430" width="11.33203125" style="1097" customWidth="1"/>
    <col min="7431" max="7432" width="0" style="1097" hidden="1" customWidth="1"/>
    <col min="7433" max="7433" width="11.109375" style="1097" customWidth="1"/>
    <col min="7434" max="7435" width="0" style="1097" hidden="1" customWidth="1"/>
    <col min="7436" max="7436" width="11.44140625" style="1097" customWidth="1"/>
    <col min="7437" max="7438" width="0" style="1097" hidden="1" customWidth="1"/>
    <col min="7439" max="7439" width="1.6640625" style="1097" customWidth="1"/>
    <col min="7440" max="7440" width="8" style="1097" customWidth="1"/>
    <col min="7441" max="7441" width="1.6640625" style="1097" customWidth="1"/>
    <col min="7442" max="7442" width="8.109375" style="1097" customWidth="1"/>
    <col min="7443" max="7443" width="8.44140625" style="1097" customWidth="1"/>
    <col min="7444" max="7444" width="2" style="1097" customWidth="1"/>
    <col min="7445" max="7445" width="3.6640625" style="1097" customWidth="1"/>
    <col min="7446" max="7680" width="8.88671875" style="1097"/>
    <col min="7681" max="7681" width="0.5546875" style="1097" customWidth="1"/>
    <col min="7682" max="7682" width="25.33203125" style="1097" customWidth="1"/>
    <col min="7683" max="7683" width="11.5546875" style="1097" customWidth="1"/>
    <col min="7684" max="7685" width="0" style="1097" hidden="1" customWidth="1"/>
    <col min="7686" max="7686" width="11.33203125" style="1097" customWidth="1"/>
    <col min="7687" max="7688" width="0" style="1097" hidden="1" customWidth="1"/>
    <col min="7689" max="7689" width="11.109375" style="1097" customWidth="1"/>
    <col min="7690" max="7691" width="0" style="1097" hidden="1" customWidth="1"/>
    <col min="7692" max="7692" width="11.44140625" style="1097" customWidth="1"/>
    <col min="7693" max="7694" width="0" style="1097" hidden="1" customWidth="1"/>
    <col min="7695" max="7695" width="1.6640625" style="1097" customWidth="1"/>
    <col min="7696" max="7696" width="8" style="1097" customWidth="1"/>
    <col min="7697" max="7697" width="1.6640625" style="1097" customWidth="1"/>
    <col min="7698" max="7698" width="8.109375" style="1097" customWidth="1"/>
    <col min="7699" max="7699" width="8.44140625" style="1097" customWidth="1"/>
    <col min="7700" max="7700" width="2" style="1097" customWidth="1"/>
    <col min="7701" max="7701" width="3.6640625" style="1097" customWidth="1"/>
    <col min="7702" max="7936" width="8.88671875" style="1097"/>
    <col min="7937" max="7937" width="0.5546875" style="1097" customWidth="1"/>
    <col min="7938" max="7938" width="25.33203125" style="1097" customWidth="1"/>
    <col min="7939" max="7939" width="11.5546875" style="1097" customWidth="1"/>
    <col min="7940" max="7941" width="0" style="1097" hidden="1" customWidth="1"/>
    <col min="7942" max="7942" width="11.33203125" style="1097" customWidth="1"/>
    <col min="7943" max="7944" width="0" style="1097" hidden="1" customWidth="1"/>
    <col min="7945" max="7945" width="11.109375" style="1097" customWidth="1"/>
    <col min="7946" max="7947" width="0" style="1097" hidden="1" customWidth="1"/>
    <col min="7948" max="7948" width="11.44140625" style="1097" customWidth="1"/>
    <col min="7949" max="7950" width="0" style="1097" hidden="1" customWidth="1"/>
    <col min="7951" max="7951" width="1.6640625" style="1097" customWidth="1"/>
    <col min="7952" max="7952" width="8" style="1097" customWidth="1"/>
    <col min="7953" max="7953" width="1.6640625" style="1097" customWidth="1"/>
    <col min="7954" max="7954" width="8.109375" style="1097" customWidth="1"/>
    <col min="7955" max="7955" width="8.44140625" style="1097" customWidth="1"/>
    <col min="7956" max="7956" width="2" style="1097" customWidth="1"/>
    <col min="7957" max="7957" width="3.6640625" style="1097" customWidth="1"/>
    <col min="7958" max="8192" width="8.88671875" style="1097"/>
    <col min="8193" max="8193" width="0.5546875" style="1097" customWidth="1"/>
    <col min="8194" max="8194" width="25.33203125" style="1097" customWidth="1"/>
    <col min="8195" max="8195" width="11.5546875" style="1097" customWidth="1"/>
    <col min="8196" max="8197" width="0" style="1097" hidden="1" customWidth="1"/>
    <col min="8198" max="8198" width="11.33203125" style="1097" customWidth="1"/>
    <col min="8199" max="8200" width="0" style="1097" hidden="1" customWidth="1"/>
    <col min="8201" max="8201" width="11.109375" style="1097" customWidth="1"/>
    <col min="8202" max="8203" width="0" style="1097" hidden="1" customWidth="1"/>
    <col min="8204" max="8204" width="11.44140625" style="1097" customWidth="1"/>
    <col min="8205" max="8206" width="0" style="1097" hidden="1" customWidth="1"/>
    <col min="8207" max="8207" width="1.6640625" style="1097" customWidth="1"/>
    <col min="8208" max="8208" width="8" style="1097" customWidth="1"/>
    <col min="8209" max="8209" width="1.6640625" style="1097" customWidth="1"/>
    <col min="8210" max="8210" width="8.109375" style="1097" customWidth="1"/>
    <col min="8211" max="8211" width="8.44140625" style="1097" customWidth="1"/>
    <col min="8212" max="8212" width="2" style="1097" customWidth="1"/>
    <col min="8213" max="8213" width="3.6640625" style="1097" customWidth="1"/>
    <col min="8214" max="8448" width="8.88671875" style="1097"/>
    <col min="8449" max="8449" width="0.5546875" style="1097" customWidth="1"/>
    <col min="8450" max="8450" width="25.33203125" style="1097" customWidth="1"/>
    <col min="8451" max="8451" width="11.5546875" style="1097" customWidth="1"/>
    <col min="8452" max="8453" width="0" style="1097" hidden="1" customWidth="1"/>
    <col min="8454" max="8454" width="11.33203125" style="1097" customWidth="1"/>
    <col min="8455" max="8456" width="0" style="1097" hidden="1" customWidth="1"/>
    <col min="8457" max="8457" width="11.109375" style="1097" customWidth="1"/>
    <col min="8458" max="8459" width="0" style="1097" hidden="1" customWidth="1"/>
    <col min="8460" max="8460" width="11.44140625" style="1097" customWidth="1"/>
    <col min="8461" max="8462" width="0" style="1097" hidden="1" customWidth="1"/>
    <col min="8463" max="8463" width="1.6640625" style="1097" customWidth="1"/>
    <col min="8464" max="8464" width="8" style="1097" customWidth="1"/>
    <col min="8465" max="8465" width="1.6640625" style="1097" customWidth="1"/>
    <col min="8466" max="8466" width="8.109375" style="1097" customWidth="1"/>
    <col min="8467" max="8467" width="8.44140625" style="1097" customWidth="1"/>
    <col min="8468" max="8468" width="2" style="1097" customWidth="1"/>
    <col min="8469" max="8469" width="3.6640625" style="1097" customWidth="1"/>
    <col min="8470" max="8704" width="8.88671875" style="1097"/>
    <col min="8705" max="8705" width="0.5546875" style="1097" customWidth="1"/>
    <col min="8706" max="8706" width="25.33203125" style="1097" customWidth="1"/>
    <col min="8707" max="8707" width="11.5546875" style="1097" customWidth="1"/>
    <col min="8708" max="8709" width="0" style="1097" hidden="1" customWidth="1"/>
    <col min="8710" max="8710" width="11.33203125" style="1097" customWidth="1"/>
    <col min="8711" max="8712" width="0" style="1097" hidden="1" customWidth="1"/>
    <col min="8713" max="8713" width="11.109375" style="1097" customWidth="1"/>
    <col min="8714" max="8715" width="0" style="1097" hidden="1" customWidth="1"/>
    <col min="8716" max="8716" width="11.44140625" style="1097" customWidth="1"/>
    <col min="8717" max="8718" width="0" style="1097" hidden="1" customWidth="1"/>
    <col min="8719" max="8719" width="1.6640625" style="1097" customWidth="1"/>
    <col min="8720" max="8720" width="8" style="1097" customWidth="1"/>
    <col min="8721" max="8721" width="1.6640625" style="1097" customWidth="1"/>
    <col min="8722" max="8722" width="8.109375" style="1097" customWidth="1"/>
    <col min="8723" max="8723" width="8.44140625" style="1097" customWidth="1"/>
    <col min="8724" max="8724" width="2" style="1097" customWidth="1"/>
    <col min="8725" max="8725" width="3.6640625" style="1097" customWidth="1"/>
    <col min="8726" max="8960" width="8.88671875" style="1097"/>
    <col min="8961" max="8961" width="0.5546875" style="1097" customWidth="1"/>
    <col min="8962" max="8962" width="25.33203125" style="1097" customWidth="1"/>
    <col min="8963" max="8963" width="11.5546875" style="1097" customWidth="1"/>
    <col min="8964" max="8965" width="0" style="1097" hidden="1" customWidth="1"/>
    <col min="8966" max="8966" width="11.33203125" style="1097" customWidth="1"/>
    <col min="8967" max="8968" width="0" style="1097" hidden="1" customWidth="1"/>
    <col min="8969" max="8969" width="11.109375" style="1097" customWidth="1"/>
    <col min="8970" max="8971" width="0" style="1097" hidden="1" customWidth="1"/>
    <col min="8972" max="8972" width="11.44140625" style="1097" customWidth="1"/>
    <col min="8973" max="8974" width="0" style="1097" hidden="1" customWidth="1"/>
    <col min="8975" max="8975" width="1.6640625" style="1097" customWidth="1"/>
    <col min="8976" max="8976" width="8" style="1097" customWidth="1"/>
    <col min="8977" max="8977" width="1.6640625" style="1097" customWidth="1"/>
    <col min="8978" max="8978" width="8.109375" style="1097" customWidth="1"/>
    <col min="8979" max="8979" width="8.44140625" style="1097" customWidth="1"/>
    <col min="8980" max="8980" width="2" style="1097" customWidth="1"/>
    <col min="8981" max="8981" width="3.6640625" style="1097" customWidth="1"/>
    <col min="8982" max="9216" width="8.88671875" style="1097"/>
    <col min="9217" max="9217" width="0.5546875" style="1097" customWidth="1"/>
    <col min="9218" max="9218" width="25.33203125" style="1097" customWidth="1"/>
    <col min="9219" max="9219" width="11.5546875" style="1097" customWidth="1"/>
    <col min="9220" max="9221" width="0" style="1097" hidden="1" customWidth="1"/>
    <col min="9222" max="9222" width="11.33203125" style="1097" customWidth="1"/>
    <col min="9223" max="9224" width="0" style="1097" hidden="1" customWidth="1"/>
    <col min="9225" max="9225" width="11.109375" style="1097" customWidth="1"/>
    <col min="9226" max="9227" width="0" style="1097" hidden="1" customWidth="1"/>
    <col min="9228" max="9228" width="11.44140625" style="1097" customWidth="1"/>
    <col min="9229" max="9230" width="0" style="1097" hidden="1" customWidth="1"/>
    <col min="9231" max="9231" width="1.6640625" style="1097" customWidth="1"/>
    <col min="9232" max="9232" width="8" style="1097" customWidth="1"/>
    <col min="9233" max="9233" width="1.6640625" style="1097" customWidth="1"/>
    <col min="9234" max="9234" width="8.109375" style="1097" customWidth="1"/>
    <col min="9235" max="9235" width="8.44140625" style="1097" customWidth="1"/>
    <col min="9236" max="9236" width="2" style="1097" customWidth="1"/>
    <col min="9237" max="9237" width="3.6640625" style="1097" customWidth="1"/>
    <col min="9238" max="9472" width="8.88671875" style="1097"/>
    <col min="9473" max="9473" width="0.5546875" style="1097" customWidth="1"/>
    <col min="9474" max="9474" width="25.33203125" style="1097" customWidth="1"/>
    <col min="9475" max="9475" width="11.5546875" style="1097" customWidth="1"/>
    <col min="9476" max="9477" width="0" style="1097" hidden="1" customWidth="1"/>
    <col min="9478" max="9478" width="11.33203125" style="1097" customWidth="1"/>
    <col min="9479" max="9480" width="0" style="1097" hidden="1" customWidth="1"/>
    <col min="9481" max="9481" width="11.109375" style="1097" customWidth="1"/>
    <col min="9482" max="9483" width="0" style="1097" hidden="1" customWidth="1"/>
    <col min="9484" max="9484" width="11.44140625" style="1097" customWidth="1"/>
    <col min="9485" max="9486" width="0" style="1097" hidden="1" customWidth="1"/>
    <col min="9487" max="9487" width="1.6640625" style="1097" customWidth="1"/>
    <col min="9488" max="9488" width="8" style="1097" customWidth="1"/>
    <col min="9489" max="9489" width="1.6640625" style="1097" customWidth="1"/>
    <col min="9490" max="9490" width="8.109375" style="1097" customWidth="1"/>
    <col min="9491" max="9491" width="8.44140625" style="1097" customWidth="1"/>
    <col min="9492" max="9492" width="2" style="1097" customWidth="1"/>
    <col min="9493" max="9493" width="3.6640625" style="1097" customWidth="1"/>
    <col min="9494" max="9728" width="8.88671875" style="1097"/>
    <col min="9729" max="9729" width="0.5546875" style="1097" customWidth="1"/>
    <col min="9730" max="9730" width="25.33203125" style="1097" customWidth="1"/>
    <col min="9731" max="9731" width="11.5546875" style="1097" customWidth="1"/>
    <col min="9732" max="9733" width="0" style="1097" hidden="1" customWidth="1"/>
    <col min="9734" max="9734" width="11.33203125" style="1097" customWidth="1"/>
    <col min="9735" max="9736" width="0" style="1097" hidden="1" customWidth="1"/>
    <col min="9737" max="9737" width="11.109375" style="1097" customWidth="1"/>
    <col min="9738" max="9739" width="0" style="1097" hidden="1" customWidth="1"/>
    <col min="9740" max="9740" width="11.44140625" style="1097" customWidth="1"/>
    <col min="9741" max="9742" width="0" style="1097" hidden="1" customWidth="1"/>
    <col min="9743" max="9743" width="1.6640625" style="1097" customWidth="1"/>
    <col min="9744" max="9744" width="8" style="1097" customWidth="1"/>
    <col min="9745" max="9745" width="1.6640625" style="1097" customWidth="1"/>
    <col min="9746" max="9746" width="8.109375" style="1097" customWidth="1"/>
    <col min="9747" max="9747" width="8.44140625" style="1097" customWidth="1"/>
    <col min="9748" max="9748" width="2" style="1097" customWidth="1"/>
    <col min="9749" max="9749" width="3.6640625" style="1097" customWidth="1"/>
    <col min="9750" max="9984" width="8.88671875" style="1097"/>
    <col min="9985" max="9985" width="0.5546875" style="1097" customWidth="1"/>
    <col min="9986" max="9986" width="25.33203125" style="1097" customWidth="1"/>
    <col min="9987" max="9987" width="11.5546875" style="1097" customWidth="1"/>
    <col min="9988" max="9989" width="0" style="1097" hidden="1" customWidth="1"/>
    <col min="9990" max="9990" width="11.33203125" style="1097" customWidth="1"/>
    <col min="9991" max="9992" width="0" style="1097" hidden="1" customWidth="1"/>
    <col min="9993" max="9993" width="11.109375" style="1097" customWidth="1"/>
    <col min="9994" max="9995" width="0" style="1097" hidden="1" customWidth="1"/>
    <col min="9996" max="9996" width="11.44140625" style="1097" customWidth="1"/>
    <col min="9997" max="9998" width="0" style="1097" hidden="1" customWidth="1"/>
    <col min="9999" max="9999" width="1.6640625" style="1097" customWidth="1"/>
    <col min="10000" max="10000" width="8" style="1097" customWidth="1"/>
    <col min="10001" max="10001" width="1.6640625" style="1097" customWidth="1"/>
    <col min="10002" max="10002" width="8.109375" style="1097" customWidth="1"/>
    <col min="10003" max="10003" width="8.44140625" style="1097" customWidth="1"/>
    <col min="10004" max="10004" width="2" style="1097" customWidth="1"/>
    <col min="10005" max="10005" width="3.6640625" style="1097" customWidth="1"/>
    <col min="10006" max="10240" width="8.88671875" style="1097"/>
    <col min="10241" max="10241" width="0.5546875" style="1097" customWidth="1"/>
    <col min="10242" max="10242" width="25.33203125" style="1097" customWidth="1"/>
    <col min="10243" max="10243" width="11.5546875" style="1097" customWidth="1"/>
    <col min="10244" max="10245" width="0" style="1097" hidden="1" customWidth="1"/>
    <col min="10246" max="10246" width="11.33203125" style="1097" customWidth="1"/>
    <col min="10247" max="10248" width="0" style="1097" hidden="1" customWidth="1"/>
    <col min="10249" max="10249" width="11.109375" style="1097" customWidth="1"/>
    <col min="10250" max="10251" width="0" style="1097" hidden="1" customWidth="1"/>
    <col min="10252" max="10252" width="11.44140625" style="1097" customWidth="1"/>
    <col min="10253" max="10254" width="0" style="1097" hidden="1" customWidth="1"/>
    <col min="10255" max="10255" width="1.6640625" style="1097" customWidth="1"/>
    <col min="10256" max="10256" width="8" style="1097" customWidth="1"/>
    <col min="10257" max="10257" width="1.6640625" style="1097" customWidth="1"/>
    <col min="10258" max="10258" width="8.109375" style="1097" customWidth="1"/>
    <col min="10259" max="10259" width="8.44140625" style="1097" customWidth="1"/>
    <col min="10260" max="10260" width="2" style="1097" customWidth="1"/>
    <col min="10261" max="10261" width="3.6640625" style="1097" customWidth="1"/>
    <col min="10262" max="10496" width="8.88671875" style="1097"/>
    <col min="10497" max="10497" width="0.5546875" style="1097" customWidth="1"/>
    <col min="10498" max="10498" width="25.33203125" style="1097" customWidth="1"/>
    <col min="10499" max="10499" width="11.5546875" style="1097" customWidth="1"/>
    <col min="10500" max="10501" width="0" style="1097" hidden="1" customWidth="1"/>
    <col min="10502" max="10502" width="11.33203125" style="1097" customWidth="1"/>
    <col min="10503" max="10504" width="0" style="1097" hidden="1" customWidth="1"/>
    <col min="10505" max="10505" width="11.109375" style="1097" customWidth="1"/>
    <col min="10506" max="10507" width="0" style="1097" hidden="1" customWidth="1"/>
    <col min="10508" max="10508" width="11.44140625" style="1097" customWidth="1"/>
    <col min="10509" max="10510" width="0" style="1097" hidden="1" customWidth="1"/>
    <col min="10511" max="10511" width="1.6640625" style="1097" customWidth="1"/>
    <col min="10512" max="10512" width="8" style="1097" customWidth="1"/>
    <col min="10513" max="10513" width="1.6640625" style="1097" customWidth="1"/>
    <col min="10514" max="10514" width="8.109375" style="1097" customWidth="1"/>
    <col min="10515" max="10515" width="8.44140625" style="1097" customWidth="1"/>
    <col min="10516" max="10516" width="2" style="1097" customWidth="1"/>
    <col min="10517" max="10517" width="3.6640625" style="1097" customWidth="1"/>
    <col min="10518" max="10752" width="8.88671875" style="1097"/>
    <col min="10753" max="10753" width="0.5546875" style="1097" customWidth="1"/>
    <col min="10754" max="10754" width="25.33203125" style="1097" customWidth="1"/>
    <col min="10755" max="10755" width="11.5546875" style="1097" customWidth="1"/>
    <col min="10756" max="10757" width="0" style="1097" hidden="1" customWidth="1"/>
    <col min="10758" max="10758" width="11.33203125" style="1097" customWidth="1"/>
    <col min="10759" max="10760" width="0" style="1097" hidden="1" customWidth="1"/>
    <col min="10761" max="10761" width="11.109375" style="1097" customWidth="1"/>
    <col min="10762" max="10763" width="0" style="1097" hidden="1" customWidth="1"/>
    <col min="10764" max="10764" width="11.44140625" style="1097" customWidth="1"/>
    <col min="10765" max="10766" width="0" style="1097" hidden="1" customWidth="1"/>
    <col min="10767" max="10767" width="1.6640625" style="1097" customWidth="1"/>
    <col min="10768" max="10768" width="8" style="1097" customWidth="1"/>
    <col min="10769" max="10769" width="1.6640625" style="1097" customWidth="1"/>
    <col min="10770" max="10770" width="8.109375" style="1097" customWidth="1"/>
    <col min="10771" max="10771" width="8.44140625" style="1097" customWidth="1"/>
    <col min="10772" max="10772" width="2" style="1097" customWidth="1"/>
    <col min="10773" max="10773" width="3.6640625" style="1097" customWidth="1"/>
    <col min="10774" max="11008" width="8.88671875" style="1097"/>
    <col min="11009" max="11009" width="0.5546875" style="1097" customWidth="1"/>
    <col min="11010" max="11010" width="25.33203125" style="1097" customWidth="1"/>
    <col min="11011" max="11011" width="11.5546875" style="1097" customWidth="1"/>
    <col min="11012" max="11013" width="0" style="1097" hidden="1" customWidth="1"/>
    <col min="11014" max="11014" width="11.33203125" style="1097" customWidth="1"/>
    <col min="11015" max="11016" width="0" style="1097" hidden="1" customWidth="1"/>
    <col min="11017" max="11017" width="11.109375" style="1097" customWidth="1"/>
    <col min="11018" max="11019" width="0" style="1097" hidden="1" customWidth="1"/>
    <col min="11020" max="11020" width="11.44140625" style="1097" customWidth="1"/>
    <col min="11021" max="11022" width="0" style="1097" hidden="1" customWidth="1"/>
    <col min="11023" max="11023" width="1.6640625" style="1097" customWidth="1"/>
    <col min="11024" max="11024" width="8" style="1097" customWidth="1"/>
    <col min="11025" max="11025" width="1.6640625" style="1097" customWidth="1"/>
    <col min="11026" max="11026" width="8.109375" style="1097" customWidth="1"/>
    <col min="11027" max="11027" width="8.44140625" style="1097" customWidth="1"/>
    <col min="11028" max="11028" width="2" style="1097" customWidth="1"/>
    <col min="11029" max="11029" width="3.6640625" style="1097" customWidth="1"/>
    <col min="11030" max="11264" width="8.88671875" style="1097"/>
    <col min="11265" max="11265" width="0.5546875" style="1097" customWidth="1"/>
    <col min="11266" max="11266" width="25.33203125" style="1097" customWidth="1"/>
    <col min="11267" max="11267" width="11.5546875" style="1097" customWidth="1"/>
    <col min="11268" max="11269" width="0" style="1097" hidden="1" customWidth="1"/>
    <col min="11270" max="11270" width="11.33203125" style="1097" customWidth="1"/>
    <col min="11271" max="11272" width="0" style="1097" hidden="1" customWidth="1"/>
    <col min="11273" max="11273" width="11.109375" style="1097" customWidth="1"/>
    <col min="11274" max="11275" width="0" style="1097" hidden="1" customWidth="1"/>
    <col min="11276" max="11276" width="11.44140625" style="1097" customWidth="1"/>
    <col min="11277" max="11278" width="0" style="1097" hidden="1" customWidth="1"/>
    <col min="11279" max="11279" width="1.6640625" style="1097" customWidth="1"/>
    <col min="11280" max="11280" width="8" style="1097" customWidth="1"/>
    <col min="11281" max="11281" width="1.6640625" style="1097" customWidth="1"/>
    <col min="11282" max="11282" width="8.109375" style="1097" customWidth="1"/>
    <col min="11283" max="11283" width="8.44140625" style="1097" customWidth="1"/>
    <col min="11284" max="11284" width="2" style="1097" customWidth="1"/>
    <col min="11285" max="11285" width="3.6640625" style="1097" customWidth="1"/>
    <col min="11286" max="11520" width="8.88671875" style="1097"/>
    <col min="11521" max="11521" width="0.5546875" style="1097" customWidth="1"/>
    <col min="11522" max="11522" width="25.33203125" style="1097" customWidth="1"/>
    <col min="11523" max="11523" width="11.5546875" style="1097" customWidth="1"/>
    <col min="11524" max="11525" width="0" style="1097" hidden="1" customWidth="1"/>
    <col min="11526" max="11526" width="11.33203125" style="1097" customWidth="1"/>
    <col min="11527" max="11528" width="0" style="1097" hidden="1" customWidth="1"/>
    <col min="11529" max="11529" width="11.109375" style="1097" customWidth="1"/>
    <col min="11530" max="11531" width="0" style="1097" hidden="1" customWidth="1"/>
    <col min="11532" max="11532" width="11.44140625" style="1097" customWidth="1"/>
    <col min="11533" max="11534" width="0" style="1097" hidden="1" customWidth="1"/>
    <col min="11535" max="11535" width="1.6640625" style="1097" customWidth="1"/>
    <col min="11536" max="11536" width="8" style="1097" customWidth="1"/>
    <col min="11537" max="11537" width="1.6640625" style="1097" customWidth="1"/>
    <col min="11538" max="11538" width="8.109375" style="1097" customWidth="1"/>
    <col min="11539" max="11539" width="8.44140625" style="1097" customWidth="1"/>
    <col min="11540" max="11540" width="2" style="1097" customWidth="1"/>
    <col min="11541" max="11541" width="3.6640625" style="1097" customWidth="1"/>
    <col min="11542" max="11776" width="8.88671875" style="1097"/>
    <col min="11777" max="11777" width="0.5546875" style="1097" customWidth="1"/>
    <col min="11778" max="11778" width="25.33203125" style="1097" customWidth="1"/>
    <col min="11779" max="11779" width="11.5546875" style="1097" customWidth="1"/>
    <col min="11780" max="11781" width="0" style="1097" hidden="1" customWidth="1"/>
    <col min="11782" max="11782" width="11.33203125" style="1097" customWidth="1"/>
    <col min="11783" max="11784" width="0" style="1097" hidden="1" customWidth="1"/>
    <col min="11785" max="11785" width="11.109375" style="1097" customWidth="1"/>
    <col min="11786" max="11787" width="0" style="1097" hidden="1" customWidth="1"/>
    <col min="11788" max="11788" width="11.44140625" style="1097" customWidth="1"/>
    <col min="11789" max="11790" width="0" style="1097" hidden="1" customWidth="1"/>
    <col min="11791" max="11791" width="1.6640625" style="1097" customWidth="1"/>
    <col min="11792" max="11792" width="8" style="1097" customWidth="1"/>
    <col min="11793" max="11793" width="1.6640625" style="1097" customWidth="1"/>
    <col min="11794" max="11794" width="8.109375" style="1097" customWidth="1"/>
    <col min="11795" max="11795" width="8.44140625" style="1097" customWidth="1"/>
    <col min="11796" max="11796" width="2" style="1097" customWidth="1"/>
    <col min="11797" max="11797" width="3.6640625" style="1097" customWidth="1"/>
    <col min="11798" max="12032" width="8.88671875" style="1097"/>
    <col min="12033" max="12033" width="0.5546875" style="1097" customWidth="1"/>
    <col min="12034" max="12034" width="25.33203125" style="1097" customWidth="1"/>
    <col min="12035" max="12035" width="11.5546875" style="1097" customWidth="1"/>
    <col min="12036" max="12037" width="0" style="1097" hidden="1" customWidth="1"/>
    <col min="12038" max="12038" width="11.33203125" style="1097" customWidth="1"/>
    <col min="12039" max="12040" width="0" style="1097" hidden="1" customWidth="1"/>
    <col min="12041" max="12041" width="11.109375" style="1097" customWidth="1"/>
    <col min="12042" max="12043" width="0" style="1097" hidden="1" customWidth="1"/>
    <col min="12044" max="12044" width="11.44140625" style="1097" customWidth="1"/>
    <col min="12045" max="12046" width="0" style="1097" hidden="1" customWidth="1"/>
    <col min="12047" max="12047" width="1.6640625" style="1097" customWidth="1"/>
    <col min="12048" max="12048" width="8" style="1097" customWidth="1"/>
    <col min="12049" max="12049" width="1.6640625" style="1097" customWidth="1"/>
    <col min="12050" max="12050" width="8.109375" style="1097" customWidth="1"/>
    <col min="12051" max="12051" width="8.44140625" style="1097" customWidth="1"/>
    <col min="12052" max="12052" width="2" style="1097" customWidth="1"/>
    <col min="12053" max="12053" width="3.6640625" style="1097" customWidth="1"/>
    <col min="12054" max="12288" width="8.88671875" style="1097"/>
    <col min="12289" max="12289" width="0.5546875" style="1097" customWidth="1"/>
    <col min="12290" max="12290" width="25.33203125" style="1097" customWidth="1"/>
    <col min="12291" max="12291" width="11.5546875" style="1097" customWidth="1"/>
    <col min="12292" max="12293" width="0" style="1097" hidden="1" customWidth="1"/>
    <col min="12294" max="12294" width="11.33203125" style="1097" customWidth="1"/>
    <col min="12295" max="12296" width="0" style="1097" hidden="1" customWidth="1"/>
    <col min="12297" max="12297" width="11.109375" style="1097" customWidth="1"/>
    <col min="12298" max="12299" width="0" style="1097" hidden="1" customWidth="1"/>
    <col min="12300" max="12300" width="11.44140625" style="1097" customWidth="1"/>
    <col min="12301" max="12302" width="0" style="1097" hidden="1" customWidth="1"/>
    <col min="12303" max="12303" width="1.6640625" style="1097" customWidth="1"/>
    <col min="12304" max="12304" width="8" style="1097" customWidth="1"/>
    <col min="12305" max="12305" width="1.6640625" style="1097" customWidth="1"/>
    <col min="12306" max="12306" width="8.109375" style="1097" customWidth="1"/>
    <col min="12307" max="12307" width="8.44140625" style="1097" customWidth="1"/>
    <col min="12308" max="12308" width="2" style="1097" customWidth="1"/>
    <col min="12309" max="12309" width="3.6640625" style="1097" customWidth="1"/>
    <col min="12310" max="12544" width="8.88671875" style="1097"/>
    <col min="12545" max="12545" width="0.5546875" style="1097" customWidth="1"/>
    <col min="12546" max="12546" width="25.33203125" style="1097" customWidth="1"/>
    <col min="12547" max="12547" width="11.5546875" style="1097" customWidth="1"/>
    <col min="12548" max="12549" width="0" style="1097" hidden="1" customWidth="1"/>
    <col min="12550" max="12550" width="11.33203125" style="1097" customWidth="1"/>
    <col min="12551" max="12552" width="0" style="1097" hidden="1" customWidth="1"/>
    <col min="12553" max="12553" width="11.109375" style="1097" customWidth="1"/>
    <col min="12554" max="12555" width="0" style="1097" hidden="1" customWidth="1"/>
    <col min="12556" max="12556" width="11.44140625" style="1097" customWidth="1"/>
    <col min="12557" max="12558" width="0" style="1097" hidden="1" customWidth="1"/>
    <col min="12559" max="12559" width="1.6640625" style="1097" customWidth="1"/>
    <col min="12560" max="12560" width="8" style="1097" customWidth="1"/>
    <col min="12561" max="12561" width="1.6640625" style="1097" customWidth="1"/>
    <col min="12562" max="12562" width="8.109375" style="1097" customWidth="1"/>
    <col min="12563" max="12563" width="8.44140625" style="1097" customWidth="1"/>
    <col min="12564" max="12564" width="2" style="1097" customWidth="1"/>
    <col min="12565" max="12565" width="3.6640625" style="1097" customWidth="1"/>
    <col min="12566" max="12800" width="8.88671875" style="1097"/>
    <col min="12801" max="12801" width="0.5546875" style="1097" customWidth="1"/>
    <col min="12802" max="12802" width="25.33203125" style="1097" customWidth="1"/>
    <col min="12803" max="12803" width="11.5546875" style="1097" customWidth="1"/>
    <col min="12804" max="12805" width="0" style="1097" hidden="1" customWidth="1"/>
    <col min="12806" max="12806" width="11.33203125" style="1097" customWidth="1"/>
    <col min="12807" max="12808" width="0" style="1097" hidden="1" customWidth="1"/>
    <col min="12809" max="12809" width="11.109375" style="1097" customWidth="1"/>
    <col min="12810" max="12811" width="0" style="1097" hidden="1" customWidth="1"/>
    <col min="12812" max="12812" width="11.44140625" style="1097" customWidth="1"/>
    <col min="12813" max="12814" width="0" style="1097" hidden="1" customWidth="1"/>
    <col min="12815" max="12815" width="1.6640625" style="1097" customWidth="1"/>
    <col min="12816" max="12816" width="8" style="1097" customWidth="1"/>
    <col min="12817" max="12817" width="1.6640625" style="1097" customWidth="1"/>
    <col min="12818" max="12818" width="8.109375" style="1097" customWidth="1"/>
    <col min="12819" max="12819" width="8.44140625" style="1097" customWidth="1"/>
    <col min="12820" max="12820" width="2" style="1097" customWidth="1"/>
    <col min="12821" max="12821" width="3.6640625" style="1097" customWidth="1"/>
    <col min="12822" max="13056" width="8.88671875" style="1097"/>
    <col min="13057" max="13057" width="0.5546875" style="1097" customWidth="1"/>
    <col min="13058" max="13058" width="25.33203125" style="1097" customWidth="1"/>
    <col min="13059" max="13059" width="11.5546875" style="1097" customWidth="1"/>
    <col min="13060" max="13061" width="0" style="1097" hidden="1" customWidth="1"/>
    <col min="13062" max="13062" width="11.33203125" style="1097" customWidth="1"/>
    <col min="13063" max="13064" width="0" style="1097" hidden="1" customWidth="1"/>
    <col min="13065" max="13065" width="11.109375" style="1097" customWidth="1"/>
    <col min="13066" max="13067" width="0" style="1097" hidden="1" customWidth="1"/>
    <col min="13068" max="13068" width="11.44140625" style="1097" customWidth="1"/>
    <col min="13069" max="13070" width="0" style="1097" hidden="1" customWidth="1"/>
    <col min="13071" max="13071" width="1.6640625" style="1097" customWidth="1"/>
    <col min="13072" max="13072" width="8" style="1097" customWidth="1"/>
    <col min="13073" max="13073" width="1.6640625" style="1097" customWidth="1"/>
    <col min="13074" max="13074" width="8.109375" style="1097" customWidth="1"/>
    <col min="13075" max="13075" width="8.44140625" style="1097" customWidth="1"/>
    <col min="13076" max="13076" width="2" style="1097" customWidth="1"/>
    <col min="13077" max="13077" width="3.6640625" style="1097" customWidth="1"/>
    <col min="13078" max="13312" width="8.88671875" style="1097"/>
    <col min="13313" max="13313" width="0.5546875" style="1097" customWidth="1"/>
    <col min="13314" max="13314" width="25.33203125" style="1097" customWidth="1"/>
    <col min="13315" max="13315" width="11.5546875" style="1097" customWidth="1"/>
    <col min="13316" max="13317" width="0" style="1097" hidden="1" customWidth="1"/>
    <col min="13318" max="13318" width="11.33203125" style="1097" customWidth="1"/>
    <col min="13319" max="13320" width="0" style="1097" hidden="1" customWidth="1"/>
    <col min="13321" max="13321" width="11.109375" style="1097" customWidth="1"/>
    <col min="13322" max="13323" width="0" style="1097" hidden="1" customWidth="1"/>
    <col min="13324" max="13324" width="11.44140625" style="1097" customWidth="1"/>
    <col min="13325" max="13326" width="0" style="1097" hidden="1" customWidth="1"/>
    <col min="13327" max="13327" width="1.6640625" style="1097" customWidth="1"/>
    <col min="13328" max="13328" width="8" style="1097" customWidth="1"/>
    <col min="13329" max="13329" width="1.6640625" style="1097" customWidth="1"/>
    <col min="13330" max="13330" width="8.109375" style="1097" customWidth="1"/>
    <col min="13331" max="13331" width="8.44140625" style="1097" customWidth="1"/>
    <col min="13332" max="13332" width="2" style="1097" customWidth="1"/>
    <col min="13333" max="13333" width="3.6640625" style="1097" customWidth="1"/>
    <col min="13334" max="13568" width="8.88671875" style="1097"/>
    <col min="13569" max="13569" width="0.5546875" style="1097" customWidth="1"/>
    <col min="13570" max="13570" width="25.33203125" style="1097" customWidth="1"/>
    <col min="13571" max="13571" width="11.5546875" style="1097" customWidth="1"/>
    <col min="13572" max="13573" width="0" style="1097" hidden="1" customWidth="1"/>
    <col min="13574" max="13574" width="11.33203125" style="1097" customWidth="1"/>
    <col min="13575" max="13576" width="0" style="1097" hidden="1" customWidth="1"/>
    <col min="13577" max="13577" width="11.109375" style="1097" customWidth="1"/>
    <col min="13578" max="13579" width="0" style="1097" hidden="1" customWidth="1"/>
    <col min="13580" max="13580" width="11.44140625" style="1097" customWidth="1"/>
    <col min="13581" max="13582" width="0" style="1097" hidden="1" customWidth="1"/>
    <col min="13583" max="13583" width="1.6640625" style="1097" customWidth="1"/>
    <col min="13584" max="13584" width="8" style="1097" customWidth="1"/>
    <col min="13585" max="13585" width="1.6640625" style="1097" customWidth="1"/>
    <col min="13586" max="13586" width="8.109375" style="1097" customWidth="1"/>
    <col min="13587" max="13587" width="8.44140625" style="1097" customWidth="1"/>
    <col min="13588" max="13588" width="2" style="1097" customWidth="1"/>
    <col min="13589" max="13589" width="3.6640625" style="1097" customWidth="1"/>
    <col min="13590" max="13824" width="8.88671875" style="1097"/>
    <col min="13825" max="13825" width="0.5546875" style="1097" customWidth="1"/>
    <col min="13826" max="13826" width="25.33203125" style="1097" customWidth="1"/>
    <col min="13827" max="13827" width="11.5546875" style="1097" customWidth="1"/>
    <col min="13828" max="13829" width="0" style="1097" hidden="1" customWidth="1"/>
    <col min="13830" max="13830" width="11.33203125" style="1097" customWidth="1"/>
    <col min="13831" max="13832" width="0" style="1097" hidden="1" customWidth="1"/>
    <col min="13833" max="13833" width="11.109375" style="1097" customWidth="1"/>
    <col min="13834" max="13835" width="0" style="1097" hidden="1" customWidth="1"/>
    <col min="13836" max="13836" width="11.44140625" style="1097" customWidth="1"/>
    <col min="13837" max="13838" width="0" style="1097" hidden="1" customWidth="1"/>
    <col min="13839" max="13839" width="1.6640625" style="1097" customWidth="1"/>
    <col min="13840" max="13840" width="8" style="1097" customWidth="1"/>
    <col min="13841" max="13841" width="1.6640625" style="1097" customWidth="1"/>
    <col min="13842" max="13842" width="8.109375" style="1097" customWidth="1"/>
    <col min="13843" max="13843" width="8.44140625" style="1097" customWidth="1"/>
    <col min="13844" max="13844" width="2" style="1097" customWidth="1"/>
    <col min="13845" max="13845" width="3.6640625" style="1097" customWidth="1"/>
    <col min="13846" max="14080" width="8.88671875" style="1097"/>
    <col min="14081" max="14081" width="0.5546875" style="1097" customWidth="1"/>
    <col min="14082" max="14082" width="25.33203125" style="1097" customWidth="1"/>
    <col min="14083" max="14083" width="11.5546875" style="1097" customWidth="1"/>
    <col min="14084" max="14085" width="0" style="1097" hidden="1" customWidth="1"/>
    <col min="14086" max="14086" width="11.33203125" style="1097" customWidth="1"/>
    <col min="14087" max="14088" width="0" style="1097" hidden="1" customWidth="1"/>
    <col min="14089" max="14089" width="11.109375" style="1097" customWidth="1"/>
    <col min="14090" max="14091" width="0" style="1097" hidden="1" customWidth="1"/>
    <col min="14092" max="14092" width="11.44140625" style="1097" customWidth="1"/>
    <col min="14093" max="14094" width="0" style="1097" hidden="1" customWidth="1"/>
    <col min="14095" max="14095" width="1.6640625" style="1097" customWidth="1"/>
    <col min="14096" max="14096" width="8" style="1097" customWidth="1"/>
    <col min="14097" max="14097" width="1.6640625" style="1097" customWidth="1"/>
    <col min="14098" max="14098" width="8.109375" style="1097" customWidth="1"/>
    <col min="14099" max="14099" width="8.44140625" style="1097" customWidth="1"/>
    <col min="14100" max="14100" width="2" style="1097" customWidth="1"/>
    <col min="14101" max="14101" width="3.6640625" style="1097" customWidth="1"/>
    <col min="14102" max="14336" width="8.88671875" style="1097"/>
    <col min="14337" max="14337" width="0.5546875" style="1097" customWidth="1"/>
    <col min="14338" max="14338" width="25.33203125" style="1097" customWidth="1"/>
    <col min="14339" max="14339" width="11.5546875" style="1097" customWidth="1"/>
    <col min="14340" max="14341" width="0" style="1097" hidden="1" customWidth="1"/>
    <col min="14342" max="14342" width="11.33203125" style="1097" customWidth="1"/>
    <col min="14343" max="14344" width="0" style="1097" hidden="1" customWidth="1"/>
    <col min="14345" max="14345" width="11.109375" style="1097" customWidth="1"/>
    <col min="14346" max="14347" width="0" style="1097" hidden="1" customWidth="1"/>
    <col min="14348" max="14348" width="11.44140625" style="1097" customWidth="1"/>
    <col min="14349" max="14350" width="0" style="1097" hidden="1" customWidth="1"/>
    <col min="14351" max="14351" width="1.6640625" style="1097" customWidth="1"/>
    <col min="14352" max="14352" width="8" style="1097" customWidth="1"/>
    <col min="14353" max="14353" width="1.6640625" style="1097" customWidth="1"/>
    <col min="14354" max="14354" width="8.109375" style="1097" customWidth="1"/>
    <col min="14355" max="14355" width="8.44140625" style="1097" customWidth="1"/>
    <col min="14356" max="14356" width="2" style="1097" customWidth="1"/>
    <col min="14357" max="14357" width="3.6640625" style="1097" customWidth="1"/>
    <col min="14358" max="14592" width="8.88671875" style="1097"/>
    <col min="14593" max="14593" width="0.5546875" style="1097" customWidth="1"/>
    <col min="14594" max="14594" width="25.33203125" style="1097" customWidth="1"/>
    <col min="14595" max="14595" width="11.5546875" style="1097" customWidth="1"/>
    <col min="14596" max="14597" width="0" style="1097" hidden="1" customWidth="1"/>
    <col min="14598" max="14598" width="11.33203125" style="1097" customWidth="1"/>
    <col min="14599" max="14600" width="0" style="1097" hidden="1" customWidth="1"/>
    <col min="14601" max="14601" width="11.109375" style="1097" customWidth="1"/>
    <col min="14602" max="14603" width="0" style="1097" hidden="1" customWidth="1"/>
    <col min="14604" max="14604" width="11.44140625" style="1097" customWidth="1"/>
    <col min="14605" max="14606" width="0" style="1097" hidden="1" customWidth="1"/>
    <col min="14607" max="14607" width="1.6640625" style="1097" customWidth="1"/>
    <col min="14608" max="14608" width="8" style="1097" customWidth="1"/>
    <col min="14609" max="14609" width="1.6640625" style="1097" customWidth="1"/>
    <col min="14610" max="14610" width="8.109375" style="1097" customWidth="1"/>
    <col min="14611" max="14611" width="8.44140625" style="1097" customWidth="1"/>
    <col min="14612" max="14612" width="2" style="1097" customWidth="1"/>
    <col min="14613" max="14613" width="3.6640625" style="1097" customWidth="1"/>
    <col min="14614" max="14848" width="8.88671875" style="1097"/>
    <col min="14849" max="14849" width="0.5546875" style="1097" customWidth="1"/>
    <col min="14850" max="14850" width="25.33203125" style="1097" customWidth="1"/>
    <col min="14851" max="14851" width="11.5546875" style="1097" customWidth="1"/>
    <col min="14852" max="14853" width="0" style="1097" hidden="1" customWidth="1"/>
    <col min="14854" max="14854" width="11.33203125" style="1097" customWidth="1"/>
    <col min="14855" max="14856" width="0" style="1097" hidden="1" customWidth="1"/>
    <col min="14857" max="14857" width="11.109375" style="1097" customWidth="1"/>
    <col min="14858" max="14859" width="0" style="1097" hidden="1" customWidth="1"/>
    <col min="14860" max="14860" width="11.44140625" style="1097" customWidth="1"/>
    <col min="14861" max="14862" width="0" style="1097" hidden="1" customWidth="1"/>
    <col min="14863" max="14863" width="1.6640625" style="1097" customWidth="1"/>
    <col min="14864" max="14864" width="8" style="1097" customWidth="1"/>
    <col min="14865" max="14865" width="1.6640625" style="1097" customWidth="1"/>
    <col min="14866" max="14866" width="8.109375" style="1097" customWidth="1"/>
    <col min="14867" max="14867" width="8.44140625" style="1097" customWidth="1"/>
    <col min="14868" max="14868" width="2" style="1097" customWidth="1"/>
    <col min="14869" max="14869" width="3.6640625" style="1097" customWidth="1"/>
    <col min="14870" max="15104" width="8.88671875" style="1097"/>
    <col min="15105" max="15105" width="0.5546875" style="1097" customWidth="1"/>
    <col min="15106" max="15106" width="25.33203125" style="1097" customWidth="1"/>
    <col min="15107" max="15107" width="11.5546875" style="1097" customWidth="1"/>
    <col min="15108" max="15109" width="0" style="1097" hidden="1" customWidth="1"/>
    <col min="15110" max="15110" width="11.33203125" style="1097" customWidth="1"/>
    <col min="15111" max="15112" width="0" style="1097" hidden="1" customWidth="1"/>
    <col min="15113" max="15113" width="11.109375" style="1097" customWidth="1"/>
    <col min="15114" max="15115" width="0" style="1097" hidden="1" customWidth="1"/>
    <col min="15116" max="15116" width="11.44140625" style="1097" customWidth="1"/>
    <col min="15117" max="15118" width="0" style="1097" hidden="1" customWidth="1"/>
    <col min="15119" max="15119" width="1.6640625" style="1097" customWidth="1"/>
    <col min="15120" max="15120" width="8" style="1097" customWidth="1"/>
    <col min="15121" max="15121" width="1.6640625" style="1097" customWidth="1"/>
    <col min="15122" max="15122" width="8.109375" style="1097" customWidth="1"/>
    <col min="15123" max="15123" width="8.44140625" style="1097" customWidth="1"/>
    <col min="15124" max="15124" width="2" style="1097" customWidth="1"/>
    <col min="15125" max="15125" width="3.6640625" style="1097" customWidth="1"/>
    <col min="15126" max="15360" width="8.88671875" style="1097"/>
    <col min="15361" max="15361" width="0.5546875" style="1097" customWidth="1"/>
    <col min="15362" max="15362" width="25.33203125" style="1097" customWidth="1"/>
    <col min="15363" max="15363" width="11.5546875" style="1097" customWidth="1"/>
    <col min="15364" max="15365" width="0" style="1097" hidden="1" customWidth="1"/>
    <col min="15366" max="15366" width="11.33203125" style="1097" customWidth="1"/>
    <col min="15367" max="15368" width="0" style="1097" hidden="1" customWidth="1"/>
    <col min="15369" max="15369" width="11.109375" style="1097" customWidth="1"/>
    <col min="15370" max="15371" width="0" style="1097" hidden="1" customWidth="1"/>
    <col min="15372" max="15372" width="11.44140625" style="1097" customWidth="1"/>
    <col min="15373" max="15374" width="0" style="1097" hidden="1" customWidth="1"/>
    <col min="15375" max="15375" width="1.6640625" style="1097" customWidth="1"/>
    <col min="15376" max="15376" width="8" style="1097" customWidth="1"/>
    <col min="15377" max="15377" width="1.6640625" style="1097" customWidth="1"/>
    <col min="15378" max="15378" width="8.109375" style="1097" customWidth="1"/>
    <col min="15379" max="15379" width="8.44140625" style="1097" customWidth="1"/>
    <col min="15380" max="15380" width="2" style="1097" customWidth="1"/>
    <col min="15381" max="15381" width="3.6640625" style="1097" customWidth="1"/>
    <col min="15382" max="15616" width="8.88671875" style="1097"/>
    <col min="15617" max="15617" width="0.5546875" style="1097" customWidth="1"/>
    <col min="15618" max="15618" width="25.33203125" style="1097" customWidth="1"/>
    <col min="15619" max="15619" width="11.5546875" style="1097" customWidth="1"/>
    <col min="15620" max="15621" width="0" style="1097" hidden="1" customWidth="1"/>
    <col min="15622" max="15622" width="11.33203125" style="1097" customWidth="1"/>
    <col min="15623" max="15624" width="0" style="1097" hidden="1" customWidth="1"/>
    <col min="15625" max="15625" width="11.109375" style="1097" customWidth="1"/>
    <col min="15626" max="15627" width="0" style="1097" hidden="1" customWidth="1"/>
    <col min="15628" max="15628" width="11.44140625" style="1097" customWidth="1"/>
    <col min="15629" max="15630" width="0" style="1097" hidden="1" customWidth="1"/>
    <col min="15631" max="15631" width="1.6640625" style="1097" customWidth="1"/>
    <col min="15632" max="15632" width="8" style="1097" customWidth="1"/>
    <col min="15633" max="15633" width="1.6640625" style="1097" customWidth="1"/>
    <col min="15634" max="15634" width="8.109375" style="1097" customWidth="1"/>
    <col min="15635" max="15635" width="8.44140625" style="1097" customWidth="1"/>
    <col min="15636" max="15636" width="2" style="1097" customWidth="1"/>
    <col min="15637" max="15637" width="3.6640625" style="1097" customWidth="1"/>
    <col min="15638" max="15872" width="8.88671875" style="1097"/>
    <col min="15873" max="15873" width="0.5546875" style="1097" customWidth="1"/>
    <col min="15874" max="15874" width="25.33203125" style="1097" customWidth="1"/>
    <col min="15875" max="15875" width="11.5546875" style="1097" customWidth="1"/>
    <col min="15876" max="15877" width="0" style="1097" hidden="1" customWidth="1"/>
    <col min="15878" max="15878" width="11.33203125" style="1097" customWidth="1"/>
    <col min="15879" max="15880" width="0" style="1097" hidden="1" customWidth="1"/>
    <col min="15881" max="15881" width="11.109375" style="1097" customWidth="1"/>
    <col min="15882" max="15883" width="0" style="1097" hidden="1" customWidth="1"/>
    <col min="15884" max="15884" width="11.44140625" style="1097" customWidth="1"/>
    <col min="15885" max="15886" width="0" style="1097" hidden="1" customWidth="1"/>
    <col min="15887" max="15887" width="1.6640625" style="1097" customWidth="1"/>
    <col min="15888" max="15888" width="8" style="1097" customWidth="1"/>
    <col min="15889" max="15889" width="1.6640625" style="1097" customWidth="1"/>
    <col min="15890" max="15890" width="8.109375" style="1097" customWidth="1"/>
    <col min="15891" max="15891" width="8.44140625" style="1097" customWidth="1"/>
    <col min="15892" max="15892" width="2" style="1097" customWidth="1"/>
    <col min="15893" max="15893" width="3.6640625" style="1097" customWidth="1"/>
    <col min="15894" max="16128" width="8.88671875" style="1097"/>
    <col min="16129" max="16129" width="0.5546875" style="1097" customWidth="1"/>
    <col min="16130" max="16130" width="25.33203125" style="1097" customWidth="1"/>
    <col min="16131" max="16131" width="11.5546875" style="1097" customWidth="1"/>
    <col min="16132" max="16133" width="0" style="1097" hidden="1" customWidth="1"/>
    <col min="16134" max="16134" width="11.33203125" style="1097" customWidth="1"/>
    <col min="16135" max="16136" width="0" style="1097" hidden="1" customWidth="1"/>
    <col min="16137" max="16137" width="11.109375" style="1097" customWidth="1"/>
    <col min="16138" max="16139" width="0" style="1097" hidden="1" customWidth="1"/>
    <col min="16140" max="16140" width="11.44140625" style="1097" customWidth="1"/>
    <col min="16141" max="16142" width="0" style="1097" hidden="1" customWidth="1"/>
    <col min="16143" max="16143" width="1.6640625" style="1097" customWidth="1"/>
    <col min="16144" max="16144" width="8" style="1097" customWidth="1"/>
    <col min="16145" max="16145" width="1.6640625" style="1097" customWidth="1"/>
    <col min="16146" max="16146" width="8.109375" style="1097" customWidth="1"/>
    <col min="16147" max="16147" width="8.44140625" style="1097" customWidth="1"/>
    <col min="16148" max="16148" width="2" style="1097" customWidth="1"/>
    <col min="16149" max="16149" width="3.6640625" style="1097" customWidth="1"/>
    <col min="16150" max="16384" width="8.88671875" style="1097"/>
  </cols>
  <sheetData>
    <row r="1" spans="1:20" ht="16.2" thickBot="1">
      <c r="A1" s="1383" t="s">
        <v>1077</v>
      </c>
      <c r="B1" s="1384"/>
      <c r="C1" s="1384"/>
      <c r="D1" s="1384"/>
      <c r="E1" s="1384"/>
      <c r="F1" s="1384"/>
      <c r="G1" s="1384"/>
      <c r="H1" s="1384"/>
      <c r="I1" s="1384"/>
      <c r="J1" s="1384"/>
      <c r="K1" s="1384"/>
      <c r="L1" s="1384"/>
      <c r="M1" s="1384"/>
      <c r="N1" s="1384"/>
      <c r="O1" s="1384"/>
      <c r="P1" s="1384"/>
      <c r="Q1" s="1384"/>
      <c r="R1" s="1384"/>
      <c r="S1" s="1384"/>
      <c r="T1" s="1096"/>
    </row>
    <row r="2" spans="1:20" ht="9" customHeight="1" thickTop="1" thickBot="1"/>
    <row r="3" spans="1:20" ht="9.75" customHeight="1">
      <c r="A3" s="1098"/>
      <c r="B3" s="1099"/>
      <c r="C3" s="1099"/>
      <c r="D3" s="1099"/>
      <c r="E3" s="1099"/>
      <c r="F3" s="1099"/>
      <c r="G3" s="1099"/>
      <c r="H3" s="1099"/>
      <c r="I3" s="1099"/>
      <c r="J3" s="1099"/>
      <c r="K3" s="1099"/>
      <c r="L3" s="1099"/>
      <c r="M3" s="1099"/>
      <c r="N3" s="1099"/>
      <c r="O3" s="1099"/>
      <c r="P3" s="1099"/>
      <c r="Q3" s="1099"/>
      <c r="R3" s="1099"/>
      <c r="S3" s="1099"/>
      <c r="T3" s="1100"/>
    </row>
    <row r="4" spans="1:20" ht="12.75" customHeight="1">
      <c r="A4" s="1101"/>
      <c r="B4" s="1102" t="s">
        <v>1078</v>
      </c>
      <c r="C4" s="1385" t="s">
        <v>1126</v>
      </c>
      <c r="D4" s="1385"/>
      <c r="E4" s="1385"/>
      <c r="F4" s="1385"/>
      <c r="G4" s="1385"/>
      <c r="H4" s="1385"/>
      <c r="I4" s="1385"/>
      <c r="J4" s="1385"/>
      <c r="K4" s="1385"/>
      <c r="L4" s="1385"/>
      <c r="M4" s="1103"/>
      <c r="N4" s="1103"/>
      <c r="O4" s="1104"/>
      <c r="P4" s="1104"/>
      <c r="Q4" s="1104"/>
      <c r="R4" s="1104"/>
      <c r="S4" s="1104"/>
      <c r="T4" s="1105"/>
    </row>
    <row r="5" spans="1:20" ht="12.75" customHeight="1">
      <c r="A5" s="1101"/>
      <c r="B5" s="1104"/>
      <c r="C5" s="1106"/>
      <c r="D5" s="1106"/>
      <c r="E5" s="1106"/>
      <c r="F5" s="1106"/>
      <c r="G5" s="1106"/>
      <c r="H5" s="1106"/>
      <c r="I5" s="1106"/>
      <c r="J5" s="1106"/>
      <c r="K5" s="1106"/>
      <c r="L5" s="1106"/>
      <c r="M5" s="1106"/>
      <c r="N5" s="1106"/>
      <c r="O5" s="1104"/>
      <c r="P5" s="1104"/>
      <c r="Q5" s="1104"/>
      <c r="R5" s="1104"/>
      <c r="S5" s="1104"/>
      <c r="T5" s="1105"/>
    </row>
    <row r="6" spans="1:20" ht="12.75" customHeight="1">
      <c r="A6" s="1101"/>
      <c r="B6" s="1102" t="s">
        <v>1079</v>
      </c>
      <c r="C6" s="1385" t="s">
        <v>1080</v>
      </c>
      <c r="D6" s="1385"/>
      <c r="E6" s="1385"/>
      <c r="F6" s="1385"/>
      <c r="G6" s="1385"/>
      <c r="H6" s="1385"/>
      <c r="I6" s="1385"/>
      <c r="J6" s="1385"/>
      <c r="K6" s="1385"/>
      <c r="L6" s="1385"/>
      <c r="M6" s="1103"/>
      <c r="N6" s="1103"/>
      <c r="O6" s="1104"/>
      <c r="P6" s="1104"/>
      <c r="Q6" s="1104"/>
      <c r="R6" s="1104"/>
      <c r="S6" s="1104"/>
      <c r="T6" s="1105"/>
    </row>
    <row r="7" spans="1:20" ht="8.25" customHeight="1" thickBot="1">
      <c r="A7" s="1107"/>
      <c r="B7" s="1108"/>
      <c r="C7" s="1109"/>
      <c r="D7" s="1109"/>
      <c r="E7" s="1109"/>
      <c r="F7" s="1109"/>
      <c r="G7" s="1109"/>
      <c r="H7" s="1109"/>
      <c r="I7" s="1109"/>
      <c r="J7" s="1109"/>
      <c r="K7" s="1109"/>
      <c r="L7" s="1109"/>
      <c r="M7" s="1109"/>
      <c r="N7" s="1109"/>
      <c r="O7" s="1108"/>
      <c r="P7" s="1108"/>
      <c r="Q7" s="1108"/>
      <c r="R7" s="1108"/>
      <c r="S7" s="1108"/>
      <c r="T7" s="1110"/>
    </row>
    <row r="8" spans="1:20" ht="9.75" customHeight="1" thickTop="1" thickBot="1"/>
    <row r="9" spans="1:20" ht="9" customHeight="1">
      <c r="A9" s="1098"/>
      <c r="B9" s="1099"/>
      <c r="C9" s="1099"/>
      <c r="D9" s="1099"/>
      <c r="E9" s="1099"/>
      <c r="F9" s="1099"/>
      <c r="G9" s="1099"/>
      <c r="H9" s="1099"/>
      <c r="I9" s="1099"/>
      <c r="J9" s="1099"/>
      <c r="K9" s="1099"/>
      <c r="L9" s="1099"/>
      <c r="M9" s="1099"/>
      <c r="N9" s="1099"/>
      <c r="O9" s="1099"/>
      <c r="P9" s="1099"/>
      <c r="Q9" s="1099"/>
      <c r="R9" s="1099"/>
      <c r="S9" s="1099"/>
      <c r="T9" s="1100"/>
    </row>
    <row r="10" spans="1:20">
      <c r="A10" s="1101"/>
      <c r="B10" s="1104"/>
      <c r="C10" s="1111" t="s">
        <v>1081</v>
      </c>
      <c r="D10" s="1111"/>
      <c r="E10" s="1111"/>
      <c r="F10" s="1112" t="s">
        <v>1082</v>
      </c>
      <c r="G10" s="1112"/>
      <c r="H10" s="1112"/>
      <c r="I10" s="1111" t="s">
        <v>1083</v>
      </c>
      <c r="J10" s="1111"/>
      <c r="K10" s="1111"/>
      <c r="L10" s="1111" t="s">
        <v>1084</v>
      </c>
      <c r="M10" s="1113"/>
      <c r="N10" s="1113"/>
      <c r="O10" s="1104"/>
      <c r="P10" s="1104"/>
      <c r="Q10" s="1104"/>
      <c r="R10" s="1104"/>
      <c r="S10" s="1104"/>
      <c r="T10" s="1105"/>
    </row>
    <row r="11" spans="1:20">
      <c r="A11" s="1101"/>
      <c r="B11" s="1114" t="s">
        <v>1085</v>
      </c>
      <c r="C11" s="1115">
        <v>1</v>
      </c>
      <c r="D11" s="1115"/>
      <c r="E11" s="1115"/>
      <c r="F11" s="1115">
        <v>1</v>
      </c>
      <c r="G11" s="1115"/>
      <c r="H11" s="1115"/>
      <c r="I11" s="1115">
        <v>1</v>
      </c>
      <c r="J11" s="1115"/>
      <c r="K11" s="1115"/>
      <c r="L11" s="1115">
        <v>1</v>
      </c>
      <c r="M11" s="1116"/>
      <c r="N11" s="1116"/>
      <c r="O11" s="1104"/>
      <c r="P11" s="1104"/>
      <c r="Q11" s="1104"/>
      <c r="R11" s="1104"/>
      <c r="S11" s="1104"/>
      <c r="T11" s="1105"/>
    </row>
    <row r="12" spans="1:20">
      <c r="A12" s="1101"/>
      <c r="B12" s="1114"/>
      <c r="C12" s="1117"/>
      <c r="D12" s="1117"/>
      <c r="E12" s="1117"/>
      <c r="F12" s="1118"/>
      <c r="G12" s="1118"/>
      <c r="H12" s="1118"/>
      <c r="I12" s="1118"/>
      <c r="J12" s="1118"/>
      <c r="K12" s="1118"/>
      <c r="L12" s="1118"/>
      <c r="M12" s="1104"/>
      <c r="N12" s="1104"/>
      <c r="O12" s="1104"/>
      <c r="P12" s="1104"/>
      <c r="Q12" s="1104"/>
      <c r="R12" s="1104"/>
      <c r="S12" s="1104"/>
      <c r="T12" s="1105"/>
    </row>
    <row r="13" spans="1:20">
      <c r="A13" s="1101"/>
      <c r="B13" s="1114" t="s">
        <v>1086</v>
      </c>
      <c r="C13" s="1115">
        <v>0.2</v>
      </c>
      <c r="D13" s="1119">
        <f>IF($C$13&lt;0.31,0,1)</f>
        <v>0</v>
      </c>
      <c r="E13" s="1120"/>
      <c r="F13" s="1121"/>
      <c r="G13" s="1121"/>
      <c r="H13" s="1121"/>
      <c r="I13" s="1121"/>
      <c r="J13" s="1121"/>
      <c r="K13" s="1121"/>
      <c r="L13" s="1121"/>
      <c r="M13" s="1122"/>
      <c r="N13" s="1122"/>
      <c r="O13" s="1104"/>
      <c r="P13" s="1104"/>
      <c r="Q13" s="1104"/>
      <c r="R13" s="1104"/>
      <c r="S13" s="1104"/>
      <c r="T13" s="1105"/>
    </row>
    <row r="14" spans="1:20">
      <c r="A14" s="1101"/>
      <c r="B14" s="1114"/>
      <c r="C14" s="1117"/>
      <c r="D14" s="1117"/>
      <c r="E14" s="1117"/>
      <c r="F14" s="1118"/>
      <c r="G14" s="1118"/>
      <c r="H14" s="1118"/>
      <c r="I14" s="1118"/>
      <c r="J14" s="1118"/>
      <c r="K14" s="1118"/>
      <c r="L14" s="1118"/>
      <c r="M14" s="1104"/>
      <c r="N14" s="1104"/>
      <c r="O14" s="1104"/>
      <c r="P14" s="1104"/>
      <c r="Q14" s="1104"/>
      <c r="R14" s="1104"/>
      <c r="S14" s="1104"/>
      <c r="T14" s="1105"/>
    </row>
    <row r="15" spans="1:20">
      <c r="A15" s="1101"/>
      <c r="B15" s="1114" t="s">
        <v>1087</v>
      </c>
      <c r="C15" s="1121"/>
      <c r="D15" s="1121"/>
      <c r="E15" s="1121"/>
      <c r="F15" s="1115">
        <v>0.5</v>
      </c>
      <c r="G15" s="1120"/>
      <c r="H15" s="1120"/>
      <c r="I15" s="1121"/>
      <c r="J15" s="1121"/>
      <c r="K15" s="1121"/>
      <c r="L15" s="1121"/>
      <c r="M15" s="1122"/>
      <c r="N15" s="1122"/>
      <c r="O15" s="1104"/>
      <c r="P15" s="1104"/>
      <c r="Q15" s="1104"/>
      <c r="R15" s="1104"/>
      <c r="S15" s="1104"/>
      <c r="T15" s="1105"/>
    </row>
    <row r="16" spans="1:20">
      <c r="A16" s="1101"/>
      <c r="B16" s="1114"/>
      <c r="C16" s="1123"/>
      <c r="D16" s="1123"/>
      <c r="E16" s="1123"/>
      <c r="F16" s="1118"/>
      <c r="G16" s="1118"/>
      <c r="H16" s="1118"/>
      <c r="I16" s="1118"/>
      <c r="J16" s="1118"/>
      <c r="K16" s="1118"/>
      <c r="L16" s="1118"/>
      <c r="M16" s="1104"/>
      <c r="N16" s="1104"/>
      <c r="O16" s="1104"/>
      <c r="P16" s="1104"/>
      <c r="Q16" s="1104"/>
      <c r="R16" s="1104"/>
      <c r="S16" s="1104"/>
      <c r="T16" s="1105"/>
    </row>
    <row r="17" spans="1:20">
      <c r="A17" s="1101"/>
      <c r="B17" s="1114" t="s">
        <v>1088</v>
      </c>
      <c r="C17" s="1121"/>
      <c r="D17" s="1121"/>
      <c r="E17" s="1121"/>
      <c r="F17" s="1121"/>
      <c r="G17" s="1121"/>
      <c r="H17" s="1121"/>
      <c r="I17" s="1115">
        <v>0.1</v>
      </c>
      <c r="J17" s="1120"/>
      <c r="K17" s="1120"/>
      <c r="L17" s="1121"/>
      <c r="M17" s="1122"/>
      <c r="N17" s="1122"/>
      <c r="O17" s="1104"/>
      <c r="P17" s="1104"/>
      <c r="Q17" s="1104"/>
      <c r="R17" s="1104"/>
      <c r="S17" s="1104"/>
      <c r="T17" s="1105"/>
    </row>
    <row r="18" spans="1:20" ht="9" customHeight="1" thickBot="1">
      <c r="A18" s="1107"/>
      <c r="B18" s="1108"/>
      <c r="C18" s="1108"/>
      <c r="D18" s="1108"/>
      <c r="E18" s="1108"/>
      <c r="F18" s="1108"/>
      <c r="G18" s="1108"/>
      <c r="H18" s="1108"/>
      <c r="I18" s="1108"/>
      <c r="J18" s="1108"/>
      <c r="K18" s="1108"/>
      <c r="L18" s="1108"/>
      <c r="M18" s="1108"/>
      <c r="N18" s="1108"/>
      <c r="O18" s="1108"/>
      <c r="P18" s="1108"/>
      <c r="Q18" s="1108"/>
      <c r="R18" s="1108"/>
      <c r="S18" s="1108"/>
      <c r="T18" s="1110"/>
    </row>
    <row r="19" spans="1:20" ht="9" customHeight="1" thickTop="1" thickBot="1"/>
    <row r="20" spans="1:20" ht="8.25" customHeight="1">
      <c r="A20" s="1098"/>
      <c r="B20" s="1099"/>
      <c r="C20" s="1099"/>
      <c r="D20" s="1099"/>
      <c r="E20" s="1099"/>
      <c r="F20" s="1099"/>
      <c r="G20" s="1099"/>
      <c r="H20" s="1099"/>
      <c r="I20" s="1099"/>
      <c r="J20" s="1099"/>
      <c r="K20" s="1099"/>
      <c r="L20" s="1099"/>
      <c r="M20" s="1099"/>
      <c r="N20" s="1099"/>
      <c r="O20" s="1099"/>
      <c r="P20" s="1099"/>
      <c r="Q20" s="1099"/>
      <c r="R20" s="1099"/>
      <c r="S20" s="1099"/>
      <c r="T20" s="1100"/>
    </row>
    <row r="21" spans="1:20">
      <c r="A21" s="1101"/>
      <c r="B21" s="1104"/>
      <c r="C21" s="1104"/>
      <c r="D21" s="1104"/>
      <c r="E21" s="1104"/>
      <c r="F21" s="1104"/>
      <c r="G21" s="1104"/>
      <c r="H21" s="1104"/>
      <c r="I21" s="1104"/>
      <c r="J21" s="1104"/>
      <c r="K21" s="1104"/>
      <c r="L21" s="1104"/>
      <c r="M21" s="1104"/>
      <c r="N21" s="1104"/>
      <c r="O21" s="1104"/>
      <c r="P21" s="1104"/>
      <c r="Q21" s="1104"/>
      <c r="R21" s="1386" t="s">
        <v>1089</v>
      </c>
      <c r="S21" s="1386"/>
      <c r="T21" s="1105"/>
    </row>
    <row r="22" spans="1:20">
      <c r="A22" s="1101"/>
      <c r="B22" s="1104"/>
      <c r="C22" s="1113" t="s">
        <v>1081</v>
      </c>
      <c r="D22" s="1113" t="s">
        <v>1081</v>
      </c>
      <c r="E22" s="1113" t="s">
        <v>1081</v>
      </c>
      <c r="F22" s="1124" t="s">
        <v>1082</v>
      </c>
      <c r="G22" s="1124" t="s">
        <v>1082</v>
      </c>
      <c r="H22" s="1124" t="s">
        <v>1082</v>
      </c>
      <c r="I22" s="1113" t="s">
        <v>1083</v>
      </c>
      <c r="J22" s="1113" t="s">
        <v>1083</v>
      </c>
      <c r="K22" s="1113" t="s">
        <v>1083</v>
      </c>
      <c r="L22" s="1113" t="s">
        <v>1084</v>
      </c>
      <c r="M22" s="1113"/>
      <c r="N22" s="1113"/>
      <c r="O22" s="1113"/>
      <c r="P22" s="1113" t="s">
        <v>1090</v>
      </c>
      <c r="Q22" s="1104"/>
      <c r="R22" s="1113" t="s">
        <v>259</v>
      </c>
      <c r="S22" s="1113" t="s">
        <v>260</v>
      </c>
      <c r="T22" s="1105"/>
    </row>
    <row r="23" spans="1:20">
      <c r="A23" s="1101"/>
      <c r="B23" s="1104"/>
      <c r="C23" s="1113"/>
      <c r="D23" s="1113"/>
      <c r="E23" s="1113" t="s">
        <v>67</v>
      </c>
      <c r="F23" s="1124"/>
      <c r="G23" s="1124"/>
      <c r="H23" s="1113" t="s">
        <v>67</v>
      </c>
      <c r="I23" s="1113"/>
      <c r="J23" s="1113"/>
      <c r="K23" s="1113" t="s">
        <v>67</v>
      </c>
      <c r="L23" s="1113"/>
      <c r="M23" s="1113"/>
      <c r="N23" s="1113" t="s">
        <v>67</v>
      </c>
      <c r="O23" s="1113"/>
      <c r="P23" s="1113"/>
      <c r="Q23" s="1104"/>
      <c r="R23" s="1113"/>
      <c r="S23" s="1113"/>
      <c r="T23" s="1105"/>
    </row>
    <row r="24" spans="1:20">
      <c r="A24" s="1101"/>
      <c r="B24" s="1104" t="s">
        <v>1091</v>
      </c>
      <c r="C24" s="1125"/>
      <c r="D24" s="1120">
        <f>1+0.3+$C$13*2</f>
        <v>1.7000000000000002</v>
      </c>
      <c r="E24" s="1126">
        <v>0.6</v>
      </c>
      <c r="F24" s="1125"/>
      <c r="G24" s="1127">
        <f>1*$F$15*2</f>
        <v>1</v>
      </c>
      <c r="H24" s="1126">
        <v>0.75</v>
      </c>
      <c r="I24" s="1125"/>
      <c r="J24" s="1127">
        <f>1+$I$17*2</f>
        <v>1.2</v>
      </c>
      <c r="K24" s="1126">
        <v>0.75</v>
      </c>
      <c r="L24" s="1125"/>
      <c r="M24" s="1127">
        <v>1</v>
      </c>
      <c r="N24" s="1126">
        <v>0.3</v>
      </c>
      <c r="O24" s="1113"/>
      <c r="P24" s="1128">
        <f>C24+F24+I24+L24</f>
        <v>0</v>
      </c>
      <c r="Q24" s="1104"/>
      <c r="R24" s="1129">
        <v>2.6</v>
      </c>
      <c r="S24" s="1130">
        <f>R24*(C24+F24+I24+L24)</f>
        <v>0</v>
      </c>
      <c r="T24" s="1105"/>
    </row>
    <row r="25" spans="1:20">
      <c r="A25" s="1101"/>
      <c r="B25" s="1104"/>
      <c r="C25" s="1131"/>
      <c r="D25" s="1131"/>
      <c r="E25" s="1131"/>
      <c r="F25" s="1131"/>
      <c r="G25" s="1131"/>
      <c r="H25" s="1131"/>
      <c r="I25" s="1131"/>
      <c r="J25" s="1131"/>
      <c r="K25" s="1131"/>
      <c r="L25" s="1131"/>
      <c r="M25" s="1131"/>
      <c r="N25" s="1131"/>
      <c r="O25" s="1113"/>
      <c r="P25" s="1113"/>
      <c r="Q25" s="1104"/>
      <c r="R25" s="1131"/>
      <c r="S25" s="1132"/>
      <c r="T25" s="1105"/>
    </row>
    <row r="26" spans="1:20">
      <c r="A26" s="1101"/>
      <c r="B26" s="1104" t="s">
        <v>1092</v>
      </c>
      <c r="C26" s="1125"/>
      <c r="D26" s="1120">
        <f>0.8+0.3+$C$13*2</f>
        <v>1.5</v>
      </c>
      <c r="E26" s="1126">
        <v>0.6</v>
      </c>
      <c r="F26" s="1125"/>
      <c r="G26" s="1127">
        <f>0.8*$F$15*2</f>
        <v>0.8</v>
      </c>
      <c r="H26" s="1126">
        <v>0.75</v>
      </c>
      <c r="I26" s="1125"/>
      <c r="J26" s="1127">
        <f>0.8+$I$17*2</f>
        <v>1</v>
      </c>
      <c r="K26" s="1126">
        <v>0.75</v>
      </c>
      <c r="L26" s="1125"/>
      <c r="M26" s="1127">
        <v>0.8</v>
      </c>
      <c r="N26" s="1126">
        <v>0.3</v>
      </c>
      <c r="O26" s="1113"/>
      <c r="P26" s="1128">
        <f>C26+F26+I26+L26</f>
        <v>0</v>
      </c>
      <c r="Q26" s="1104"/>
      <c r="R26" s="1129">
        <v>2.4</v>
      </c>
      <c r="S26" s="1130">
        <f>R26*(C26+F26+I26+L26)</f>
        <v>0</v>
      </c>
      <c r="T26" s="1105"/>
    </row>
    <row r="27" spans="1:20">
      <c r="A27" s="1101"/>
      <c r="B27" s="1104"/>
      <c r="C27" s="1131"/>
      <c r="D27" s="1131"/>
      <c r="E27" s="1131"/>
      <c r="F27" s="1131"/>
      <c r="G27" s="1131"/>
      <c r="H27" s="1131"/>
      <c r="I27" s="1131"/>
      <c r="J27" s="1131"/>
      <c r="K27" s="1131"/>
      <c r="L27" s="1131"/>
      <c r="M27" s="1131"/>
      <c r="N27" s="1131"/>
      <c r="O27" s="1113"/>
      <c r="P27" s="1113"/>
      <c r="Q27" s="1104"/>
      <c r="R27" s="1131"/>
      <c r="S27" s="1132"/>
      <c r="T27" s="1105"/>
    </row>
    <row r="28" spans="1:20">
      <c r="A28" s="1101"/>
      <c r="B28" s="1104" t="s">
        <v>1093</v>
      </c>
      <c r="C28" s="1125"/>
      <c r="D28" s="1120">
        <f>0.7+0.3+$C$13*2</f>
        <v>1.4</v>
      </c>
      <c r="E28" s="1126">
        <v>0.5</v>
      </c>
      <c r="F28" s="1125"/>
      <c r="G28" s="1127">
        <f>0.7*$F$15*2</f>
        <v>0.7</v>
      </c>
      <c r="H28" s="1126">
        <v>0.65</v>
      </c>
      <c r="I28" s="1125"/>
      <c r="J28" s="1127">
        <f>0.7+$I$17*2</f>
        <v>0.89999999999999991</v>
      </c>
      <c r="K28" s="1126">
        <v>0.65</v>
      </c>
      <c r="L28" s="1125"/>
      <c r="M28" s="1127">
        <v>0.7</v>
      </c>
      <c r="N28" s="1126">
        <v>0.3</v>
      </c>
      <c r="O28" s="1113"/>
      <c r="P28" s="1128">
        <f>C28+F28+I28+L28</f>
        <v>0</v>
      </c>
      <c r="Q28" s="1104"/>
      <c r="R28" s="1129">
        <v>2.2000000000000002</v>
      </c>
      <c r="S28" s="1130">
        <f>R28*(C28+F28+I28+L28)</f>
        <v>0</v>
      </c>
      <c r="T28" s="1105"/>
    </row>
    <row r="29" spans="1:20">
      <c r="A29" s="1101"/>
      <c r="B29" s="1104"/>
      <c r="C29" s="1131"/>
      <c r="D29" s="1131"/>
      <c r="E29" s="1131"/>
      <c r="F29" s="1131"/>
      <c r="G29" s="1131"/>
      <c r="H29" s="1131"/>
      <c r="I29" s="1131"/>
      <c r="J29" s="1131"/>
      <c r="K29" s="1131"/>
      <c r="L29" s="1131"/>
      <c r="M29" s="1131"/>
      <c r="N29" s="1131"/>
      <c r="O29" s="1113"/>
      <c r="P29" s="1113"/>
      <c r="Q29" s="1104"/>
      <c r="R29" s="1131"/>
      <c r="S29" s="1132"/>
      <c r="T29" s="1105"/>
    </row>
    <row r="30" spans="1:20">
      <c r="A30" s="1101"/>
      <c r="B30" s="1104" t="s">
        <v>1094</v>
      </c>
      <c r="C30" s="1125"/>
      <c r="D30" s="1120">
        <f>0.6+0.3+$C$13*2</f>
        <v>1.2999999999999998</v>
      </c>
      <c r="E30" s="1126">
        <v>0.5</v>
      </c>
      <c r="F30" s="1125">
        <v>10</v>
      </c>
      <c r="G30" s="1127">
        <f>0.6*$F$15*2</f>
        <v>0.6</v>
      </c>
      <c r="H30" s="1126">
        <v>0.65</v>
      </c>
      <c r="I30" s="1125"/>
      <c r="J30" s="1127">
        <f>0.6+$I$17*2</f>
        <v>0.8</v>
      </c>
      <c r="K30" s="1126">
        <v>0.65</v>
      </c>
      <c r="L30" s="1125">
        <v>10</v>
      </c>
      <c r="M30" s="1127">
        <v>0.6</v>
      </c>
      <c r="N30" s="1126">
        <v>0.3</v>
      </c>
      <c r="O30" s="1113"/>
      <c r="P30" s="1128">
        <f>C30+F30+I30+L30</f>
        <v>20</v>
      </c>
      <c r="Q30" s="1104"/>
      <c r="R30" s="1129">
        <v>2</v>
      </c>
      <c r="S30" s="1130">
        <f>R30*(C30+F30+I30+L30)</f>
        <v>40</v>
      </c>
      <c r="T30" s="1105"/>
    </row>
    <row r="31" spans="1:20">
      <c r="A31" s="1101"/>
      <c r="B31" s="1104"/>
      <c r="C31" s="1131"/>
      <c r="D31" s="1131"/>
      <c r="E31" s="1131"/>
      <c r="F31" s="1131"/>
      <c r="G31" s="1131"/>
      <c r="H31" s="1131"/>
      <c r="I31" s="1131"/>
      <c r="J31" s="1131"/>
      <c r="K31" s="1131"/>
      <c r="L31" s="1131"/>
      <c r="M31" s="1131"/>
      <c r="N31" s="1131"/>
      <c r="O31" s="1113"/>
      <c r="P31" s="1113"/>
      <c r="Q31" s="1104"/>
      <c r="R31" s="1131"/>
      <c r="S31" s="1132"/>
      <c r="T31" s="1105"/>
    </row>
    <row r="32" spans="1:20">
      <c r="A32" s="1101"/>
      <c r="B32" s="1104" t="s">
        <v>1095</v>
      </c>
      <c r="C32" s="1125"/>
      <c r="D32" s="1120">
        <f>0.5+0.3+$C$13*2</f>
        <v>1.2000000000000002</v>
      </c>
      <c r="E32" s="1126">
        <v>0.4</v>
      </c>
      <c r="F32" s="1125">
        <v>10</v>
      </c>
      <c r="G32" s="1127">
        <f>0.5*$F$15*2</f>
        <v>0.5</v>
      </c>
      <c r="H32" s="1126">
        <v>0.5</v>
      </c>
      <c r="I32" s="1125"/>
      <c r="J32" s="1127">
        <f>0.5+$I$17*2</f>
        <v>0.7</v>
      </c>
      <c r="K32" s="1126">
        <v>0.5</v>
      </c>
      <c r="L32" s="1125">
        <v>20</v>
      </c>
      <c r="M32" s="1127">
        <v>0.5</v>
      </c>
      <c r="N32" s="1126">
        <v>0.25</v>
      </c>
      <c r="O32" s="1113"/>
      <c r="P32" s="1128">
        <f>C32+F32+I32+L32</f>
        <v>30</v>
      </c>
      <c r="Q32" s="1104"/>
      <c r="R32" s="1129">
        <v>1.8</v>
      </c>
      <c r="S32" s="1130">
        <f>R32*(C32+F32+I32+L32)</f>
        <v>54</v>
      </c>
      <c r="T32" s="1105"/>
    </row>
    <row r="33" spans="1:20">
      <c r="A33" s="1101"/>
      <c r="B33" s="1104"/>
      <c r="C33" s="1131"/>
      <c r="D33" s="1131"/>
      <c r="E33" s="1131"/>
      <c r="F33" s="1131"/>
      <c r="G33" s="1131"/>
      <c r="H33" s="1131"/>
      <c r="I33" s="1131"/>
      <c r="J33" s="1131"/>
      <c r="K33" s="1131"/>
      <c r="L33" s="1131"/>
      <c r="M33" s="1131"/>
      <c r="N33" s="1131"/>
      <c r="O33" s="1113"/>
      <c r="P33" s="1113"/>
      <c r="Q33" s="1104"/>
      <c r="R33" s="1131"/>
      <c r="S33" s="1132"/>
      <c r="T33" s="1105"/>
    </row>
    <row r="34" spans="1:20">
      <c r="A34" s="1101"/>
      <c r="B34" s="1104" t="s">
        <v>1096</v>
      </c>
      <c r="C34" s="1125"/>
      <c r="D34" s="1120">
        <f>0.41+0.25+$C$13*2</f>
        <v>1.06</v>
      </c>
      <c r="E34" s="1126">
        <v>0.4</v>
      </c>
      <c r="F34" s="1125">
        <v>10</v>
      </c>
      <c r="G34" s="1127">
        <f>0.4*$F$15*2</f>
        <v>0.4</v>
      </c>
      <c r="H34" s="1126">
        <v>0.5</v>
      </c>
      <c r="I34" s="1125"/>
      <c r="J34" s="1127">
        <f>0.4+$I$17*2</f>
        <v>0.60000000000000009</v>
      </c>
      <c r="K34" s="1126">
        <v>0.5</v>
      </c>
      <c r="L34" s="1125"/>
      <c r="M34" s="1127">
        <v>0.4</v>
      </c>
      <c r="N34" s="1126">
        <v>0.25</v>
      </c>
      <c r="O34" s="1113"/>
      <c r="P34" s="1128">
        <f>C34+F34+I34+L34</f>
        <v>10</v>
      </c>
      <c r="Q34" s="1104"/>
      <c r="R34" s="1129">
        <v>1.6</v>
      </c>
      <c r="S34" s="1130">
        <f>R34*(C34+F34+I34+L34)</f>
        <v>16</v>
      </c>
      <c r="T34" s="1105"/>
    </row>
    <row r="35" spans="1:20">
      <c r="A35" s="1101"/>
      <c r="B35" s="1104"/>
      <c r="C35" s="1131"/>
      <c r="D35" s="1131"/>
      <c r="E35" s="1131"/>
      <c r="F35" s="1131"/>
      <c r="G35" s="1131"/>
      <c r="H35" s="1131"/>
      <c r="I35" s="1131"/>
      <c r="J35" s="1131"/>
      <c r="K35" s="1131"/>
      <c r="L35" s="1131"/>
      <c r="M35" s="1131"/>
      <c r="N35" s="1131"/>
      <c r="O35" s="1113"/>
      <c r="P35" s="1113"/>
      <c r="Q35" s="1104"/>
      <c r="R35" s="1131"/>
      <c r="S35" s="1132"/>
      <c r="T35" s="1105"/>
    </row>
    <row r="36" spans="1:20">
      <c r="A36" s="1101"/>
      <c r="B36" s="1104" t="s">
        <v>1097</v>
      </c>
      <c r="C36" s="1125"/>
      <c r="D36" s="1120">
        <f>0.3+0.25+$C$13*2</f>
        <v>0.95000000000000007</v>
      </c>
      <c r="E36" s="1126">
        <v>0.3</v>
      </c>
      <c r="F36" s="1125">
        <v>30</v>
      </c>
      <c r="G36" s="1127">
        <f>0.3*$F$15*2</f>
        <v>0.3</v>
      </c>
      <c r="H36" s="1126">
        <v>0.35</v>
      </c>
      <c r="I36" s="1125"/>
      <c r="J36" s="1127">
        <f>0.3+$I$17*2</f>
        <v>0.5</v>
      </c>
      <c r="K36" s="1126">
        <v>0.35</v>
      </c>
      <c r="L36" s="1125"/>
      <c r="M36" s="1127">
        <v>0.3</v>
      </c>
      <c r="N36" s="1126">
        <v>0.25</v>
      </c>
      <c r="O36" s="1113"/>
      <c r="P36" s="1128">
        <f>C36+F36+I36+L36</f>
        <v>30</v>
      </c>
      <c r="Q36" s="1104"/>
      <c r="R36" s="1129">
        <v>1.4</v>
      </c>
      <c r="S36" s="1130">
        <f>R36*(C36+F36+I36+L36)</f>
        <v>42</v>
      </c>
      <c r="T36" s="1105"/>
    </row>
    <row r="37" spans="1:20">
      <c r="A37" s="1101"/>
      <c r="B37" s="1104"/>
      <c r="C37" s="1131"/>
      <c r="D37" s="1131"/>
      <c r="E37" s="1131"/>
      <c r="F37" s="1131"/>
      <c r="G37" s="1131"/>
      <c r="H37" s="1131"/>
      <c r="I37" s="1131"/>
      <c r="J37" s="1131"/>
      <c r="K37" s="1131"/>
      <c r="L37" s="1131"/>
      <c r="M37" s="1131"/>
      <c r="N37" s="1131"/>
      <c r="O37" s="1113"/>
      <c r="P37" s="1113"/>
      <c r="Q37" s="1104"/>
      <c r="R37" s="1131"/>
      <c r="S37" s="1132"/>
      <c r="T37" s="1105"/>
    </row>
    <row r="38" spans="1:20">
      <c r="A38" s="1101"/>
      <c r="B38" s="1104" t="s">
        <v>1098</v>
      </c>
      <c r="C38" s="1125"/>
      <c r="D38" s="1120">
        <f>0.25+0.25+$C$13*2</f>
        <v>0.9</v>
      </c>
      <c r="E38" s="1126">
        <v>0.25</v>
      </c>
      <c r="F38" s="1125"/>
      <c r="G38" s="1127">
        <f>0.25*$F$15*2</f>
        <v>0.25</v>
      </c>
      <c r="H38" s="1126">
        <v>0.35</v>
      </c>
      <c r="I38" s="1125"/>
      <c r="J38" s="1127">
        <f>0.25+$I$17*2</f>
        <v>0.45</v>
      </c>
      <c r="K38" s="1126">
        <v>0.35</v>
      </c>
      <c r="L38" s="1125"/>
      <c r="M38" s="1127">
        <v>0.25</v>
      </c>
      <c r="N38" s="1126">
        <v>0.2</v>
      </c>
      <c r="O38" s="1113"/>
      <c r="P38" s="1128">
        <f>C38+F38+I38+L38</f>
        <v>0</v>
      </c>
      <c r="Q38" s="1104"/>
      <c r="R38" s="1129">
        <v>1.2</v>
      </c>
      <c r="S38" s="1130">
        <f>R38*(C38+F38+I38+L38)</f>
        <v>0</v>
      </c>
      <c r="T38" s="1105"/>
    </row>
    <row r="39" spans="1:20">
      <c r="A39" s="1101"/>
      <c r="B39" s="1104"/>
      <c r="C39" s="1131"/>
      <c r="D39" s="1131"/>
      <c r="E39" s="1131"/>
      <c r="F39" s="1131"/>
      <c r="G39" s="1131"/>
      <c r="H39" s="1131"/>
      <c r="I39" s="1131"/>
      <c r="J39" s="1131"/>
      <c r="K39" s="1131"/>
      <c r="L39" s="1131"/>
      <c r="M39" s="1131"/>
      <c r="N39" s="1131"/>
      <c r="O39" s="1113"/>
      <c r="P39" s="1113"/>
      <c r="Q39" s="1104"/>
      <c r="R39" s="1131"/>
      <c r="S39" s="1132"/>
      <c r="T39" s="1105"/>
    </row>
    <row r="40" spans="1:20">
      <c r="A40" s="1101"/>
      <c r="B40" s="1104" t="s">
        <v>1099</v>
      </c>
      <c r="C40" s="1125">
        <v>20</v>
      </c>
      <c r="D40" s="1120">
        <f>0.2+0.25+$C$13*2</f>
        <v>0.85000000000000009</v>
      </c>
      <c r="E40" s="1126">
        <v>0.25</v>
      </c>
      <c r="F40" s="1125">
        <v>10</v>
      </c>
      <c r="G40" s="1127">
        <f>0.2*$F$15*2</f>
        <v>0.2</v>
      </c>
      <c r="H40" s="1126">
        <v>0.3</v>
      </c>
      <c r="I40" s="1125"/>
      <c r="J40" s="1127">
        <f>0.2+$I$17*2</f>
        <v>0.4</v>
      </c>
      <c r="K40" s="1126">
        <v>0.35</v>
      </c>
      <c r="L40" s="1125"/>
      <c r="M40" s="1127">
        <v>0.2</v>
      </c>
      <c r="N40" s="1126">
        <v>0.2</v>
      </c>
      <c r="O40" s="1113"/>
      <c r="P40" s="1128">
        <f>C40+F40+I40+L40</f>
        <v>30</v>
      </c>
      <c r="Q40" s="1104"/>
      <c r="R40" s="1129">
        <v>1</v>
      </c>
      <c r="S40" s="1130">
        <f>R40*(C40+F40+I40+L40)</f>
        <v>30</v>
      </c>
      <c r="T40" s="1105"/>
    </row>
    <row r="41" spans="1:20">
      <c r="A41" s="1101"/>
      <c r="B41" s="1104"/>
      <c r="C41" s="1104"/>
      <c r="D41" s="1104"/>
      <c r="E41" s="1104"/>
      <c r="F41" s="1104"/>
      <c r="G41" s="1104"/>
      <c r="H41" s="1104"/>
      <c r="I41" s="1104"/>
      <c r="J41" s="1104"/>
      <c r="K41" s="1104"/>
      <c r="L41" s="1104"/>
      <c r="M41" s="1104"/>
      <c r="N41" s="1104"/>
      <c r="O41" s="1113"/>
      <c r="P41" s="1133"/>
      <c r="Q41" s="1104"/>
      <c r="R41" s="1104"/>
      <c r="S41" s="1132"/>
      <c r="T41" s="1105"/>
    </row>
    <row r="42" spans="1:20">
      <c r="A42" s="1101"/>
      <c r="B42" s="1104"/>
      <c r="C42" s="1104"/>
      <c r="D42" s="1104"/>
      <c r="E42" s="1104"/>
      <c r="F42" s="1104"/>
      <c r="G42" s="1104"/>
      <c r="H42" s="1104"/>
      <c r="I42" s="1104"/>
      <c r="J42" s="1104"/>
      <c r="K42" s="1104"/>
      <c r="L42" s="1104"/>
      <c r="M42" s="1104"/>
      <c r="N42" s="1104"/>
      <c r="O42" s="1113"/>
      <c r="P42" s="1128">
        <f>SUM(P24:P40)</f>
        <v>120</v>
      </c>
      <c r="Q42" s="1104"/>
      <c r="R42" s="1104"/>
      <c r="S42" s="1130">
        <f>SUM(S24:S40)</f>
        <v>182</v>
      </c>
      <c r="T42" s="1105"/>
    </row>
    <row r="43" spans="1:20" ht="9" customHeight="1" thickBot="1">
      <c r="A43" s="1107"/>
      <c r="B43" s="1108"/>
      <c r="C43" s="1108"/>
      <c r="D43" s="1108"/>
      <c r="E43" s="1108"/>
      <c r="F43" s="1108"/>
      <c r="G43" s="1108"/>
      <c r="H43" s="1108"/>
      <c r="I43" s="1108"/>
      <c r="J43" s="1108"/>
      <c r="K43" s="1108"/>
      <c r="L43" s="1108"/>
      <c r="M43" s="1108"/>
      <c r="N43" s="1108"/>
      <c r="O43" s="1108"/>
      <c r="P43" s="1108"/>
      <c r="Q43" s="1108"/>
      <c r="R43" s="1108"/>
      <c r="S43" s="1108"/>
      <c r="T43" s="1110"/>
    </row>
    <row r="44" spans="1:20" ht="9.75" customHeight="1" thickTop="1" thickBot="1"/>
    <row r="45" spans="1:20" ht="7.5" customHeight="1">
      <c r="A45" s="1098"/>
      <c r="B45" s="1099"/>
      <c r="C45" s="1099"/>
      <c r="D45" s="1099"/>
      <c r="E45" s="1099"/>
      <c r="F45" s="1099"/>
      <c r="G45" s="1099"/>
      <c r="H45" s="1099"/>
      <c r="I45" s="1099"/>
      <c r="J45" s="1099"/>
      <c r="K45" s="1099"/>
      <c r="L45" s="1099"/>
      <c r="M45" s="1099"/>
      <c r="N45" s="1099"/>
      <c r="O45" s="1099"/>
      <c r="P45" s="1099"/>
      <c r="Q45" s="1099"/>
      <c r="R45" s="1099"/>
      <c r="S45" s="1099"/>
      <c r="T45" s="1100"/>
    </row>
    <row r="46" spans="1:20">
      <c r="A46" s="1101"/>
      <c r="B46" s="1134" t="s">
        <v>1100</v>
      </c>
      <c r="C46" s="1134" t="s">
        <v>1101</v>
      </c>
      <c r="D46" s="1134"/>
      <c r="E46" s="1134"/>
      <c r="F46" s="1134" t="s">
        <v>1102</v>
      </c>
      <c r="G46" s="1134"/>
      <c r="H46" s="1134"/>
      <c r="I46" s="1134" t="s">
        <v>1103</v>
      </c>
      <c r="J46" s="1135"/>
      <c r="K46" s="1135"/>
      <c r="L46" s="1135" t="s">
        <v>1104</v>
      </c>
      <c r="M46" s="1136"/>
      <c r="N46" s="1136"/>
      <c r="O46" s="1114"/>
      <c r="P46" s="1114"/>
      <c r="Q46" s="1114"/>
      <c r="R46" s="1114"/>
      <c r="S46" s="1114"/>
      <c r="T46" s="1105"/>
    </row>
    <row r="47" spans="1:20">
      <c r="A47" s="1137"/>
      <c r="B47" s="1138"/>
      <c r="C47" s="1138"/>
      <c r="D47" s="1138"/>
      <c r="E47" s="1138"/>
      <c r="F47" s="1138"/>
      <c r="G47" s="1138"/>
      <c r="H47" s="1138"/>
      <c r="I47" s="1139" t="s">
        <v>1105</v>
      </c>
      <c r="J47" s="1140"/>
      <c r="K47" s="1140"/>
      <c r="L47" s="1141"/>
      <c r="M47" s="1142"/>
      <c r="N47" s="1142"/>
      <c r="O47" s="1114"/>
      <c r="P47" s="1114"/>
      <c r="Q47" s="1114"/>
      <c r="R47" s="1114"/>
      <c r="S47" s="1114"/>
      <c r="T47" s="1105"/>
    </row>
    <row r="48" spans="1:20">
      <c r="A48" s="1137"/>
      <c r="B48" s="1143" t="s">
        <v>1106</v>
      </c>
      <c r="C48" s="1143">
        <v>304099</v>
      </c>
      <c r="D48" s="1144"/>
      <c r="E48" s="1144"/>
      <c r="F48" s="1145">
        <f>(((C24*D24)/C11)+((F24*G24)/F11)+((I24*J24)/I11)+((L24*M24)/L11))+(((C26*D26)/C11)+((F26*G26)/F11)+((I26*J26)/I11)+((L26*M26)/L11))+(((C28*D28)/C11)+((F28*G28)/F11)+((I28*J28)/I11)+((L28*M28)/L11))+(((C30*D30)/C11)+((F30*G30)/F11)+((I30*J30)/I11)+((L30*M30)/L11)+((L32*M32)/L11)+((L34*M34)/L11)+((L36*M36)/L11)+((L38*M38)/L11)+((L40*M40)/L11)+((I32*J32)/I11)+((I34*J34)/I11)+((I36*J36)/I11)+((I38*J38)/I11)+((I40*J40)/I11))</f>
        <v>22</v>
      </c>
      <c r="G48" s="1146"/>
      <c r="H48" s="1146"/>
      <c r="I48" s="1147">
        <v>5.05</v>
      </c>
      <c r="J48" s="1148"/>
      <c r="K48" s="1148"/>
      <c r="L48" s="1149">
        <f t="shared" ref="L48:L66" si="0">I48*F48</f>
        <v>111.1</v>
      </c>
      <c r="M48" s="1150"/>
      <c r="N48" s="1150"/>
      <c r="O48" s="1114"/>
      <c r="P48" s="1114"/>
      <c r="Q48" s="1114"/>
      <c r="R48" s="1114"/>
      <c r="S48" s="1114"/>
      <c r="T48" s="1105"/>
    </row>
    <row r="49" spans="1:20">
      <c r="A49" s="1137"/>
      <c r="B49" s="1143" t="s">
        <v>1107</v>
      </c>
      <c r="C49" s="1143">
        <v>304096</v>
      </c>
      <c r="D49" s="1151"/>
      <c r="E49" s="1144"/>
      <c r="F49" s="1145">
        <f>((C32*D32)/C11)+((F32*G32)/F11)+((C34*D34)/C11)+((F34*G34)/F11)+((C36*D36)/C11)+((F36*G36)/F11)+((C38*D38)/C11)+((F38*G38)/F11)+((C40*D40)/C11)+((F40*G40)/F11)</f>
        <v>37</v>
      </c>
      <c r="G49" s="1152"/>
      <c r="H49" s="1152"/>
      <c r="I49" s="1153">
        <v>4.05</v>
      </c>
      <c r="J49" s="1154"/>
      <c r="K49" s="1154"/>
      <c r="L49" s="1155">
        <f t="shared" si="0"/>
        <v>149.85</v>
      </c>
      <c r="M49" s="1150"/>
      <c r="N49" s="1150"/>
      <c r="O49" s="1114"/>
      <c r="P49" s="1114"/>
      <c r="Q49" s="1114"/>
      <c r="R49" s="1114"/>
      <c r="S49" s="1114"/>
      <c r="T49" s="1105"/>
    </row>
    <row r="50" spans="1:20">
      <c r="A50" s="1137"/>
      <c r="B50" s="1143" t="s">
        <v>1108</v>
      </c>
      <c r="C50" s="1143">
        <v>370598</v>
      </c>
      <c r="D50" s="1151"/>
      <c r="E50" s="1151"/>
      <c r="F50" s="1156">
        <f>(((C32/C11)*3)+((F32/F11)*2)+((C34/C11)*3)+((F34/F11)*2)+((C36/C11)*3)+((F36/F11)*2)+((C38/C11)*3)+((F38/F11)*2)+((C40/C11)*3)+((F40/F11)*2))</f>
        <v>180</v>
      </c>
      <c r="G50" s="1152"/>
      <c r="H50" s="1152"/>
      <c r="I50" s="1153">
        <v>5.2400000000000002E-2</v>
      </c>
      <c r="J50" s="1154"/>
      <c r="K50" s="1154"/>
      <c r="L50" s="1155">
        <f t="shared" si="0"/>
        <v>9.4320000000000004</v>
      </c>
      <c r="M50" s="1150"/>
      <c r="N50" s="1150"/>
      <c r="O50" s="1114"/>
      <c r="P50" s="1114"/>
      <c r="Q50" s="1114"/>
      <c r="R50" s="1114"/>
      <c r="S50" s="1114"/>
      <c r="T50" s="1105"/>
    </row>
    <row r="51" spans="1:20">
      <c r="A51" s="1137"/>
      <c r="B51" s="1143" t="s">
        <v>1109</v>
      </c>
      <c r="C51" s="1143">
        <v>369685</v>
      </c>
      <c r="D51" s="1151"/>
      <c r="E51" s="1151"/>
      <c r="F51" s="1156">
        <f>(((C24/C11)*3)+((F24/F11)*2)+((L24/L11)*2))+(((C26/C11)*3)+((F26/F11)*2)+((L26/L11)*2))+(((C28/C11)*3)+((F28/F11)*2)+((L28/L11)*2))+(((C30/C11)*3)+((F30/F11)*2)+((L30/L11)*2)+((L32/L11)*2)+((L34/L11)*2)+((L36/L11)*2)+((L38/L11)*2)+((L40/L11)*2))</f>
        <v>80</v>
      </c>
      <c r="G51" s="1152"/>
      <c r="H51" s="1152"/>
      <c r="I51" s="1153">
        <v>5.33E-2</v>
      </c>
      <c r="J51" s="1154"/>
      <c r="K51" s="1154"/>
      <c r="L51" s="1155">
        <f t="shared" si="0"/>
        <v>4.2640000000000002</v>
      </c>
      <c r="M51" s="1150"/>
      <c r="N51" s="1150"/>
      <c r="O51" s="1114"/>
      <c r="P51" s="1114"/>
      <c r="Q51" s="1114"/>
      <c r="R51" s="1114"/>
      <c r="S51" s="1114"/>
      <c r="T51" s="1105"/>
    </row>
    <row r="52" spans="1:20">
      <c r="A52" s="1137"/>
      <c r="B52" s="1143" t="s">
        <v>1110</v>
      </c>
      <c r="C52" s="1143">
        <v>304172</v>
      </c>
      <c r="D52" s="1157"/>
      <c r="E52" s="1157"/>
      <c r="F52" s="1156">
        <f>((C24/C11)+((F24/F11)*4)+((I24/I11)*2))+((C26/C11)+((F26/F11)*4)+((I26/I11)*2))+(((C28/C11)*2)+((I28/I11)*2))+(((C30/C11)*2)+((I30/I11)*2))+(((C32/C11)*1)+((I32/I11)*2))+(((C34/C11)*1)+((I34/I11)*2))+(((C36/C11)*1)+((I36/I11)*2))+(((C38/C11)*1)+((I38/I11)*2))+(((C40/C11)*1)+((I40/I11)*2))</f>
        <v>20</v>
      </c>
      <c r="G52" s="1152"/>
      <c r="H52" s="1152"/>
      <c r="I52" s="1153">
        <v>0.68</v>
      </c>
      <c r="J52" s="1154"/>
      <c r="K52" s="1154"/>
      <c r="L52" s="1155">
        <f t="shared" si="0"/>
        <v>13.600000000000001</v>
      </c>
      <c r="M52" s="1150"/>
      <c r="N52" s="1150"/>
      <c r="O52" s="1114"/>
      <c r="P52" s="1114"/>
      <c r="Q52" s="1114"/>
      <c r="R52" s="1114"/>
      <c r="S52" s="1114"/>
      <c r="T52" s="1105"/>
    </row>
    <row r="53" spans="1:20">
      <c r="A53" s="1137"/>
      <c r="B53" s="1143" t="s">
        <v>1111</v>
      </c>
      <c r="C53" s="1143">
        <v>304171</v>
      </c>
      <c r="D53" s="1157"/>
      <c r="E53" s="1157"/>
      <c r="F53" s="1156">
        <f>(((I24/I11)*2))+(((I26/I11)*2))+(((I28/I11)*2))+(((I30/I11)*2))+(((I32/I11)*2))+(((I34/I11)*2))+(((I36/I11)*2))+(((I38/I11)*2))+(((I40/I11)*2))</f>
        <v>0</v>
      </c>
      <c r="G53" s="1152"/>
      <c r="H53" s="1152"/>
      <c r="I53" s="1153">
        <v>0.53</v>
      </c>
      <c r="J53" s="1154"/>
      <c r="K53" s="1154"/>
      <c r="L53" s="1155">
        <f t="shared" si="0"/>
        <v>0</v>
      </c>
      <c r="M53" s="1150"/>
      <c r="N53" s="1150"/>
      <c r="O53" s="1114"/>
      <c r="P53" s="1114"/>
      <c r="Q53" s="1114"/>
      <c r="R53" s="1114"/>
      <c r="S53" s="1114"/>
      <c r="T53" s="1105"/>
    </row>
    <row r="54" spans="1:20">
      <c r="A54" s="1137"/>
      <c r="B54" s="1143" t="s">
        <v>1112</v>
      </c>
      <c r="C54" s="1143">
        <v>304128</v>
      </c>
      <c r="D54" s="1157"/>
      <c r="E54" s="1157"/>
      <c r="F54" s="1156">
        <f>ROUND(($D$13/$C$11)*(C30+C32+C34+C36+C38+C40)+((C24+C26+C28)/C11),0)</f>
        <v>0</v>
      </c>
      <c r="G54" s="1152"/>
      <c r="H54" s="1152"/>
      <c r="I54" s="1153">
        <v>7.03</v>
      </c>
      <c r="J54" s="1154"/>
      <c r="K54" s="1154"/>
      <c r="L54" s="1155">
        <f t="shared" si="0"/>
        <v>0</v>
      </c>
      <c r="M54" s="1150"/>
      <c r="N54" s="1150"/>
      <c r="O54" s="1114"/>
      <c r="P54" s="1114"/>
      <c r="Q54" s="1114"/>
      <c r="R54" s="1114"/>
      <c r="S54" s="1114"/>
      <c r="T54" s="1105"/>
    </row>
    <row r="55" spans="1:20">
      <c r="A55" s="1137"/>
      <c r="B55" s="1143" t="s">
        <v>1113</v>
      </c>
      <c r="C55" s="1143">
        <v>385820</v>
      </c>
      <c r="D55" s="1158"/>
      <c r="E55" s="1158"/>
      <c r="F55" s="1156">
        <f>(((C24/C11)*2)+((F24/F11)*2)+((I24/I11)*2)+((L24/L11)*2))+(((C26/C11)*2)+((F26/F11)*2)+((I26/I11)*2)+((L26/L11)*2))+((C28/C11)+(L28/L11)*2)+((C30/C11)+(L30/L11)*2)+((C32/C11)+(L32/L11)*2)+((C34/C11)+(L34/L11)*2)+((C36/C11)+(L36/L11)*2)+((C38/C11)+(L38/L11)*2)+((C40/C11)+(L40/L11)*2)+F54+((I24/I11)*2)+((I26/I11)*2)+((I28/I11)*2)+((I30/I11)*2)+((I32/I11)*2)+((I34/I11)*2)+((I36/I11)*2)+((I38/I11)*2)+((I40/I11)*2)</f>
        <v>80</v>
      </c>
      <c r="G55" s="1152"/>
      <c r="H55" s="1152"/>
      <c r="I55" s="1153">
        <v>0.15160000000000001</v>
      </c>
      <c r="J55" s="1154"/>
      <c r="K55" s="1154"/>
      <c r="L55" s="1155">
        <f t="shared" si="0"/>
        <v>12.128</v>
      </c>
      <c r="M55" s="1150"/>
      <c r="N55" s="1150"/>
      <c r="O55" s="1114"/>
      <c r="P55" s="1114"/>
      <c r="Q55" s="1114"/>
      <c r="R55" s="1114"/>
      <c r="S55" s="1114"/>
      <c r="T55" s="1105"/>
    </row>
    <row r="56" spans="1:20">
      <c r="A56" s="1137"/>
      <c r="B56" s="1143" t="s">
        <v>1114</v>
      </c>
      <c r="C56" s="1143">
        <v>304130</v>
      </c>
      <c r="D56" s="1157"/>
      <c r="E56" s="1157"/>
      <c r="F56" s="1156">
        <f>(((C24/C11)*3)+((F24/F11)*10)+((I24/I11)*6))+(((C26/C11)*3)+((F26/F11)*10)+((I26/I11)*6))+(((C28/C11)*3)+((I28/I11)*6))+(((C30/C11)*3)+((I30/I11)*6))+(((C32/C11)*3)+((I32/I11)*6))+(((C34/C11)*3)+((I34/I11)*6))+(((C36/C11)*3)+((I36/I11)*6))+(((C38/C11)*3)+((I38/I11)*6))+(((C40/C11)*3)+((I40/I11)*6))</f>
        <v>60</v>
      </c>
      <c r="G56" s="1152"/>
      <c r="H56" s="1152"/>
      <c r="I56" s="1153">
        <v>0.91</v>
      </c>
      <c r="J56" s="1154"/>
      <c r="K56" s="1154"/>
      <c r="L56" s="1155">
        <f t="shared" si="0"/>
        <v>54.6</v>
      </c>
      <c r="M56" s="1150"/>
      <c r="N56" s="1150"/>
      <c r="O56" s="1114"/>
      <c r="P56" s="1114"/>
      <c r="Q56" s="1114"/>
      <c r="R56" s="1114"/>
      <c r="S56" s="1114"/>
      <c r="T56" s="1105"/>
    </row>
    <row r="57" spans="1:20">
      <c r="A57" s="1137"/>
      <c r="B57" s="1153" t="s">
        <v>1115</v>
      </c>
      <c r="C57" s="1143">
        <v>304138</v>
      </c>
      <c r="D57" s="1151"/>
      <c r="E57" s="1151"/>
      <c r="F57" s="1156">
        <f>((F28/F11)*2)+((F30/F11)*2)+((F32/F11)*2)+((F34/F11)*2)+((F36/F11)*2)+((F38/F11)*2)+((F40/F11)*2)</f>
        <v>140</v>
      </c>
      <c r="G57" s="1152"/>
      <c r="H57" s="1152"/>
      <c r="I57" s="1159">
        <v>0.8</v>
      </c>
      <c r="J57" s="1155"/>
      <c r="K57" s="1155"/>
      <c r="L57" s="1155">
        <f t="shared" si="0"/>
        <v>112</v>
      </c>
      <c r="M57" s="1150"/>
      <c r="N57" s="1150"/>
      <c r="O57" s="1114"/>
      <c r="P57" s="1114"/>
      <c r="Q57" s="1114"/>
      <c r="R57" s="1114"/>
      <c r="S57" s="1114"/>
      <c r="T57" s="1105"/>
    </row>
    <row r="58" spans="1:20">
      <c r="A58" s="1137"/>
      <c r="B58" s="1143" t="s">
        <v>1116</v>
      </c>
      <c r="C58" s="1143">
        <v>376959</v>
      </c>
      <c r="D58" s="1157"/>
      <c r="E58" s="1157"/>
      <c r="F58" s="1156">
        <f>F57</f>
        <v>140</v>
      </c>
      <c r="G58" s="1152"/>
      <c r="H58" s="1152"/>
      <c r="I58" s="1153">
        <v>9.4299999999999995E-2</v>
      </c>
      <c r="J58" s="1154"/>
      <c r="K58" s="1154"/>
      <c r="L58" s="1155">
        <f t="shared" si="0"/>
        <v>13.202</v>
      </c>
      <c r="M58" s="1150"/>
      <c r="N58" s="1150"/>
      <c r="O58" s="1114"/>
      <c r="P58" s="1114"/>
      <c r="Q58" s="1114"/>
      <c r="R58" s="1114"/>
      <c r="S58" s="1114"/>
      <c r="T58" s="1105"/>
    </row>
    <row r="59" spans="1:20">
      <c r="A59" s="1137"/>
      <c r="B59" s="1153" t="s">
        <v>1117</v>
      </c>
      <c r="C59" s="1143">
        <v>304132</v>
      </c>
      <c r="D59" s="1151"/>
      <c r="E59" s="1151"/>
      <c r="F59" s="1156">
        <f>(((C24/C11)+(F24/F11)+(I24/I11)+(L24/L11))*2)+(((C26/C11)+(F26/F11)+(I26/I11)+(L26/L11))*2)+(((C28/C11)+(F28/F11)+(I28/I11)+(L28/L11))*2)+(((C30/C11)+(F30/F11)+(I30/I11)+(L30/L11))*2)+(((C32/C11)+(F32/F11)+(I32/I11)+(L32/L11))*2)+(((C34/C11)+(F34/F11)+(I34/I11)+(L34/L11))*2)+(((C36/C11)+(F36/F11)+(I36/I11)+(L36/L11))*2)+(((C38/C11)+(F38/F11)+(I38/I11)+(L38/L11))*1)+(((C40/C11)+(F40/F11)+(I40/I11)+(L40/L11))*1)</f>
        <v>210</v>
      </c>
      <c r="G59" s="1152"/>
      <c r="H59" s="1152"/>
      <c r="I59" s="1159">
        <v>0.65</v>
      </c>
      <c r="J59" s="1155"/>
      <c r="K59" s="1155"/>
      <c r="L59" s="1155">
        <f t="shared" si="0"/>
        <v>136.5</v>
      </c>
      <c r="M59" s="1150"/>
      <c r="N59" s="1150"/>
      <c r="O59" s="1114"/>
      <c r="P59" s="1114"/>
      <c r="Q59" s="1114"/>
      <c r="R59" s="1114"/>
      <c r="S59" s="1114"/>
      <c r="T59" s="1105"/>
    </row>
    <row r="60" spans="1:20">
      <c r="A60" s="1137"/>
      <c r="B60" s="1153" t="s">
        <v>1118</v>
      </c>
      <c r="C60" s="1143">
        <v>216448</v>
      </c>
      <c r="D60" s="1160"/>
      <c r="E60" s="1160"/>
      <c r="F60" s="1156">
        <f>F59</f>
        <v>210</v>
      </c>
      <c r="G60" s="1152"/>
      <c r="H60" s="1152"/>
      <c r="I60" s="1159">
        <v>3.6139999999999999E-2</v>
      </c>
      <c r="J60" s="1155"/>
      <c r="K60" s="1155"/>
      <c r="L60" s="1155">
        <f t="shared" si="0"/>
        <v>7.5893999999999995</v>
      </c>
      <c r="M60" s="1150"/>
      <c r="N60" s="1150"/>
      <c r="O60" s="1114"/>
      <c r="P60" s="1114"/>
      <c r="Q60" s="1114"/>
      <c r="R60" s="1114"/>
      <c r="S60" s="1114"/>
      <c r="T60" s="1105"/>
    </row>
    <row r="61" spans="1:20">
      <c r="A61" s="1137"/>
      <c r="B61" s="1153" t="s">
        <v>1119</v>
      </c>
      <c r="C61" s="1143">
        <v>339793</v>
      </c>
      <c r="D61" s="1151"/>
      <c r="E61" s="1151"/>
      <c r="F61" s="1156">
        <f>(((F28/F11)*F15)*2)+(((F30/F11)*F15)*2)+(((F32/F11)*F15)*2)+(((F34/F11)*F15)*2)+(((F36/F11)*F15)*2)+(((F38/F11)*F15)*2)+(((F40/F11)*F15)*2)</f>
        <v>70</v>
      </c>
      <c r="G61" s="1152"/>
      <c r="H61" s="1152"/>
      <c r="I61" s="1159">
        <v>0.47799000000000003</v>
      </c>
      <c r="J61" s="1155"/>
      <c r="K61" s="1155"/>
      <c r="L61" s="1155">
        <f t="shared" si="0"/>
        <v>33.459299999999999</v>
      </c>
      <c r="M61" s="1150"/>
      <c r="N61" s="1150"/>
      <c r="O61" s="1114"/>
      <c r="P61" s="1114"/>
      <c r="Q61" s="1114"/>
      <c r="R61" s="1114"/>
      <c r="S61" s="1114"/>
      <c r="T61" s="1105"/>
    </row>
    <row r="62" spans="1:20">
      <c r="A62" s="1137"/>
      <c r="B62" s="1153" t="s">
        <v>1120</v>
      </c>
      <c r="C62" s="1143">
        <v>304788</v>
      </c>
      <c r="D62" s="1151"/>
      <c r="E62" s="1151"/>
      <c r="F62" s="1156">
        <f>F54</f>
        <v>0</v>
      </c>
      <c r="G62" s="1152"/>
      <c r="H62" s="1152"/>
      <c r="I62" s="1159">
        <v>7.6829999999999996E-2</v>
      </c>
      <c r="J62" s="1155"/>
      <c r="K62" s="1155"/>
      <c r="L62" s="1155">
        <f t="shared" si="0"/>
        <v>0</v>
      </c>
      <c r="M62" s="1150"/>
      <c r="N62" s="1150"/>
      <c r="O62" s="1114"/>
      <c r="P62" s="1114"/>
      <c r="Q62" s="1114"/>
      <c r="R62" s="1114"/>
      <c r="S62" s="1114"/>
      <c r="T62" s="1105"/>
    </row>
    <row r="63" spans="1:20">
      <c r="A63" s="1137"/>
      <c r="B63" s="1153" t="s">
        <v>1121</v>
      </c>
      <c r="C63" s="1143">
        <v>304765</v>
      </c>
      <c r="D63" s="1151"/>
      <c r="E63" s="1151"/>
      <c r="F63" s="1156">
        <f>F62</f>
        <v>0</v>
      </c>
      <c r="G63" s="1152"/>
      <c r="H63" s="1152"/>
      <c r="I63" s="1159">
        <v>3.209E-2</v>
      </c>
      <c r="J63" s="1155"/>
      <c r="K63" s="1155"/>
      <c r="L63" s="1155">
        <f t="shared" si="0"/>
        <v>0</v>
      </c>
      <c r="M63" s="1150"/>
      <c r="N63" s="1150"/>
      <c r="O63" s="1114"/>
      <c r="P63" s="1114"/>
      <c r="Q63" s="1114"/>
      <c r="R63" s="1114"/>
      <c r="S63" s="1114"/>
      <c r="T63" s="1105"/>
    </row>
    <row r="64" spans="1:20">
      <c r="A64" s="1137"/>
      <c r="B64" s="1153" t="s">
        <v>1122</v>
      </c>
      <c r="C64" s="1143">
        <v>304770</v>
      </c>
      <c r="D64" s="1151"/>
      <c r="E64" s="1151"/>
      <c r="F64" s="1156">
        <f>F63</f>
        <v>0</v>
      </c>
      <c r="G64" s="1152"/>
      <c r="H64" s="1152"/>
      <c r="I64" s="1159">
        <v>2.034E-2</v>
      </c>
      <c r="J64" s="1155"/>
      <c r="K64" s="1155"/>
      <c r="L64" s="1155">
        <f t="shared" si="0"/>
        <v>0</v>
      </c>
      <c r="M64" s="1150"/>
      <c r="N64" s="1150"/>
      <c r="O64" s="1114"/>
      <c r="P64" s="1114"/>
      <c r="Q64" s="1114"/>
      <c r="R64" s="1114"/>
      <c r="S64" s="1114"/>
      <c r="T64" s="1105"/>
    </row>
    <row r="65" spans="1:20">
      <c r="A65" s="1137"/>
      <c r="B65" s="1153" t="s">
        <v>1123</v>
      </c>
      <c r="C65" s="1143">
        <v>304764</v>
      </c>
      <c r="D65" s="1160"/>
      <c r="E65" s="1160"/>
      <c r="F65" s="1156">
        <f>F60</f>
        <v>210</v>
      </c>
      <c r="G65" s="1152"/>
      <c r="H65" s="1152"/>
      <c r="I65" s="1159">
        <v>1.6670000000000001E-2</v>
      </c>
      <c r="J65" s="1155"/>
      <c r="K65" s="1155"/>
      <c r="L65" s="1155">
        <f t="shared" si="0"/>
        <v>3.5007000000000001</v>
      </c>
      <c r="M65" s="1150"/>
      <c r="N65" s="1150"/>
      <c r="O65" s="1114"/>
      <c r="P65" s="1114"/>
      <c r="Q65" s="1114"/>
      <c r="R65" s="1114"/>
      <c r="S65" s="1114"/>
      <c r="T65" s="1105"/>
    </row>
    <row r="66" spans="1:20">
      <c r="A66" s="1137"/>
      <c r="B66" s="1153" t="s">
        <v>1124</v>
      </c>
      <c r="C66" s="1143">
        <v>304769</v>
      </c>
      <c r="D66" s="1160"/>
      <c r="E66" s="1160"/>
      <c r="F66" s="1156">
        <f>F65</f>
        <v>210</v>
      </c>
      <c r="G66" s="1152"/>
      <c r="H66" s="1152"/>
      <c r="I66" s="1159">
        <v>1.103E-2</v>
      </c>
      <c r="J66" s="1155"/>
      <c r="K66" s="1155"/>
      <c r="L66" s="1155">
        <f t="shared" si="0"/>
        <v>2.3163</v>
      </c>
      <c r="M66" s="1150"/>
      <c r="N66" s="1150"/>
      <c r="O66" s="1114"/>
      <c r="P66" s="1114"/>
      <c r="Q66" s="1114"/>
      <c r="R66" s="1114"/>
      <c r="S66" s="1114"/>
      <c r="T66" s="1105"/>
    </row>
    <row r="67" spans="1:20" ht="8.25" customHeight="1" thickBot="1">
      <c r="A67" s="1137"/>
      <c r="B67" s="1104"/>
      <c r="C67" s="1114"/>
      <c r="D67" s="1114"/>
      <c r="E67" s="1114"/>
      <c r="F67" s="1114"/>
      <c r="G67" s="1114"/>
      <c r="H67" s="1114"/>
      <c r="I67" s="1114"/>
      <c r="J67" s="1114"/>
      <c r="K67" s="1114"/>
      <c r="L67" s="1114"/>
      <c r="M67" s="1114"/>
      <c r="N67" s="1114"/>
      <c r="O67" s="1114"/>
      <c r="P67" s="1114"/>
      <c r="Q67" s="1114"/>
      <c r="R67" s="1114"/>
      <c r="S67" s="1114"/>
      <c r="T67" s="1105"/>
    </row>
    <row r="68" spans="1:20" ht="13.8" thickBot="1">
      <c r="A68" s="1137"/>
      <c r="B68" s="1161" t="s">
        <v>1125</v>
      </c>
      <c r="C68" s="1162">
        <f>(((C24*E24)/C11)+((F24*H24)/F11)+((I24*K24)/I11)+((L24*N24)/L11))+(((C26*E26)/C11)+((F26*H26)/F11)+((I26*K26)/I11)+((L26*N26)/L11))+(((C28*E28)/C11)+((F28*H28)/F11)+((I28*K28)/I11)+((L28*N28)/L11))+(((C30*E30)/C11)+((F30*H30)/F11)+((I30*K30)/I11)+((L30*N30)/L11))+(((C32*E32)/C11)+((F32*H32)/F11)+((I32*K32)/I11)+((L32*N32)/L11))+(((C34*E34)/C11)+((F34*H34)/F11)+((I34*K34)/I11)+((L34*N34)/L11))+(((C36*E36)/C11)+((F36*H36)/F11)+((I36*K36)/I11)+((L36*N36)/L11))+(((C38*E38)/C11)+((F38*H38)/F11)+((I38*K38)/I11)+((L38*N38)/L11))+(((C40*E40)/C11)+((F40*H40)/F11)+((I40*K40)/I11)+((L40*N40)/L11))</f>
        <v>43</v>
      </c>
      <c r="D68" s="1114"/>
      <c r="E68" s="1114"/>
      <c r="F68" s="1114"/>
      <c r="G68" s="1114"/>
      <c r="H68" s="1114"/>
      <c r="I68" s="1114"/>
      <c r="J68" s="1114"/>
      <c r="K68" s="1114"/>
      <c r="L68" s="1163">
        <f>SUM(L48:L67)</f>
        <v>663.54169999999999</v>
      </c>
      <c r="M68" s="1164"/>
      <c r="N68" s="1164"/>
      <c r="O68" s="1114"/>
      <c r="P68" s="1114"/>
      <c r="Q68" s="1114"/>
      <c r="R68" s="1114"/>
      <c r="S68" s="1114"/>
      <c r="T68" s="1105"/>
    </row>
    <row r="69" spans="1:20" ht="9.75" customHeight="1" thickTop="1" thickBot="1">
      <c r="A69" s="1107"/>
      <c r="B69" s="1108"/>
      <c r="C69" s="1108"/>
      <c r="D69" s="1108"/>
      <c r="E69" s="1108"/>
      <c r="F69" s="1108"/>
      <c r="G69" s="1108"/>
      <c r="H69" s="1108"/>
      <c r="I69" s="1108"/>
      <c r="J69" s="1108"/>
      <c r="K69" s="1108"/>
      <c r="L69" s="1108"/>
      <c r="M69" s="1108"/>
      <c r="N69" s="1108"/>
      <c r="O69" s="1108"/>
      <c r="P69" s="1108"/>
      <c r="Q69" s="1108"/>
      <c r="R69" s="1108"/>
      <c r="S69" s="1108"/>
      <c r="T69" s="1110"/>
    </row>
    <row r="70" spans="1:20" ht="13.8" thickTop="1"/>
  </sheetData>
  <sheetProtection password="DCD4" sheet="1" selectLockedCells="1"/>
  <mergeCells count="4">
    <mergeCell ref="A1:S1"/>
    <mergeCell ref="C4:L4"/>
    <mergeCell ref="C6:L6"/>
    <mergeCell ref="R21:S21"/>
  </mergeCells>
  <printOptions horizontalCentered="1"/>
  <pageMargins left="0.24" right="0.23" top="0.22" bottom="0.19" header="0.17" footer="0.16"/>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indexed="14"/>
  </sheetPr>
  <dimension ref="A1:AE597"/>
  <sheetViews>
    <sheetView topLeftCell="A472" workbookViewId="0">
      <selection activeCell="D480" sqref="D480"/>
    </sheetView>
  </sheetViews>
  <sheetFormatPr defaultColWidth="9.109375" defaultRowHeight="13.2"/>
  <cols>
    <col min="1" max="2" width="6.6640625" style="36" customWidth="1"/>
    <col min="3" max="3" width="4.332031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6.6640625" style="36" customWidth="1"/>
    <col min="20" max="20" width="9.10937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467"/>
      <c r="B1" s="468" t="s">
        <v>0</v>
      </c>
      <c r="C1" s="469">
        <f>ML_Sum!$C1</f>
        <v>1</v>
      </c>
      <c r="D1" s="470" t="str">
        <f>ML_Sum!$D1</f>
        <v>Battery Street Limited</v>
      </c>
      <c r="E1" s="471"/>
      <c r="F1" s="472">
        <f>ML_Sum!$F1</f>
        <v>0</v>
      </c>
      <c r="G1" s="473"/>
      <c r="H1"/>
      <c r="I1" s="266">
        <v>1</v>
      </c>
      <c r="J1" s="267">
        <f>ML_Sum!$J1</f>
        <v>1</v>
      </c>
      <c r="K1" s="267">
        <f>ML_Sum!$K1</f>
        <v>1</v>
      </c>
      <c r="L1" s="267">
        <f>ML_Sum!$L1</f>
        <v>1</v>
      </c>
      <c r="M1" s="267">
        <f>ML_Sum!$M1</f>
        <v>1</v>
      </c>
      <c r="N1" s="267">
        <f>ML_Sum!$N1</f>
        <v>1</v>
      </c>
      <c r="O1" s="267">
        <f>ML_Sum!$O1</f>
        <v>1</v>
      </c>
      <c r="P1"/>
      <c r="Q1" s="331" t="str">
        <f>ML_Sum!$Q1</f>
        <v>€</v>
      </c>
      <c r="R1" s="270" t="s">
        <v>1</v>
      </c>
      <c r="S1" s="330" t="str">
        <f>ML_Sum!$S1</f>
        <v>R</v>
      </c>
      <c r="T1" s="17">
        <f>ML_Sum!$T1</f>
        <v>1.05</v>
      </c>
      <c r="U1" s="191" t="str">
        <f>ML_Sum!W1</f>
        <v>BOQ</v>
      </c>
      <c r="V1" s="126" t="s">
        <v>184</v>
      </c>
      <c r="W1" s="127" t="s">
        <v>174</v>
      </c>
      <c r="X1" s="128" t="s">
        <v>175</v>
      </c>
      <c r="Y1" s="129" t="s">
        <v>176</v>
      </c>
      <c r="Z1" s="130" t="s">
        <v>172</v>
      </c>
      <c r="AA1" s="130" t="s">
        <v>177</v>
      </c>
      <c r="AB1" s="127" t="s">
        <v>178</v>
      </c>
    </row>
    <row r="2" spans="1:31" s="32" customFormat="1" ht="13.8">
      <c r="A2" s="467"/>
      <c r="B2" s="468" t="s">
        <v>2</v>
      </c>
      <c r="C2" s="469">
        <f>ML_Sum!$C2</f>
        <v>1</v>
      </c>
      <c r="D2" s="470" t="str">
        <f>ML_Sum!$D2</f>
        <v>MEP Works British Hotel</v>
      </c>
      <c r="E2" s="474"/>
      <c r="F2" s="472" t="str">
        <f>ML_Sum!$F2</f>
        <v>Electrical</v>
      </c>
      <c r="G2" s="473"/>
      <c r="H2"/>
      <c r="I2" s="266">
        <v>2</v>
      </c>
      <c r="J2" s="267">
        <f>ML_Sum!$J2</f>
        <v>1</v>
      </c>
      <c r="K2" s="267">
        <f>ML_Sum!$K2</f>
        <v>1</v>
      </c>
      <c r="L2" s="267">
        <f>ML_Sum!$L2</f>
        <v>1</v>
      </c>
      <c r="M2" s="267">
        <f>ML_Sum!$M2</f>
        <v>1</v>
      </c>
      <c r="N2" s="267">
        <f>ML_Sum!$N2</f>
        <v>1</v>
      </c>
      <c r="O2" s="267">
        <f>ML_Sum!$O2</f>
        <v>1</v>
      </c>
      <c r="P2"/>
      <c r="Q2" s="336">
        <f>ML_Sum!$Q2</f>
        <v>0</v>
      </c>
      <c r="R2" s="18" t="s">
        <v>3</v>
      </c>
      <c r="S2" s="337">
        <f>ML_Sum!$S2</f>
        <v>1.22</v>
      </c>
      <c r="T2" s="338">
        <f>ML_Sum!$T2</f>
        <v>35.176259999999999</v>
      </c>
      <c r="V2" s="310"/>
      <c r="W2" s="310"/>
      <c r="X2" s="310"/>
      <c r="Y2" s="310"/>
      <c r="Z2" s="310"/>
      <c r="AA2" s="310"/>
      <c r="AB2" s="310"/>
    </row>
    <row r="3" spans="1:31" s="32" customFormat="1" ht="13.8">
      <c r="A3" s="475"/>
      <c r="B3" s="476" t="s">
        <v>4</v>
      </c>
      <c r="C3" s="469">
        <f>ML_Sum!$C3</f>
        <v>1</v>
      </c>
      <c r="D3" s="470" t="str">
        <f>ML_Sum!$D3</f>
        <v>Electrical and ELV Systems</v>
      </c>
      <c r="E3" s="475"/>
      <c r="F3" s="472" t="str">
        <f>ML_Sum!$F3</f>
        <v>Controls Section (DALI)</v>
      </c>
      <c r="G3" s="477"/>
      <c r="H3"/>
      <c r="I3" s="266">
        <v>3</v>
      </c>
      <c r="J3" s="267">
        <f>ML_Sum!$J3</f>
        <v>1</v>
      </c>
      <c r="K3" s="267">
        <f>ML_Sum!$K3</f>
        <v>1</v>
      </c>
      <c r="L3" s="267">
        <f>ML_Sum!$L3</f>
        <v>1</v>
      </c>
      <c r="M3" s="267">
        <f>ML_Sum!$M3</f>
        <v>1</v>
      </c>
      <c r="N3" s="267">
        <f>ML_Sum!$N3</f>
        <v>1</v>
      </c>
      <c r="O3" s="267">
        <f>ML_Sum!$O3</f>
        <v>1</v>
      </c>
      <c r="P3"/>
      <c r="Q3" s="336">
        <f>ML_Sum!$Q3</f>
        <v>0</v>
      </c>
      <c r="R3" s="19" t="s">
        <v>5</v>
      </c>
      <c r="S3" s="337">
        <f>ML_Sum!$S3</f>
        <v>1.22</v>
      </c>
      <c r="T3" s="338">
        <f>ML_Sum!$T3</f>
        <v>86.64</v>
      </c>
      <c r="V3" s="310"/>
      <c r="W3" s="310"/>
      <c r="X3" s="310"/>
      <c r="Y3" s="310"/>
      <c r="Z3" s="310"/>
      <c r="AA3" s="310"/>
      <c r="AB3" s="310"/>
      <c r="AE3" s="307"/>
    </row>
    <row r="4" spans="1:31" s="32" customFormat="1" ht="13.8">
      <c r="A4" s="478"/>
      <c r="B4" s="468" t="s">
        <v>6</v>
      </c>
      <c r="C4" s="469">
        <f>ML_Sum!$C4</f>
        <v>1</v>
      </c>
      <c r="D4" s="470" t="str">
        <f>ML_Sum!$D4</f>
        <v>EL25-0662B</v>
      </c>
      <c r="E4" s="475"/>
      <c r="F4" s="472" t="str">
        <f>ML_Sum!$F4</f>
        <v>Controls Section Engineer (DALI)</v>
      </c>
      <c r="G4" s="477"/>
      <c r="H4"/>
      <c r="I4" s="266">
        <v>4</v>
      </c>
      <c r="J4" s="267">
        <f>ML_Sum!$J4</f>
        <v>1</v>
      </c>
      <c r="K4" s="267">
        <f>ML_Sum!$K4</f>
        <v>1</v>
      </c>
      <c r="L4" s="267">
        <f>ML_Sum!$L4</f>
        <v>1</v>
      </c>
      <c r="M4" s="267">
        <f>ML_Sum!$M4</f>
        <v>1</v>
      </c>
      <c r="N4" s="267">
        <f>ML_Sum!$N4</f>
        <v>1</v>
      </c>
      <c r="O4" s="267">
        <f>ML_Sum!$O4</f>
        <v>1</v>
      </c>
      <c r="P4"/>
      <c r="Q4" s="336">
        <f>ML_Sum!$Q4</f>
        <v>0</v>
      </c>
      <c r="R4" s="20" t="s">
        <v>7</v>
      </c>
      <c r="S4" s="337">
        <f>ML_Sum!$S4</f>
        <v>1.22</v>
      </c>
      <c r="T4" s="338">
        <f>ML_Sum!$T4</f>
        <v>51.41</v>
      </c>
      <c r="V4" s="310"/>
      <c r="W4" s="310"/>
      <c r="X4" s="310"/>
      <c r="Y4" s="310"/>
      <c r="Z4" s="310"/>
      <c r="AA4" s="310"/>
      <c r="AB4" s="310"/>
      <c r="AE4" s="308"/>
    </row>
    <row r="5" spans="1:31" s="32" customFormat="1" ht="13.8">
      <c r="A5" s="478"/>
      <c r="B5" s="468" t="s">
        <v>186</v>
      </c>
      <c r="C5" s="469">
        <f>ML_Sum!$C5</f>
        <v>1</v>
      </c>
      <c r="D5" s="470" t="str">
        <f>ML_Sum!$D5</f>
        <v>MEP REVISED</v>
      </c>
      <c r="E5" s="475"/>
      <c r="F5" s="472" t="str">
        <f>ML_Sum!$F5</f>
        <v>ELV Sub-Contractor - APCO</v>
      </c>
      <c r="G5" s="479"/>
      <c r="H5"/>
      <c r="I5" s="266">
        <v>5</v>
      </c>
      <c r="J5" s="267">
        <f>ML_Sum!$J5</f>
        <v>1</v>
      </c>
      <c r="K5" s="267">
        <f>ML_Sum!$K5</f>
        <v>1</v>
      </c>
      <c r="L5" s="267">
        <f>ML_Sum!$L5</f>
        <v>1</v>
      </c>
      <c r="M5" s="267">
        <f>ML_Sum!$M5</f>
        <v>1</v>
      </c>
      <c r="N5" s="267">
        <f>ML_Sum!$N5</f>
        <v>1</v>
      </c>
      <c r="O5" s="267">
        <f>ML_Sum!$O5</f>
        <v>1</v>
      </c>
      <c r="P5"/>
      <c r="Q5" s="336">
        <f>ML_Sum!$Q5</f>
        <v>0</v>
      </c>
      <c r="R5" s="21" t="s">
        <v>9</v>
      </c>
      <c r="S5" s="337">
        <f>ML_Sum!$S5</f>
        <v>1.075</v>
      </c>
      <c r="T5" s="338">
        <f>ML_Sum!$T5</f>
        <v>30.995474999999995</v>
      </c>
      <c r="V5" s="310"/>
      <c r="W5" s="310"/>
      <c r="X5" s="310"/>
      <c r="Y5" s="310"/>
      <c r="Z5" s="310"/>
      <c r="AA5" s="310"/>
      <c r="AB5" s="310"/>
      <c r="AE5" s="308"/>
    </row>
    <row r="6" spans="1:31" s="32" customFormat="1" ht="13.8">
      <c r="A6"/>
      <c r="B6" s="476" t="s">
        <v>8</v>
      </c>
      <c r="C6" s="469">
        <f>ML_Sum!$C6</f>
        <v>1</v>
      </c>
      <c r="D6" s="470" t="str">
        <f>ML_Sum!$D6</f>
        <v>VAT EXCL.</v>
      </c>
      <c r="E6"/>
      <c r="F6" s="472" t="str">
        <f>ML_Sum!$F6</f>
        <v>ELV Sub-Contractor - DATA</v>
      </c>
      <c r="G6" s="479"/>
      <c r="H6"/>
      <c r="I6" s="266">
        <v>6</v>
      </c>
      <c r="J6" s="267">
        <f>ML_Sum!$J6</f>
        <v>1</v>
      </c>
      <c r="K6" s="267">
        <f>ML_Sum!$K6</f>
        <v>1</v>
      </c>
      <c r="L6" s="267">
        <f>ML_Sum!$L6</f>
        <v>1</v>
      </c>
      <c r="M6" s="267">
        <f>ML_Sum!$M6</f>
        <v>1</v>
      </c>
      <c r="N6" s="267">
        <f>ML_Sum!$N6</f>
        <v>1</v>
      </c>
      <c r="O6" s="267">
        <f>ML_Sum!$O6</f>
        <v>1</v>
      </c>
      <c r="P6"/>
      <c r="Q6" s="336">
        <f>ML_Sum!$Q6</f>
        <v>0</v>
      </c>
      <c r="R6" s="22" t="s">
        <v>10</v>
      </c>
      <c r="S6" s="337">
        <f>ML_Sum!$S6</f>
        <v>1.1000000000000001</v>
      </c>
      <c r="T6" s="338">
        <f>ML_Sum!$T6</f>
        <v>31.7163</v>
      </c>
      <c r="V6" s="310"/>
      <c r="W6" s="310"/>
      <c r="X6" s="310"/>
      <c r="Y6" s="310"/>
      <c r="Z6" s="310"/>
      <c r="AA6" s="310"/>
      <c r="AB6" s="310"/>
      <c r="AE6"/>
    </row>
    <row r="7" spans="1:31" s="32" customFormat="1" ht="13.8">
      <c r="A7" s="467"/>
      <c r="B7" s="476" t="s">
        <v>11</v>
      </c>
      <c r="C7" s="469">
        <f>ML_Sum!$C7</f>
        <v>1</v>
      </c>
      <c r="D7" s="480">
        <v>39364</v>
      </c>
      <c r="E7" s="481"/>
      <c r="F7" s="472">
        <f>ML_Sum!$F7</f>
        <v>0</v>
      </c>
      <c r="G7" s="482"/>
      <c r="H7"/>
      <c r="I7" s="266">
        <v>7</v>
      </c>
      <c r="J7" s="267">
        <f>ML_Sum!$J7</f>
        <v>1</v>
      </c>
      <c r="K7" s="267">
        <f>ML_Sum!$K7</f>
        <v>1</v>
      </c>
      <c r="L7" s="267">
        <f>ML_Sum!$L7</f>
        <v>1</v>
      </c>
      <c r="M7" s="267">
        <f>ML_Sum!$M7</f>
        <v>1</v>
      </c>
      <c r="N7" s="267">
        <f>ML_Sum!$N7</f>
        <v>1</v>
      </c>
      <c r="O7" s="267">
        <f>ML_Sum!$O7</f>
        <v>0</v>
      </c>
      <c r="P7"/>
      <c r="Q7" s="336">
        <f>ML_Sum!$Q7</f>
        <v>0</v>
      </c>
      <c r="R7" s="23" t="s">
        <v>12</v>
      </c>
      <c r="S7" s="337">
        <f>ML_Sum!$S7</f>
        <v>0</v>
      </c>
      <c r="T7" s="338">
        <f>ML_Sum!$T7</f>
        <v>0</v>
      </c>
      <c r="V7" s="310"/>
      <c r="W7" s="310"/>
      <c r="X7" s="310"/>
      <c r="Y7" s="310"/>
      <c r="Z7" s="310"/>
      <c r="AA7" s="310"/>
      <c r="AB7" s="310"/>
    </row>
    <row r="8" spans="1:31" s="32" customFormat="1" ht="13.8">
      <c r="A8" s="478"/>
      <c r="B8" s="476" t="s">
        <v>13</v>
      </c>
      <c r="C8" s="469">
        <f>ML_Sum!$C8</f>
        <v>1</v>
      </c>
      <c r="D8" s="470" t="str">
        <f>ML_Sum!$D8</f>
        <v>R.Farrugia</v>
      </c>
      <c r="E8" s="475"/>
      <c r="F8" s="472">
        <f>ML_Sum!$F8</f>
        <v>0</v>
      </c>
      <c r="G8" s="483"/>
      <c r="H8"/>
      <c r="I8" s="266">
        <v>8</v>
      </c>
      <c r="J8" s="267">
        <f>ML_Sum!$J8</f>
        <v>1</v>
      </c>
      <c r="K8" s="267">
        <f>ML_Sum!$K8</f>
        <v>1</v>
      </c>
      <c r="L8" s="267">
        <f>ML_Sum!$L8</f>
        <v>1</v>
      </c>
      <c r="M8" s="267">
        <f>ML_Sum!$M8</f>
        <v>1</v>
      </c>
      <c r="N8" s="267">
        <f>ML_Sum!$N8</f>
        <v>1</v>
      </c>
      <c r="O8" s="267">
        <f>ML_Sum!$O8</f>
        <v>0</v>
      </c>
      <c r="P8"/>
      <c r="Q8" s="336">
        <f>ML_Sum!$Q8</f>
        <v>0</v>
      </c>
      <c r="R8" s="24" t="s">
        <v>14</v>
      </c>
      <c r="S8" s="337">
        <f>ML_Sum!$S8</f>
        <v>0</v>
      </c>
      <c r="T8" s="338">
        <f>ML_Sum!$T8</f>
        <v>0</v>
      </c>
      <c r="V8" s="310"/>
      <c r="W8" s="310"/>
      <c r="X8" s="310"/>
      <c r="Y8" s="310"/>
      <c r="Z8" s="310"/>
      <c r="AA8" s="310"/>
      <c r="AB8" s="310"/>
      <c r="AE8" s="308"/>
    </row>
    <row r="9" spans="1:31" s="32" customFormat="1" ht="13.8">
      <c r="A9" s="478"/>
      <c r="B9" s="476" t="s">
        <v>256</v>
      </c>
      <c r="C9" s="469">
        <f>ML_Sum!$C9</f>
        <v>1</v>
      </c>
      <c r="D9" s="470">
        <f>ML_Sum!$D9</f>
        <v>28.832999999999998</v>
      </c>
      <c r="E9" s="475"/>
      <c r="F9" s="472">
        <f>ML_Sum!$F9</f>
        <v>0</v>
      </c>
      <c r="G9" s="483"/>
      <c r="H9"/>
      <c r="I9" s="266">
        <v>9</v>
      </c>
      <c r="J9" s="267">
        <f>ML_Sum!$J9</f>
        <v>1</v>
      </c>
      <c r="K9" s="267">
        <f>ML_Sum!$K9</f>
        <v>1</v>
      </c>
      <c r="L9" s="267">
        <f>ML_Sum!$L9</f>
        <v>1</v>
      </c>
      <c r="M9" s="267">
        <f>ML_Sum!$M9</f>
        <v>1</v>
      </c>
      <c r="N9" s="267">
        <f>ML_Sum!$N9</f>
        <v>1</v>
      </c>
      <c r="O9" s="267">
        <f>ML_Sum!$O9</f>
        <v>0</v>
      </c>
      <c r="P9"/>
      <c r="Q9" s="336">
        <f>ML_Sum!$Q9</f>
        <v>0</v>
      </c>
      <c r="R9" s="25" t="s">
        <v>15</v>
      </c>
      <c r="S9" s="337">
        <f>ML_Sum!$S9</f>
        <v>0</v>
      </c>
      <c r="T9" s="338">
        <f>ML_Sum!$T9</f>
        <v>0</v>
      </c>
      <c r="V9" s="310"/>
      <c r="W9" s="310"/>
      <c r="X9" s="310"/>
      <c r="Y9" s="310"/>
      <c r="Z9" s="310"/>
      <c r="AA9" s="310"/>
      <c r="AB9" s="310"/>
      <c r="AE9" s="308"/>
    </row>
    <row r="10" spans="1:31" s="32" customFormat="1" ht="13.8">
      <c r="A10" s="478"/>
      <c r="B10" s="467"/>
      <c r="C10" s="469">
        <f>ML_Sum!$C10</f>
        <v>1</v>
      </c>
      <c r="D10" s="467"/>
      <c r="E10" s="475"/>
      <c r="F10" s="472" t="str">
        <f>ML_Sum!$F10</f>
        <v>Enemalta 3Ph Application</v>
      </c>
      <c r="G10" s="483"/>
      <c r="H10"/>
      <c r="I10" s="266">
        <v>10</v>
      </c>
      <c r="J10" s="267">
        <f>ML_Sum!$J10</f>
        <v>1</v>
      </c>
      <c r="K10" s="267">
        <f>ML_Sum!$K10</f>
        <v>1</v>
      </c>
      <c r="L10" s="267">
        <f>ML_Sum!$L10</f>
        <v>1</v>
      </c>
      <c r="M10" s="267">
        <f>ML_Sum!$M10</f>
        <v>1</v>
      </c>
      <c r="N10" s="267">
        <f>ML_Sum!$N10</f>
        <v>1</v>
      </c>
      <c r="O10" s="267">
        <f>ML_Sum!$O10</f>
        <v>1</v>
      </c>
      <c r="P10"/>
      <c r="Q10" s="336">
        <f>ML_Sum!$Q10</f>
        <v>0</v>
      </c>
      <c r="R10" s="26" t="s">
        <v>16</v>
      </c>
      <c r="S10" s="337">
        <f>ML_Sum!$S10</f>
        <v>1.1000000000000001</v>
      </c>
      <c r="T10" s="338">
        <f>ML_Sum!$T10</f>
        <v>31.7163</v>
      </c>
      <c r="V10" s="310"/>
      <c r="W10" s="310"/>
      <c r="X10" s="310"/>
      <c r="Y10" s="310"/>
      <c r="Z10" s="310"/>
      <c r="AA10" s="310"/>
      <c r="AB10" s="310"/>
      <c r="AE10" s="308"/>
    </row>
    <row r="11" spans="1:31" s="32" customFormat="1" ht="13.8">
      <c r="A11" s="478"/>
      <c r="B11" s="467"/>
      <c r="C11" s="469">
        <f>ML_Sum!$C11</f>
        <v>1</v>
      </c>
      <c r="D11" s="467"/>
      <c r="E11" s="475"/>
      <c r="F11" s="472">
        <f>ML_Sum!$F11</f>
        <v>0</v>
      </c>
      <c r="G11" s="483"/>
      <c r="H11" s="483"/>
      <c r="I11" s="467"/>
      <c r="J11" s="467"/>
      <c r="K11" s="467"/>
      <c r="L11" s="467"/>
      <c r="M11" s="467"/>
      <c r="N11" s="467"/>
      <c r="O11" s="467"/>
      <c r="P11" s="483"/>
      <c r="Q11" s="336">
        <f>ML_Sum!$Q11</f>
        <v>0</v>
      </c>
      <c r="R11" s="27" t="s">
        <v>17</v>
      </c>
      <c r="S11" s="337">
        <f>ML_Sum!$S11</f>
        <v>0</v>
      </c>
      <c r="T11" s="338">
        <f>ML_Sum!$T11</f>
        <v>0</v>
      </c>
      <c r="V11" s="310"/>
      <c r="W11" s="310"/>
      <c r="X11" s="310"/>
      <c r="Y11" s="310"/>
      <c r="Z11" s="310"/>
      <c r="AA11" s="310"/>
      <c r="AB11" s="310"/>
      <c r="AE11" s="308"/>
    </row>
    <row r="12" spans="1:31" s="32" customFormat="1" ht="13.8">
      <c r="A12" s="478"/>
      <c r="B12" s="467"/>
      <c r="C12" s="469">
        <f>ML_Sum!$C12</f>
        <v>1</v>
      </c>
      <c r="D12" s="467"/>
      <c r="E12" s="475"/>
      <c r="F12" s="472">
        <f>ML_Sum!$F12</f>
        <v>0</v>
      </c>
      <c r="G12" s="483"/>
      <c r="H12" s="483"/>
      <c r="I12" s="467"/>
      <c r="J12" s="467"/>
      <c r="K12" s="467"/>
      <c r="L12" s="467"/>
      <c r="M12" s="467"/>
      <c r="N12" s="467"/>
      <c r="O12" s="467"/>
      <c r="P12" s="483"/>
      <c r="Q12" s="336">
        <f>ML_Sum!$Q12</f>
        <v>0</v>
      </c>
      <c r="R12" s="386" t="s">
        <v>199</v>
      </c>
      <c r="S12" s="337" t="str">
        <f>ML_Sum!$S12</f>
        <v>MAT MU</v>
      </c>
      <c r="T12" s="338" t="str">
        <f>ML_Sum!$T12</f>
        <v>LAB RATE</v>
      </c>
      <c r="V12" s="310"/>
      <c r="W12" s="310"/>
      <c r="X12" s="310"/>
      <c r="Y12" s="310"/>
      <c r="Z12" s="310"/>
      <c r="AA12" s="310"/>
      <c r="AB12" s="310"/>
      <c r="AE12" s="308"/>
    </row>
    <row r="13" spans="1:31" s="32" customFormat="1" ht="14.4" thickBot="1">
      <c r="A13" s="484"/>
      <c r="B13" s="485"/>
      <c r="C13" s="486"/>
      <c r="D13" s="487"/>
      <c r="E13" s="488"/>
      <c r="F13" s="489"/>
      <c r="G13" s="490" t="s">
        <v>18</v>
      </c>
      <c r="H13" s="490" t="s">
        <v>19</v>
      </c>
      <c r="I13" s="490" t="s">
        <v>20</v>
      </c>
      <c r="J13" s="490" t="s">
        <v>21</v>
      </c>
      <c r="K13" s="490" t="s">
        <v>22</v>
      </c>
      <c r="L13" s="490" t="s">
        <v>23</v>
      </c>
      <c r="M13" s="490" t="s">
        <v>24</v>
      </c>
      <c r="N13" s="490" t="s">
        <v>25</v>
      </c>
      <c r="O13" s="490" t="s">
        <v>26</v>
      </c>
      <c r="P13" s="490" t="s">
        <v>27</v>
      </c>
      <c r="Q13" s="28" t="s">
        <v>194</v>
      </c>
      <c r="R13" s="29" t="s">
        <v>29</v>
      </c>
      <c r="S13" s="30" t="s">
        <v>30</v>
      </c>
      <c r="T13" s="31" t="s">
        <v>31</v>
      </c>
      <c r="V13" s="310"/>
      <c r="W13" s="310"/>
      <c r="X13" s="310"/>
      <c r="Y13" s="310"/>
      <c r="Z13" s="310"/>
      <c r="AA13" s="310"/>
      <c r="AB13" s="310"/>
      <c r="AE13" s="309"/>
    </row>
    <row r="14" spans="1:31" s="1" customFormat="1" ht="11.4">
      <c r="A14" s="33"/>
      <c r="B14" s="33"/>
      <c r="C14" s="33"/>
      <c r="D14" s="33"/>
      <c r="E14" s="33"/>
      <c r="F14" s="33"/>
      <c r="G14" s="33"/>
      <c r="H14" s="33"/>
      <c r="I14" s="33"/>
      <c r="J14" s="33"/>
      <c r="K14" s="33"/>
      <c r="L14" s="33"/>
      <c r="M14" s="33"/>
      <c r="N14" s="33"/>
      <c r="O14" s="35"/>
      <c r="P14" s="33"/>
      <c r="Q14" s="41" t="s">
        <v>158</v>
      </c>
      <c r="R14" s="33"/>
      <c r="S14" s="13"/>
      <c r="T14" s="33"/>
    </row>
    <row r="15" spans="1:31" s="1" customFormat="1" ht="12.6" thickBot="1">
      <c r="A15" s="90">
        <v>70</v>
      </c>
      <c r="B15" s="91">
        <f ca="1">Elec_Est!B5539</f>
        <v>70</v>
      </c>
      <c r="C15" s="92"/>
      <c r="D15" s="93" t="s">
        <v>989</v>
      </c>
      <c r="E15" s="94"/>
      <c r="F15" s="94"/>
      <c r="G15" s="95"/>
      <c r="H15" s="95"/>
      <c r="I15" s="96"/>
      <c r="J15" s="95"/>
      <c r="K15" s="97" t="s">
        <v>159</v>
      </c>
      <c r="L15" s="98" t="s">
        <v>159</v>
      </c>
      <c r="M15" s="98"/>
      <c r="N15" s="98"/>
      <c r="O15" s="98"/>
      <c r="P15" s="98"/>
      <c r="Q15" s="99">
        <f ca="1">B15/A15</f>
        <v>1</v>
      </c>
      <c r="R15" s="100">
        <f ca="1">IF($B15=0,0,IF($S$1="R",ROUND(R23/$B15,2),R23/$B15))</f>
        <v>43.37</v>
      </c>
      <c r="S15" s="101"/>
      <c r="T15" s="100">
        <f ca="1">IF($B15=0,0,IF($S$1="R",ROUND(T23/$B15,2),T23/$B15))</f>
        <v>0.26</v>
      </c>
    </row>
    <row r="16" spans="1:31" s="1" customFormat="1" ht="13.8" thickTop="1">
      <c r="A16" s="42"/>
      <c r="B16" s="3"/>
      <c r="C16" s="3"/>
      <c r="D16" s="102" t="s">
        <v>160</v>
      </c>
      <c r="E16" s="3"/>
      <c r="F16" s="3"/>
      <c r="G16" s="3"/>
      <c r="H16" s="3"/>
      <c r="I16" s="3"/>
      <c r="J16" s="3"/>
      <c r="K16" s="3"/>
      <c r="L16" s="3"/>
      <c r="M16" s="3"/>
      <c r="N16" s="3"/>
      <c r="O16" s="103"/>
      <c r="P16" s="3"/>
      <c r="Q16" s="3"/>
      <c r="R16" s="3"/>
      <c r="S16" s="3"/>
      <c r="T16" s="3"/>
    </row>
    <row r="17" spans="1:28" s="1039" customFormat="1">
      <c r="A17" s="1295">
        <f ca="1">$Q$15 *(70)</f>
        <v>70</v>
      </c>
      <c r="B17" s="1039" t="s">
        <v>326</v>
      </c>
      <c r="D17" s="1039" t="s">
        <v>993</v>
      </c>
      <c r="F17" s="1039" t="s">
        <v>1005</v>
      </c>
      <c r="G17" s="1040" t="s">
        <v>990</v>
      </c>
      <c r="H17" s="1041">
        <v>616</v>
      </c>
      <c r="I17" s="1039" t="s">
        <v>991</v>
      </c>
      <c r="J17" s="1039" t="s">
        <v>992</v>
      </c>
      <c r="O17" s="1042">
        <v>2</v>
      </c>
      <c r="P17" s="1043">
        <v>40767</v>
      </c>
      <c r="Q17" s="1044">
        <v>41.55</v>
      </c>
      <c r="R17" s="1045">
        <f t="shared" ref="R17:R22" ca="1" si="0">$A17*Q17</f>
        <v>2908.5</v>
      </c>
      <c r="S17" s="1044">
        <v>0.18</v>
      </c>
      <c r="T17" s="1046">
        <f t="shared" ref="T17:T22" ca="1" si="1">$A17*S17*$T$1</f>
        <v>13.23</v>
      </c>
    </row>
    <row r="18" spans="1:28" s="1039" customFormat="1">
      <c r="A18" s="1295">
        <f ca="1">$Q$15 *(4)</f>
        <v>4</v>
      </c>
      <c r="B18" s="1039" t="s">
        <v>949</v>
      </c>
      <c r="D18" s="1039" t="s">
        <v>994</v>
      </c>
      <c r="G18" s="1040" t="s">
        <v>995</v>
      </c>
      <c r="H18" s="1041">
        <v>620</v>
      </c>
      <c r="I18" s="1039" t="s">
        <v>996</v>
      </c>
      <c r="O18" s="1042">
        <v>2</v>
      </c>
      <c r="P18" s="1043">
        <v>35431</v>
      </c>
      <c r="Q18" s="1044">
        <v>25.46</v>
      </c>
      <c r="R18" s="1045">
        <f t="shared" ca="1" si="0"/>
        <v>101.84</v>
      </c>
      <c r="S18" s="1044">
        <v>0.70000000000000007</v>
      </c>
      <c r="T18" s="1046">
        <f t="shared" ca="1" si="1"/>
        <v>2.9400000000000004</v>
      </c>
    </row>
    <row r="19" spans="1:28" s="1039" customFormat="1">
      <c r="A19" s="1295">
        <f ca="1">$Q$15 *(4*5)</f>
        <v>20</v>
      </c>
      <c r="B19" s="1039" t="s">
        <v>949</v>
      </c>
      <c r="D19" s="1039" t="s">
        <v>997</v>
      </c>
      <c r="G19" s="1040" t="s">
        <v>998</v>
      </c>
      <c r="H19" s="1041">
        <v>620</v>
      </c>
      <c r="I19" s="1039" t="s">
        <v>999</v>
      </c>
      <c r="O19" s="1042">
        <v>2</v>
      </c>
      <c r="P19" s="1043">
        <v>34669</v>
      </c>
      <c r="Q19" s="1044">
        <v>1</v>
      </c>
      <c r="R19" s="1045">
        <f t="shared" ca="1" si="0"/>
        <v>20</v>
      </c>
      <c r="S19" s="1044">
        <v>0.1</v>
      </c>
      <c r="T19" s="1046">
        <f t="shared" ca="1" si="1"/>
        <v>2.1</v>
      </c>
    </row>
    <row r="20" spans="1:28" s="1039" customFormat="1">
      <c r="A20" s="1295">
        <f ca="1">$Q$15 *(4)</f>
        <v>4</v>
      </c>
      <c r="B20" s="1039" t="s">
        <v>949</v>
      </c>
      <c r="D20" s="1039" t="s">
        <v>1000</v>
      </c>
      <c r="G20" s="1040" t="s">
        <v>1001</v>
      </c>
      <c r="H20" s="1041">
        <v>620</v>
      </c>
      <c r="I20" s="1039" t="s">
        <v>951</v>
      </c>
      <c r="O20" s="1042">
        <v>2</v>
      </c>
      <c r="P20" s="1043"/>
      <c r="Q20" s="1044">
        <v>0.5</v>
      </c>
      <c r="R20" s="1045">
        <f t="shared" ca="1" si="0"/>
        <v>2</v>
      </c>
      <c r="S20" s="1044"/>
      <c r="T20" s="1046">
        <f t="shared" ca="1" si="1"/>
        <v>0</v>
      </c>
    </row>
    <row r="21" spans="1:28" s="1039" customFormat="1">
      <c r="A21" s="1296">
        <f ca="1">$Q$15 *(70)</f>
        <v>70</v>
      </c>
      <c r="B21" s="1039" t="s">
        <v>949</v>
      </c>
      <c r="D21" s="1039" t="s">
        <v>1002</v>
      </c>
      <c r="G21" s="1040" t="s">
        <v>1003</v>
      </c>
      <c r="H21" s="1041">
        <v>875</v>
      </c>
      <c r="I21" s="1039" t="s">
        <v>951</v>
      </c>
      <c r="K21" s="1039" t="s">
        <v>1004</v>
      </c>
      <c r="O21" s="1042">
        <v>1</v>
      </c>
      <c r="P21" s="1043">
        <v>34669</v>
      </c>
      <c r="Q21" s="1044">
        <v>0.05</v>
      </c>
      <c r="R21" s="1045">
        <f t="shared" ca="1" si="0"/>
        <v>3.5</v>
      </c>
      <c r="S21" s="1044"/>
      <c r="T21" s="1046">
        <f t="shared" ca="1" si="1"/>
        <v>0</v>
      </c>
    </row>
    <row r="22" spans="1:28" s="1" customFormat="1">
      <c r="A22" s="4"/>
      <c r="B22" s="3"/>
      <c r="C22" s="4" t="s">
        <v>161</v>
      </c>
      <c r="D22" s="3"/>
      <c r="E22" s="4"/>
      <c r="F22" s="2"/>
      <c r="G22" s="4"/>
      <c r="H22" s="4"/>
      <c r="I22" s="5"/>
      <c r="J22" s="4"/>
      <c r="K22" s="4"/>
      <c r="L22" s="4"/>
      <c r="M22" s="4"/>
      <c r="N22" s="4"/>
      <c r="O22" s="4"/>
      <c r="P22" s="4"/>
      <c r="Q22" s="5"/>
      <c r="R22" s="104">
        <f t="shared" si="0"/>
        <v>0</v>
      </c>
      <c r="S22" s="5"/>
      <c r="T22" s="105">
        <f t="shared" si="1"/>
        <v>0</v>
      </c>
    </row>
    <row r="23" spans="1:28" s="1" customFormat="1" ht="12.6" thickBot="1">
      <c r="A23" s="43" t="s">
        <v>142</v>
      </c>
      <c r="B23" s="44">
        <f ca="1">(R23+T23)-SUM(R16:R22,T16:T22)</f>
        <v>0</v>
      </c>
      <c r="C23" s="45"/>
      <c r="D23" s="106" t="s">
        <v>162</v>
      </c>
      <c r="E23" s="461">
        <f ca="1">IF($B15=0,0,ROUND(ROUND(($R23*$S$2+($T23*$T$2))/$B15, 2)*$C$2,2))</f>
        <v>62.09</v>
      </c>
      <c r="F23" s="462">
        <f ca="1">ROUND($B15*$E23,2)</f>
        <v>4346.3</v>
      </c>
      <c r="G23" s="45"/>
      <c r="H23" s="45"/>
      <c r="I23" s="46"/>
      <c r="J23" s="45"/>
      <c r="K23" s="107" t="s">
        <v>140</v>
      </c>
      <c r="L23" s="108" t="s">
        <v>140</v>
      </c>
      <c r="M23" s="108"/>
      <c r="N23" s="108"/>
      <c r="O23" s="108"/>
      <c r="P23" s="108"/>
      <c r="Q23" s="109"/>
      <c r="R23" s="110">
        <f ca="1">SUM(R16:R22)</f>
        <v>3035.84</v>
      </c>
      <c r="S23" s="111"/>
      <c r="T23" s="110">
        <f ca="1">SUM(T16:T22)</f>
        <v>18.270000000000003</v>
      </c>
      <c r="U23" s="422"/>
      <c r="V23" s="422"/>
      <c r="W23" s="422"/>
      <c r="X23" s="422"/>
      <c r="Y23" s="422"/>
      <c r="Z23" s="422"/>
      <c r="AA23" s="422"/>
      <c r="AB23" s="422"/>
    </row>
    <row r="24" spans="1:28" s="504" customFormat="1" ht="12" thickTop="1">
      <c r="A24" s="50"/>
      <c r="B24" s="50"/>
      <c r="C24" s="50"/>
      <c r="D24" s="50"/>
      <c r="E24" s="50"/>
      <c r="F24" s="50"/>
      <c r="G24" s="50"/>
      <c r="H24" s="50"/>
      <c r="I24" s="50"/>
      <c r="J24" s="50"/>
      <c r="K24" s="50"/>
      <c r="L24" s="50"/>
      <c r="M24" s="50"/>
      <c r="N24" s="50"/>
      <c r="O24" s="51"/>
      <c r="P24" s="50"/>
      <c r="Q24" s="41" t="s">
        <v>158</v>
      </c>
      <c r="R24" s="50"/>
      <c r="S24" s="13"/>
      <c r="T24" s="50"/>
    </row>
    <row r="25" spans="1:28" s="504" customFormat="1" ht="12" customHeight="1" thickBot="1">
      <c r="A25" s="1082">
        <v>10</v>
      </c>
      <c r="B25" s="1083">
        <f ca="1">Elec_Est!B5540</f>
        <v>10</v>
      </c>
      <c r="C25" s="1084"/>
      <c r="D25" s="1085" t="s">
        <v>1009</v>
      </c>
      <c r="E25" s="1086"/>
      <c r="F25" s="1086"/>
      <c r="G25" s="876"/>
      <c r="H25" s="876"/>
      <c r="I25" s="1087"/>
      <c r="J25" s="876"/>
      <c r="K25" s="1084" t="s">
        <v>159</v>
      </c>
      <c r="L25" s="1088" t="s">
        <v>159</v>
      </c>
      <c r="M25" s="1088"/>
      <c r="N25" s="1088"/>
      <c r="O25" s="1088"/>
      <c r="P25" s="1088"/>
      <c r="Q25" s="1089">
        <f ca="1">B25/A25</f>
        <v>1</v>
      </c>
      <c r="R25" s="1090">
        <f ca="1">IF($B25=0,0,IF($S$1="R",ROUND(R33/$B25,2),R33/$B25))</f>
        <v>46.17</v>
      </c>
      <c r="S25" s="1091"/>
      <c r="T25" s="1090">
        <f ca="1">IF($B25=0,0,IF($S$1="R",ROUND(T33/$B25,2),T33/$B25))</f>
        <v>0.48</v>
      </c>
    </row>
    <row r="26" spans="1:28" s="504" customFormat="1" ht="13.8" thickTop="1">
      <c r="A26" s="872"/>
      <c r="B26" s="3"/>
      <c r="C26" s="3"/>
      <c r="D26" s="102" t="s">
        <v>160</v>
      </c>
      <c r="E26" s="3"/>
      <c r="F26" s="3"/>
      <c r="G26" s="3"/>
      <c r="H26" s="3"/>
      <c r="I26" s="3"/>
      <c r="J26" s="3"/>
      <c r="K26" s="3"/>
      <c r="L26" s="3"/>
      <c r="M26" s="3"/>
      <c r="N26" s="3"/>
      <c r="O26" s="103"/>
      <c r="P26" s="3"/>
      <c r="Q26" s="3"/>
      <c r="R26" s="3"/>
      <c r="S26" s="3"/>
      <c r="T26" s="3"/>
    </row>
    <row r="27" spans="1:28" s="1039" customFormat="1" ht="11.4">
      <c r="A27" s="1297">
        <f ca="1">$Q$25 *(10)</f>
        <v>10</v>
      </c>
      <c r="B27" s="1039" t="s">
        <v>326</v>
      </c>
      <c r="D27" s="1039" t="s">
        <v>1020</v>
      </c>
      <c r="G27" s="1040" t="s">
        <v>1018</v>
      </c>
      <c r="H27" s="1041">
        <v>616</v>
      </c>
      <c r="I27" s="1039" t="s">
        <v>991</v>
      </c>
      <c r="J27" s="1039" t="s">
        <v>1019</v>
      </c>
      <c r="O27" s="1042">
        <v>2</v>
      </c>
      <c r="P27" s="1043">
        <v>40767</v>
      </c>
      <c r="Q27" s="1044">
        <v>44.2</v>
      </c>
      <c r="R27" s="1045">
        <f t="shared" ref="R27:R32" ca="1" si="2">$A27*Q27</f>
        <v>442</v>
      </c>
      <c r="S27" s="1044">
        <v>0.18</v>
      </c>
      <c r="T27" s="1046">
        <f t="shared" ref="T27:T32" ca="1" si="3">$A27*S27*$T$1</f>
        <v>1.89</v>
      </c>
    </row>
    <row r="28" spans="1:28" s="1039" customFormat="1" ht="11.4">
      <c r="A28" s="1297">
        <f ca="1">$Q$25 *(2)</f>
        <v>2</v>
      </c>
      <c r="B28" s="1039" t="s">
        <v>949</v>
      </c>
      <c r="D28" s="1039" t="s">
        <v>1016</v>
      </c>
      <c r="G28" s="1040" t="s">
        <v>1017</v>
      </c>
      <c r="H28" s="1041">
        <v>620</v>
      </c>
      <c r="I28" s="1039" t="s">
        <v>951</v>
      </c>
      <c r="O28" s="1042">
        <v>2</v>
      </c>
      <c r="P28" s="1043">
        <v>35431</v>
      </c>
      <c r="Q28" s="1044">
        <v>4.51</v>
      </c>
      <c r="R28" s="1045">
        <f t="shared" ca="1" si="2"/>
        <v>9.02</v>
      </c>
      <c r="S28" s="1044">
        <v>0.9</v>
      </c>
      <c r="T28" s="1046">
        <f t="shared" ca="1" si="3"/>
        <v>1.8900000000000001</v>
      </c>
    </row>
    <row r="29" spans="1:28" s="1039" customFormat="1" ht="11.4">
      <c r="A29" s="1297">
        <f ca="1">$Q$25 *(10)</f>
        <v>10</v>
      </c>
      <c r="B29" s="1039" t="s">
        <v>949</v>
      </c>
      <c r="D29" s="1039" t="s">
        <v>997</v>
      </c>
      <c r="G29" s="1040" t="s">
        <v>998</v>
      </c>
      <c r="H29" s="1041">
        <v>620</v>
      </c>
      <c r="I29" s="1039" t="s">
        <v>999</v>
      </c>
      <c r="O29" s="1042">
        <v>2</v>
      </c>
      <c r="P29" s="1043">
        <v>34669</v>
      </c>
      <c r="Q29" s="1044">
        <v>1</v>
      </c>
      <c r="R29" s="1045">
        <f t="shared" ca="1" si="2"/>
        <v>10</v>
      </c>
      <c r="S29" s="1044">
        <v>0.1</v>
      </c>
      <c r="T29" s="1046">
        <f t="shared" ca="1" si="3"/>
        <v>1.05</v>
      </c>
    </row>
    <row r="30" spans="1:28" s="1039" customFormat="1" ht="11.4">
      <c r="A30" s="1297">
        <f ca="1">$Q$25 *(2)</f>
        <v>2</v>
      </c>
      <c r="B30" s="1039" t="s">
        <v>949</v>
      </c>
      <c r="D30" s="1039" t="s">
        <v>1000</v>
      </c>
      <c r="G30" s="1040" t="s">
        <v>1001</v>
      </c>
      <c r="H30" s="1041">
        <v>620</v>
      </c>
      <c r="I30" s="1039" t="s">
        <v>951</v>
      </c>
      <c r="O30" s="1042">
        <v>2</v>
      </c>
      <c r="P30" s="1043"/>
      <c r="Q30" s="1044">
        <v>0.1</v>
      </c>
      <c r="R30" s="1045">
        <f t="shared" ca="1" si="2"/>
        <v>0.2</v>
      </c>
      <c r="S30" s="1044"/>
      <c r="T30" s="1046">
        <f t="shared" ca="1" si="3"/>
        <v>0</v>
      </c>
    </row>
    <row r="31" spans="1:28" s="1039" customFormat="1">
      <c r="A31" s="1296">
        <f ca="1">$Q$25 *(10)</f>
        <v>10</v>
      </c>
      <c r="B31" s="1039" t="s">
        <v>949</v>
      </c>
      <c r="D31" s="1039" t="s">
        <v>1002</v>
      </c>
      <c r="G31" s="1040" t="s">
        <v>1003</v>
      </c>
      <c r="H31" s="1041">
        <v>875</v>
      </c>
      <c r="I31" s="1039" t="s">
        <v>951</v>
      </c>
      <c r="K31" s="1039" t="s">
        <v>1004</v>
      </c>
      <c r="O31" s="1042">
        <v>1</v>
      </c>
      <c r="P31" s="1043">
        <v>34669</v>
      </c>
      <c r="Q31" s="1044">
        <v>0.05</v>
      </c>
      <c r="R31" s="1045">
        <f t="shared" ca="1" si="2"/>
        <v>0.5</v>
      </c>
      <c r="S31" s="1044"/>
      <c r="T31" s="1046">
        <f t="shared" ca="1" si="3"/>
        <v>0</v>
      </c>
    </row>
    <row r="32" spans="1:28" s="504" customFormat="1">
      <c r="A32" s="882"/>
      <c r="B32" s="3"/>
      <c r="C32" s="882" t="s">
        <v>161</v>
      </c>
      <c r="D32" s="3"/>
      <c r="E32" s="882"/>
      <c r="F32" s="877"/>
      <c r="G32" s="882"/>
      <c r="H32" s="882"/>
      <c r="I32" s="503"/>
      <c r="J32" s="882"/>
      <c r="K32" s="882"/>
      <c r="L32" s="882"/>
      <c r="M32" s="882"/>
      <c r="N32" s="882"/>
      <c r="O32" s="882"/>
      <c r="P32" s="882"/>
      <c r="Q32" s="503"/>
      <c r="R32" s="1072">
        <f t="shared" si="2"/>
        <v>0</v>
      </c>
      <c r="S32" s="503"/>
      <c r="T32" s="884">
        <f t="shared" si="3"/>
        <v>0</v>
      </c>
    </row>
    <row r="33" spans="1:28" s="504" customFormat="1" ht="12.6" thickBot="1">
      <c r="A33" s="885" t="s">
        <v>142</v>
      </c>
      <c r="B33" s="886">
        <f>(R32+T32)</f>
        <v>0</v>
      </c>
      <c r="C33" s="887"/>
      <c r="D33" s="1092" t="s">
        <v>162</v>
      </c>
      <c r="E33" s="461">
        <f ca="1">IF($B25=0,0,ROUND(ROUND(($R33*$S$2+($T33*$T$2))/$B25, 2)*$C$2,2))</f>
        <v>73.319999999999993</v>
      </c>
      <c r="F33" s="462">
        <f ca="1">ROUND($B25*$E33,2)</f>
        <v>733.2</v>
      </c>
      <c r="G33" s="887"/>
      <c r="H33" s="887"/>
      <c r="I33" s="889"/>
      <c r="J33" s="887"/>
      <c r="K33" s="1093" t="s">
        <v>140</v>
      </c>
      <c r="L33" s="890" t="s">
        <v>140</v>
      </c>
      <c r="M33" s="890"/>
      <c r="N33" s="890"/>
      <c r="O33" s="890"/>
      <c r="P33" s="890"/>
      <c r="Q33" s="1093"/>
      <c r="R33" s="1094">
        <f ca="1">SUM(R26:R32)</f>
        <v>461.71999999999997</v>
      </c>
      <c r="S33" s="1095"/>
      <c r="T33" s="1094">
        <f ca="1">SUM(T26:T32)</f>
        <v>4.83</v>
      </c>
      <c r="U33" s="514"/>
      <c r="V33" s="514"/>
      <c r="W33" s="514"/>
      <c r="X33" s="514"/>
      <c r="Y33" s="514"/>
      <c r="Z33" s="514"/>
      <c r="AA33" s="514"/>
      <c r="AB33" s="514"/>
    </row>
    <row r="34" spans="1:28" s="504" customFormat="1" ht="12" thickTop="1">
      <c r="A34" s="50"/>
      <c r="B34" s="50"/>
      <c r="C34" s="50"/>
      <c r="D34" s="50"/>
      <c r="E34" s="50"/>
      <c r="F34" s="50"/>
      <c r="G34" s="50"/>
      <c r="H34" s="50"/>
      <c r="I34" s="50"/>
      <c r="J34" s="50"/>
      <c r="K34" s="50"/>
      <c r="L34" s="50"/>
      <c r="M34" s="50"/>
      <c r="N34" s="50"/>
      <c r="O34" s="51"/>
      <c r="P34" s="50"/>
      <c r="Q34" s="41" t="s">
        <v>158</v>
      </c>
      <c r="R34" s="50"/>
      <c r="S34" s="13"/>
      <c r="T34" s="50"/>
    </row>
    <row r="35" spans="1:28" s="504" customFormat="1" ht="12" customHeight="1" thickBot="1">
      <c r="A35" s="1082">
        <v>170</v>
      </c>
      <c r="B35" s="1083">
        <f ca="1">Elec_Est!B5541</f>
        <v>170</v>
      </c>
      <c r="C35" s="1084"/>
      <c r="D35" s="1085" t="s">
        <v>1010</v>
      </c>
      <c r="E35" s="1086"/>
      <c r="F35" s="1086"/>
      <c r="G35" s="876"/>
      <c r="H35" s="876"/>
      <c r="I35" s="1087"/>
      <c r="J35" s="876"/>
      <c r="K35" s="1084" t="s">
        <v>159</v>
      </c>
      <c r="L35" s="1088" t="s">
        <v>159</v>
      </c>
      <c r="M35" s="1088"/>
      <c r="N35" s="1088"/>
      <c r="O35" s="1088"/>
      <c r="P35" s="1088"/>
      <c r="Q35" s="1089">
        <f ca="1">B35/A35</f>
        <v>1</v>
      </c>
      <c r="R35" s="1090">
        <f ca="1">IF($B35=0,0,IF($S$1="R",ROUND(R43/$B35,2),R43/$B35))</f>
        <v>31.01</v>
      </c>
      <c r="S35" s="1091"/>
      <c r="T35" s="1090">
        <f ca="1">IF($B35=0,0,IF($S$1="R",ROUND(T43/$B35,2),T43/$B35))</f>
        <v>0.28999999999999998</v>
      </c>
    </row>
    <row r="36" spans="1:28" s="504" customFormat="1" ht="13.8" thickTop="1">
      <c r="A36" s="872"/>
      <c r="B36" s="3"/>
      <c r="C36" s="3"/>
      <c r="D36" s="102" t="s">
        <v>160</v>
      </c>
      <c r="E36" s="3"/>
      <c r="F36" s="3"/>
      <c r="G36" s="3"/>
      <c r="H36" s="3"/>
      <c r="I36" s="3"/>
      <c r="J36" s="3"/>
      <c r="K36" s="3"/>
      <c r="L36" s="3"/>
      <c r="M36" s="3"/>
      <c r="N36" s="3"/>
      <c r="O36" s="103"/>
      <c r="P36" s="3"/>
      <c r="Q36" s="3"/>
      <c r="R36" s="3"/>
      <c r="S36" s="3"/>
      <c r="T36" s="3"/>
    </row>
    <row r="37" spans="1:28" s="1039" customFormat="1" ht="11.4">
      <c r="A37" s="1297">
        <f ca="1">$Q$35 *(170)</f>
        <v>170</v>
      </c>
      <c r="B37" s="1039" t="s">
        <v>326</v>
      </c>
      <c r="D37" s="1039" t="s">
        <v>1021</v>
      </c>
      <c r="G37" s="1040" t="s">
        <v>1018</v>
      </c>
      <c r="H37" s="1041">
        <v>616</v>
      </c>
      <c r="I37" s="1039" t="s">
        <v>991</v>
      </c>
      <c r="J37" s="1039" t="s">
        <v>1019</v>
      </c>
      <c r="O37" s="1042">
        <v>2</v>
      </c>
      <c r="P37" s="1043">
        <v>40767</v>
      </c>
      <c r="Q37" s="1044">
        <v>30.41</v>
      </c>
      <c r="R37" s="1045">
        <f t="shared" ref="R37:R42" ca="1" si="4">$A37*Q37</f>
        <v>5169.7</v>
      </c>
      <c r="S37" s="1044">
        <v>0.18</v>
      </c>
      <c r="T37" s="1046">
        <f t="shared" ref="T37:T42" ca="1" si="5">$A37*S37*$T$1</f>
        <v>32.130000000000003</v>
      </c>
    </row>
    <row r="38" spans="1:28" s="1039" customFormat="1" ht="11.4">
      <c r="A38" s="1297">
        <f ca="1">$Q$35 *(12)</f>
        <v>12</v>
      </c>
      <c r="B38" s="1039" t="s">
        <v>949</v>
      </c>
      <c r="D38" s="1039" t="s">
        <v>1016</v>
      </c>
      <c r="G38" s="1040" t="s">
        <v>1017</v>
      </c>
      <c r="H38" s="1041">
        <v>620</v>
      </c>
      <c r="I38" s="1039" t="s">
        <v>951</v>
      </c>
      <c r="O38" s="1042">
        <v>2</v>
      </c>
      <c r="P38" s="1043">
        <v>35431</v>
      </c>
      <c r="Q38" s="1044">
        <v>4.51</v>
      </c>
      <c r="R38" s="1045">
        <f t="shared" ca="1" si="4"/>
        <v>54.12</v>
      </c>
      <c r="S38" s="1044">
        <v>0.9</v>
      </c>
      <c r="T38" s="1046">
        <f t="shared" ca="1" si="5"/>
        <v>11.340000000000002</v>
      </c>
    </row>
    <row r="39" spans="1:28" s="1039" customFormat="1">
      <c r="A39" s="1295">
        <f ca="1">$Q$35 *(12*5)</f>
        <v>60</v>
      </c>
      <c r="B39" s="1039" t="s">
        <v>949</v>
      </c>
      <c r="D39" s="1039" t="s">
        <v>1022</v>
      </c>
      <c r="G39" s="1040" t="s">
        <v>1023</v>
      </c>
      <c r="H39" s="1041">
        <v>620</v>
      </c>
      <c r="I39" s="1039" t="s">
        <v>999</v>
      </c>
      <c r="O39" s="1042">
        <v>2</v>
      </c>
      <c r="P39" s="1043">
        <v>34669</v>
      </c>
      <c r="Q39" s="1044">
        <v>0.65</v>
      </c>
      <c r="R39" s="1045">
        <f t="shared" ca="1" si="4"/>
        <v>39</v>
      </c>
      <c r="S39" s="1044">
        <v>0.1</v>
      </c>
      <c r="T39" s="1046">
        <f t="shared" ca="1" si="5"/>
        <v>6.3000000000000007</v>
      </c>
    </row>
    <row r="40" spans="1:28" s="1039" customFormat="1" ht="11.4">
      <c r="A40" s="1297">
        <f ca="1">$Q$35 *(12)</f>
        <v>12</v>
      </c>
      <c r="B40" s="1039" t="s">
        <v>949</v>
      </c>
      <c r="D40" s="1039" t="s">
        <v>1000</v>
      </c>
      <c r="G40" s="1040" t="s">
        <v>1001</v>
      </c>
      <c r="H40" s="1041">
        <v>620</v>
      </c>
      <c r="I40" s="1039" t="s">
        <v>951</v>
      </c>
      <c r="O40" s="1042">
        <v>2</v>
      </c>
      <c r="P40" s="1043"/>
      <c r="Q40" s="1044">
        <v>0.1</v>
      </c>
      <c r="R40" s="1045">
        <f t="shared" ca="1" si="4"/>
        <v>1.2000000000000002</v>
      </c>
      <c r="S40" s="1044"/>
      <c r="T40" s="1046">
        <f t="shared" ca="1" si="5"/>
        <v>0</v>
      </c>
    </row>
    <row r="41" spans="1:28" s="1039" customFormat="1">
      <c r="A41" s="1296">
        <f ca="1">$Q$35 *(170)</f>
        <v>170</v>
      </c>
      <c r="B41" s="1039" t="s">
        <v>949</v>
      </c>
      <c r="D41" s="1039" t="s">
        <v>1002</v>
      </c>
      <c r="G41" s="1040" t="s">
        <v>1003</v>
      </c>
      <c r="H41" s="1041">
        <v>875</v>
      </c>
      <c r="I41" s="1039" t="s">
        <v>951</v>
      </c>
      <c r="K41" s="1039" t="s">
        <v>1004</v>
      </c>
      <c r="O41" s="1042">
        <v>1</v>
      </c>
      <c r="P41" s="1043">
        <v>34669</v>
      </c>
      <c r="Q41" s="1044">
        <v>0.05</v>
      </c>
      <c r="R41" s="1045">
        <f t="shared" ca="1" si="4"/>
        <v>8.5</v>
      </c>
      <c r="S41" s="1044"/>
      <c r="T41" s="1046">
        <f t="shared" ca="1" si="5"/>
        <v>0</v>
      </c>
    </row>
    <row r="42" spans="1:28" s="504" customFormat="1">
      <c r="A42" s="882"/>
      <c r="B42" s="3"/>
      <c r="C42" s="882" t="s">
        <v>161</v>
      </c>
      <c r="D42" s="3"/>
      <c r="E42" s="882"/>
      <c r="F42" s="877"/>
      <c r="G42" s="882"/>
      <c r="H42" s="882"/>
      <c r="I42" s="503"/>
      <c r="J42" s="882"/>
      <c r="K42" s="882"/>
      <c r="L42" s="882"/>
      <c r="M42" s="882"/>
      <c r="N42" s="882"/>
      <c r="O42" s="882"/>
      <c r="P42" s="882"/>
      <c r="Q42" s="503"/>
      <c r="R42" s="1072">
        <f t="shared" si="4"/>
        <v>0</v>
      </c>
      <c r="S42" s="503"/>
      <c r="T42" s="884">
        <f t="shared" si="5"/>
        <v>0</v>
      </c>
    </row>
    <row r="43" spans="1:28" s="504" customFormat="1" ht="12.6" thickBot="1">
      <c r="A43" s="885" t="s">
        <v>142</v>
      </c>
      <c r="B43" s="886">
        <f>(R42+T42)</f>
        <v>0</v>
      </c>
      <c r="C43" s="887"/>
      <c r="D43" s="1092" t="s">
        <v>162</v>
      </c>
      <c r="E43" s="461">
        <f ca="1">IF($B35=0,0,ROUND(ROUND(($R43*$S$2+($T43*$T$2))/$B35, 2)*$C$2,2))</f>
        <v>48.14</v>
      </c>
      <c r="F43" s="462">
        <f ca="1">ROUND($B35*$E43,2)</f>
        <v>8183.8</v>
      </c>
      <c r="G43" s="887"/>
      <c r="H43" s="887"/>
      <c r="I43" s="889"/>
      <c r="J43" s="887"/>
      <c r="K43" s="1093" t="s">
        <v>140</v>
      </c>
      <c r="L43" s="890" t="s">
        <v>140</v>
      </c>
      <c r="M43" s="890"/>
      <c r="N43" s="890"/>
      <c r="O43" s="890"/>
      <c r="P43" s="890"/>
      <c r="Q43" s="1093"/>
      <c r="R43" s="1094">
        <f ca="1">SUM(R36:R42)</f>
        <v>5272.5199999999995</v>
      </c>
      <c r="S43" s="1095"/>
      <c r="T43" s="1094">
        <f ca="1">SUM(T36:T42)</f>
        <v>49.77000000000001</v>
      </c>
      <c r="U43" s="514"/>
      <c r="V43" s="514"/>
      <c r="W43" s="514"/>
      <c r="X43" s="514"/>
      <c r="Y43" s="514"/>
      <c r="Z43" s="514"/>
      <c r="AA43" s="514"/>
      <c r="AB43" s="514"/>
    </row>
    <row r="44" spans="1:28" s="504" customFormat="1" ht="12" thickTop="1">
      <c r="A44" s="50"/>
      <c r="B44" s="50"/>
      <c r="C44" s="50"/>
      <c r="D44" s="50"/>
      <c r="E44" s="50"/>
      <c r="F44" s="50"/>
      <c r="G44" s="50"/>
      <c r="H44" s="50"/>
      <c r="I44" s="50"/>
      <c r="J44" s="50"/>
      <c r="K44" s="50"/>
      <c r="L44" s="50"/>
      <c r="M44" s="50"/>
      <c r="N44" s="50"/>
      <c r="O44" s="51"/>
      <c r="P44" s="50"/>
      <c r="Q44" s="41" t="s">
        <v>158</v>
      </c>
      <c r="R44" s="50"/>
      <c r="S44" s="13"/>
      <c r="T44" s="50"/>
    </row>
    <row r="45" spans="1:28" s="504" customFormat="1" ht="12" customHeight="1" thickBot="1">
      <c r="A45" s="1082">
        <v>76</v>
      </c>
      <c r="B45" s="1083">
        <f ca="1">Elec_Est!B5542</f>
        <v>76</v>
      </c>
      <c r="C45" s="1084"/>
      <c r="D45" s="1085" t="s">
        <v>1011</v>
      </c>
      <c r="E45" s="1086"/>
      <c r="F45" s="1086"/>
      <c r="G45" s="876"/>
      <c r="H45" s="876"/>
      <c r="I45" s="1087"/>
      <c r="J45" s="876"/>
      <c r="K45" s="1084" t="s">
        <v>159</v>
      </c>
      <c r="L45" s="1088" t="s">
        <v>159</v>
      </c>
      <c r="M45" s="1088"/>
      <c r="N45" s="1088"/>
      <c r="O45" s="1088"/>
      <c r="P45" s="1088"/>
      <c r="Q45" s="1089">
        <f ca="1">B45/A45</f>
        <v>1</v>
      </c>
      <c r="R45" s="1090">
        <f ca="1">IF($B45=0,0,IF($S$1="R",ROUND(R53/$B45,2),R53/$B45))</f>
        <v>15.46</v>
      </c>
      <c r="S45" s="1091"/>
      <c r="T45" s="1090">
        <f ca="1">IF($B45=0,0,IF($S$1="R",ROUND(T53/$B45,2),T53/$B45))</f>
        <v>0.17</v>
      </c>
    </row>
    <row r="46" spans="1:28" s="504" customFormat="1" ht="13.8" thickTop="1">
      <c r="A46" s="872"/>
      <c r="B46" s="3"/>
      <c r="C46" s="3"/>
      <c r="D46" s="102" t="s">
        <v>160</v>
      </c>
      <c r="E46" s="3"/>
      <c r="F46" s="3"/>
      <c r="G46" s="3"/>
      <c r="H46" s="3"/>
      <c r="I46" s="3"/>
      <c r="J46" s="3"/>
      <c r="K46" s="3"/>
      <c r="L46" s="3"/>
      <c r="M46" s="3"/>
      <c r="N46" s="3"/>
      <c r="O46" s="103"/>
      <c r="P46" s="3"/>
      <c r="Q46" s="3"/>
      <c r="R46" s="3"/>
      <c r="S46" s="3"/>
      <c r="T46" s="3"/>
    </row>
    <row r="47" spans="1:28" s="1039" customFormat="1" ht="11.4">
      <c r="A47" s="1297">
        <f ca="1">$Q$45 *(76)</f>
        <v>76</v>
      </c>
      <c r="B47" s="1039" t="s">
        <v>326</v>
      </c>
      <c r="D47" s="1039" t="s">
        <v>1031</v>
      </c>
      <c r="G47" s="1040" t="s">
        <v>1024</v>
      </c>
      <c r="H47" s="1041">
        <v>616</v>
      </c>
      <c r="I47" s="1039" t="s">
        <v>951</v>
      </c>
      <c r="J47" s="1039" t="s">
        <v>1025</v>
      </c>
      <c r="O47" s="1042">
        <v>2</v>
      </c>
      <c r="P47" s="1043">
        <v>40767</v>
      </c>
      <c r="Q47" s="1044">
        <v>15.31</v>
      </c>
      <c r="R47" s="1045">
        <f t="shared" ref="R47:R52" ca="1" si="6">$A47*Q47</f>
        <v>1163.56</v>
      </c>
      <c r="S47" s="1044">
        <v>0.12</v>
      </c>
      <c r="T47" s="1046">
        <f t="shared" ref="T47:T52" ca="1" si="7">$A47*S47*$T$1</f>
        <v>9.5759999999999987</v>
      </c>
    </row>
    <row r="48" spans="1:28" s="1039" customFormat="1" ht="11.4">
      <c r="A48" s="1297">
        <f ca="1">$Q$45 *(4)</f>
        <v>4</v>
      </c>
      <c r="B48" s="1039" t="s">
        <v>949</v>
      </c>
      <c r="D48" s="1039" t="s">
        <v>1026</v>
      </c>
      <c r="G48" s="1040" t="s">
        <v>1017</v>
      </c>
      <c r="H48" s="1041">
        <v>620</v>
      </c>
      <c r="I48" s="1039" t="s">
        <v>951</v>
      </c>
      <c r="O48" s="1042">
        <v>2</v>
      </c>
      <c r="P48" s="1043">
        <v>35431</v>
      </c>
      <c r="Q48" s="1044">
        <v>0.98</v>
      </c>
      <c r="R48" s="1045">
        <f t="shared" ca="1" si="6"/>
        <v>3.92</v>
      </c>
      <c r="S48" s="1044">
        <v>0.5</v>
      </c>
      <c r="T48" s="1046">
        <f t="shared" ca="1" si="7"/>
        <v>2.1</v>
      </c>
    </row>
    <row r="49" spans="1:28" s="1039" customFormat="1" ht="11.4">
      <c r="A49" s="1297">
        <f ca="1">$Q$45 *(20)</f>
        <v>20</v>
      </c>
      <c r="B49" s="1039" t="s">
        <v>949</v>
      </c>
      <c r="D49" s="1039" t="s">
        <v>1027</v>
      </c>
      <c r="G49" s="1040" t="s">
        <v>1028</v>
      </c>
      <c r="H49" s="1041">
        <v>620</v>
      </c>
      <c r="I49" s="1039" t="s">
        <v>999</v>
      </c>
      <c r="O49" s="1042">
        <v>2</v>
      </c>
      <c r="P49" s="1043">
        <v>34669</v>
      </c>
      <c r="Q49" s="1044">
        <v>0.16</v>
      </c>
      <c r="R49" s="1045">
        <f t="shared" ca="1" si="6"/>
        <v>3.2</v>
      </c>
      <c r="S49" s="1044">
        <v>7.0000000000000007E-2</v>
      </c>
      <c r="T49" s="1046">
        <f t="shared" ca="1" si="7"/>
        <v>1.4700000000000002</v>
      </c>
    </row>
    <row r="50" spans="1:28" s="1039" customFormat="1" ht="11.4">
      <c r="A50" s="1297">
        <f ca="1">$Q$45 *(4)</f>
        <v>4</v>
      </c>
      <c r="B50" s="1039" t="s">
        <v>949</v>
      </c>
      <c r="D50" s="1039" t="s">
        <v>1000</v>
      </c>
      <c r="G50" s="1040" t="s">
        <v>1001</v>
      </c>
      <c r="H50" s="1041">
        <v>620</v>
      </c>
      <c r="I50" s="1039" t="s">
        <v>951</v>
      </c>
      <c r="O50" s="1042">
        <v>2</v>
      </c>
      <c r="P50" s="1043"/>
      <c r="Q50" s="1044">
        <v>0.1</v>
      </c>
      <c r="R50" s="1045">
        <f t="shared" ca="1" si="6"/>
        <v>0.4</v>
      </c>
      <c r="S50" s="1044"/>
      <c r="T50" s="1046">
        <f t="shared" ca="1" si="7"/>
        <v>0</v>
      </c>
    </row>
    <row r="51" spans="1:28" s="1039" customFormat="1">
      <c r="A51" s="1296">
        <f ca="1">$Q$45 *(76)</f>
        <v>76</v>
      </c>
      <c r="B51" s="1039" t="s">
        <v>949</v>
      </c>
      <c r="D51" s="1039" t="s">
        <v>1002</v>
      </c>
      <c r="G51" s="1040" t="s">
        <v>1003</v>
      </c>
      <c r="H51" s="1041">
        <v>875</v>
      </c>
      <c r="I51" s="1039" t="s">
        <v>951</v>
      </c>
      <c r="K51" s="1039" t="s">
        <v>1004</v>
      </c>
      <c r="O51" s="1042">
        <v>1</v>
      </c>
      <c r="P51" s="1043">
        <v>34669</v>
      </c>
      <c r="Q51" s="1044">
        <v>0.05</v>
      </c>
      <c r="R51" s="1045">
        <f t="shared" ca="1" si="6"/>
        <v>3.8000000000000003</v>
      </c>
      <c r="S51" s="1044"/>
      <c r="T51" s="1046">
        <f t="shared" ca="1" si="7"/>
        <v>0</v>
      </c>
    </row>
    <row r="52" spans="1:28" s="504" customFormat="1">
      <c r="A52" s="882"/>
      <c r="B52" s="3"/>
      <c r="C52" s="882" t="s">
        <v>161</v>
      </c>
      <c r="D52" s="3"/>
      <c r="E52" s="882"/>
      <c r="F52" s="877"/>
      <c r="G52" s="882"/>
      <c r="H52" s="882"/>
      <c r="I52" s="503"/>
      <c r="J52" s="882"/>
      <c r="K52" s="882"/>
      <c r="L52" s="882"/>
      <c r="M52" s="882"/>
      <c r="N52" s="882"/>
      <c r="O52" s="882"/>
      <c r="P52" s="882"/>
      <c r="Q52" s="503"/>
      <c r="R52" s="1072">
        <f t="shared" si="6"/>
        <v>0</v>
      </c>
      <c r="S52" s="503"/>
      <c r="T52" s="884">
        <f t="shared" si="7"/>
        <v>0</v>
      </c>
    </row>
    <row r="53" spans="1:28" s="504" customFormat="1" ht="12.6" thickBot="1">
      <c r="A53" s="885" t="s">
        <v>142</v>
      </c>
      <c r="B53" s="886">
        <f>(R52+T52)</f>
        <v>0</v>
      </c>
      <c r="C53" s="887"/>
      <c r="D53" s="1092" t="s">
        <v>162</v>
      </c>
      <c r="E53" s="461">
        <f ca="1">IF($B45=0,0,ROUND(ROUND(($R53*$S$2+($T53*$T$2))/$B45, 2)*$C$2,2))</f>
        <v>24.94</v>
      </c>
      <c r="F53" s="462">
        <f ca="1">ROUND($B45*$E53,2)</f>
        <v>1895.44</v>
      </c>
      <c r="G53" s="887"/>
      <c r="H53" s="887"/>
      <c r="I53" s="889"/>
      <c r="J53" s="887"/>
      <c r="K53" s="1093" t="s">
        <v>140</v>
      </c>
      <c r="L53" s="890" t="s">
        <v>140</v>
      </c>
      <c r="M53" s="890"/>
      <c r="N53" s="890"/>
      <c r="O53" s="890"/>
      <c r="P53" s="890"/>
      <c r="Q53" s="1093"/>
      <c r="R53" s="1094">
        <f ca="1">SUM(R46:R52)</f>
        <v>1174.8800000000001</v>
      </c>
      <c r="S53" s="1095"/>
      <c r="T53" s="1094">
        <f ca="1">SUM(T46:T52)</f>
        <v>13.145999999999999</v>
      </c>
      <c r="U53" s="514"/>
      <c r="V53" s="514"/>
      <c r="W53" s="514"/>
      <c r="X53" s="514"/>
      <c r="Y53" s="514"/>
      <c r="Z53" s="514"/>
      <c r="AA53" s="514"/>
      <c r="AB53" s="514"/>
    </row>
    <row r="54" spans="1:28" s="504" customFormat="1" ht="12" thickTop="1">
      <c r="A54" s="50"/>
      <c r="B54" s="50"/>
      <c r="C54" s="50"/>
      <c r="D54" s="50"/>
      <c r="E54" s="50"/>
      <c r="F54" s="50"/>
      <c r="G54" s="50"/>
      <c r="H54" s="50"/>
      <c r="I54" s="50"/>
      <c r="J54" s="50"/>
      <c r="K54" s="50"/>
      <c r="L54" s="50"/>
      <c r="M54" s="50"/>
      <c r="N54" s="50"/>
      <c r="O54" s="51"/>
      <c r="P54" s="50"/>
      <c r="Q54" s="41" t="s">
        <v>158</v>
      </c>
      <c r="R54" s="50"/>
      <c r="S54" s="13"/>
      <c r="T54" s="50"/>
    </row>
    <row r="55" spans="1:28" s="504" customFormat="1" ht="12" customHeight="1" thickBot="1">
      <c r="A55" s="1082">
        <v>267</v>
      </c>
      <c r="B55" s="1083">
        <f ca="1">Elec_Est!B5543</f>
        <v>267</v>
      </c>
      <c r="C55" s="1084"/>
      <c r="D55" s="1085" t="s">
        <v>1012</v>
      </c>
      <c r="E55" s="1086"/>
      <c r="F55" s="1086"/>
      <c r="G55" s="876"/>
      <c r="H55" s="876"/>
      <c r="I55" s="1087"/>
      <c r="J55" s="876"/>
      <c r="K55" s="1084" t="s">
        <v>159</v>
      </c>
      <c r="L55" s="1088" t="s">
        <v>159</v>
      </c>
      <c r="M55" s="1088"/>
      <c r="N55" s="1088"/>
      <c r="O55" s="1088"/>
      <c r="P55" s="1088"/>
      <c r="Q55" s="1089">
        <f ca="1">B55/A55</f>
        <v>1</v>
      </c>
      <c r="R55" s="1090">
        <f ca="1">IF($B55=0,0,IF($S$1="R",ROUND(R63/$B55,2),R63/$B55))</f>
        <v>6.71</v>
      </c>
      <c r="S55" s="1091"/>
      <c r="T55" s="1090">
        <f ca="1">IF($B55=0,0,IF($S$1="R",ROUND(T63/$B55,2),T63/$B55))</f>
        <v>0.14000000000000001</v>
      </c>
    </row>
    <row r="56" spans="1:28" s="504" customFormat="1" ht="13.8" thickTop="1">
      <c r="A56" s="872"/>
      <c r="B56" s="3"/>
      <c r="C56" s="3"/>
      <c r="D56" s="102" t="s">
        <v>160</v>
      </c>
      <c r="E56" s="3"/>
      <c r="F56" s="3"/>
      <c r="G56" s="3"/>
      <c r="H56" s="3"/>
      <c r="I56" s="3"/>
      <c r="J56" s="3"/>
      <c r="K56" s="3"/>
      <c r="L56" s="3"/>
      <c r="M56" s="3"/>
      <c r="N56" s="3"/>
      <c r="O56" s="103"/>
      <c r="P56" s="3"/>
      <c r="Q56" s="3"/>
      <c r="R56" s="3"/>
      <c r="S56" s="3"/>
      <c r="T56" s="3"/>
    </row>
    <row r="57" spans="1:28" s="1039" customFormat="1" ht="11.4">
      <c r="A57" s="1297">
        <f ca="1">$Q$55 *(267)</f>
        <v>267</v>
      </c>
      <c r="B57" s="1039" t="s">
        <v>326</v>
      </c>
      <c r="D57" s="1039" t="s">
        <v>1032</v>
      </c>
      <c r="G57" s="1040" t="s">
        <v>1029</v>
      </c>
      <c r="H57" s="1041">
        <v>616</v>
      </c>
      <c r="I57" s="1039" t="s">
        <v>951</v>
      </c>
      <c r="K57" s="1039" t="s">
        <v>1030</v>
      </c>
      <c r="O57" s="1042">
        <v>2</v>
      </c>
      <c r="P57" s="1043">
        <v>38299</v>
      </c>
      <c r="Q57" s="1044">
        <v>6.55</v>
      </c>
      <c r="R57" s="1045">
        <f t="shared" ref="R57:R62" ca="1" si="8">$A57*Q57</f>
        <v>1748.85</v>
      </c>
      <c r="S57" s="1044">
        <v>0.09</v>
      </c>
      <c r="T57" s="1046">
        <f t="shared" ref="T57:T62" ca="1" si="9">$A57*S57*$T$1</f>
        <v>25.231499999999997</v>
      </c>
    </row>
    <row r="58" spans="1:28" s="1039" customFormat="1" ht="11.4">
      <c r="A58" s="1297">
        <f ca="1">$Q$55 *(9*2)</f>
        <v>18</v>
      </c>
      <c r="B58" s="1039" t="s">
        <v>949</v>
      </c>
      <c r="D58" s="1039" t="s">
        <v>1033</v>
      </c>
      <c r="G58" s="1040" t="s">
        <v>1017</v>
      </c>
      <c r="H58" s="1041">
        <v>620</v>
      </c>
      <c r="I58" s="1039" t="s">
        <v>951</v>
      </c>
      <c r="O58" s="1042">
        <v>2</v>
      </c>
      <c r="P58" s="1043">
        <v>35431</v>
      </c>
      <c r="Q58" s="1044">
        <v>0.87</v>
      </c>
      <c r="R58" s="1045">
        <f t="shared" ca="1" si="8"/>
        <v>15.66</v>
      </c>
      <c r="S58" s="1044">
        <v>0.4</v>
      </c>
      <c r="T58" s="1046">
        <f t="shared" ca="1" si="9"/>
        <v>7.5600000000000005</v>
      </c>
    </row>
    <row r="59" spans="1:28" s="1039" customFormat="1" ht="11.4">
      <c r="A59" s="1297">
        <f ca="1">$Q$55 *(18*5)</f>
        <v>90</v>
      </c>
      <c r="B59" s="1039" t="s">
        <v>949</v>
      </c>
      <c r="D59" s="1039" t="s">
        <v>1034</v>
      </c>
      <c r="G59" s="1040" t="s">
        <v>1035</v>
      </c>
      <c r="H59" s="1041">
        <v>620</v>
      </c>
      <c r="I59" s="1039" t="s">
        <v>999</v>
      </c>
      <c r="O59" s="1042">
        <v>2</v>
      </c>
      <c r="P59" s="1043">
        <v>34669</v>
      </c>
      <c r="Q59" s="1044">
        <v>0.14000000000000001</v>
      </c>
      <c r="R59" s="1045">
        <f t="shared" ca="1" si="8"/>
        <v>12.600000000000001</v>
      </c>
      <c r="S59" s="1044">
        <v>0.06</v>
      </c>
      <c r="T59" s="1046">
        <f t="shared" ca="1" si="9"/>
        <v>5.67</v>
      </c>
    </row>
    <row r="60" spans="1:28" s="1039" customFormat="1" ht="11.4">
      <c r="A60" s="1297">
        <f ca="1">$Q$55 *(18)</f>
        <v>18</v>
      </c>
      <c r="B60" s="1039" t="s">
        <v>949</v>
      </c>
      <c r="D60" s="1039" t="s">
        <v>1000</v>
      </c>
      <c r="G60" s="1040" t="s">
        <v>1001</v>
      </c>
      <c r="H60" s="1041">
        <v>620</v>
      </c>
      <c r="I60" s="1039" t="s">
        <v>951</v>
      </c>
      <c r="O60" s="1042">
        <v>2</v>
      </c>
      <c r="P60" s="1043"/>
      <c r="Q60" s="1044">
        <v>0.1</v>
      </c>
      <c r="R60" s="1045">
        <f t="shared" ca="1" si="8"/>
        <v>1.8</v>
      </c>
      <c r="S60" s="1044"/>
      <c r="T60" s="1046">
        <f t="shared" ca="1" si="9"/>
        <v>0</v>
      </c>
    </row>
    <row r="61" spans="1:28" s="1039" customFormat="1">
      <c r="A61" s="1296">
        <f ca="1">$Q$55 *(267)</f>
        <v>267</v>
      </c>
      <c r="B61" s="1039" t="s">
        <v>949</v>
      </c>
      <c r="D61" s="1039" t="s">
        <v>1002</v>
      </c>
      <c r="G61" s="1040" t="s">
        <v>1003</v>
      </c>
      <c r="H61" s="1041">
        <v>875</v>
      </c>
      <c r="I61" s="1039" t="s">
        <v>951</v>
      </c>
      <c r="K61" s="1039" t="s">
        <v>1004</v>
      </c>
      <c r="O61" s="1042">
        <v>1</v>
      </c>
      <c r="P61" s="1043">
        <v>34669</v>
      </c>
      <c r="Q61" s="1044">
        <v>0.05</v>
      </c>
      <c r="R61" s="1045">
        <f t="shared" ca="1" si="8"/>
        <v>13.350000000000001</v>
      </c>
      <c r="S61" s="1044"/>
      <c r="T61" s="1046">
        <f t="shared" ca="1" si="9"/>
        <v>0</v>
      </c>
    </row>
    <row r="62" spans="1:28" s="504" customFormat="1">
      <c r="A62" s="882"/>
      <c r="B62" s="3"/>
      <c r="C62" s="882" t="s">
        <v>161</v>
      </c>
      <c r="D62" s="3"/>
      <c r="E62" s="882"/>
      <c r="F62" s="877"/>
      <c r="G62" s="882"/>
      <c r="H62" s="882"/>
      <c r="I62" s="503"/>
      <c r="J62" s="882"/>
      <c r="K62" s="882"/>
      <c r="L62" s="882"/>
      <c r="M62" s="882"/>
      <c r="N62" s="882"/>
      <c r="O62" s="882"/>
      <c r="P62" s="882"/>
      <c r="Q62" s="503"/>
      <c r="R62" s="1072">
        <f t="shared" si="8"/>
        <v>0</v>
      </c>
      <c r="S62" s="503"/>
      <c r="T62" s="884">
        <f t="shared" si="9"/>
        <v>0</v>
      </c>
    </row>
    <row r="63" spans="1:28" s="504" customFormat="1" ht="12.6" thickBot="1">
      <c r="A63" s="885" t="s">
        <v>142</v>
      </c>
      <c r="B63" s="886">
        <f>(R62+T62)</f>
        <v>0</v>
      </c>
      <c r="C63" s="887"/>
      <c r="D63" s="1092" t="s">
        <v>162</v>
      </c>
      <c r="E63" s="461">
        <f ca="1">IF($B55=0,0,ROUND(ROUND(($R63*$S$2+($T63*$T$2))/$B55, 2)*$C$2,2))</f>
        <v>13.26</v>
      </c>
      <c r="F63" s="462">
        <f ca="1">ROUND($B55*$E63,2)</f>
        <v>3540.42</v>
      </c>
      <c r="G63" s="887"/>
      <c r="H63" s="887"/>
      <c r="I63" s="889"/>
      <c r="J63" s="887"/>
      <c r="K63" s="1093" t="s">
        <v>140</v>
      </c>
      <c r="L63" s="890" t="s">
        <v>140</v>
      </c>
      <c r="M63" s="890"/>
      <c r="N63" s="890"/>
      <c r="O63" s="890"/>
      <c r="P63" s="890"/>
      <c r="Q63" s="1093"/>
      <c r="R63" s="1094">
        <f ca="1">SUM(R56:R62)</f>
        <v>1792.2599999999998</v>
      </c>
      <c r="S63" s="1095"/>
      <c r="T63" s="1094">
        <f ca="1">SUM(T56:T62)</f>
        <v>38.461500000000001</v>
      </c>
      <c r="U63" s="514"/>
      <c r="V63" s="514"/>
      <c r="W63" s="514"/>
      <c r="X63" s="514"/>
      <c r="Y63" s="514"/>
      <c r="Z63" s="514"/>
      <c r="AA63" s="514"/>
      <c r="AB63" s="514"/>
    </row>
    <row r="64" spans="1:28" s="504" customFormat="1" ht="12" thickTop="1">
      <c r="A64" s="50"/>
      <c r="B64" s="50"/>
      <c r="C64" s="50"/>
      <c r="D64" s="50"/>
      <c r="E64" s="50"/>
      <c r="F64" s="50"/>
      <c r="G64" s="50"/>
      <c r="H64" s="50"/>
      <c r="I64" s="50"/>
      <c r="J64" s="50"/>
      <c r="K64" s="50"/>
      <c r="L64" s="50"/>
      <c r="M64" s="50"/>
      <c r="N64" s="50"/>
      <c r="O64" s="51"/>
      <c r="P64" s="50"/>
      <c r="Q64" s="41" t="s">
        <v>158</v>
      </c>
      <c r="R64" s="50"/>
      <c r="S64" s="13"/>
      <c r="T64" s="50"/>
    </row>
    <row r="65" spans="1:28" s="504" customFormat="1" ht="12" customHeight="1" thickBot="1">
      <c r="A65" s="1082">
        <v>52</v>
      </c>
      <c r="B65" s="1083">
        <f ca="1">Elec_Est!B5544</f>
        <v>52</v>
      </c>
      <c r="C65" s="1084"/>
      <c r="D65" s="1085" t="s">
        <v>1013</v>
      </c>
      <c r="E65" s="1086"/>
      <c r="F65" s="1086"/>
      <c r="G65" s="876"/>
      <c r="H65" s="876"/>
      <c r="I65" s="1087"/>
      <c r="J65" s="876"/>
      <c r="K65" s="1084" t="s">
        <v>159</v>
      </c>
      <c r="L65" s="1088" t="s">
        <v>159</v>
      </c>
      <c r="M65" s="1088"/>
      <c r="N65" s="1088"/>
      <c r="O65" s="1088"/>
      <c r="P65" s="1088"/>
      <c r="Q65" s="1089">
        <f ca="1">B65/A65</f>
        <v>1</v>
      </c>
      <c r="R65" s="1090">
        <f ca="1">IF($B65=0,0,IF($S$1="R",ROUND(R73/$B65,2),R73/$B65))</f>
        <v>4.17</v>
      </c>
      <c r="S65" s="1091"/>
      <c r="T65" s="1090">
        <f ca="1">IF($B65=0,0,IF($S$1="R",ROUND(T73/$B65,2),T73/$B65))</f>
        <v>0.15</v>
      </c>
    </row>
    <row r="66" spans="1:28" s="504" customFormat="1" ht="13.8" thickTop="1">
      <c r="A66" s="872"/>
      <c r="B66" s="3"/>
      <c r="C66" s="3"/>
      <c r="D66" s="102" t="s">
        <v>160</v>
      </c>
      <c r="E66" s="3"/>
      <c r="F66" s="3"/>
      <c r="G66" s="3"/>
      <c r="H66" s="3"/>
      <c r="I66" s="3"/>
      <c r="J66" s="3"/>
      <c r="K66" s="3"/>
      <c r="L66" s="3"/>
      <c r="M66" s="3"/>
      <c r="N66" s="3"/>
      <c r="O66" s="103"/>
      <c r="P66" s="3"/>
      <c r="Q66" s="3"/>
      <c r="R66" s="3"/>
      <c r="S66" s="3"/>
      <c r="T66" s="3"/>
    </row>
    <row r="67" spans="1:28" s="1039" customFormat="1" ht="11.4">
      <c r="A67" s="1297">
        <f ca="1">$Q$65 *(52)</f>
        <v>52</v>
      </c>
      <c r="B67" s="1039" t="s">
        <v>326</v>
      </c>
      <c r="D67" s="1039" t="s">
        <v>1036</v>
      </c>
      <c r="G67" s="1040" t="s">
        <v>1029</v>
      </c>
      <c r="H67" s="1041">
        <v>616</v>
      </c>
      <c r="I67" s="1039" t="s">
        <v>951</v>
      </c>
      <c r="K67" s="1039" t="s">
        <v>1030</v>
      </c>
      <c r="O67" s="1042">
        <v>2</v>
      </c>
      <c r="P67" s="1043">
        <v>38299</v>
      </c>
      <c r="Q67" s="1044">
        <v>3.97</v>
      </c>
      <c r="R67" s="1045">
        <f t="shared" ref="R67:R72" ca="1" si="10">$A67*Q67</f>
        <v>206.44</v>
      </c>
      <c r="S67" s="1044">
        <v>0.08</v>
      </c>
      <c r="T67" s="1046">
        <f t="shared" ref="T67:T72" ca="1" si="11">$A67*S67*$T$1</f>
        <v>4.3680000000000003</v>
      </c>
    </row>
    <row r="68" spans="1:28" s="1039" customFormat="1" ht="11.4">
      <c r="A68" s="1297">
        <f ca="1">$Q$65 *(6)</f>
        <v>6</v>
      </c>
      <c r="B68" s="1039" t="s">
        <v>949</v>
      </c>
      <c r="D68" s="1039" t="s">
        <v>1033</v>
      </c>
      <c r="G68" s="1040" t="s">
        <v>1017</v>
      </c>
      <c r="H68" s="1041">
        <v>620</v>
      </c>
      <c r="I68" s="1039" t="s">
        <v>951</v>
      </c>
      <c r="O68" s="1042">
        <v>2</v>
      </c>
      <c r="P68" s="1043">
        <v>35431</v>
      </c>
      <c r="Q68" s="1044">
        <v>0.87</v>
      </c>
      <c r="R68" s="1045">
        <f t="shared" ca="1" si="10"/>
        <v>5.22</v>
      </c>
      <c r="S68" s="1044">
        <v>0.4</v>
      </c>
      <c r="T68" s="1046">
        <f t="shared" ca="1" si="11"/>
        <v>2.5200000000000005</v>
      </c>
    </row>
    <row r="69" spans="1:28" s="1039" customFormat="1" ht="11.4">
      <c r="A69" s="1297">
        <f ca="1">$Q$65 *(6*5)</f>
        <v>30</v>
      </c>
      <c r="B69" s="1039" t="s">
        <v>949</v>
      </c>
      <c r="D69" s="1039" t="s">
        <v>1037</v>
      </c>
      <c r="G69" s="1040" t="s">
        <v>1038</v>
      </c>
      <c r="H69" s="1041">
        <v>620</v>
      </c>
      <c r="I69" s="1039" t="s">
        <v>999</v>
      </c>
      <c r="O69" s="1042">
        <v>2</v>
      </c>
      <c r="P69" s="1043">
        <v>34669</v>
      </c>
      <c r="Q69" s="1044">
        <v>7.0000000000000007E-2</v>
      </c>
      <c r="R69" s="1045">
        <f t="shared" ca="1" si="10"/>
        <v>2.1</v>
      </c>
      <c r="S69" s="1044">
        <v>0.03</v>
      </c>
      <c r="T69" s="1046">
        <f t="shared" ca="1" si="11"/>
        <v>0.94499999999999995</v>
      </c>
    </row>
    <row r="70" spans="1:28" s="1039" customFormat="1" ht="11.4">
      <c r="A70" s="1297">
        <f ca="1">$Q$65 *(6)</f>
        <v>6</v>
      </c>
      <c r="B70" s="1039" t="s">
        <v>949</v>
      </c>
      <c r="D70" s="1039" t="s">
        <v>1000</v>
      </c>
      <c r="G70" s="1040" t="s">
        <v>1001</v>
      </c>
      <c r="H70" s="1041">
        <v>620</v>
      </c>
      <c r="I70" s="1039" t="s">
        <v>951</v>
      </c>
      <c r="O70" s="1042">
        <v>2</v>
      </c>
      <c r="P70" s="1043"/>
      <c r="Q70" s="1044">
        <v>0.1</v>
      </c>
      <c r="R70" s="1045">
        <f t="shared" ca="1" si="10"/>
        <v>0.60000000000000009</v>
      </c>
      <c r="S70" s="1044"/>
      <c r="T70" s="1046">
        <f t="shared" ca="1" si="11"/>
        <v>0</v>
      </c>
    </row>
    <row r="71" spans="1:28" s="1039" customFormat="1">
      <c r="A71" s="1296">
        <f ca="1">$Q$65 *(52)</f>
        <v>52</v>
      </c>
      <c r="B71" s="1039" t="s">
        <v>949</v>
      </c>
      <c r="D71" s="1039" t="s">
        <v>1002</v>
      </c>
      <c r="G71" s="1040" t="s">
        <v>1003</v>
      </c>
      <c r="H71" s="1041">
        <v>875</v>
      </c>
      <c r="I71" s="1039" t="s">
        <v>951</v>
      </c>
      <c r="K71" s="1039" t="s">
        <v>1004</v>
      </c>
      <c r="O71" s="1042">
        <v>1</v>
      </c>
      <c r="P71" s="1043">
        <v>34669</v>
      </c>
      <c r="Q71" s="1044">
        <v>0.05</v>
      </c>
      <c r="R71" s="1045">
        <f t="shared" ca="1" si="10"/>
        <v>2.6</v>
      </c>
      <c r="S71" s="1044"/>
      <c r="T71" s="1046">
        <f t="shared" ca="1" si="11"/>
        <v>0</v>
      </c>
    </row>
    <row r="72" spans="1:28" s="504" customFormat="1">
      <c r="A72" s="882"/>
      <c r="B72" s="3"/>
      <c r="C72" s="882" t="s">
        <v>161</v>
      </c>
      <c r="D72" s="3"/>
      <c r="E72" s="882"/>
      <c r="F72" s="877"/>
      <c r="G72" s="882"/>
      <c r="H72" s="882"/>
      <c r="I72" s="503"/>
      <c r="J72" s="882"/>
      <c r="K72" s="882"/>
      <c r="L72" s="882"/>
      <c r="M72" s="882"/>
      <c r="N72" s="882"/>
      <c r="O72" s="882"/>
      <c r="P72" s="882"/>
      <c r="Q72" s="503"/>
      <c r="R72" s="1072">
        <f t="shared" si="10"/>
        <v>0</v>
      </c>
      <c r="S72" s="503"/>
      <c r="T72" s="884">
        <f t="shared" si="11"/>
        <v>0</v>
      </c>
    </row>
    <row r="73" spans="1:28" s="504" customFormat="1" ht="12.6" thickBot="1">
      <c r="A73" s="885" t="s">
        <v>142</v>
      </c>
      <c r="B73" s="886">
        <f>(R72+T72)</f>
        <v>0</v>
      </c>
      <c r="C73" s="887"/>
      <c r="D73" s="1092" t="s">
        <v>162</v>
      </c>
      <c r="E73" s="461">
        <f ca="1">IF($B65=0,0,ROUND(ROUND(($R73*$S$2+($T73*$T$2))/$B65, 2)*$C$2,2))</f>
        <v>10.39</v>
      </c>
      <c r="F73" s="462">
        <f ca="1">ROUND($B65*$E73,2)</f>
        <v>540.28</v>
      </c>
      <c r="G73" s="887"/>
      <c r="H73" s="887"/>
      <c r="I73" s="889"/>
      <c r="J73" s="887"/>
      <c r="K73" s="1093" t="s">
        <v>140</v>
      </c>
      <c r="L73" s="890" t="s">
        <v>140</v>
      </c>
      <c r="M73" s="890"/>
      <c r="N73" s="890"/>
      <c r="O73" s="890"/>
      <c r="P73" s="890"/>
      <c r="Q73" s="1093"/>
      <c r="R73" s="1094">
        <f ca="1">SUM(R66:R72)</f>
        <v>216.95999999999998</v>
      </c>
      <c r="S73" s="1095"/>
      <c r="T73" s="1094">
        <f ca="1">SUM(T66:T72)</f>
        <v>7.8330000000000011</v>
      </c>
      <c r="U73" s="514"/>
      <c r="V73" s="514"/>
      <c r="W73" s="514"/>
      <c r="X73" s="514"/>
      <c r="Y73" s="514"/>
      <c r="Z73" s="514"/>
      <c r="AA73" s="514"/>
      <c r="AB73" s="514"/>
    </row>
    <row r="74" spans="1:28" s="504" customFormat="1" ht="12" thickTop="1">
      <c r="A74" s="50"/>
      <c r="B74" s="50"/>
      <c r="C74" s="50"/>
      <c r="D74" s="50"/>
      <c r="E74" s="50"/>
      <c r="F74" s="50"/>
      <c r="G74" s="50"/>
      <c r="H74" s="50"/>
      <c r="I74" s="50"/>
      <c r="J74" s="50"/>
      <c r="K74" s="50"/>
      <c r="L74" s="50"/>
      <c r="M74" s="50"/>
      <c r="N74" s="50"/>
      <c r="O74" s="51"/>
      <c r="P74" s="50"/>
      <c r="Q74" s="41" t="s">
        <v>158</v>
      </c>
      <c r="R74" s="50"/>
      <c r="S74" s="13"/>
      <c r="T74" s="50"/>
    </row>
    <row r="75" spans="1:28" s="504" customFormat="1" ht="12" customHeight="1" thickBot="1">
      <c r="A75" s="1082">
        <v>30</v>
      </c>
      <c r="B75" s="1083">
        <f ca="1">Elec_Est!B5545</f>
        <v>30</v>
      </c>
      <c r="C75" s="1084"/>
      <c r="D75" s="1085" t="s">
        <v>1014</v>
      </c>
      <c r="E75" s="1086"/>
      <c r="F75" s="1086"/>
      <c r="G75" s="876"/>
      <c r="H75" s="876"/>
      <c r="I75" s="1087"/>
      <c r="J75" s="876"/>
      <c r="K75" s="1084" t="s">
        <v>159</v>
      </c>
      <c r="L75" s="1088" t="s">
        <v>159</v>
      </c>
      <c r="M75" s="1088"/>
      <c r="N75" s="1088"/>
      <c r="O75" s="1088"/>
      <c r="P75" s="1088"/>
      <c r="Q75" s="1089">
        <f ca="1">B75/A75</f>
        <v>1</v>
      </c>
      <c r="R75" s="1090">
        <f ca="1">IF($B75=0,0,IF($S$1="R",ROUND(R83/$B75,2),R83/$B75))</f>
        <v>2.08</v>
      </c>
      <c r="S75" s="1091"/>
      <c r="T75" s="1090">
        <f ca="1">IF($B75=0,0,IF($S$1="R",ROUND(T83/$B75,2),T83/$B75))</f>
        <v>0.11</v>
      </c>
    </row>
    <row r="76" spans="1:28" s="504" customFormat="1" ht="13.8" thickTop="1">
      <c r="A76" s="872"/>
      <c r="B76" s="3"/>
      <c r="C76" s="3"/>
      <c r="D76" s="102" t="s">
        <v>160</v>
      </c>
      <c r="E76" s="3"/>
      <c r="F76" s="3"/>
      <c r="G76" s="3"/>
      <c r="H76" s="3"/>
      <c r="I76" s="3"/>
      <c r="J76" s="3"/>
      <c r="K76" s="3"/>
      <c r="L76" s="3"/>
      <c r="M76" s="3"/>
      <c r="N76" s="3"/>
      <c r="O76" s="103"/>
      <c r="P76" s="3"/>
      <c r="Q76" s="3"/>
      <c r="R76" s="3"/>
      <c r="S76" s="3"/>
      <c r="T76" s="3"/>
    </row>
    <row r="77" spans="1:28" s="1039" customFormat="1" ht="11.4">
      <c r="A77" s="1297">
        <f ca="1">$Q$75 *(30)</f>
        <v>30</v>
      </c>
      <c r="B77" s="1039" t="s">
        <v>326</v>
      </c>
      <c r="D77" s="1039" t="s">
        <v>1039</v>
      </c>
      <c r="G77" s="1040" t="s">
        <v>1029</v>
      </c>
      <c r="H77" s="1041">
        <v>616</v>
      </c>
      <c r="I77" s="1039" t="s">
        <v>951</v>
      </c>
      <c r="K77" s="1039" t="s">
        <v>1030</v>
      </c>
      <c r="O77" s="1042">
        <v>2</v>
      </c>
      <c r="P77" s="1043">
        <v>38299</v>
      </c>
      <c r="Q77" s="1044">
        <v>1.93</v>
      </c>
      <c r="R77" s="1045">
        <f t="shared" ref="R77:R82" ca="1" si="12">$A77*Q77</f>
        <v>57.9</v>
      </c>
      <c r="S77" s="1044">
        <v>0.06</v>
      </c>
      <c r="T77" s="1046">
        <f t="shared" ref="T77:T82" ca="1" si="13">$A77*S77*$T$1</f>
        <v>1.89</v>
      </c>
    </row>
    <row r="78" spans="1:28" s="1039" customFormat="1" ht="11.4">
      <c r="A78" s="1297">
        <f ca="1">$Q$75 *(4)</f>
        <v>4</v>
      </c>
      <c r="B78" s="1039" t="s">
        <v>949</v>
      </c>
      <c r="D78" s="1039" t="s">
        <v>1040</v>
      </c>
      <c r="G78" s="1040" t="s">
        <v>1017</v>
      </c>
      <c r="H78" s="1041">
        <v>620</v>
      </c>
      <c r="I78" s="1039" t="s">
        <v>951</v>
      </c>
      <c r="O78" s="1042">
        <v>2</v>
      </c>
      <c r="P78" s="1043">
        <v>35431</v>
      </c>
      <c r="Q78" s="1044">
        <v>0.41</v>
      </c>
      <c r="R78" s="1045">
        <f t="shared" ca="1" si="12"/>
        <v>1.64</v>
      </c>
      <c r="S78" s="1044">
        <v>0.2</v>
      </c>
      <c r="T78" s="1046">
        <f t="shared" ca="1" si="13"/>
        <v>0.84000000000000008</v>
      </c>
    </row>
    <row r="79" spans="1:28" s="1039" customFormat="1" ht="11.4">
      <c r="A79" s="1297">
        <f ca="1">$Q$75 *(20)</f>
        <v>20</v>
      </c>
      <c r="B79" s="1039" t="s">
        <v>949</v>
      </c>
      <c r="D79" s="1039" t="s">
        <v>1041</v>
      </c>
      <c r="G79" s="1040" t="s">
        <v>1042</v>
      </c>
      <c r="H79" s="1041">
        <v>620</v>
      </c>
      <c r="I79" s="1039" t="s">
        <v>999</v>
      </c>
      <c r="O79" s="1042">
        <v>2</v>
      </c>
      <c r="P79" s="1043">
        <v>34669</v>
      </c>
      <c r="Q79" s="1044">
        <v>0.05</v>
      </c>
      <c r="R79" s="1045">
        <f t="shared" ca="1" si="12"/>
        <v>1</v>
      </c>
      <c r="S79" s="1044">
        <v>0.02</v>
      </c>
      <c r="T79" s="1046">
        <f t="shared" ca="1" si="13"/>
        <v>0.42000000000000004</v>
      </c>
    </row>
    <row r="80" spans="1:28" s="1039" customFormat="1" ht="11.4">
      <c r="A80" s="1297">
        <f ca="1">$Q$75 *(4)</f>
        <v>4</v>
      </c>
      <c r="B80" s="1039" t="s">
        <v>949</v>
      </c>
      <c r="D80" s="1039" t="s">
        <v>1000</v>
      </c>
      <c r="G80" s="1040" t="s">
        <v>1001</v>
      </c>
      <c r="H80" s="1041">
        <v>620</v>
      </c>
      <c r="I80" s="1039" t="s">
        <v>951</v>
      </c>
      <c r="O80" s="1042">
        <v>2</v>
      </c>
      <c r="P80" s="1043"/>
      <c r="Q80" s="1044">
        <v>0.1</v>
      </c>
      <c r="R80" s="1045">
        <f t="shared" ca="1" si="12"/>
        <v>0.4</v>
      </c>
      <c r="S80" s="1044"/>
      <c r="T80" s="1046">
        <f t="shared" ca="1" si="13"/>
        <v>0</v>
      </c>
    </row>
    <row r="81" spans="1:28" s="1039" customFormat="1">
      <c r="A81" s="1296">
        <f ca="1">$Q$75 *(30)</f>
        <v>30</v>
      </c>
      <c r="B81" s="1039" t="s">
        <v>949</v>
      </c>
      <c r="D81" s="1039" t="s">
        <v>1002</v>
      </c>
      <c r="G81" s="1040" t="s">
        <v>1003</v>
      </c>
      <c r="H81" s="1041">
        <v>875</v>
      </c>
      <c r="I81" s="1039" t="s">
        <v>951</v>
      </c>
      <c r="K81" s="1039" t="s">
        <v>1004</v>
      </c>
      <c r="O81" s="1042">
        <v>1</v>
      </c>
      <c r="P81" s="1043">
        <v>34669</v>
      </c>
      <c r="Q81" s="1044">
        <v>0.05</v>
      </c>
      <c r="R81" s="1045">
        <f t="shared" ca="1" si="12"/>
        <v>1.5</v>
      </c>
      <c r="S81" s="1044"/>
      <c r="T81" s="1046">
        <f t="shared" ca="1" si="13"/>
        <v>0</v>
      </c>
    </row>
    <row r="82" spans="1:28" s="504" customFormat="1">
      <c r="A82" s="882"/>
      <c r="B82" s="3"/>
      <c r="C82" s="882" t="s">
        <v>161</v>
      </c>
      <c r="D82" s="3"/>
      <c r="E82" s="882"/>
      <c r="F82" s="877"/>
      <c r="G82" s="882"/>
      <c r="H82" s="882"/>
      <c r="I82" s="503"/>
      <c r="J82" s="882"/>
      <c r="K82" s="882"/>
      <c r="L82" s="882"/>
      <c r="M82" s="882"/>
      <c r="N82" s="882"/>
      <c r="O82" s="882"/>
      <c r="P82" s="882"/>
      <c r="Q82" s="503"/>
      <c r="R82" s="1072">
        <f t="shared" si="12"/>
        <v>0</v>
      </c>
      <c r="S82" s="503"/>
      <c r="T82" s="884">
        <f t="shared" si="13"/>
        <v>0</v>
      </c>
    </row>
    <row r="83" spans="1:28" s="504" customFormat="1" ht="12.6" thickBot="1">
      <c r="A83" s="885" t="s">
        <v>142</v>
      </c>
      <c r="B83" s="886">
        <f>(R82+T82)</f>
        <v>0</v>
      </c>
      <c r="C83" s="887"/>
      <c r="D83" s="1092" t="s">
        <v>162</v>
      </c>
      <c r="E83" s="461">
        <f ca="1">IF($B75=0,0,ROUND(ROUND(($R83*$S$2+($T83*$T$2))/$B75, 2)*$C$2,2))</f>
        <v>6.23</v>
      </c>
      <c r="F83" s="462">
        <f ca="1">ROUND($B75*$E83,2)</f>
        <v>186.9</v>
      </c>
      <c r="G83" s="887"/>
      <c r="H83" s="887"/>
      <c r="I83" s="889"/>
      <c r="J83" s="887"/>
      <c r="K83" s="1093" t="s">
        <v>140</v>
      </c>
      <c r="L83" s="890" t="s">
        <v>140</v>
      </c>
      <c r="M83" s="890"/>
      <c r="N83" s="890"/>
      <c r="O83" s="890"/>
      <c r="P83" s="890"/>
      <c r="Q83" s="1093"/>
      <c r="R83" s="1094">
        <f ca="1">SUM(R76:R82)</f>
        <v>62.44</v>
      </c>
      <c r="S83" s="1095"/>
      <c r="T83" s="1094">
        <f ca="1">SUM(T76:T82)</f>
        <v>3.15</v>
      </c>
      <c r="U83" s="514"/>
      <c r="V83" s="514"/>
      <c r="W83" s="514"/>
      <c r="X83" s="514"/>
      <c r="Y83" s="514"/>
      <c r="Z83" s="514"/>
      <c r="AA83" s="514"/>
      <c r="AB83" s="514"/>
    </row>
    <row r="84" spans="1:28" s="504" customFormat="1" ht="12" thickTop="1">
      <c r="A84" s="50"/>
      <c r="B84" s="50"/>
      <c r="C84" s="50"/>
      <c r="D84" s="50"/>
      <c r="E84" s="50"/>
      <c r="F84" s="50"/>
      <c r="G84" s="50"/>
      <c r="H84" s="50"/>
      <c r="I84" s="50"/>
      <c r="J84" s="50"/>
      <c r="K84" s="50"/>
      <c r="L84" s="50"/>
      <c r="M84" s="50"/>
      <c r="N84" s="50"/>
      <c r="O84" s="51"/>
      <c r="P84" s="50"/>
      <c r="Q84" s="41" t="s">
        <v>158</v>
      </c>
      <c r="R84" s="50"/>
      <c r="S84" s="13"/>
      <c r="T84" s="50"/>
    </row>
    <row r="85" spans="1:28" s="504" customFormat="1" ht="12" customHeight="1" thickBot="1">
      <c r="A85" s="1082">
        <v>5</v>
      </c>
      <c r="B85" s="1083">
        <f ca="1">Elec_Est!B5546</f>
        <v>5</v>
      </c>
      <c r="C85" s="1084"/>
      <c r="D85" s="1085" t="s">
        <v>1015</v>
      </c>
      <c r="E85" s="1086"/>
      <c r="F85" s="1086"/>
      <c r="G85" s="876"/>
      <c r="H85" s="876"/>
      <c r="I85" s="1087"/>
      <c r="J85" s="876"/>
      <c r="K85" s="1084" t="s">
        <v>159</v>
      </c>
      <c r="L85" s="1088" t="s">
        <v>159</v>
      </c>
      <c r="M85" s="1088"/>
      <c r="N85" s="1088"/>
      <c r="O85" s="1088"/>
      <c r="P85" s="1088"/>
      <c r="Q85" s="1089">
        <f ca="1">B85/A85</f>
        <v>1</v>
      </c>
      <c r="R85" s="1090">
        <f ca="1">IF($B85=0,0,IF($S$1="R",ROUND(R93/$B85,2),R93/$B85))</f>
        <v>2.94</v>
      </c>
      <c r="S85" s="1091"/>
      <c r="T85" s="1090">
        <f ca="1">IF($B85=0,0,IF($S$1="R",ROUND(T93/$B85,2),T93/$B85))</f>
        <v>0.24</v>
      </c>
    </row>
    <row r="86" spans="1:28" s="504" customFormat="1" ht="13.8" thickTop="1">
      <c r="A86" s="872"/>
      <c r="B86" s="3"/>
      <c r="C86" s="3"/>
      <c r="D86" s="102" t="s">
        <v>160</v>
      </c>
      <c r="E86" s="3"/>
      <c r="F86" s="3"/>
      <c r="G86" s="3"/>
      <c r="H86" s="3"/>
      <c r="I86" s="3"/>
      <c r="J86" s="3"/>
      <c r="K86" s="3"/>
      <c r="L86" s="3"/>
      <c r="M86" s="3"/>
      <c r="N86" s="3"/>
      <c r="O86" s="103"/>
      <c r="P86" s="3"/>
      <c r="Q86" s="3"/>
      <c r="R86" s="3"/>
      <c r="S86" s="3"/>
      <c r="T86" s="3"/>
    </row>
    <row r="87" spans="1:28" s="1039" customFormat="1" ht="11.4">
      <c r="A87" s="1297">
        <f ca="1">$Q$85 *(5)</f>
        <v>5</v>
      </c>
      <c r="B87" s="1039" t="s">
        <v>326</v>
      </c>
      <c r="D87" s="1039" t="s">
        <v>1043</v>
      </c>
      <c r="G87" s="1040" t="s">
        <v>1029</v>
      </c>
      <c r="H87" s="1041">
        <v>616</v>
      </c>
      <c r="I87" s="1039" t="s">
        <v>951</v>
      </c>
      <c r="K87" s="1039" t="s">
        <v>1030</v>
      </c>
      <c r="O87" s="1042">
        <v>2</v>
      </c>
      <c r="P87" s="1043">
        <v>38299</v>
      </c>
      <c r="Q87" s="1044">
        <v>2.5299999999999998</v>
      </c>
      <c r="R87" s="1045">
        <f t="shared" ref="R87:R92" ca="1" si="14">$A87*Q87</f>
        <v>12.649999999999999</v>
      </c>
      <c r="S87" s="1044">
        <v>7.0000000000000007E-2</v>
      </c>
      <c r="T87" s="1046">
        <f t="shared" ref="T87:T92" ca="1" si="15">$A87*S87*$T$1</f>
        <v>0.36750000000000005</v>
      </c>
    </row>
    <row r="88" spans="1:28" s="1039" customFormat="1" ht="11.4">
      <c r="A88" s="1297">
        <f ca="1">$Q$85 *(2)</f>
        <v>2</v>
      </c>
      <c r="B88" s="1039" t="s">
        <v>949</v>
      </c>
      <c r="D88" s="1039" t="s">
        <v>1044</v>
      </c>
      <c r="G88" s="1040" t="s">
        <v>1017</v>
      </c>
      <c r="H88" s="1041">
        <v>620</v>
      </c>
      <c r="I88" s="1039" t="s">
        <v>951</v>
      </c>
      <c r="O88" s="1042">
        <v>2</v>
      </c>
      <c r="P88" s="1043">
        <v>35431</v>
      </c>
      <c r="Q88" s="1044">
        <v>0.6</v>
      </c>
      <c r="R88" s="1045">
        <f t="shared" ca="1" si="14"/>
        <v>1.2</v>
      </c>
      <c r="S88" s="1044">
        <v>0.3</v>
      </c>
      <c r="T88" s="1046">
        <f t="shared" ca="1" si="15"/>
        <v>0.63</v>
      </c>
    </row>
    <row r="89" spans="1:28" s="1039" customFormat="1" ht="11.4">
      <c r="A89" s="1297">
        <f ca="1">$Q$85 *(6)</f>
        <v>6</v>
      </c>
      <c r="B89" s="1039" t="s">
        <v>949</v>
      </c>
      <c r="D89" s="1039" t="s">
        <v>1037</v>
      </c>
      <c r="G89" s="1040" t="s">
        <v>1038</v>
      </c>
      <c r="H89" s="1041">
        <v>620</v>
      </c>
      <c r="I89" s="1039" t="s">
        <v>999</v>
      </c>
      <c r="O89" s="1042">
        <v>2</v>
      </c>
      <c r="P89" s="1043">
        <v>34669</v>
      </c>
      <c r="Q89" s="1044">
        <v>7.0000000000000007E-2</v>
      </c>
      <c r="R89" s="1045">
        <f t="shared" ca="1" si="14"/>
        <v>0.42000000000000004</v>
      </c>
      <c r="S89" s="1044">
        <v>0.03</v>
      </c>
      <c r="T89" s="1046">
        <f t="shared" ca="1" si="15"/>
        <v>0.189</v>
      </c>
    </row>
    <row r="90" spans="1:28" s="1039" customFormat="1" ht="11.4">
      <c r="A90" s="1297">
        <f ca="1">$Q$85 *(2)</f>
        <v>2</v>
      </c>
      <c r="B90" s="1039" t="s">
        <v>949</v>
      </c>
      <c r="D90" s="1039" t="s">
        <v>1000</v>
      </c>
      <c r="G90" s="1040" t="s">
        <v>1001</v>
      </c>
      <c r="H90" s="1041">
        <v>620</v>
      </c>
      <c r="I90" s="1039" t="s">
        <v>951</v>
      </c>
      <c r="O90" s="1042">
        <v>2</v>
      </c>
      <c r="P90" s="1043"/>
      <c r="Q90" s="1044">
        <v>0.1</v>
      </c>
      <c r="R90" s="1045">
        <f t="shared" ca="1" si="14"/>
        <v>0.2</v>
      </c>
      <c r="S90" s="1044"/>
      <c r="T90" s="1046">
        <f t="shared" ca="1" si="15"/>
        <v>0</v>
      </c>
    </row>
    <row r="91" spans="1:28" s="1039" customFormat="1">
      <c r="A91" s="1296">
        <f ca="1">$Q$85 *(5)</f>
        <v>5</v>
      </c>
      <c r="B91" s="1039" t="s">
        <v>949</v>
      </c>
      <c r="D91" s="1039" t="s">
        <v>1002</v>
      </c>
      <c r="G91" s="1040" t="s">
        <v>1003</v>
      </c>
      <c r="H91" s="1041">
        <v>875</v>
      </c>
      <c r="I91" s="1039" t="s">
        <v>951</v>
      </c>
      <c r="K91" s="1039" t="s">
        <v>1004</v>
      </c>
      <c r="O91" s="1042">
        <v>1</v>
      </c>
      <c r="P91" s="1043">
        <v>34669</v>
      </c>
      <c r="Q91" s="1044">
        <v>0.05</v>
      </c>
      <c r="R91" s="1045">
        <f t="shared" ca="1" si="14"/>
        <v>0.25</v>
      </c>
      <c r="S91" s="1044"/>
      <c r="T91" s="1046">
        <f t="shared" ca="1" si="15"/>
        <v>0</v>
      </c>
    </row>
    <row r="92" spans="1:28" s="504" customFormat="1">
      <c r="A92" s="882"/>
      <c r="B92" s="3"/>
      <c r="C92" s="882" t="s">
        <v>161</v>
      </c>
      <c r="D92" s="3"/>
      <c r="E92" s="882"/>
      <c r="F92" s="877"/>
      <c r="G92" s="882"/>
      <c r="H92" s="882"/>
      <c r="I92" s="503"/>
      <c r="J92" s="882"/>
      <c r="K92" s="882"/>
      <c r="L92" s="882"/>
      <c r="M92" s="882"/>
      <c r="N92" s="882"/>
      <c r="O92" s="882"/>
      <c r="P92" s="882"/>
      <c r="Q92" s="503"/>
      <c r="R92" s="1072">
        <f t="shared" si="14"/>
        <v>0</v>
      </c>
      <c r="S92" s="503"/>
      <c r="T92" s="884">
        <f t="shared" si="15"/>
        <v>0</v>
      </c>
    </row>
    <row r="93" spans="1:28" s="504" customFormat="1" ht="12.6" thickBot="1">
      <c r="A93" s="885" t="s">
        <v>142</v>
      </c>
      <c r="B93" s="886">
        <f>(R92+T92)</f>
        <v>0</v>
      </c>
      <c r="C93" s="887"/>
      <c r="D93" s="1092" t="s">
        <v>162</v>
      </c>
      <c r="E93" s="461">
        <f ca="1">IF($B85=0,0,ROUND(ROUND(($R93*$S$2+($T93*$T$2))/$B85, 2)*$C$2,2))</f>
        <v>11.94</v>
      </c>
      <c r="F93" s="462">
        <f ca="1">ROUND($B85*$E93,2)</f>
        <v>59.7</v>
      </c>
      <c r="G93" s="887"/>
      <c r="H93" s="887"/>
      <c r="I93" s="889"/>
      <c r="J93" s="887"/>
      <c r="K93" s="1093" t="s">
        <v>140</v>
      </c>
      <c r="L93" s="890" t="s">
        <v>140</v>
      </c>
      <c r="M93" s="890"/>
      <c r="N93" s="890"/>
      <c r="O93" s="890"/>
      <c r="P93" s="890"/>
      <c r="Q93" s="1093"/>
      <c r="R93" s="1094">
        <f ca="1">SUM(R86:R92)</f>
        <v>14.719999999999997</v>
      </c>
      <c r="S93" s="1095"/>
      <c r="T93" s="1094">
        <f ca="1">SUM(T86:T92)</f>
        <v>1.1865000000000001</v>
      </c>
      <c r="U93" s="514"/>
      <c r="V93" s="514"/>
      <c r="W93" s="514"/>
      <c r="X93" s="514"/>
      <c r="Y93" s="514"/>
      <c r="Z93" s="514"/>
      <c r="AA93" s="514"/>
      <c r="AB93" s="514"/>
    </row>
    <row r="94" spans="1:28" s="504" customFormat="1" ht="12" thickTop="1">
      <c r="A94" s="50"/>
      <c r="B94" s="50"/>
      <c r="C94" s="50"/>
      <c r="D94" s="50"/>
      <c r="E94" s="50"/>
      <c r="F94" s="50"/>
      <c r="G94" s="50"/>
      <c r="H94" s="50"/>
      <c r="I94" s="50"/>
      <c r="J94" s="50"/>
      <c r="K94" s="50"/>
      <c r="L94" s="50"/>
      <c r="M94" s="50"/>
      <c r="N94" s="50"/>
      <c r="O94" s="51"/>
      <c r="P94" s="50"/>
      <c r="Q94" s="41" t="s">
        <v>158</v>
      </c>
      <c r="R94" s="50"/>
      <c r="S94" s="13"/>
      <c r="T94" s="50"/>
    </row>
    <row r="95" spans="1:28" s="504" customFormat="1" ht="12" customHeight="1" thickBot="1">
      <c r="A95" s="1082">
        <v>170</v>
      </c>
      <c r="B95" s="1083">
        <f ca="1">Elec_Est!B5547</f>
        <v>170</v>
      </c>
      <c r="C95" s="1084"/>
      <c r="D95" s="1085" t="s">
        <v>1047</v>
      </c>
      <c r="E95" s="1086"/>
      <c r="F95" s="1086"/>
      <c r="G95" s="876"/>
      <c r="H95" s="876"/>
      <c r="I95" s="1087"/>
      <c r="J95" s="876"/>
      <c r="K95" s="1084" t="s">
        <v>159</v>
      </c>
      <c r="L95" s="1088" t="s">
        <v>159</v>
      </c>
      <c r="M95" s="1088"/>
      <c r="N95" s="1088"/>
      <c r="O95" s="1088"/>
      <c r="P95" s="1088"/>
      <c r="Q95" s="1089">
        <f ca="1">B95/A95</f>
        <v>1</v>
      </c>
      <c r="R95" s="1090">
        <f ca="1">IF($B95=0,0,IF($S$1="R",ROUND(R103/$B95,2),R103/$B95))</f>
        <v>2.0699999999999998</v>
      </c>
      <c r="S95" s="1091"/>
      <c r="T95" s="1090">
        <f ca="1">IF($B95=0,0,IF($S$1="R",ROUND(T103/$B95,2),T103/$B95))</f>
        <v>0.12</v>
      </c>
    </row>
    <row r="96" spans="1:28" s="504" customFormat="1" ht="13.8" thickTop="1">
      <c r="A96" s="872"/>
      <c r="B96" s="3"/>
      <c r="C96" s="3"/>
      <c r="D96" s="102" t="s">
        <v>160</v>
      </c>
      <c r="E96" s="3"/>
      <c r="F96" s="3"/>
      <c r="G96" s="3"/>
      <c r="H96" s="3"/>
      <c r="I96" s="3"/>
      <c r="J96" s="3"/>
      <c r="K96" s="3"/>
      <c r="L96" s="3"/>
      <c r="M96" s="3"/>
      <c r="N96" s="3"/>
      <c r="O96" s="103"/>
      <c r="P96" s="3"/>
      <c r="Q96" s="3"/>
      <c r="R96" s="3"/>
      <c r="S96" s="3"/>
      <c r="T96" s="3"/>
    </row>
    <row r="97" spans="1:28" s="1039" customFormat="1" ht="11.4">
      <c r="A97" s="1297">
        <f ca="1">$Q$95 *(170)</f>
        <v>170</v>
      </c>
      <c r="B97" s="1039" t="s">
        <v>326</v>
      </c>
      <c r="D97" s="1039" t="s">
        <v>1049</v>
      </c>
      <c r="G97" s="1040" t="s">
        <v>1029</v>
      </c>
      <c r="H97" s="1041">
        <v>616</v>
      </c>
      <c r="I97" s="1039" t="s">
        <v>951</v>
      </c>
      <c r="K97" s="1039" t="s">
        <v>1030</v>
      </c>
      <c r="O97" s="1042">
        <v>2</v>
      </c>
      <c r="P97" s="1043">
        <v>38299</v>
      </c>
      <c r="Q97" s="1044">
        <v>1.9</v>
      </c>
      <c r="R97" s="1045">
        <f t="shared" ref="R97:R102" ca="1" si="16">$A97*Q97</f>
        <v>323</v>
      </c>
      <c r="S97" s="1044">
        <v>0.06</v>
      </c>
      <c r="T97" s="1046">
        <f t="shared" ref="T97:T102" ca="1" si="17">$A97*S97*$T$1</f>
        <v>10.709999999999999</v>
      </c>
    </row>
    <row r="98" spans="1:28" s="1039" customFormat="1" ht="11.4">
      <c r="A98" s="1297">
        <f ca="1">$Q$95 *(24)</f>
        <v>24</v>
      </c>
      <c r="B98" s="1039" t="s">
        <v>949</v>
      </c>
      <c r="D98" s="1039" t="s">
        <v>1044</v>
      </c>
      <c r="G98" s="1040" t="s">
        <v>1017</v>
      </c>
      <c r="H98" s="1041">
        <v>620</v>
      </c>
      <c r="I98" s="1039" t="s">
        <v>951</v>
      </c>
      <c r="O98" s="1042">
        <v>2</v>
      </c>
      <c r="P98" s="1043">
        <v>35431</v>
      </c>
      <c r="Q98" s="1044">
        <v>0.6</v>
      </c>
      <c r="R98" s="1045">
        <f t="shared" ca="1" si="16"/>
        <v>14.399999999999999</v>
      </c>
      <c r="S98" s="1044">
        <v>0.3</v>
      </c>
      <c r="T98" s="1046">
        <f t="shared" ca="1" si="17"/>
        <v>7.56</v>
      </c>
    </row>
    <row r="99" spans="1:28" s="1039" customFormat="1" ht="11.4">
      <c r="A99" s="1297">
        <f ca="1">$Q$95 *(24*3)</f>
        <v>72</v>
      </c>
      <c r="B99" s="1039" t="s">
        <v>949</v>
      </c>
      <c r="D99" s="1039" t="s">
        <v>1048</v>
      </c>
      <c r="G99" s="1040" t="s">
        <v>1038</v>
      </c>
      <c r="H99" s="1041">
        <v>620</v>
      </c>
      <c r="I99" s="1039" t="s">
        <v>999</v>
      </c>
      <c r="O99" s="1042">
        <v>2</v>
      </c>
      <c r="P99" s="1043">
        <v>34669</v>
      </c>
      <c r="Q99" s="1044">
        <v>0.06</v>
      </c>
      <c r="R99" s="1045">
        <f t="shared" ca="1" si="16"/>
        <v>4.32</v>
      </c>
      <c r="S99" s="1044">
        <v>0.03</v>
      </c>
      <c r="T99" s="1046">
        <f t="shared" ca="1" si="17"/>
        <v>2.2680000000000002</v>
      </c>
    </row>
    <row r="100" spans="1:28" s="1039" customFormat="1" ht="11.4">
      <c r="A100" s="1297">
        <f ca="1">$Q$95 *(24)</f>
        <v>24</v>
      </c>
      <c r="B100" s="1039" t="s">
        <v>949</v>
      </c>
      <c r="D100" s="1039" t="s">
        <v>1000</v>
      </c>
      <c r="G100" s="1040" t="s">
        <v>1001</v>
      </c>
      <c r="H100" s="1041">
        <v>620</v>
      </c>
      <c r="I100" s="1039" t="s">
        <v>951</v>
      </c>
      <c r="O100" s="1042">
        <v>2</v>
      </c>
      <c r="P100" s="1043"/>
      <c r="Q100" s="1044">
        <v>0.1</v>
      </c>
      <c r="R100" s="1045">
        <f t="shared" ca="1" si="16"/>
        <v>2.4000000000000004</v>
      </c>
      <c r="S100" s="1044"/>
      <c r="T100" s="1046">
        <f t="shared" ca="1" si="17"/>
        <v>0</v>
      </c>
    </row>
    <row r="101" spans="1:28" s="1039" customFormat="1">
      <c r="A101" s="1296">
        <f ca="1">$Q$95 *(170)</f>
        <v>170</v>
      </c>
      <c r="B101" s="1039" t="s">
        <v>949</v>
      </c>
      <c r="D101" s="1039" t="s">
        <v>1002</v>
      </c>
      <c r="G101" s="1040" t="s">
        <v>1003</v>
      </c>
      <c r="H101" s="1041">
        <v>875</v>
      </c>
      <c r="I101" s="1039" t="s">
        <v>951</v>
      </c>
      <c r="K101" s="1039" t="s">
        <v>1004</v>
      </c>
      <c r="O101" s="1042">
        <v>1</v>
      </c>
      <c r="P101" s="1043">
        <v>34669</v>
      </c>
      <c r="Q101" s="1044">
        <v>0.05</v>
      </c>
      <c r="R101" s="1045">
        <f t="shared" ca="1" si="16"/>
        <v>8.5</v>
      </c>
      <c r="S101" s="1044"/>
      <c r="T101" s="1046">
        <f t="shared" ca="1" si="17"/>
        <v>0</v>
      </c>
    </row>
    <row r="102" spans="1:28" s="504" customFormat="1">
      <c r="A102" s="882"/>
      <c r="B102" s="3"/>
      <c r="C102" s="882" t="s">
        <v>161</v>
      </c>
      <c r="D102" s="3"/>
      <c r="E102" s="882"/>
      <c r="F102" s="877"/>
      <c r="G102" s="882"/>
      <c r="H102" s="882"/>
      <c r="I102" s="503"/>
      <c r="J102" s="882"/>
      <c r="K102" s="882"/>
      <c r="L102" s="882"/>
      <c r="M102" s="882"/>
      <c r="N102" s="882"/>
      <c r="O102" s="882"/>
      <c r="P102" s="882"/>
      <c r="Q102" s="503"/>
      <c r="R102" s="1072">
        <f t="shared" si="16"/>
        <v>0</v>
      </c>
      <c r="S102" s="503"/>
      <c r="T102" s="884">
        <f t="shared" si="17"/>
        <v>0</v>
      </c>
    </row>
    <row r="103" spans="1:28" s="504" customFormat="1" ht="12.6" thickBot="1">
      <c r="A103" s="885" t="s">
        <v>142</v>
      </c>
      <c r="B103" s="886">
        <f>(R102+T102)</f>
        <v>0</v>
      </c>
      <c r="C103" s="887"/>
      <c r="D103" s="1092" t="s">
        <v>162</v>
      </c>
      <c r="E103" s="461">
        <f ca="1">IF($B95=0,0,ROUND(ROUND(($R103*$S$2+($T103*$T$2))/$B95, 2)*$C$2,2))</f>
        <v>6.78</v>
      </c>
      <c r="F103" s="462">
        <f ca="1">ROUND($B95*$E103,2)</f>
        <v>1152.5999999999999</v>
      </c>
      <c r="G103" s="887"/>
      <c r="H103" s="887"/>
      <c r="I103" s="889"/>
      <c r="J103" s="887"/>
      <c r="K103" s="1093" t="s">
        <v>140</v>
      </c>
      <c r="L103" s="890" t="s">
        <v>140</v>
      </c>
      <c r="M103" s="890"/>
      <c r="N103" s="890"/>
      <c r="O103" s="890"/>
      <c r="P103" s="890"/>
      <c r="Q103" s="1093"/>
      <c r="R103" s="1094">
        <f ca="1">SUM(R96:R102)</f>
        <v>352.61999999999995</v>
      </c>
      <c r="S103" s="1095"/>
      <c r="T103" s="1094">
        <f ca="1">SUM(T96:T102)</f>
        <v>20.538</v>
      </c>
      <c r="U103" s="514"/>
      <c r="V103" s="514"/>
      <c r="W103" s="514"/>
      <c r="X103" s="514"/>
      <c r="Y103" s="514"/>
      <c r="Z103" s="514"/>
      <c r="AA103" s="514"/>
      <c r="AB103" s="514"/>
    </row>
    <row r="104" spans="1:28" s="504" customFormat="1" ht="12" thickTop="1">
      <c r="A104" s="50"/>
      <c r="B104" s="50"/>
      <c r="C104" s="50"/>
      <c r="D104" s="50"/>
      <c r="E104" s="50"/>
      <c r="F104" s="50"/>
      <c r="G104" s="50"/>
      <c r="H104" s="50"/>
      <c r="I104" s="50"/>
      <c r="J104" s="50"/>
      <c r="K104" s="50"/>
      <c r="L104" s="50"/>
      <c r="M104" s="50"/>
      <c r="N104" s="50"/>
      <c r="O104" s="51"/>
      <c r="P104" s="50"/>
      <c r="Q104" s="41" t="s">
        <v>158</v>
      </c>
      <c r="R104" s="50"/>
      <c r="S104" s="13"/>
      <c r="T104" s="50"/>
    </row>
    <row r="105" spans="1:28" s="504" customFormat="1" ht="12" customHeight="1" thickBot="1">
      <c r="A105" s="1082">
        <v>44</v>
      </c>
      <c r="B105" s="1083">
        <f ca="1">Elec_Est!B5548</f>
        <v>44</v>
      </c>
      <c r="C105" s="1084"/>
      <c r="D105" s="1085" t="s">
        <v>1046</v>
      </c>
      <c r="E105" s="1086"/>
      <c r="F105" s="1086"/>
      <c r="G105" s="876"/>
      <c r="H105" s="876"/>
      <c r="I105" s="1087"/>
      <c r="J105" s="876"/>
      <c r="K105" s="1084" t="s">
        <v>159</v>
      </c>
      <c r="L105" s="1088" t="s">
        <v>159</v>
      </c>
      <c r="M105" s="1088"/>
      <c r="N105" s="1088"/>
      <c r="O105" s="1088"/>
      <c r="P105" s="1088"/>
      <c r="Q105" s="1089">
        <f ca="1">B105/A105</f>
        <v>1</v>
      </c>
      <c r="R105" s="1090">
        <f ca="1">IF($B105=0,0,IF($S$1="R",ROUND(R113/$B105,2),R113/$B105))</f>
        <v>1.38</v>
      </c>
      <c r="S105" s="1091"/>
      <c r="T105" s="1090">
        <f ca="1">IF($B105=0,0,IF($S$1="R",ROUND(T113/$B105,2),T113/$B105))</f>
        <v>0.08</v>
      </c>
    </row>
    <row r="106" spans="1:28" s="504" customFormat="1" ht="13.8" thickTop="1">
      <c r="A106" s="872"/>
      <c r="B106" s="3"/>
      <c r="C106" s="3"/>
      <c r="D106" s="102" t="s">
        <v>160</v>
      </c>
      <c r="E106" s="3"/>
      <c r="F106" s="3"/>
      <c r="G106" s="3"/>
      <c r="H106" s="3"/>
      <c r="I106" s="3"/>
      <c r="J106" s="3"/>
      <c r="K106" s="3"/>
      <c r="L106" s="3"/>
      <c r="M106" s="3"/>
      <c r="N106" s="3"/>
      <c r="O106" s="103"/>
      <c r="P106" s="3"/>
      <c r="Q106" s="3"/>
      <c r="R106" s="3"/>
      <c r="S106" s="3"/>
      <c r="T106" s="3"/>
    </row>
    <row r="107" spans="1:28" s="1039" customFormat="1" ht="11.4">
      <c r="A107" s="1297">
        <f ca="1">$Q$105 *(44)</f>
        <v>44</v>
      </c>
      <c r="B107" s="1039" t="s">
        <v>326</v>
      </c>
      <c r="D107" s="1039" t="s">
        <v>1045</v>
      </c>
      <c r="G107" s="1040" t="s">
        <v>1029</v>
      </c>
      <c r="H107" s="1041">
        <v>616</v>
      </c>
      <c r="I107" s="1039" t="s">
        <v>951</v>
      </c>
      <c r="K107" s="1039" t="s">
        <v>1030</v>
      </c>
      <c r="O107" s="1042">
        <v>2</v>
      </c>
      <c r="P107" s="1043">
        <v>38299</v>
      </c>
      <c r="Q107" s="1044">
        <v>1.27</v>
      </c>
      <c r="R107" s="1045">
        <f t="shared" ref="R107:R112" ca="1" si="18">$A107*Q107</f>
        <v>55.88</v>
      </c>
      <c r="S107" s="1044">
        <v>0.05</v>
      </c>
      <c r="T107" s="1046">
        <f t="shared" ref="T107:T112" ca="1" si="19">$A107*S107*$T$1</f>
        <v>2.3100000000000005</v>
      </c>
    </row>
    <row r="108" spans="1:28" s="1039" customFormat="1" ht="11.4">
      <c r="A108" s="1297">
        <f ca="1">$Q$105 *(4)</f>
        <v>4</v>
      </c>
      <c r="B108" s="1039" t="s">
        <v>949</v>
      </c>
      <c r="D108" s="1039" t="s">
        <v>1040</v>
      </c>
      <c r="G108" s="1040" t="s">
        <v>1017</v>
      </c>
      <c r="H108" s="1041">
        <v>620</v>
      </c>
      <c r="I108" s="1039" t="s">
        <v>951</v>
      </c>
      <c r="O108" s="1042">
        <v>2</v>
      </c>
      <c r="P108" s="1043">
        <v>35431</v>
      </c>
      <c r="Q108" s="1044">
        <v>0.41</v>
      </c>
      <c r="R108" s="1045">
        <f t="shared" ca="1" si="18"/>
        <v>1.64</v>
      </c>
      <c r="S108" s="1044">
        <v>0.2</v>
      </c>
      <c r="T108" s="1046">
        <f t="shared" ca="1" si="19"/>
        <v>0.84000000000000008</v>
      </c>
    </row>
    <row r="109" spans="1:28" s="1039" customFormat="1" ht="11.4">
      <c r="A109" s="1297">
        <f ca="1">$Q$105 *(4*3)</f>
        <v>12</v>
      </c>
      <c r="B109" s="1039" t="s">
        <v>949</v>
      </c>
      <c r="D109" s="1039" t="s">
        <v>1041</v>
      </c>
      <c r="G109" s="1040" t="s">
        <v>1042</v>
      </c>
      <c r="H109" s="1041">
        <v>620</v>
      </c>
      <c r="I109" s="1039" t="s">
        <v>999</v>
      </c>
      <c r="O109" s="1042">
        <v>2</v>
      </c>
      <c r="P109" s="1043">
        <v>34669</v>
      </c>
      <c r="Q109" s="1044">
        <v>0.05</v>
      </c>
      <c r="R109" s="1045">
        <f t="shared" ca="1" si="18"/>
        <v>0.60000000000000009</v>
      </c>
      <c r="S109" s="1044">
        <v>0.02</v>
      </c>
      <c r="T109" s="1046">
        <f t="shared" ca="1" si="19"/>
        <v>0.252</v>
      </c>
    </row>
    <row r="110" spans="1:28" s="1039" customFormat="1" ht="11.4">
      <c r="A110" s="1297">
        <f ca="1">$Q$105 *(4)</f>
        <v>4</v>
      </c>
      <c r="B110" s="1039" t="s">
        <v>949</v>
      </c>
      <c r="D110" s="1039" t="s">
        <v>1000</v>
      </c>
      <c r="G110" s="1040" t="s">
        <v>1001</v>
      </c>
      <c r="H110" s="1041">
        <v>620</v>
      </c>
      <c r="I110" s="1039" t="s">
        <v>951</v>
      </c>
      <c r="O110" s="1042">
        <v>2</v>
      </c>
      <c r="P110" s="1043"/>
      <c r="Q110" s="1044">
        <v>0.1</v>
      </c>
      <c r="R110" s="1045">
        <f t="shared" ca="1" si="18"/>
        <v>0.4</v>
      </c>
      <c r="S110" s="1044"/>
      <c r="T110" s="1046">
        <f t="shared" ca="1" si="19"/>
        <v>0</v>
      </c>
    </row>
    <row r="111" spans="1:28" s="1039" customFormat="1">
      <c r="A111" s="1296">
        <f ca="1">$Q$105 *(44)</f>
        <v>44</v>
      </c>
      <c r="B111" s="1039" t="s">
        <v>949</v>
      </c>
      <c r="D111" s="1039" t="s">
        <v>1002</v>
      </c>
      <c r="G111" s="1040" t="s">
        <v>1003</v>
      </c>
      <c r="H111" s="1041">
        <v>875</v>
      </c>
      <c r="I111" s="1039" t="s">
        <v>951</v>
      </c>
      <c r="K111" s="1039" t="s">
        <v>1004</v>
      </c>
      <c r="O111" s="1042">
        <v>1</v>
      </c>
      <c r="P111" s="1043">
        <v>34669</v>
      </c>
      <c r="Q111" s="1044">
        <v>0.05</v>
      </c>
      <c r="R111" s="1045">
        <f t="shared" ca="1" si="18"/>
        <v>2.2000000000000002</v>
      </c>
      <c r="S111" s="1044"/>
      <c r="T111" s="1046">
        <f t="shared" ca="1" si="19"/>
        <v>0</v>
      </c>
    </row>
    <row r="112" spans="1:28" s="504" customFormat="1">
      <c r="A112" s="882"/>
      <c r="B112" s="3"/>
      <c r="C112" s="882" t="s">
        <v>161</v>
      </c>
      <c r="D112" s="3"/>
      <c r="E112" s="882"/>
      <c r="F112" s="877"/>
      <c r="G112" s="882"/>
      <c r="H112" s="882"/>
      <c r="I112" s="503"/>
      <c r="J112" s="882"/>
      <c r="K112" s="882"/>
      <c r="L112" s="882"/>
      <c r="M112" s="882"/>
      <c r="N112" s="882"/>
      <c r="O112" s="882"/>
      <c r="P112" s="882"/>
      <c r="Q112" s="503"/>
      <c r="R112" s="1072">
        <f t="shared" si="18"/>
        <v>0</v>
      </c>
      <c r="S112" s="503"/>
      <c r="T112" s="884">
        <f t="shared" si="19"/>
        <v>0</v>
      </c>
    </row>
    <row r="113" spans="1:28" s="504" customFormat="1" ht="12.6" thickBot="1">
      <c r="A113" s="885" t="s">
        <v>142</v>
      </c>
      <c r="B113" s="886">
        <f>(R112+T112)</f>
        <v>0</v>
      </c>
      <c r="C113" s="887"/>
      <c r="D113" s="1092" t="s">
        <v>162</v>
      </c>
      <c r="E113" s="461">
        <f ca="1">IF($B105=0,0,ROUND(ROUND(($R113*$S$2+($T113*$T$2))/$B105, 2)*$C$2,2))</f>
        <v>4.4000000000000004</v>
      </c>
      <c r="F113" s="462">
        <f ca="1">ROUND($B105*$E113,2)</f>
        <v>193.6</v>
      </c>
      <c r="G113" s="887"/>
      <c r="H113" s="887"/>
      <c r="I113" s="889"/>
      <c r="J113" s="887"/>
      <c r="K113" s="1093" t="s">
        <v>140</v>
      </c>
      <c r="L113" s="890" t="s">
        <v>140</v>
      </c>
      <c r="M113" s="890"/>
      <c r="N113" s="890"/>
      <c r="O113" s="890"/>
      <c r="P113" s="890"/>
      <c r="Q113" s="1093"/>
      <c r="R113" s="1094">
        <f ca="1">SUM(R106:R112)</f>
        <v>60.720000000000006</v>
      </c>
      <c r="S113" s="1095"/>
      <c r="T113" s="1094">
        <f ca="1">SUM(T106:T112)</f>
        <v>3.4020000000000001</v>
      </c>
      <c r="U113" s="514"/>
      <c r="V113" s="514"/>
      <c r="W113" s="514"/>
      <c r="X113" s="514"/>
      <c r="Y113" s="514"/>
      <c r="Z113" s="514"/>
      <c r="AA113" s="514"/>
      <c r="AB113" s="514"/>
    </row>
    <row r="114" spans="1:28" s="504" customFormat="1" ht="12" thickTop="1">
      <c r="A114" s="50"/>
      <c r="B114" s="50"/>
      <c r="C114" s="50"/>
      <c r="D114" s="50"/>
      <c r="E114" s="50"/>
      <c r="F114" s="50"/>
      <c r="G114" s="50"/>
      <c r="H114" s="50"/>
      <c r="I114" s="50"/>
      <c r="J114" s="50"/>
      <c r="K114" s="50"/>
      <c r="L114" s="50"/>
      <c r="M114" s="50"/>
      <c r="N114" s="50"/>
      <c r="O114" s="51"/>
      <c r="P114" s="50"/>
      <c r="Q114" s="41" t="s">
        <v>158</v>
      </c>
      <c r="R114" s="50"/>
      <c r="S114" s="13"/>
      <c r="T114" s="50"/>
    </row>
    <row r="115" spans="1:28" s="504" customFormat="1" ht="12" customHeight="1" thickBot="1">
      <c r="A115" s="1082">
        <v>155</v>
      </c>
      <c r="B115" s="1083">
        <f ca="1">Elec_Est!B5549</f>
        <v>155</v>
      </c>
      <c r="C115" s="1084"/>
      <c r="D115" s="1085" t="s">
        <v>1050</v>
      </c>
      <c r="E115" s="1086"/>
      <c r="F115" s="1086"/>
      <c r="G115" s="876"/>
      <c r="H115" s="876"/>
      <c r="I115" s="1087"/>
      <c r="J115" s="876"/>
      <c r="K115" s="1084" t="s">
        <v>159</v>
      </c>
      <c r="L115" s="1088" t="s">
        <v>159</v>
      </c>
      <c r="M115" s="1088"/>
      <c r="N115" s="1088"/>
      <c r="O115" s="1088"/>
      <c r="P115" s="1088"/>
      <c r="Q115" s="1089">
        <f ca="1">B115/A115</f>
        <v>1</v>
      </c>
      <c r="R115" s="1090">
        <f ca="1">IF($B115=0,0,IF($S$1="R",ROUND(R123/$B115,2),R123/$B115))</f>
        <v>16.16</v>
      </c>
      <c r="S115" s="1091"/>
      <c r="T115" s="1090">
        <f ca="1">IF($B115=0,0,IF($S$1="R",ROUND(T123/$B115,2),T123/$B115))</f>
        <v>0.11</v>
      </c>
    </row>
    <row r="116" spans="1:28" s="504" customFormat="1" ht="13.8" thickTop="1">
      <c r="A116" s="872"/>
      <c r="B116" s="3"/>
      <c r="C116" s="3"/>
      <c r="D116" s="102" t="s">
        <v>160</v>
      </c>
      <c r="E116" s="3"/>
      <c r="F116" s="3"/>
      <c r="G116" s="3"/>
      <c r="H116" s="3"/>
      <c r="I116" s="3"/>
      <c r="J116" s="3"/>
      <c r="K116" s="3"/>
      <c r="L116" s="3"/>
      <c r="M116" s="3"/>
      <c r="N116" s="3"/>
      <c r="O116" s="103"/>
      <c r="P116" s="3"/>
      <c r="Q116" s="3"/>
      <c r="R116" s="3"/>
      <c r="S116" s="3"/>
      <c r="T116" s="3"/>
    </row>
    <row r="117" spans="1:28" s="1039" customFormat="1">
      <c r="A117" s="1295">
        <f ca="1">$Q$115 *(155)</f>
        <v>155</v>
      </c>
      <c r="B117" s="1039" t="s">
        <v>326</v>
      </c>
      <c r="D117" s="1039" t="s">
        <v>1054</v>
      </c>
      <c r="G117" s="1040" t="s">
        <v>1051</v>
      </c>
      <c r="H117" s="1041">
        <v>616</v>
      </c>
      <c r="I117" s="1039" t="s">
        <v>1052</v>
      </c>
      <c r="J117" s="1039" t="s">
        <v>1053</v>
      </c>
      <c r="O117" s="1042">
        <v>2</v>
      </c>
      <c r="P117" s="1043">
        <v>40767</v>
      </c>
      <c r="Q117" s="1044">
        <f>(1701.9/155)*1.435</f>
        <v>15.756300000000001</v>
      </c>
      <c r="R117" s="1045">
        <f t="shared" ref="R117:R122" ca="1" si="20">$A117*Q117</f>
        <v>2442.2265000000002</v>
      </c>
      <c r="S117" s="1044">
        <v>0.08</v>
      </c>
      <c r="T117" s="1046">
        <f t="shared" ref="T117:T122" ca="1" si="21">$A117*S117*$T$1</f>
        <v>13.020000000000001</v>
      </c>
    </row>
    <row r="118" spans="1:28" s="1039" customFormat="1">
      <c r="A118" s="1295">
        <f ca="1">$Q$115 *(8)</f>
        <v>8</v>
      </c>
      <c r="B118" s="1039" t="s">
        <v>949</v>
      </c>
      <c r="D118" s="1039" t="s">
        <v>1055</v>
      </c>
      <c r="G118" s="1040" t="s">
        <v>1056</v>
      </c>
      <c r="H118" s="1041">
        <v>620</v>
      </c>
      <c r="I118" s="1039" t="s">
        <v>996</v>
      </c>
      <c r="O118" s="1042">
        <v>2</v>
      </c>
      <c r="P118" s="1043">
        <v>35431</v>
      </c>
      <c r="Q118" s="1044">
        <v>6.38</v>
      </c>
      <c r="R118" s="1045">
        <f t="shared" ca="1" si="20"/>
        <v>51.04</v>
      </c>
      <c r="S118" s="1044">
        <v>0.35000000000000003</v>
      </c>
      <c r="T118" s="1046">
        <f t="shared" ca="1" si="21"/>
        <v>2.9400000000000004</v>
      </c>
    </row>
    <row r="119" spans="1:28" s="1039" customFormat="1" ht="11.4">
      <c r="A119" s="1297">
        <f ca="1">$Q$115 *(8*5)</f>
        <v>40</v>
      </c>
      <c r="B119" s="1039" t="s">
        <v>949</v>
      </c>
      <c r="D119" s="1039" t="s">
        <v>1037</v>
      </c>
      <c r="G119" s="1040" t="s">
        <v>1038</v>
      </c>
      <c r="H119" s="1041">
        <v>620</v>
      </c>
      <c r="I119" s="1039" t="s">
        <v>999</v>
      </c>
      <c r="O119" s="1042">
        <v>2</v>
      </c>
      <c r="P119" s="1043">
        <v>34669</v>
      </c>
      <c r="Q119" s="1044">
        <v>7.0000000000000007E-2</v>
      </c>
      <c r="R119" s="1045">
        <f t="shared" ca="1" si="20"/>
        <v>2.8000000000000003</v>
      </c>
      <c r="S119" s="1044">
        <v>0.03</v>
      </c>
      <c r="T119" s="1046">
        <f t="shared" ca="1" si="21"/>
        <v>1.26</v>
      </c>
    </row>
    <row r="120" spans="1:28" s="1039" customFormat="1" ht="11.4">
      <c r="A120" s="1297">
        <f ca="1">$Q$115 *(8)</f>
        <v>8</v>
      </c>
      <c r="B120" s="1039" t="s">
        <v>949</v>
      </c>
      <c r="D120" s="1039" t="s">
        <v>1000</v>
      </c>
      <c r="G120" s="1040" t="s">
        <v>1001</v>
      </c>
      <c r="H120" s="1041">
        <v>620</v>
      </c>
      <c r="I120" s="1039" t="s">
        <v>951</v>
      </c>
      <c r="O120" s="1042">
        <v>2</v>
      </c>
      <c r="P120" s="1043"/>
      <c r="Q120" s="1044">
        <v>0.1</v>
      </c>
      <c r="R120" s="1045">
        <f t="shared" ca="1" si="20"/>
        <v>0.8</v>
      </c>
      <c r="S120" s="1044"/>
      <c r="T120" s="1046">
        <f t="shared" ca="1" si="21"/>
        <v>0</v>
      </c>
    </row>
    <row r="121" spans="1:28" s="1039" customFormat="1">
      <c r="A121" s="1296">
        <f ca="1">$Q$115 *(155)</f>
        <v>155</v>
      </c>
      <c r="B121" s="1039" t="s">
        <v>949</v>
      </c>
      <c r="D121" s="1039" t="s">
        <v>1002</v>
      </c>
      <c r="G121" s="1040" t="s">
        <v>1003</v>
      </c>
      <c r="H121" s="1041">
        <v>875</v>
      </c>
      <c r="I121" s="1039" t="s">
        <v>951</v>
      </c>
      <c r="K121" s="1039" t="s">
        <v>1004</v>
      </c>
      <c r="O121" s="1042">
        <v>1</v>
      </c>
      <c r="P121" s="1043">
        <v>34669</v>
      </c>
      <c r="Q121" s="1044">
        <v>0.05</v>
      </c>
      <c r="R121" s="1045">
        <f t="shared" ca="1" si="20"/>
        <v>7.75</v>
      </c>
      <c r="S121" s="1044"/>
      <c r="T121" s="1046">
        <f t="shared" ca="1" si="21"/>
        <v>0</v>
      </c>
    </row>
    <row r="122" spans="1:28" s="504" customFormat="1">
      <c r="A122" s="882"/>
      <c r="B122" s="3"/>
      <c r="C122" s="882" t="s">
        <v>161</v>
      </c>
      <c r="D122" s="3"/>
      <c r="E122" s="882"/>
      <c r="F122" s="877"/>
      <c r="G122" s="882"/>
      <c r="H122" s="882"/>
      <c r="I122" s="503"/>
      <c r="J122" s="882"/>
      <c r="K122" s="882"/>
      <c r="L122" s="882"/>
      <c r="M122" s="882"/>
      <c r="N122" s="882"/>
      <c r="O122" s="882"/>
      <c r="P122" s="882"/>
      <c r="Q122" s="503"/>
      <c r="R122" s="1072">
        <f t="shared" si="20"/>
        <v>0</v>
      </c>
      <c r="S122" s="503"/>
      <c r="T122" s="884">
        <f t="shared" si="21"/>
        <v>0</v>
      </c>
    </row>
    <row r="123" spans="1:28" s="504" customFormat="1" ht="12.6" thickBot="1">
      <c r="A123" s="885" t="s">
        <v>142</v>
      </c>
      <c r="B123" s="886">
        <f>(R122+T122)</f>
        <v>0</v>
      </c>
      <c r="C123" s="887"/>
      <c r="D123" s="1092" t="s">
        <v>162</v>
      </c>
      <c r="E123" s="461">
        <f ca="1">IF($B115=0,0,ROUND(ROUND(($R123*$S$2+($T123*$T$2))/$B115, 2)*$C$2,2))</f>
        <v>23.62</v>
      </c>
      <c r="F123" s="462">
        <f ca="1">ROUND($B115*$E123,2)</f>
        <v>3661.1</v>
      </c>
      <c r="G123" s="887"/>
      <c r="H123" s="887"/>
      <c r="I123" s="889"/>
      <c r="J123" s="887"/>
      <c r="K123" s="1093" t="s">
        <v>140</v>
      </c>
      <c r="L123" s="890" t="s">
        <v>140</v>
      </c>
      <c r="M123" s="890"/>
      <c r="N123" s="890"/>
      <c r="O123" s="890"/>
      <c r="P123" s="890"/>
      <c r="Q123" s="1093"/>
      <c r="R123" s="1094">
        <f ca="1">SUM(R116:R122)</f>
        <v>2504.6165000000005</v>
      </c>
      <c r="S123" s="1095"/>
      <c r="T123" s="1094">
        <f ca="1">SUM(T116:T122)</f>
        <v>17.220000000000002</v>
      </c>
      <c r="U123" s="514"/>
      <c r="V123" s="514"/>
      <c r="W123" s="514"/>
      <c r="X123" s="514"/>
      <c r="Y123" s="514"/>
      <c r="Z123" s="514"/>
      <c r="AA123" s="514"/>
      <c r="AB123" s="514"/>
    </row>
    <row r="124" spans="1:28" s="504" customFormat="1" ht="12" thickTop="1">
      <c r="A124" s="50"/>
      <c r="B124" s="50"/>
      <c r="C124" s="50"/>
      <c r="D124" s="50"/>
      <c r="E124" s="50"/>
      <c r="F124" s="50"/>
      <c r="G124" s="50"/>
      <c r="H124" s="50"/>
      <c r="I124" s="50"/>
      <c r="J124" s="50"/>
      <c r="K124" s="50"/>
      <c r="L124" s="50"/>
      <c r="M124" s="50"/>
      <c r="N124" s="50"/>
      <c r="O124" s="51"/>
      <c r="P124" s="50"/>
      <c r="Q124" s="41" t="s">
        <v>158</v>
      </c>
      <c r="R124" s="50"/>
      <c r="S124" s="13"/>
      <c r="T124" s="50"/>
    </row>
    <row r="125" spans="1:28" s="504" customFormat="1" ht="12" customHeight="1" thickBot="1">
      <c r="A125" s="1082">
        <v>102</v>
      </c>
      <c r="B125" s="1083">
        <f ca="1">Elec_Est!B5550</f>
        <v>102</v>
      </c>
      <c r="C125" s="1084"/>
      <c r="D125" s="1085" t="s">
        <v>1057</v>
      </c>
      <c r="E125" s="1086"/>
      <c r="F125" s="1086"/>
      <c r="G125" s="876"/>
      <c r="H125" s="876"/>
      <c r="I125" s="1087"/>
      <c r="J125" s="876"/>
      <c r="K125" s="1084" t="s">
        <v>159</v>
      </c>
      <c r="L125" s="1088" t="s">
        <v>159</v>
      </c>
      <c r="M125" s="1088"/>
      <c r="N125" s="1088"/>
      <c r="O125" s="1088"/>
      <c r="P125" s="1088"/>
      <c r="Q125" s="1089">
        <f ca="1">B125/A125</f>
        <v>1</v>
      </c>
      <c r="R125" s="1090">
        <f ca="1">IF($B125=0,0,IF($S$1="R",ROUND(R133/$B125,2),R133/$B125))</f>
        <v>8.39</v>
      </c>
      <c r="S125" s="1091"/>
      <c r="T125" s="1090">
        <f ca="1">IF($B125=0,0,IF($S$1="R",ROUND(T133/$B125,2),T133/$B125))</f>
        <v>0.09</v>
      </c>
    </row>
    <row r="126" spans="1:28" s="504" customFormat="1" ht="13.8" thickTop="1">
      <c r="A126" s="872"/>
      <c r="B126" s="3"/>
      <c r="C126" s="3"/>
      <c r="D126" s="102" t="s">
        <v>160</v>
      </c>
      <c r="E126" s="3"/>
      <c r="F126" s="3"/>
      <c r="G126" s="3"/>
      <c r="H126" s="3"/>
      <c r="I126" s="3"/>
      <c r="J126" s="3"/>
      <c r="K126" s="3"/>
      <c r="L126" s="3"/>
      <c r="M126" s="3"/>
      <c r="N126" s="3"/>
      <c r="O126" s="103"/>
      <c r="P126" s="3"/>
      <c r="Q126" s="3"/>
      <c r="R126" s="3"/>
      <c r="S126" s="3"/>
      <c r="T126" s="3"/>
    </row>
    <row r="127" spans="1:28" s="1039" customFormat="1">
      <c r="A127" s="1295">
        <f ca="1">$Q$125 *(102)</f>
        <v>102</v>
      </c>
      <c r="B127" s="1039" t="s">
        <v>326</v>
      </c>
      <c r="D127" s="1039" t="s">
        <v>1058</v>
      </c>
      <c r="G127" s="1040" t="s">
        <v>1051</v>
      </c>
      <c r="H127" s="1041">
        <v>616</v>
      </c>
      <c r="I127" s="1039" t="s">
        <v>1052</v>
      </c>
      <c r="J127" s="1039" t="s">
        <v>1053</v>
      </c>
      <c r="O127" s="1042">
        <v>2</v>
      </c>
      <c r="P127" s="1043">
        <v>40767</v>
      </c>
      <c r="Q127" s="1044">
        <f>(564.88/102)*1.435</f>
        <v>7.9470862745098039</v>
      </c>
      <c r="R127" s="1045">
        <f t="shared" ref="R127:R132" ca="1" si="22">$A127*Q127</f>
        <v>810.6028</v>
      </c>
      <c r="S127" s="1044">
        <v>0.06</v>
      </c>
      <c r="T127" s="1046">
        <f t="shared" ref="T127:T132" ca="1" si="23">$A127*S127*$T$1</f>
        <v>6.4260000000000002</v>
      </c>
    </row>
    <row r="128" spans="1:28" s="1039" customFormat="1">
      <c r="A128" s="1295">
        <f ca="1">$Q$125 *(6)</f>
        <v>6</v>
      </c>
      <c r="B128" s="1039" t="s">
        <v>949</v>
      </c>
      <c r="D128" s="1039" t="s">
        <v>1055</v>
      </c>
      <c r="G128" s="1040" t="s">
        <v>1056</v>
      </c>
      <c r="H128" s="1041">
        <v>620</v>
      </c>
      <c r="I128" s="1039" t="s">
        <v>996</v>
      </c>
      <c r="O128" s="1042">
        <v>2</v>
      </c>
      <c r="P128" s="1043">
        <v>35431</v>
      </c>
      <c r="Q128" s="1044">
        <v>6.38</v>
      </c>
      <c r="R128" s="1045">
        <f t="shared" ca="1" si="22"/>
        <v>38.28</v>
      </c>
      <c r="S128" s="1044">
        <v>0.35000000000000003</v>
      </c>
      <c r="T128" s="1046">
        <f t="shared" ca="1" si="23"/>
        <v>2.2050000000000001</v>
      </c>
    </row>
    <row r="129" spans="1:28" s="1039" customFormat="1" ht="11.4">
      <c r="A129" s="1297">
        <f ca="1">$Q$125 *(6*3)</f>
        <v>18</v>
      </c>
      <c r="B129" s="1039" t="s">
        <v>949</v>
      </c>
      <c r="D129" s="1039" t="s">
        <v>1048</v>
      </c>
      <c r="G129" s="1040" t="s">
        <v>1038</v>
      </c>
      <c r="H129" s="1041">
        <v>620</v>
      </c>
      <c r="I129" s="1039" t="s">
        <v>999</v>
      </c>
      <c r="O129" s="1042">
        <v>2</v>
      </c>
      <c r="P129" s="1043">
        <v>34669</v>
      </c>
      <c r="Q129" s="1044">
        <v>0.06</v>
      </c>
      <c r="R129" s="1045">
        <f t="shared" ca="1" si="22"/>
        <v>1.08</v>
      </c>
      <c r="S129" s="1044">
        <v>0.03</v>
      </c>
      <c r="T129" s="1046">
        <f t="shared" ca="1" si="23"/>
        <v>0.56700000000000006</v>
      </c>
    </row>
    <row r="130" spans="1:28" s="1039" customFormat="1" ht="11.4">
      <c r="A130" s="1297">
        <f ca="1">$Q$125 *(6)</f>
        <v>6</v>
      </c>
      <c r="B130" s="1039" t="s">
        <v>949</v>
      </c>
      <c r="D130" s="1039" t="s">
        <v>1000</v>
      </c>
      <c r="G130" s="1040" t="s">
        <v>1001</v>
      </c>
      <c r="H130" s="1041">
        <v>620</v>
      </c>
      <c r="I130" s="1039" t="s">
        <v>951</v>
      </c>
      <c r="O130" s="1042">
        <v>2</v>
      </c>
      <c r="P130" s="1043"/>
      <c r="Q130" s="1044">
        <v>0.1</v>
      </c>
      <c r="R130" s="1045">
        <f t="shared" ca="1" si="22"/>
        <v>0.60000000000000009</v>
      </c>
      <c r="S130" s="1044"/>
      <c r="T130" s="1046">
        <f t="shared" ca="1" si="23"/>
        <v>0</v>
      </c>
    </row>
    <row r="131" spans="1:28" s="1039" customFormat="1">
      <c r="A131" s="1296">
        <f ca="1">$Q$125 *(102)</f>
        <v>102</v>
      </c>
      <c r="B131" s="1039" t="s">
        <v>949</v>
      </c>
      <c r="D131" s="1039" t="s">
        <v>1002</v>
      </c>
      <c r="G131" s="1040" t="s">
        <v>1003</v>
      </c>
      <c r="H131" s="1041">
        <v>875</v>
      </c>
      <c r="I131" s="1039" t="s">
        <v>951</v>
      </c>
      <c r="K131" s="1039" t="s">
        <v>1004</v>
      </c>
      <c r="O131" s="1042">
        <v>1</v>
      </c>
      <c r="P131" s="1043">
        <v>34669</v>
      </c>
      <c r="Q131" s="1044">
        <v>0.05</v>
      </c>
      <c r="R131" s="1045">
        <f t="shared" ca="1" si="22"/>
        <v>5.1000000000000005</v>
      </c>
      <c r="S131" s="1044"/>
      <c r="T131" s="1046">
        <f t="shared" ca="1" si="23"/>
        <v>0</v>
      </c>
    </row>
    <row r="132" spans="1:28" s="504" customFormat="1">
      <c r="A132" s="882"/>
      <c r="B132" s="3"/>
      <c r="C132" s="882" t="s">
        <v>161</v>
      </c>
      <c r="D132" s="3"/>
      <c r="E132" s="882"/>
      <c r="F132" s="877"/>
      <c r="G132" s="882"/>
      <c r="H132" s="882"/>
      <c r="I132" s="503"/>
      <c r="J132" s="882"/>
      <c r="K132" s="882"/>
      <c r="L132" s="882"/>
      <c r="M132" s="882"/>
      <c r="N132" s="882"/>
      <c r="O132" s="882"/>
      <c r="P132" s="882"/>
      <c r="Q132" s="503"/>
      <c r="R132" s="1072">
        <f t="shared" si="22"/>
        <v>0</v>
      </c>
      <c r="S132" s="503"/>
      <c r="T132" s="884">
        <f t="shared" si="23"/>
        <v>0</v>
      </c>
    </row>
    <row r="133" spans="1:28" s="504" customFormat="1" ht="12.6" thickBot="1">
      <c r="A133" s="885" t="s">
        <v>142</v>
      </c>
      <c r="B133" s="886">
        <f>(R132+T132)</f>
        <v>0</v>
      </c>
      <c r="C133" s="887"/>
      <c r="D133" s="1092" t="s">
        <v>162</v>
      </c>
      <c r="E133" s="461">
        <f ca="1">IF($B125=0,0,ROUND(ROUND(($R133*$S$2+($T133*$T$2))/$B125, 2)*$C$2,2))</f>
        <v>13.41</v>
      </c>
      <c r="F133" s="462">
        <f ca="1">ROUND($B125*$E133,2)</f>
        <v>1367.82</v>
      </c>
      <c r="G133" s="887"/>
      <c r="H133" s="887"/>
      <c r="I133" s="889"/>
      <c r="J133" s="887"/>
      <c r="K133" s="1093" t="s">
        <v>140</v>
      </c>
      <c r="L133" s="890" t="s">
        <v>140</v>
      </c>
      <c r="M133" s="890"/>
      <c r="N133" s="890"/>
      <c r="O133" s="890"/>
      <c r="P133" s="890"/>
      <c r="Q133" s="1093"/>
      <c r="R133" s="1094">
        <f ca="1">SUM(R126:R132)</f>
        <v>855.66280000000006</v>
      </c>
      <c r="S133" s="1095"/>
      <c r="T133" s="1094">
        <f ca="1">SUM(T126:T132)</f>
        <v>9.1980000000000004</v>
      </c>
      <c r="U133" s="514"/>
      <c r="V133" s="514"/>
      <c r="W133" s="514"/>
      <c r="X133" s="514"/>
      <c r="Y133" s="514"/>
      <c r="Z133" s="514"/>
      <c r="AA133" s="514"/>
      <c r="AB133" s="514"/>
    </row>
    <row r="134" spans="1:28" s="504" customFormat="1" ht="12" thickTop="1">
      <c r="A134" s="50"/>
      <c r="B134" s="50"/>
      <c r="C134" s="50"/>
      <c r="D134" s="50"/>
      <c r="E134" s="50"/>
      <c r="F134" s="50"/>
      <c r="G134" s="50"/>
      <c r="H134" s="50"/>
      <c r="I134" s="50"/>
      <c r="J134" s="50"/>
      <c r="K134" s="50"/>
      <c r="L134" s="50"/>
      <c r="M134" s="50"/>
      <c r="N134" s="50"/>
      <c r="O134" s="51"/>
      <c r="P134" s="50"/>
      <c r="Q134" s="41" t="s">
        <v>158</v>
      </c>
      <c r="R134" s="50"/>
      <c r="S134" s="13"/>
      <c r="T134" s="50"/>
    </row>
    <row r="135" spans="1:28" s="504" customFormat="1" ht="12" customHeight="1" thickBot="1">
      <c r="A135" s="1082">
        <v>12</v>
      </c>
      <c r="B135" s="1083">
        <f ca="1">Elec_Est!B5551</f>
        <v>40</v>
      </c>
      <c r="C135" s="1084"/>
      <c r="D135" s="1085" t="s">
        <v>1063</v>
      </c>
      <c r="E135" s="1086"/>
      <c r="F135" s="1086"/>
      <c r="G135" s="876"/>
      <c r="H135" s="876"/>
      <c r="I135" s="1087"/>
      <c r="J135" s="876"/>
      <c r="K135" s="1084" t="s">
        <v>159</v>
      </c>
      <c r="L135" s="1088" t="s">
        <v>159</v>
      </c>
      <c r="M135" s="1088"/>
      <c r="N135" s="1088"/>
      <c r="O135" s="1088"/>
      <c r="P135" s="1088"/>
      <c r="Q135" s="1089">
        <f ca="1">B135/A135</f>
        <v>3.3333333333333335</v>
      </c>
      <c r="R135" s="1090">
        <f ca="1">IF($B135=0,0,IF($S$1="R",ROUND(R142/$B135,2),R142/$B135))</f>
        <v>4.01</v>
      </c>
      <c r="S135" s="1091"/>
      <c r="T135" s="1090">
        <f ca="1">IF($B135=0,0,IF($S$1="R",ROUND(T142/$B135,2),T142/$B135))</f>
        <v>0.21</v>
      </c>
    </row>
    <row r="136" spans="1:28" s="504" customFormat="1" ht="13.8" thickTop="1">
      <c r="A136" s="872"/>
      <c r="B136" s="3"/>
      <c r="C136" s="3"/>
      <c r="D136" s="102" t="s">
        <v>160</v>
      </c>
      <c r="E136" s="3"/>
      <c r="F136" s="3"/>
      <c r="G136" s="3"/>
      <c r="H136" s="3"/>
      <c r="I136" s="3"/>
      <c r="J136" s="3"/>
      <c r="K136" s="3"/>
      <c r="L136" s="3"/>
      <c r="M136" s="3"/>
      <c r="N136" s="3"/>
      <c r="O136" s="103"/>
      <c r="P136" s="3"/>
      <c r="Q136" s="3"/>
      <c r="R136" s="3"/>
      <c r="S136" s="3"/>
      <c r="T136" s="3"/>
    </row>
    <row r="137" spans="1:28" s="1039" customFormat="1" ht="11.4">
      <c r="A137" s="1297">
        <f ca="1">$Q$135 *(12)</f>
        <v>40</v>
      </c>
      <c r="B137" s="1039" t="s">
        <v>326</v>
      </c>
      <c r="D137" s="1039" t="s">
        <v>1064</v>
      </c>
      <c r="G137" s="1040" t="s">
        <v>1059</v>
      </c>
      <c r="H137" s="1041">
        <v>650</v>
      </c>
      <c r="I137" s="1039" t="s">
        <v>951</v>
      </c>
      <c r="O137" s="1042">
        <v>1</v>
      </c>
      <c r="P137" s="1043">
        <v>36897</v>
      </c>
      <c r="Q137" s="1044">
        <f>1.16 *(2.79)</f>
        <v>3.2363999999999997</v>
      </c>
      <c r="R137" s="1045">
        <f ca="1">$A137*Q137</f>
        <v>129.45599999999999</v>
      </c>
      <c r="S137" s="1044">
        <v>0.2</v>
      </c>
      <c r="T137" s="1046">
        <f ca="1">$A137*S137*$T$1</f>
        <v>8.4</v>
      </c>
    </row>
    <row r="138" spans="1:28" s="1039" customFormat="1" ht="11.4">
      <c r="A138" s="1297">
        <f ca="1">$Q$135 *(12/3*2)</f>
        <v>26.666666666666668</v>
      </c>
      <c r="B138" s="1039" t="s">
        <v>949</v>
      </c>
      <c r="D138" s="1039" t="s">
        <v>1060</v>
      </c>
      <c r="G138" s="1040" t="s">
        <v>1059</v>
      </c>
      <c r="H138" s="1041">
        <v>650</v>
      </c>
      <c r="I138" s="1039" t="s">
        <v>951</v>
      </c>
      <c r="O138" s="1042">
        <v>1</v>
      </c>
      <c r="P138" s="1043">
        <v>36897</v>
      </c>
      <c r="Q138" s="1044">
        <f>1.16 *(0.21)</f>
        <v>0.24359999999999998</v>
      </c>
      <c r="R138" s="1045">
        <f ca="1">$A138*Q138</f>
        <v>6.4959999999999996</v>
      </c>
      <c r="S138" s="1044"/>
      <c r="T138" s="1046">
        <f ca="1">$A138*S138*$T$1</f>
        <v>0</v>
      </c>
    </row>
    <row r="139" spans="1:28" s="1039" customFormat="1" ht="11.4">
      <c r="A139" s="1297">
        <f ca="1">$Q$135 *(8*4+8)</f>
        <v>133.33333333333334</v>
      </c>
      <c r="B139" s="1039" t="s">
        <v>949</v>
      </c>
      <c r="D139" s="1039" t="s">
        <v>1061</v>
      </c>
      <c r="G139" s="1040" t="s">
        <v>1059</v>
      </c>
      <c r="H139" s="1041">
        <v>650</v>
      </c>
      <c r="I139" s="1039" t="s">
        <v>951</v>
      </c>
      <c r="O139" s="1042">
        <v>1</v>
      </c>
      <c r="P139" s="1043">
        <v>36897</v>
      </c>
      <c r="Q139" s="1044">
        <f>1.16 *(0.06)</f>
        <v>6.9599999999999995E-2</v>
      </c>
      <c r="R139" s="1045">
        <f ca="1">$A139*Q139</f>
        <v>9.2799999999999994</v>
      </c>
      <c r="S139" s="1044"/>
      <c r="T139" s="1046">
        <f ca="1">$A139*S139*$T$1</f>
        <v>0</v>
      </c>
    </row>
    <row r="140" spans="1:28" s="1039" customFormat="1" ht="11.4">
      <c r="A140" s="1297">
        <f ca="1">$Q$135 *(12/3)</f>
        <v>13.333333333333334</v>
      </c>
      <c r="B140" s="1039" t="s">
        <v>949</v>
      </c>
      <c r="D140" s="1039" t="s">
        <v>1062</v>
      </c>
      <c r="G140" s="1040" t="s">
        <v>1059</v>
      </c>
      <c r="H140" s="1041">
        <v>650</v>
      </c>
      <c r="I140" s="1039" t="s">
        <v>951</v>
      </c>
      <c r="O140" s="1042">
        <v>1</v>
      </c>
      <c r="P140" s="1043">
        <v>36897</v>
      </c>
      <c r="Q140" s="1044">
        <f>1.16 *(0.97)</f>
        <v>1.1252</v>
      </c>
      <c r="R140" s="1045">
        <f ca="1">$A140*Q140</f>
        <v>15.002666666666666</v>
      </c>
      <c r="S140" s="1044"/>
      <c r="T140" s="1046">
        <f ca="1">$A140*S140*$T$1</f>
        <v>0</v>
      </c>
    </row>
    <row r="141" spans="1:28" s="504" customFormat="1">
      <c r="A141" s="882"/>
      <c r="B141" s="3"/>
      <c r="C141" s="882" t="s">
        <v>161</v>
      </c>
      <c r="D141" s="3"/>
      <c r="E141" s="882"/>
      <c r="F141" s="877"/>
      <c r="G141" s="882"/>
      <c r="H141" s="882"/>
      <c r="I141" s="503"/>
      <c r="J141" s="882"/>
      <c r="K141" s="882"/>
      <c r="L141" s="882"/>
      <c r="M141" s="882"/>
      <c r="N141" s="882"/>
      <c r="O141" s="882"/>
      <c r="P141" s="882"/>
      <c r="Q141" s="503"/>
      <c r="R141" s="1072">
        <f>$A141*Q141</f>
        <v>0</v>
      </c>
      <c r="S141" s="503"/>
      <c r="T141" s="884">
        <f>$A141*S141*$T$1</f>
        <v>0</v>
      </c>
    </row>
    <row r="142" spans="1:28" s="504" customFormat="1" ht="12.6" thickBot="1">
      <c r="A142" s="885" t="s">
        <v>142</v>
      </c>
      <c r="B142" s="886">
        <f>(R141+T141)</f>
        <v>0</v>
      </c>
      <c r="C142" s="887"/>
      <c r="D142" s="1092" t="s">
        <v>162</v>
      </c>
      <c r="E142" s="461">
        <f ca="1">IF($B135=0,0,ROUND(ROUND(($R142*$S$2+($T142*$T$2))/$B135, 2)*$C$2,2))</f>
        <v>12.27</v>
      </c>
      <c r="F142" s="462">
        <f ca="1">ROUND($B135*$E142,2)</f>
        <v>490.8</v>
      </c>
      <c r="G142" s="887"/>
      <c r="H142" s="887"/>
      <c r="I142" s="889"/>
      <c r="J142" s="887"/>
      <c r="K142" s="1093" t="s">
        <v>140</v>
      </c>
      <c r="L142" s="890" t="s">
        <v>140</v>
      </c>
      <c r="M142" s="890"/>
      <c r="N142" s="890"/>
      <c r="O142" s="890"/>
      <c r="P142" s="890"/>
      <c r="Q142" s="1093"/>
      <c r="R142" s="1094">
        <f ca="1">SUM(R136:R141)</f>
        <v>160.23466666666667</v>
      </c>
      <c r="S142" s="1095"/>
      <c r="T142" s="1094">
        <f ca="1">SUM(T136:T141)</f>
        <v>8.4</v>
      </c>
      <c r="U142" s="514"/>
      <c r="V142" s="514"/>
      <c r="W142" s="514"/>
      <c r="X142" s="514"/>
      <c r="Y142" s="514"/>
      <c r="Z142" s="514"/>
      <c r="AA142" s="514"/>
      <c r="AB142" s="514"/>
    </row>
    <row r="143" spans="1:28" s="504" customFormat="1" ht="12" thickTop="1">
      <c r="A143" s="50"/>
      <c r="B143" s="50"/>
      <c r="C143" s="50"/>
      <c r="D143" s="50"/>
      <c r="E143" s="50"/>
      <c r="F143" s="50"/>
      <c r="G143" s="50"/>
      <c r="H143" s="50"/>
      <c r="I143" s="50"/>
      <c r="J143" s="50"/>
      <c r="K143" s="50"/>
      <c r="L143" s="50"/>
      <c r="M143" s="50"/>
      <c r="N143" s="50"/>
      <c r="O143" s="51"/>
      <c r="P143" s="50"/>
      <c r="Q143" s="41" t="s">
        <v>158</v>
      </c>
      <c r="R143" s="50"/>
      <c r="S143" s="13"/>
      <c r="T143" s="50"/>
    </row>
    <row r="144" spans="1:28" s="504" customFormat="1" ht="12" customHeight="1" thickBot="1">
      <c r="A144" s="1082">
        <v>12</v>
      </c>
      <c r="B144" s="1083">
        <f ca="1">Elec_Est!B5552</f>
        <v>30</v>
      </c>
      <c r="C144" s="1084"/>
      <c r="D144" s="1085" t="s">
        <v>1065</v>
      </c>
      <c r="E144" s="1086"/>
      <c r="F144" s="1086"/>
      <c r="G144" s="876"/>
      <c r="H144" s="876"/>
      <c r="I144" s="1087"/>
      <c r="J144" s="876"/>
      <c r="K144" s="1084" t="s">
        <v>159</v>
      </c>
      <c r="L144" s="1088" t="s">
        <v>159</v>
      </c>
      <c r="M144" s="1088"/>
      <c r="N144" s="1088"/>
      <c r="O144" s="1088"/>
      <c r="P144" s="1088"/>
      <c r="Q144" s="1089">
        <f ca="1">B144/A144</f>
        <v>2.5</v>
      </c>
      <c r="R144" s="1090">
        <f ca="1">IF($B144=0,0,IF($S$1="R",ROUND(R151/$B144,2),R151/$B144))</f>
        <v>5.51</v>
      </c>
      <c r="S144" s="1091"/>
      <c r="T144" s="1090">
        <f ca="1">IF($B144=0,0,IF($S$1="R",ROUND(T151/$B144,2),T151/$B144))</f>
        <v>0.32</v>
      </c>
    </row>
    <row r="145" spans="1:28" s="504" customFormat="1" ht="13.8" thickTop="1">
      <c r="A145" s="872"/>
      <c r="B145" s="3"/>
      <c r="C145" s="3"/>
      <c r="D145" s="102" t="s">
        <v>160</v>
      </c>
      <c r="E145" s="3"/>
      <c r="F145" s="3"/>
      <c r="G145" s="3"/>
      <c r="H145" s="3"/>
      <c r="I145" s="3"/>
      <c r="J145" s="3"/>
      <c r="K145" s="3"/>
      <c r="L145" s="3"/>
      <c r="M145" s="3"/>
      <c r="N145" s="3"/>
      <c r="O145" s="103"/>
      <c r="P145" s="3"/>
      <c r="Q145" s="3"/>
      <c r="R145" s="3"/>
      <c r="S145" s="3"/>
      <c r="T145" s="3"/>
    </row>
    <row r="146" spans="1:28" s="1039" customFormat="1" ht="11.4">
      <c r="A146" s="1297">
        <f ca="1">$Q$144 *(12)</f>
        <v>30</v>
      </c>
      <c r="B146" s="1039" t="s">
        <v>326</v>
      </c>
      <c r="D146" s="1039" t="s">
        <v>1069</v>
      </c>
      <c r="G146" s="1040" t="s">
        <v>1066</v>
      </c>
      <c r="H146" s="1041">
        <v>650</v>
      </c>
      <c r="I146" s="1039" t="s">
        <v>951</v>
      </c>
      <c r="O146" s="1042">
        <v>1</v>
      </c>
      <c r="P146" s="1043">
        <v>36897</v>
      </c>
      <c r="Q146" s="1044">
        <f>1.16 *(4.09)</f>
        <v>4.7443999999999997</v>
      </c>
      <c r="R146" s="1045">
        <f ca="1">$A146*Q146</f>
        <v>142.33199999999999</v>
      </c>
      <c r="S146" s="1044">
        <v>0.3</v>
      </c>
      <c r="T146" s="1046">
        <f ca="1">$A146*S146*$T$1</f>
        <v>9.4500000000000011</v>
      </c>
    </row>
    <row r="147" spans="1:28" s="1039" customFormat="1" ht="11.4">
      <c r="A147" s="1297">
        <f ca="1">$Q$144 *(12/3*2)</f>
        <v>20</v>
      </c>
      <c r="B147" s="1039" t="s">
        <v>949</v>
      </c>
      <c r="D147" s="1039" t="s">
        <v>1075</v>
      </c>
      <c r="G147" s="1040" t="s">
        <v>1059</v>
      </c>
      <c r="H147" s="1041">
        <v>650</v>
      </c>
      <c r="I147" s="1039" t="s">
        <v>951</v>
      </c>
      <c r="O147" s="1042">
        <v>1</v>
      </c>
      <c r="P147" s="1043">
        <v>36897</v>
      </c>
      <c r="Q147" s="1044">
        <f>1.16 *(0.21)</f>
        <v>0.24359999999999998</v>
      </c>
      <c r="R147" s="1045">
        <f ca="1">$A147*Q147</f>
        <v>4.8719999999999999</v>
      </c>
      <c r="S147" s="1044"/>
      <c r="T147" s="1046">
        <f ca="1">$A147*S147*$T$1</f>
        <v>0</v>
      </c>
    </row>
    <row r="148" spans="1:28" s="1039" customFormat="1" ht="11.4">
      <c r="A148" s="1297">
        <f ca="1">$Q$144 *(8*4+8)</f>
        <v>100</v>
      </c>
      <c r="B148" s="1039" t="s">
        <v>949</v>
      </c>
      <c r="D148" s="1039" t="s">
        <v>1061</v>
      </c>
      <c r="G148" s="1040" t="s">
        <v>1059</v>
      </c>
      <c r="H148" s="1041">
        <v>650</v>
      </c>
      <c r="I148" s="1039" t="s">
        <v>951</v>
      </c>
      <c r="O148" s="1042">
        <v>1</v>
      </c>
      <c r="P148" s="1043">
        <v>36897</v>
      </c>
      <c r="Q148" s="1044">
        <f>1.16 *(0.06)</f>
        <v>6.9599999999999995E-2</v>
      </c>
      <c r="R148" s="1045">
        <f ca="1">$A148*Q148</f>
        <v>6.9599999999999991</v>
      </c>
      <c r="S148" s="1044"/>
      <c r="T148" s="1046">
        <f ca="1">$A148*S148*$T$1</f>
        <v>0</v>
      </c>
    </row>
    <row r="149" spans="1:28" s="1039" customFormat="1" ht="11.4">
      <c r="A149" s="1297">
        <f ca="1">$Q$144 *(12/3)</f>
        <v>10</v>
      </c>
      <c r="B149" s="1039" t="s">
        <v>949</v>
      </c>
      <c r="D149" s="1039" t="s">
        <v>1062</v>
      </c>
      <c r="G149" s="1040" t="s">
        <v>1059</v>
      </c>
      <c r="H149" s="1041">
        <v>650</v>
      </c>
      <c r="I149" s="1039" t="s">
        <v>951</v>
      </c>
      <c r="O149" s="1042">
        <v>1</v>
      </c>
      <c r="P149" s="1043">
        <v>36897</v>
      </c>
      <c r="Q149" s="1044">
        <f>1.16 *(0.97)</f>
        <v>1.1252</v>
      </c>
      <c r="R149" s="1045">
        <f ca="1">$A149*Q149</f>
        <v>11.251999999999999</v>
      </c>
      <c r="S149" s="1044"/>
      <c r="T149" s="1046">
        <f ca="1">$A149*S149*$T$1</f>
        <v>0</v>
      </c>
    </row>
    <row r="150" spans="1:28" s="504" customFormat="1">
      <c r="A150" s="882"/>
      <c r="B150" s="3"/>
      <c r="C150" s="882" t="s">
        <v>161</v>
      </c>
      <c r="D150" s="3"/>
      <c r="E150" s="882"/>
      <c r="F150" s="877"/>
      <c r="G150" s="882"/>
      <c r="H150" s="882"/>
      <c r="I150" s="503"/>
      <c r="J150" s="882"/>
      <c r="K150" s="882"/>
      <c r="L150" s="882"/>
      <c r="M150" s="882"/>
      <c r="N150" s="882"/>
      <c r="O150" s="882"/>
      <c r="P150" s="882"/>
      <c r="Q150" s="503"/>
      <c r="R150" s="1072">
        <f>$A150*Q150</f>
        <v>0</v>
      </c>
      <c r="S150" s="503"/>
      <c r="T150" s="884">
        <f>$A150*S150*$T$1</f>
        <v>0</v>
      </c>
    </row>
    <row r="151" spans="1:28" s="504" customFormat="1" ht="12.6" thickBot="1">
      <c r="A151" s="885" t="s">
        <v>142</v>
      </c>
      <c r="B151" s="886">
        <f>(R150+T150)</f>
        <v>0</v>
      </c>
      <c r="C151" s="887"/>
      <c r="D151" s="1092" t="s">
        <v>162</v>
      </c>
      <c r="E151" s="461">
        <f ca="1">IF($B144=0,0,ROUND(ROUND(($R151*$S$2+($T151*$T$2))/$B144, 2)*$C$2,2))</f>
        <v>17.809999999999999</v>
      </c>
      <c r="F151" s="462">
        <f ca="1">ROUND($B144*$E151,2)</f>
        <v>534.29999999999995</v>
      </c>
      <c r="G151" s="887"/>
      <c r="H151" s="887"/>
      <c r="I151" s="889"/>
      <c r="J151" s="887"/>
      <c r="K151" s="1093" t="s">
        <v>140</v>
      </c>
      <c r="L151" s="890" t="s">
        <v>140</v>
      </c>
      <c r="M151" s="890"/>
      <c r="N151" s="890"/>
      <c r="O151" s="890"/>
      <c r="P151" s="890"/>
      <c r="Q151" s="1093"/>
      <c r="R151" s="1094">
        <f ca="1">SUM(R145:R150)</f>
        <v>165.41600000000003</v>
      </c>
      <c r="S151" s="1095"/>
      <c r="T151" s="1094">
        <f ca="1">SUM(T145:T150)</f>
        <v>9.4500000000000011</v>
      </c>
      <c r="U151" s="514"/>
      <c r="V151" s="514"/>
      <c r="W151" s="514"/>
      <c r="X151" s="514"/>
      <c r="Y151" s="514"/>
      <c r="Z151" s="514"/>
      <c r="AA151" s="514"/>
      <c r="AB151" s="514"/>
    </row>
    <row r="152" spans="1:28" s="504" customFormat="1" ht="12" thickTop="1">
      <c r="A152" s="50"/>
      <c r="B152" s="50"/>
      <c r="C152" s="50"/>
      <c r="D152" s="50"/>
      <c r="E152" s="50"/>
      <c r="F152" s="50"/>
      <c r="G152" s="50"/>
      <c r="H152" s="50"/>
      <c r="I152" s="50"/>
      <c r="J152" s="50"/>
      <c r="K152" s="50"/>
      <c r="L152" s="50"/>
      <c r="M152" s="50"/>
      <c r="N152" s="50"/>
      <c r="O152" s="51"/>
      <c r="P152" s="50"/>
      <c r="Q152" s="41" t="s">
        <v>158</v>
      </c>
      <c r="R152" s="50"/>
      <c r="S152" s="13"/>
      <c r="T152" s="50"/>
    </row>
    <row r="153" spans="1:28" s="504" customFormat="1" ht="12" customHeight="1" thickBot="1">
      <c r="A153" s="1082">
        <v>12</v>
      </c>
      <c r="B153" s="1083">
        <f ca="1">Elec_Est!B5553</f>
        <v>10</v>
      </c>
      <c r="C153" s="1084"/>
      <c r="D153" s="1085" t="s">
        <v>1067</v>
      </c>
      <c r="E153" s="1086"/>
      <c r="F153" s="1086"/>
      <c r="G153" s="876"/>
      <c r="H153" s="876"/>
      <c r="I153" s="1087"/>
      <c r="J153" s="876"/>
      <c r="K153" s="1084" t="s">
        <v>159</v>
      </c>
      <c r="L153" s="1088" t="s">
        <v>159</v>
      </c>
      <c r="M153" s="1088"/>
      <c r="N153" s="1088"/>
      <c r="O153" s="1088"/>
      <c r="P153" s="1088"/>
      <c r="Q153" s="1089">
        <f ca="1">B153/A153</f>
        <v>0.83333333333333337</v>
      </c>
      <c r="R153" s="1090">
        <f ca="1">IF($B153=0,0,IF($S$1="R",ROUND(R160/$B153,2),R160/$B153))</f>
        <v>7.02</v>
      </c>
      <c r="S153" s="1091"/>
      <c r="T153" s="1090">
        <f ca="1">IF($B153=0,0,IF($S$1="R",ROUND(T160/$B153,2),T160/$B153))</f>
        <v>0.37</v>
      </c>
    </row>
    <row r="154" spans="1:28" s="504" customFormat="1" ht="13.8" thickTop="1">
      <c r="A154" s="872"/>
      <c r="B154" s="3"/>
      <c r="C154" s="3"/>
      <c r="D154" s="102" t="s">
        <v>160</v>
      </c>
      <c r="E154" s="3"/>
      <c r="F154" s="3"/>
      <c r="G154" s="3"/>
      <c r="H154" s="3"/>
      <c r="I154" s="3"/>
      <c r="J154" s="3"/>
      <c r="K154" s="3"/>
      <c r="L154" s="3"/>
      <c r="M154" s="3"/>
      <c r="N154" s="3"/>
      <c r="O154" s="103"/>
      <c r="P154" s="3"/>
      <c r="Q154" s="3"/>
      <c r="R154" s="3"/>
      <c r="S154" s="3"/>
      <c r="T154" s="3"/>
    </row>
    <row r="155" spans="1:28" s="1039" customFormat="1" ht="11.4">
      <c r="A155" s="1297">
        <f ca="1">$Q$153 *(12)</f>
        <v>10</v>
      </c>
      <c r="B155" s="1039" t="s">
        <v>326</v>
      </c>
      <c r="D155" s="1039" t="s">
        <v>1070</v>
      </c>
      <c r="G155" s="1040" t="s">
        <v>1068</v>
      </c>
      <c r="H155" s="1041">
        <v>650</v>
      </c>
      <c r="I155" s="1039" t="s">
        <v>951</v>
      </c>
      <c r="O155" s="1042">
        <v>1</v>
      </c>
      <c r="P155" s="1043">
        <v>36897</v>
      </c>
      <c r="Q155" s="1044">
        <f>1.16 *(5.39)</f>
        <v>6.2523999999999988</v>
      </c>
      <c r="R155" s="1045">
        <f ca="1">$A155*Q155</f>
        <v>62.523999999999987</v>
      </c>
      <c r="S155" s="1044">
        <v>0.35000000000000003</v>
      </c>
      <c r="T155" s="1046">
        <f ca="1">$A155*S155*$T$1</f>
        <v>3.6750000000000007</v>
      </c>
    </row>
    <row r="156" spans="1:28" s="1039" customFormat="1" ht="11.4">
      <c r="A156" s="1297">
        <f ca="1">$Q$153 *(12/3*2)</f>
        <v>6.666666666666667</v>
      </c>
      <c r="B156" s="1039" t="s">
        <v>949</v>
      </c>
      <c r="D156" s="1039" t="s">
        <v>1075</v>
      </c>
      <c r="G156" s="1040" t="s">
        <v>1059</v>
      </c>
      <c r="H156" s="1041">
        <v>650</v>
      </c>
      <c r="I156" s="1039" t="s">
        <v>951</v>
      </c>
      <c r="O156" s="1042">
        <v>1</v>
      </c>
      <c r="P156" s="1043">
        <v>36897</v>
      </c>
      <c r="Q156" s="1044">
        <f>1.16 *(0.21)</f>
        <v>0.24359999999999998</v>
      </c>
      <c r="R156" s="1045">
        <f ca="1">$A156*Q156</f>
        <v>1.6239999999999999</v>
      </c>
      <c r="S156" s="1044"/>
      <c r="T156" s="1046">
        <f ca="1">$A156*S156*$T$1</f>
        <v>0</v>
      </c>
    </row>
    <row r="157" spans="1:28" s="1039" customFormat="1" ht="11.4">
      <c r="A157" s="1297">
        <f ca="1">$Q$153 *(8*4+8)</f>
        <v>33.333333333333336</v>
      </c>
      <c r="B157" s="1039" t="s">
        <v>949</v>
      </c>
      <c r="D157" s="1039" t="s">
        <v>1061</v>
      </c>
      <c r="G157" s="1040" t="s">
        <v>1059</v>
      </c>
      <c r="H157" s="1041">
        <v>650</v>
      </c>
      <c r="I157" s="1039" t="s">
        <v>951</v>
      </c>
      <c r="O157" s="1042">
        <v>1</v>
      </c>
      <c r="P157" s="1043">
        <v>36897</v>
      </c>
      <c r="Q157" s="1044">
        <f>1.16 *(0.06)</f>
        <v>6.9599999999999995E-2</v>
      </c>
      <c r="R157" s="1045">
        <f ca="1">$A157*Q157</f>
        <v>2.3199999999999998</v>
      </c>
      <c r="S157" s="1044"/>
      <c r="T157" s="1046">
        <f ca="1">$A157*S157*$T$1</f>
        <v>0</v>
      </c>
    </row>
    <row r="158" spans="1:28" s="1039" customFormat="1" ht="11.4">
      <c r="A158" s="1297">
        <f ca="1">$Q$153 *(12/3)</f>
        <v>3.3333333333333335</v>
      </c>
      <c r="B158" s="1039" t="s">
        <v>949</v>
      </c>
      <c r="D158" s="1039" t="s">
        <v>1062</v>
      </c>
      <c r="G158" s="1040" t="s">
        <v>1059</v>
      </c>
      <c r="H158" s="1041">
        <v>650</v>
      </c>
      <c r="I158" s="1039" t="s">
        <v>951</v>
      </c>
      <c r="O158" s="1042">
        <v>1</v>
      </c>
      <c r="P158" s="1043">
        <v>36897</v>
      </c>
      <c r="Q158" s="1044">
        <f>1.16 *(0.97)</f>
        <v>1.1252</v>
      </c>
      <c r="R158" s="1045">
        <f ca="1">$A158*Q158</f>
        <v>3.7506666666666666</v>
      </c>
      <c r="S158" s="1044"/>
      <c r="T158" s="1046">
        <f ca="1">$A158*S158*$T$1</f>
        <v>0</v>
      </c>
    </row>
    <row r="159" spans="1:28" s="504" customFormat="1">
      <c r="A159" s="882"/>
      <c r="B159" s="3"/>
      <c r="C159" s="882" t="s">
        <v>161</v>
      </c>
      <c r="D159" s="3"/>
      <c r="E159" s="882"/>
      <c r="F159" s="877"/>
      <c r="G159" s="882"/>
      <c r="H159" s="882"/>
      <c r="I159" s="503"/>
      <c r="J159" s="882"/>
      <c r="K159" s="882"/>
      <c r="L159" s="882"/>
      <c r="M159" s="882"/>
      <c r="N159" s="882"/>
      <c r="O159" s="882"/>
      <c r="P159" s="882"/>
      <c r="Q159" s="503"/>
      <c r="R159" s="1072">
        <f>$A159*Q159</f>
        <v>0</v>
      </c>
      <c r="S159" s="503"/>
      <c r="T159" s="884">
        <f>$A159*S159*$T$1</f>
        <v>0</v>
      </c>
    </row>
    <row r="160" spans="1:28" s="504" customFormat="1" ht="12.6" thickBot="1">
      <c r="A160" s="885" t="s">
        <v>142</v>
      </c>
      <c r="B160" s="886">
        <f>(R159+T159)</f>
        <v>0</v>
      </c>
      <c r="C160" s="887"/>
      <c r="D160" s="1092" t="s">
        <v>162</v>
      </c>
      <c r="E160" s="461">
        <f ca="1">IF($B153=0,0,ROUND(ROUND(($R160*$S$2+($T160*$T$2))/$B153, 2)*$C$2,2))</f>
        <v>21.49</v>
      </c>
      <c r="F160" s="462">
        <f ca="1">ROUND($B153*$E160,2)</f>
        <v>214.9</v>
      </c>
      <c r="G160" s="887"/>
      <c r="H160" s="887"/>
      <c r="I160" s="889"/>
      <c r="J160" s="887"/>
      <c r="K160" s="1093" t="s">
        <v>140</v>
      </c>
      <c r="L160" s="890" t="s">
        <v>140</v>
      </c>
      <c r="M160" s="890"/>
      <c r="N160" s="890"/>
      <c r="O160" s="890"/>
      <c r="P160" s="890"/>
      <c r="Q160" s="1093"/>
      <c r="R160" s="1094">
        <f ca="1">SUM(R154:R159)</f>
        <v>70.218666666666635</v>
      </c>
      <c r="S160" s="1095"/>
      <c r="T160" s="1094">
        <f ca="1">SUM(T154:T159)</f>
        <v>3.6750000000000007</v>
      </c>
      <c r="U160" s="514"/>
      <c r="V160" s="514"/>
      <c r="W160" s="514"/>
      <c r="X160" s="514"/>
      <c r="Y160" s="514"/>
      <c r="Z160" s="514"/>
      <c r="AA160" s="514"/>
      <c r="AB160" s="514"/>
    </row>
    <row r="161" spans="1:28" s="504" customFormat="1" ht="12" thickTop="1">
      <c r="A161" s="50"/>
      <c r="B161" s="50"/>
      <c r="C161" s="50"/>
      <c r="D161" s="50"/>
      <c r="E161" s="50"/>
      <c r="F161" s="50"/>
      <c r="G161" s="50"/>
      <c r="H161" s="50"/>
      <c r="I161" s="50"/>
      <c r="J161" s="50"/>
      <c r="K161" s="50"/>
      <c r="L161" s="50"/>
      <c r="M161" s="50"/>
      <c r="N161" s="50"/>
      <c r="O161" s="51"/>
      <c r="P161" s="50"/>
      <c r="Q161" s="41" t="s">
        <v>158</v>
      </c>
      <c r="R161" s="50"/>
      <c r="S161" s="13"/>
      <c r="T161" s="50"/>
    </row>
    <row r="162" spans="1:28" s="504" customFormat="1" ht="12" customHeight="1" thickBot="1">
      <c r="A162" s="1082">
        <v>12</v>
      </c>
      <c r="B162" s="1083">
        <f ca="1">Elec_Est!B5554</f>
        <v>30</v>
      </c>
      <c r="C162" s="1084"/>
      <c r="D162" s="1085" t="s">
        <v>1071</v>
      </c>
      <c r="E162" s="1086"/>
      <c r="F162" s="1086"/>
      <c r="G162" s="876"/>
      <c r="H162" s="876"/>
      <c r="I162" s="1087"/>
      <c r="J162" s="876"/>
      <c r="K162" s="1084" t="s">
        <v>159</v>
      </c>
      <c r="L162" s="1088" t="s">
        <v>159</v>
      </c>
      <c r="M162" s="1088"/>
      <c r="N162" s="1088"/>
      <c r="O162" s="1088"/>
      <c r="P162" s="1088"/>
      <c r="Q162" s="1089">
        <f ca="1">B162/A162</f>
        <v>2.5</v>
      </c>
      <c r="R162" s="1090">
        <f ca="1">IF($B162=0,0,IF($S$1="R",ROUND(R169/$B162,2),R169/$B162))</f>
        <v>10.29</v>
      </c>
      <c r="S162" s="1091"/>
      <c r="T162" s="1090">
        <f ca="1">IF($B162=0,0,IF($S$1="R",ROUND(T169/$B162,2),T169/$B162))</f>
        <v>0.42</v>
      </c>
    </row>
    <row r="163" spans="1:28" s="504" customFormat="1" ht="13.8" thickTop="1">
      <c r="A163" s="872"/>
      <c r="B163" s="3"/>
      <c r="C163" s="3"/>
      <c r="D163" s="102" t="s">
        <v>160</v>
      </c>
      <c r="E163" s="3"/>
      <c r="F163" s="3"/>
      <c r="G163" s="3"/>
      <c r="H163" s="3"/>
      <c r="I163" s="3"/>
      <c r="J163" s="3"/>
      <c r="K163" s="3"/>
      <c r="L163" s="3"/>
      <c r="M163" s="3"/>
      <c r="N163" s="3"/>
      <c r="O163" s="103"/>
      <c r="P163" s="3"/>
      <c r="Q163" s="3"/>
      <c r="R163" s="3"/>
      <c r="S163" s="3"/>
      <c r="T163" s="3"/>
    </row>
    <row r="164" spans="1:28" s="1039" customFormat="1" ht="11.4">
      <c r="A164" s="1297">
        <f ca="1">$Q$162 *(12)</f>
        <v>30</v>
      </c>
      <c r="B164" s="1039" t="s">
        <v>326</v>
      </c>
      <c r="D164" s="1039" t="s">
        <v>1073</v>
      </c>
      <c r="G164" s="1040" t="s">
        <v>1068</v>
      </c>
      <c r="H164" s="1041">
        <v>650</v>
      </c>
      <c r="I164" s="1039" t="s">
        <v>951</v>
      </c>
      <c r="O164" s="1042">
        <v>1</v>
      </c>
      <c r="P164" s="1043">
        <v>36897</v>
      </c>
      <c r="Q164" s="1044">
        <f>1.16 *(8.21)</f>
        <v>9.5236000000000001</v>
      </c>
      <c r="R164" s="1045">
        <f ca="1">$A164*Q164</f>
        <v>285.70800000000003</v>
      </c>
      <c r="S164" s="1044">
        <v>0.4</v>
      </c>
      <c r="T164" s="1046">
        <f ca="1">$A164*S164*$T$1</f>
        <v>12.600000000000001</v>
      </c>
    </row>
    <row r="165" spans="1:28" s="1039" customFormat="1" ht="11.4">
      <c r="A165" s="1297">
        <f ca="1">$Q$162 *(12/3*2)</f>
        <v>20</v>
      </c>
      <c r="B165" s="1039" t="s">
        <v>949</v>
      </c>
      <c r="D165" s="1039" t="s">
        <v>1075</v>
      </c>
      <c r="G165" s="1040" t="s">
        <v>1059</v>
      </c>
      <c r="H165" s="1041">
        <v>650</v>
      </c>
      <c r="I165" s="1039" t="s">
        <v>951</v>
      </c>
      <c r="O165" s="1042">
        <v>1</v>
      </c>
      <c r="P165" s="1043">
        <v>36897</v>
      </c>
      <c r="Q165" s="1044">
        <f>1.16 *(0.21)</f>
        <v>0.24359999999999998</v>
      </c>
      <c r="R165" s="1045">
        <f ca="1">$A165*Q165</f>
        <v>4.8719999999999999</v>
      </c>
      <c r="S165" s="1044"/>
      <c r="T165" s="1046">
        <f ca="1">$A165*S165*$T$1</f>
        <v>0</v>
      </c>
    </row>
    <row r="166" spans="1:28" s="1039" customFormat="1" ht="11.4">
      <c r="A166" s="1297">
        <f ca="1">$Q$162 *(8*4+8)</f>
        <v>100</v>
      </c>
      <c r="B166" s="1039" t="s">
        <v>949</v>
      </c>
      <c r="D166" s="1039" t="s">
        <v>1061</v>
      </c>
      <c r="G166" s="1040" t="s">
        <v>1059</v>
      </c>
      <c r="H166" s="1041">
        <v>650</v>
      </c>
      <c r="I166" s="1039" t="s">
        <v>951</v>
      </c>
      <c r="O166" s="1042">
        <v>1</v>
      </c>
      <c r="P166" s="1043">
        <v>36897</v>
      </c>
      <c r="Q166" s="1044">
        <f>1.16 *(0.06)</f>
        <v>6.9599999999999995E-2</v>
      </c>
      <c r="R166" s="1045">
        <f ca="1">$A166*Q166</f>
        <v>6.9599999999999991</v>
      </c>
      <c r="S166" s="1044"/>
      <c r="T166" s="1046">
        <f ca="1">$A166*S166*$T$1</f>
        <v>0</v>
      </c>
    </row>
    <row r="167" spans="1:28" s="1039" customFormat="1" ht="11.4">
      <c r="A167" s="1297">
        <f ca="1">$Q$162 *(12/3)</f>
        <v>10</v>
      </c>
      <c r="B167" s="1039" t="s">
        <v>949</v>
      </c>
      <c r="D167" s="1039" t="s">
        <v>1062</v>
      </c>
      <c r="G167" s="1040" t="s">
        <v>1059</v>
      </c>
      <c r="H167" s="1041">
        <v>650</v>
      </c>
      <c r="I167" s="1039" t="s">
        <v>951</v>
      </c>
      <c r="O167" s="1042">
        <v>1</v>
      </c>
      <c r="P167" s="1043">
        <v>36897</v>
      </c>
      <c r="Q167" s="1044">
        <f>1.16 *(0.97)</f>
        <v>1.1252</v>
      </c>
      <c r="R167" s="1045">
        <f ca="1">$A167*Q167</f>
        <v>11.251999999999999</v>
      </c>
      <c r="S167" s="1044"/>
      <c r="T167" s="1046">
        <f ca="1">$A167*S167*$T$1</f>
        <v>0</v>
      </c>
    </row>
    <row r="168" spans="1:28" s="504" customFormat="1">
      <c r="A168" s="882"/>
      <c r="B168" s="3"/>
      <c r="C168" s="882" t="s">
        <v>161</v>
      </c>
      <c r="D168" s="3"/>
      <c r="E168" s="882"/>
      <c r="F168" s="877"/>
      <c r="G168" s="882"/>
      <c r="H168" s="882"/>
      <c r="I168" s="503"/>
      <c r="J168" s="882"/>
      <c r="K168" s="882"/>
      <c r="L168" s="882"/>
      <c r="M168" s="882"/>
      <c r="N168" s="882"/>
      <c r="O168" s="882"/>
      <c r="P168" s="882"/>
      <c r="Q168" s="503"/>
      <c r="R168" s="1072">
        <f>$A168*Q168</f>
        <v>0</v>
      </c>
      <c r="S168" s="503"/>
      <c r="T168" s="884">
        <f>$A168*S168*$T$1</f>
        <v>0</v>
      </c>
    </row>
    <row r="169" spans="1:28" s="504" customFormat="1" ht="12.6" thickBot="1">
      <c r="A169" s="885" t="s">
        <v>142</v>
      </c>
      <c r="B169" s="886">
        <f>(R168+T168)</f>
        <v>0</v>
      </c>
      <c r="C169" s="887"/>
      <c r="D169" s="1092" t="s">
        <v>162</v>
      </c>
      <c r="E169" s="461">
        <f ca="1">IF($B162=0,0,ROUND(ROUND(($R169*$S$2+($T169*$T$2))/$B162, 2)*$C$2,2))</f>
        <v>27.33</v>
      </c>
      <c r="F169" s="462">
        <f ca="1">ROUND($B162*$E169,2)</f>
        <v>819.9</v>
      </c>
      <c r="G169" s="887"/>
      <c r="H169" s="887"/>
      <c r="I169" s="889"/>
      <c r="J169" s="887"/>
      <c r="K169" s="1093" t="s">
        <v>140</v>
      </c>
      <c r="L169" s="890" t="s">
        <v>140</v>
      </c>
      <c r="M169" s="890"/>
      <c r="N169" s="890"/>
      <c r="O169" s="890"/>
      <c r="P169" s="890"/>
      <c r="Q169" s="1093"/>
      <c r="R169" s="1094">
        <f ca="1">SUM(R163:R168)</f>
        <v>308.79200000000003</v>
      </c>
      <c r="S169" s="1095"/>
      <c r="T169" s="1094">
        <f ca="1">SUM(T163:T168)</f>
        <v>12.600000000000001</v>
      </c>
      <c r="U169" s="514"/>
      <c r="V169" s="514"/>
      <c r="W169" s="514"/>
      <c r="X169" s="514"/>
      <c r="Y169" s="514"/>
      <c r="Z169" s="514"/>
      <c r="AA169" s="514"/>
      <c r="AB169" s="514"/>
    </row>
    <row r="170" spans="1:28" s="504" customFormat="1" ht="12" thickTop="1">
      <c r="A170" s="50"/>
      <c r="B170" s="50"/>
      <c r="C170" s="50"/>
      <c r="D170" s="50"/>
      <c r="E170" s="50"/>
      <c r="F170" s="50"/>
      <c r="G170" s="50"/>
      <c r="H170" s="50"/>
      <c r="I170" s="50"/>
      <c r="J170" s="50"/>
      <c r="K170" s="50"/>
      <c r="L170" s="50"/>
      <c r="M170" s="50"/>
      <c r="N170" s="50"/>
      <c r="O170" s="51"/>
      <c r="P170" s="50"/>
      <c r="Q170" s="41" t="s">
        <v>158</v>
      </c>
      <c r="R170" s="50"/>
      <c r="S170" s="13"/>
      <c r="T170" s="50"/>
    </row>
    <row r="171" spans="1:28" s="504" customFormat="1" ht="12" customHeight="1" thickBot="1">
      <c r="A171" s="1082">
        <v>12</v>
      </c>
      <c r="B171" s="1083">
        <f ca="1">Elec_Est!B5555</f>
        <v>20</v>
      </c>
      <c r="C171" s="1084"/>
      <c r="D171" s="1085" t="s">
        <v>1072</v>
      </c>
      <c r="E171" s="1086"/>
      <c r="F171" s="1086"/>
      <c r="G171" s="876"/>
      <c r="H171" s="876"/>
      <c r="I171" s="1087"/>
      <c r="J171" s="876"/>
      <c r="K171" s="1084" t="s">
        <v>159</v>
      </c>
      <c r="L171" s="1088" t="s">
        <v>159</v>
      </c>
      <c r="M171" s="1088"/>
      <c r="N171" s="1088"/>
      <c r="O171" s="1088"/>
      <c r="P171" s="1088"/>
      <c r="Q171" s="1089">
        <f ca="1">B171/A171</f>
        <v>1.6666666666666667</v>
      </c>
      <c r="R171" s="1090">
        <f ca="1">IF($B171=0,0,IF($S$1="R",ROUND(R178/$B171,2),R178/$B171))</f>
        <v>12.15</v>
      </c>
      <c r="S171" s="1091"/>
      <c r="T171" s="1090">
        <f ca="1">IF($B171=0,0,IF($S$1="R",ROUND(T178/$B171,2),T178/$B171))</f>
        <v>0.47</v>
      </c>
    </row>
    <row r="172" spans="1:28" s="504" customFormat="1" ht="13.8" thickTop="1">
      <c r="A172" s="872"/>
      <c r="B172" s="3"/>
      <c r="C172" s="3"/>
      <c r="D172" s="102" t="s">
        <v>160</v>
      </c>
      <c r="E172" s="3"/>
      <c r="F172" s="3"/>
      <c r="G172" s="3"/>
      <c r="H172" s="3"/>
      <c r="I172" s="3"/>
      <c r="J172" s="3"/>
      <c r="K172" s="3"/>
      <c r="L172" s="3"/>
      <c r="M172" s="3"/>
      <c r="N172" s="3"/>
      <c r="O172" s="103"/>
      <c r="P172" s="3"/>
      <c r="Q172" s="3"/>
      <c r="R172" s="3"/>
      <c r="S172" s="3"/>
      <c r="T172" s="3"/>
    </row>
    <row r="173" spans="1:28" s="1039" customFormat="1" ht="11.4">
      <c r="A173" s="1297">
        <f ca="1">$Q$171 *(12)</f>
        <v>20</v>
      </c>
      <c r="B173" s="1039" t="s">
        <v>326</v>
      </c>
      <c r="D173" s="1039" t="s">
        <v>1074</v>
      </c>
      <c r="G173" s="1040" t="s">
        <v>1068</v>
      </c>
      <c r="H173" s="1041">
        <v>650</v>
      </c>
      <c r="I173" s="1039" t="s">
        <v>951</v>
      </c>
      <c r="O173" s="1042">
        <v>1</v>
      </c>
      <c r="P173" s="1043">
        <v>36897</v>
      </c>
      <c r="Q173" s="1044">
        <f>1.16 *(9.81)</f>
        <v>11.3796</v>
      </c>
      <c r="R173" s="1045">
        <f ca="1">$A173*Q173</f>
        <v>227.59199999999998</v>
      </c>
      <c r="S173" s="1044">
        <v>0.45</v>
      </c>
      <c r="T173" s="1046">
        <f ca="1">$A173*S173*$T$1</f>
        <v>9.4500000000000011</v>
      </c>
    </row>
    <row r="174" spans="1:28" s="1039" customFormat="1" ht="11.4">
      <c r="A174" s="1297">
        <f ca="1">$Q$171 *(12/3*2)</f>
        <v>13.333333333333334</v>
      </c>
      <c r="B174" s="1039" t="s">
        <v>949</v>
      </c>
      <c r="D174" s="1039" t="s">
        <v>1075</v>
      </c>
      <c r="G174" s="1040" t="s">
        <v>1059</v>
      </c>
      <c r="H174" s="1041">
        <v>650</v>
      </c>
      <c r="I174" s="1039" t="s">
        <v>951</v>
      </c>
      <c r="O174" s="1042">
        <v>1</v>
      </c>
      <c r="P174" s="1043">
        <v>36897</v>
      </c>
      <c r="Q174" s="1044">
        <f>1.16 *(0.21)</f>
        <v>0.24359999999999998</v>
      </c>
      <c r="R174" s="1045">
        <f ca="1">$A174*Q174</f>
        <v>3.2479999999999998</v>
      </c>
      <c r="S174" s="1044"/>
      <c r="T174" s="1046">
        <f ca="1">$A174*S174*$T$1</f>
        <v>0</v>
      </c>
    </row>
    <row r="175" spans="1:28" s="1039" customFormat="1" ht="11.4">
      <c r="A175" s="1297">
        <f ca="1">$Q$171 *(8*4+8)</f>
        <v>66.666666666666671</v>
      </c>
      <c r="B175" s="1039" t="s">
        <v>949</v>
      </c>
      <c r="D175" s="1039" t="s">
        <v>1061</v>
      </c>
      <c r="G175" s="1040" t="s">
        <v>1059</v>
      </c>
      <c r="H175" s="1041">
        <v>650</v>
      </c>
      <c r="I175" s="1039" t="s">
        <v>951</v>
      </c>
      <c r="O175" s="1042">
        <v>1</v>
      </c>
      <c r="P175" s="1043">
        <v>36897</v>
      </c>
      <c r="Q175" s="1044">
        <f>1.16 *(0.06)</f>
        <v>6.9599999999999995E-2</v>
      </c>
      <c r="R175" s="1045">
        <f ca="1">$A175*Q175</f>
        <v>4.6399999999999997</v>
      </c>
      <c r="S175" s="1044"/>
      <c r="T175" s="1046">
        <f ca="1">$A175*S175*$T$1</f>
        <v>0</v>
      </c>
    </row>
    <row r="176" spans="1:28" s="1039" customFormat="1" ht="11.4">
      <c r="A176" s="1297">
        <f ca="1">$Q$171 *(12/3)</f>
        <v>6.666666666666667</v>
      </c>
      <c r="B176" s="1039" t="s">
        <v>949</v>
      </c>
      <c r="D176" s="1039" t="s">
        <v>1062</v>
      </c>
      <c r="G176" s="1040" t="s">
        <v>1059</v>
      </c>
      <c r="H176" s="1041">
        <v>650</v>
      </c>
      <c r="I176" s="1039" t="s">
        <v>951</v>
      </c>
      <c r="O176" s="1042">
        <v>1</v>
      </c>
      <c r="P176" s="1043">
        <v>36897</v>
      </c>
      <c r="Q176" s="1044">
        <f>1.16 *(0.97)</f>
        <v>1.1252</v>
      </c>
      <c r="R176" s="1045">
        <f ca="1">$A176*Q176</f>
        <v>7.5013333333333332</v>
      </c>
      <c r="S176" s="1044"/>
      <c r="T176" s="1046">
        <f ca="1">$A176*S176*$T$1</f>
        <v>0</v>
      </c>
    </row>
    <row r="177" spans="1:28" s="504" customFormat="1">
      <c r="A177" s="882"/>
      <c r="B177" s="3"/>
      <c r="C177" s="882" t="s">
        <v>161</v>
      </c>
      <c r="D177" s="3"/>
      <c r="E177" s="882"/>
      <c r="F177" s="877"/>
      <c r="G177" s="882"/>
      <c r="H177" s="882"/>
      <c r="I177" s="503"/>
      <c r="J177" s="882"/>
      <c r="K177" s="882"/>
      <c r="L177" s="882"/>
      <c r="M177" s="882"/>
      <c r="N177" s="882"/>
      <c r="O177" s="882"/>
      <c r="P177" s="882"/>
      <c r="Q177" s="503"/>
      <c r="R177" s="1072">
        <f>$A177*Q177</f>
        <v>0</v>
      </c>
      <c r="S177" s="503"/>
      <c r="T177" s="884">
        <f>$A177*S177*$T$1</f>
        <v>0</v>
      </c>
    </row>
    <row r="178" spans="1:28" s="504" customFormat="1" ht="12.6" thickBot="1">
      <c r="A178" s="885" t="s">
        <v>142</v>
      </c>
      <c r="B178" s="886">
        <f>(R177+T177)</f>
        <v>0</v>
      </c>
      <c r="C178" s="887"/>
      <c r="D178" s="1092" t="s">
        <v>162</v>
      </c>
      <c r="E178" s="461">
        <f ca="1">IF($B171=0,0,ROUND(ROUND(($R178*$S$2+($T178*$T$2))/$B171, 2)*$C$2,2))</f>
        <v>31.44</v>
      </c>
      <c r="F178" s="462">
        <f ca="1">ROUND($B171*$E178,2)</f>
        <v>628.79999999999995</v>
      </c>
      <c r="G178" s="887"/>
      <c r="H178" s="887"/>
      <c r="I178" s="889"/>
      <c r="J178" s="887"/>
      <c r="K178" s="1093" t="s">
        <v>140</v>
      </c>
      <c r="L178" s="890" t="s">
        <v>140</v>
      </c>
      <c r="M178" s="890"/>
      <c r="N178" s="890"/>
      <c r="O178" s="890"/>
      <c r="P178" s="890"/>
      <c r="Q178" s="1093"/>
      <c r="R178" s="1094">
        <f ca="1">SUM(R172:R177)</f>
        <v>242.98133333333328</v>
      </c>
      <c r="S178" s="1095"/>
      <c r="T178" s="1094">
        <f ca="1">SUM(T172:T177)</f>
        <v>9.4500000000000011</v>
      </c>
      <c r="U178" s="514"/>
      <c r="V178" s="514"/>
      <c r="W178" s="514"/>
      <c r="X178" s="514"/>
      <c r="Y178" s="514"/>
      <c r="Z178" s="514"/>
      <c r="AA178" s="514"/>
      <c r="AB178" s="514"/>
    </row>
    <row r="179" spans="1:28" s="504" customFormat="1" ht="12" thickTop="1">
      <c r="A179" s="50"/>
      <c r="B179" s="50"/>
      <c r="C179" s="50"/>
      <c r="D179" s="50"/>
      <c r="E179" s="50"/>
      <c r="F179" s="50"/>
      <c r="G179" s="50"/>
      <c r="H179" s="50"/>
      <c r="I179" s="50"/>
      <c r="J179" s="50"/>
      <c r="K179" s="50"/>
      <c r="L179" s="50"/>
      <c r="M179" s="50"/>
      <c r="N179" s="50"/>
      <c r="O179" s="51"/>
      <c r="P179" s="50"/>
      <c r="Q179" s="41" t="s">
        <v>158</v>
      </c>
      <c r="R179" s="50"/>
      <c r="S179" s="13"/>
      <c r="T179" s="50"/>
    </row>
    <row r="180" spans="1:28" s="504" customFormat="1" ht="12" customHeight="1" thickBot="1">
      <c r="A180" s="1082">
        <v>182</v>
      </c>
      <c r="B180" s="1083">
        <f ca="1">Elec_Est!B5556</f>
        <v>212</v>
      </c>
      <c r="C180" s="1084"/>
      <c r="D180" s="1085" t="s">
        <v>1076</v>
      </c>
      <c r="E180" s="1086"/>
      <c r="F180" s="1086"/>
      <c r="G180" s="876"/>
      <c r="H180" s="876"/>
      <c r="I180" s="1087"/>
      <c r="J180" s="876"/>
      <c r="K180" s="1084" t="s">
        <v>159</v>
      </c>
      <c r="L180" s="1088" t="s">
        <v>159</v>
      </c>
      <c r="M180" s="1088"/>
      <c r="N180" s="1088"/>
      <c r="O180" s="1088"/>
      <c r="P180" s="1088"/>
      <c r="Q180" s="1089">
        <f ca="1">B180/A180</f>
        <v>1.1648351648351649</v>
      </c>
      <c r="R180" s="1090">
        <f ca="1">IF($B180=0,0,IF($S$1="R",ROUND(R198/$B180,2),R198/$B180))</f>
        <v>3.65</v>
      </c>
      <c r="S180" s="1091"/>
      <c r="T180" s="1090">
        <f ca="1">IF($B180=0,0,IF($S$1="R",ROUND(T198/$B180,2),T198/$B180))</f>
        <v>0.25</v>
      </c>
    </row>
    <row r="181" spans="1:28" s="504" customFormat="1" ht="13.8" thickTop="1">
      <c r="A181" s="872"/>
      <c r="B181" s="3"/>
      <c r="C181" s="3"/>
      <c r="D181" s="102" t="s">
        <v>160</v>
      </c>
      <c r="E181" s="3"/>
      <c r="F181" s="3"/>
      <c r="G181" s="3"/>
      <c r="H181" s="3"/>
      <c r="I181" s="3"/>
      <c r="J181" s="3"/>
      <c r="K181" s="3"/>
      <c r="L181" s="3"/>
      <c r="M181" s="3"/>
      <c r="N181" s="3"/>
      <c r="O181" s="103"/>
      <c r="P181" s="3"/>
      <c r="Q181" s="3"/>
      <c r="R181" s="3"/>
      <c r="S181" s="3"/>
      <c r="T181" s="3"/>
    </row>
    <row r="182" spans="1:28" s="504" customFormat="1" ht="11.4">
      <c r="A182" s="1297">
        <f ca="1">$Q$180 *(22)</f>
        <v>25.626373626373628</v>
      </c>
      <c r="B182" s="882" t="s">
        <v>326</v>
      </c>
      <c r="C182" s="882"/>
      <c r="D182" s="1039" t="s">
        <v>1106</v>
      </c>
      <c r="E182" s="882"/>
      <c r="F182" s="882">
        <v>304099</v>
      </c>
      <c r="G182" s="882"/>
      <c r="H182" s="1041">
        <v>501</v>
      </c>
      <c r="I182" s="503"/>
      <c r="J182" s="882"/>
      <c r="K182" s="882"/>
      <c r="L182" s="882"/>
      <c r="M182" s="882"/>
      <c r="N182" s="882"/>
      <c r="O182" s="882"/>
      <c r="P182" s="882"/>
      <c r="Q182" s="1044">
        <v>5.05</v>
      </c>
      <c r="R182" s="1072">
        <f ca="1">$A182*Q182</f>
        <v>129.41318681318683</v>
      </c>
      <c r="S182" s="503"/>
      <c r="T182" s="884">
        <f ca="1">$A182*S182*$T$1</f>
        <v>0</v>
      </c>
    </row>
    <row r="183" spans="1:28" s="504" customFormat="1" ht="11.4">
      <c r="A183" s="1297">
        <f ca="1">$Q$180 *(37)</f>
        <v>43.098901098901102</v>
      </c>
      <c r="B183" s="882" t="s">
        <v>326</v>
      </c>
      <c r="C183" s="882"/>
      <c r="D183" s="1039" t="s">
        <v>1107</v>
      </c>
      <c r="E183" s="882"/>
      <c r="F183" s="882">
        <v>304096</v>
      </c>
      <c r="G183" s="882"/>
      <c r="H183" s="1041">
        <v>501</v>
      </c>
      <c r="I183" s="503"/>
      <c r="J183" s="882"/>
      <c r="K183" s="882"/>
      <c r="L183" s="882"/>
      <c r="M183" s="882"/>
      <c r="N183" s="882"/>
      <c r="O183" s="882"/>
      <c r="P183" s="882"/>
      <c r="Q183" s="1044">
        <v>4.05</v>
      </c>
      <c r="R183" s="1072">
        <f t="shared" ref="R183:R195" ca="1" si="24">$A183*Q183</f>
        <v>174.55054945054945</v>
      </c>
      <c r="S183" s="503"/>
      <c r="T183" s="884">
        <f t="shared" ref="T183:T195" ca="1" si="25">$A183*S183*$T$1</f>
        <v>0</v>
      </c>
    </row>
    <row r="184" spans="1:28" s="504" customFormat="1" ht="11.4">
      <c r="A184" s="1297">
        <f ca="1">$Q$180 *(180)</f>
        <v>209.67032967032969</v>
      </c>
      <c r="B184" s="882" t="s">
        <v>949</v>
      </c>
      <c r="C184" s="882"/>
      <c r="D184" s="1039" t="s">
        <v>1108</v>
      </c>
      <c r="E184" s="882"/>
      <c r="F184" s="882">
        <v>370598</v>
      </c>
      <c r="G184" s="882"/>
      <c r="H184" s="1041">
        <v>501</v>
      </c>
      <c r="I184" s="503"/>
      <c r="J184" s="882"/>
      <c r="K184" s="882"/>
      <c r="L184" s="882"/>
      <c r="M184" s="882"/>
      <c r="N184" s="882"/>
      <c r="O184" s="882"/>
      <c r="P184" s="882"/>
      <c r="Q184" s="1044">
        <v>5.2400000000000002E-2</v>
      </c>
      <c r="R184" s="1072">
        <f t="shared" ca="1" si="24"/>
        <v>10.986725274725277</v>
      </c>
      <c r="S184" s="503"/>
      <c r="T184" s="884">
        <f t="shared" ca="1" si="25"/>
        <v>0</v>
      </c>
    </row>
    <row r="185" spans="1:28" s="504" customFormat="1" ht="11.4">
      <c r="A185" s="1297">
        <f ca="1">$Q$180 *(80)</f>
        <v>93.186813186813197</v>
      </c>
      <c r="B185" s="882" t="s">
        <v>949</v>
      </c>
      <c r="C185" s="882"/>
      <c r="D185" s="1039" t="s">
        <v>1109</v>
      </c>
      <c r="E185" s="882"/>
      <c r="F185" s="882">
        <v>369685</v>
      </c>
      <c r="G185" s="882"/>
      <c r="H185" s="1041">
        <v>501</v>
      </c>
      <c r="I185" s="503"/>
      <c r="J185" s="882"/>
      <c r="K185" s="882"/>
      <c r="L185" s="882"/>
      <c r="M185" s="882"/>
      <c r="N185" s="882"/>
      <c r="O185" s="882"/>
      <c r="P185" s="882"/>
      <c r="Q185" s="1044">
        <v>5.33E-2</v>
      </c>
      <c r="R185" s="1072">
        <f t="shared" ca="1" si="24"/>
        <v>4.9668571428571431</v>
      </c>
      <c r="S185" s="503"/>
      <c r="T185" s="884">
        <f t="shared" ca="1" si="25"/>
        <v>0</v>
      </c>
    </row>
    <row r="186" spans="1:28" s="504" customFormat="1" ht="11.4">
      <c r="A186" s="1297">
        <f ca="1">$Q$180 *(20)</f>
        <v>23.296703296703299</v>
      </c>
      <c r="B186" s="882" t="s">
        <v>949</v>
      </c>
      <c r="C186" s="882"/>
      <c r="D186" s="1039" t="s">
        <v>1110</v>
      </c>
      <c r="E186" s="882"/>
      <c r="F186" s="882">
        <v>304172</v>
      </c>
      <c r="G186" s="882"/>
      <c r="H186" s="1041">
        <v>501</v>
      </c>
      <c r="I186" s="503"/>
      <c r="J186" s="882"/>
      <c r="K186" s="882"/>
      <c r="L186" s="882"/>
      <c r="M186" s="882"/>
      <c r="N186" s="882"/>
      <c r="O186" s="882"/>
      <c r="P186" s="882"/>
      <c r="Q186" s="1044">
        <v>0.68</v>
      </c>
      <c r="R186" s="1072">
        <f t="shared" ca="1" si="24"/>
        <v>15.841758241758244</v>
      </c>
      <c r="S186" s="503"/>
      <c r="T186" s="884">
        <f t="shared" ca="1" si="25"/>
        <v>0</v>
      </c>
    </row>
    <row r="187" spans="1:28" s="504" customFormat="1" ht="11.4">
      <c r="A187" s="1297">
        <f ca="1">$Q$180 *(80)</f>
        <v>93.186813186813197</v>
      </c>
      <c r="B187" s="882" t="s">
        <v>949</v>
      </c>
      <c r="C187" s="882"/>
      <c r="D187" s="1039" t="s">
        <v>1113</v>
      </c>
      <c r="E187" s="882"/>
      <c r="F187" s="882">
        <v>385820</v>
      </c>
      <c r="G187" s="882"/>
      <c r="H187" s="1041">
        <v>501</v>
      </c>
      <c r="I187" s="503"/>
      <c r="J187" s="882"/>
      <c r="K187" s="882"/>
      <c r="L187" s="882"/>
      <c r="M187" s="882"/>
      <c r="N187" s="882"/>
      <c r="O187" s="882"/>
      <c r="P187" s="882"/>
      <c r="Q187" s="1044">
        <v>0.15160000000000001</v>
      </c>
      <c r="R187" s="1072">
        <f t="shared" ca="1" si="24"/>
        <v>14.127120879120882</v>
      </c>
      <c r="S187" s="503"/>
      <c r="T187" s="884">
        <f t="shared" ca="1" si="25"/>
        <v>0</v>
      </c>
    </row>
    <row r="188" spans="1:28" s="504" customFormat="1" ht="11.4">
      <c r="A188" s="1297">
        <f ca="1">$Q$180 *(60)</f>
        <v>69.890109890109898</v>
      </c>
      <c r="B188" s="882" t="s">
        <v>949</v>
      </c>
      <c r="C188" s="882"/>
      <c r="D188" s="1039" t="s">
        <v>1114</v>
      </c>
      <c r="E188" s="882"/>
      <c r="F188" s="882">
        <v>304130</v>
      </c>
      <c r="G188" s="882"/>
      <c r="H188" s="1041">
        <v>501</v>
      </c>
      <c r="I188" s="503"/>
      <c r="J188" s="882"/>
      <c r="K188" s="882"/>
      <c r="L188" s="882"/>
      <c r="M188" s="882"/>
      <c r="N188" s="882"/>
      <c r="O188" s="882"/>
      <c r="P188" s="882"/>
      <c r="Q188" s="1044">
        <v>0.91</v>
      </c>
      <c r="R188" s="1072">
        <f t="shared" ca="1" si="24"/>
        <v>63.600000000000009</v>
      </c>
      <c r="S188" s="503"/>
      <c r="T188" s="884">
        <f t="shared" ca="1" si="25"/>
        <v>0</v>
      </c>
    </row>
    <row r="189" spans="1:28" s="504" customFormat="1" ht="11.4">
      <c r="A189" s="1297">
        <f ca="1">$Q$180 *(140)</f>
        <v>163.07692307692309</v>
      </c>
      <c r="B189" s="882" t="s">
        <v>949</v>
      </c>
      <c r="C189" s="882"/>
      <c r="D189" s="1039" t="s">
        <v>1115</v>
      </c>
      <c r="E189" s="882"/>
      <c r="F189" s="882">
        <v>304138</v>
      </c>
      <c r="G189" s="882"/>
      <c r="H189" s="1041">
        <v>501</v>
      </c>
      <c r="I189" s="503"/>
      <c r="J189" s="882"/>
      <c r="K189" s="882"/>
      <c r="L189" s="882"/>
      <c r="M189" s="882"/>
      <c r="N189" s="882"/>
      <c r="O189" s="882"/>
      <c r="P189" s="882"/>
      <c r="Q189" s="1044">
        <v>0.8</v>
      </c>
      <c r="R189" s="1072">
        <f t="shared" ca="1" si="24"/>
        <v>130.46153846153848</v>
      </c>
      <c r="S189" s="503"/>
      <c r="T189" s="884">
        <f t="shared" ca="1" si="25"/>
        <v>0</v>
      </c>
    </row>
    <row r="190" spans="1:28" s="504" customFormat="1" ht="11.4">
      <c r="A190" s="1297">
        <f ca="1">$Q$180 *(140)</f>
        <v>163.07692307692309</v>
      </c>
      <c r="B190" s="882" t="s">
        <v>949</v>
      </c>
      <c r="C190" s="882"/>
      <c r="D190" s="1039" t="s">
        <v>1116</v>
      </c>
      <c r="E190" s="882"/>
      <c r="F190" s="882">
        <v>376959</v>
      </c>
      <c r="G190" s="882"/>
      <c r="H190" s="1041">
        <v>501</v>
      </c>
      <c r="I190" s="503"/>
      <c r="J190" s="882"/>
      <c r="K190" s="882"/>
      <c r="L190" s="882"/>
      <c r="M190" s="882"/>
      <c r="N190" s="882"/>
      <c r="O190" s="882"/>
      <c r="P190" s="882"/>
      <c r="Q190" s="1044">
        <v>9.4299999999999995E-2</v>
      </c>
      <c r="R190" s="1072">
        <f t="shared" ca="1" si="24"/>
        <v>15.378153846153847</v>
      </c>
      <c r="S190" s="503"/>
      <c r="T190" s="884">
        <f t="shared" ca="1" si="25"/>
        <v>0</v>
      </c>
    </row>
    <row r="191" spans="1:28" s="504" customFormat="1" ht="11.4">
      <c r="A191" s="1297">
        <f ca="1">$Q$180 *(210)</f>
        <v>244.61538461538464</v>
      </c>
      <c r="B191" s="882" t="s">
        <v>949</v>
      </c>
      <c r="C191" s="882"/>
      <c r="D191" s="1039" t="s">
        <v>1117</v>
      </c>
      <c r="E191" s="882"/>
      <c r="F191" s="882">
        <v>304132</v>
      </c>
      <c r="G191" s="882"/>
      <c r="H191" s="1041">
        <v>501</v>
      </c>
      <c r="I191" s="503"/>
      <c r="J191" s="882"/>
      <c r="K191" s="882"/>
      <c r="L191" s="882"/>
      <c r="M191" s="882"/>
      <c r="N191" s="882"/>
      <c r="O191" s="882"/>
      <c r="P191" s="882"/>
      <c r="Q191" s="1044">
        <v>0.65</v>
      </c>
      <c r="R191" s="1072">
        <f t="shared" ca="1" si="24"/>
        <v>159.00000000000003</v>
      </c>
      <c r="S191" s="503"/>
      <c r="T191" s="884">
        <f t="shared" ca="1" si="25"/>
        <v>0</v>
      </c>
    </row>
    <row r="192" spans="1:28" s="504" customFormat="1" ht="11.4">
      <c r="A192" s="1297">
        <f ca="1">$Q$180 *(210)</f>
        <v>244.61538461538464</v>
      </c>
      <c r="B192" s="882" t="s">
        <v>949</v>
      </c>
      <c r="C192" s="882"/>
      <c r="D192" s="1039" t="s">
        <v>1118</v>
      </c>
      <c r="E192" s="882"/>
      <c r="F192" s="882">
        <v>216448</v>
      </c>
      <c r="G192" s="882"/>
      <c r="H192" s="1041">
        <v>501</v>
      </c>
      <c r="I192" s="503"/>
      <c r="J192" s="882"/>
      <c r="K192" s="882"/>
      <c r="L192" s="882"/>
      <c r="M192" s="882"/>
      <c r="N192" s="882"/>
      <c r="O192" s="882"/>
      <c r="P192" s="882"/>
      <c r="Q192" s="1044">
        <v>3.6139999999999999E-2</v>
      </c>
      <c r="R192" s="1072">
        <f t="shared" ca="1" si="24"/>
        <v>8.8404000000000007</v>
      </c>
      <c r="S192" s="503"/>
      <c r="T192" s="884">
        <f t="shared" ca="1" si="25"/>
        <v>0</v>
      </c>
    </row>
    <row r="193" spans="1:31" s="504" customFormat="1" ht="11.4">
      <c r="A193" s="1297">
        <f ca="1">$Q$180 *(70)</f>
        <v>81.538461538461547</v>
      </c>
      <c r="B193" s="882" t="s">
        <v>326</v>
      </c>
      <c r="C193" s="882"/>
      <c r="D193" s="1039" t="s">
        <v>1119</v>
      </c>
      <c r="E193" s="882"/>
      <c r="F193" s="882">
        <v>339793</v>
      </c>
      <c r="G193" s="882"/>
      <c r="H193" s="1041">
        <v>501</v>
      </c>
      <c r="I193" s="503"/>
      <c r="J193" s="882"/>
      <c r="K193" s="882"/>
      <c r="L193" s="882"/>
      <c r="M193" s="882"/>
      <c r="N193" s="882"/>
      <c r="O193" s="882"/>
      <c r="P193" s="882"/>
      <c r="Q193" s="1044">
        <v>0.47799000000000003</v>
      </c>
      <c r="R193" s="1072">
        <f t="shared" ca="1" si="24"/>
        <v>38.974569230769234</v>
      </c>
      <c r="S193" s="503"/>
      <c r="T193" s="884">
        <f t="shared" ca="1" si="25"/>
        <v>0</v>
      </c>
    </row>
    <row r="194" spans="1:31" s="504" customFormat="1" ht="11.4">
      <c r="A194" s="1297">
        <f ca="1">$Q$180 *(210)</f>
        <v>244.61538461538464</v>
      </c>
      <c r="B194" s="882" t="s">
        <v>949</v>
      </c>
      <c r="C194" s="882"/>
      <c r="D194" s="1039" t="s">
        <v>1123</v>
      </c>
      <c r="E194" s="882"/>
      <c r="F194" s="882">
        <v>304764</v>
      </c>
      <c r="G194" s="882"/>
      <c r="H194" s="1041">
        <v>501</v>
      </c>
      <c r="I194" s="503"/>
      <c r="J194" s="882"/>
      <c r="K194" s="882"/>
      <c r="L194" s="882"/>
      <c r="M194" s="882"/>
      <c r="N194" s="882"/>
      <c r="O194" s="882"/>
      <c r="P194" s="882"/>
      <c r="Q194" s="1044">
        <v>1.6670000000000001E-2</v>
      </c>
      <c r="R194" s="1072">
        <f t="shared" ca="1" si="24"/>
        <v>4.0777384615384618</v>
      </c>
      <c r="S194" s="503"/>
      <c r="T194" s="884">
        <f t="shared" ca="1" si="25"/>
        <v>0</v>
      </c>
    </row>
    <row r="195" spans="1:31" s="504" customFormat="1" ht="11.4">
      <c r="A195" s="1297">
        <f ca="1">$Q$180 *(210)</f>
        <v>244.61538461538464</v>
      </c>
      <c r="B195" s="882" t="s">
        <v>949</v>
      </c>
      <c r="C195" s="882"/>
      <c r="D195" s="1039" t="s">
        <v>1124</v>
      </c>
      <c r="E195" s="882"/>
      <c r="F195" s="882">
        <v>304769</v>
      </c>
      <c r="G195" s="882"/>
      <c r="H195" s="1041">
        <v>501</v>
      </c>
      <c r="I195" s="503"/>
      <c r="J195" s="882"/>
      <c r="K195" s="882"/>
      <c r="L195" s="882"/>
      <c r="M195" s="882"/>
      <c r="N195" s="882"/>
      <c r="O195" s="882"/>
      <c r="P195" s="882"/>
      <c r="Q195" s="1044">
        <v>1.103E-2</v>
      </c>
      <c r="R195" s="1072">
        <f t="shared" ca="1" si="24"/>
        <v>2.6981076923076928</v>
      </c>
      <c r="S195" s="503"/>
      <c r="T195" s="884">
        <f t="shared" ca="1" si="25"/>
        <v>0</v>
      </c>
    </row>
    <row r="196" spans="1:31" s="1039" customFormat="1">
      <c r="A196" s="1295">
        <f ca="1">$Q$180 *(1)</f>
        <v>1.1648351648351649</v>
      </c>
      <c r="B196" s="1039" t="s">
        <v>272</v>
      </c>
      <c r="D196" s="1039" t="s">
        <v>1129</v>
      </c>
      <c r="G196" s="1040" t="s">
        <v>1127</v>
      </c>
      <c r="H196" s="1041">
        <v>501</v>
      </c>
      <c r="I196" s="1039" t="s">
        <v>951</v>
      </c>
      <c r="K196" s="1039" t="s">
        <v>1128</v>
      </c>
      <c r="O196" s="1042">
        <v>2</v>
      </c>
      <c r="P196" s="1043">
        <v>39183</v>
      </c>
      <c r="Q196" s="1044">
        <v>0</v>
      </c>
      <c r="R196" s="1045">
        <f ca="1">$A196*Q196</f>
        <v>0</v>
      </c>
      <c r="S196" s="1044">
        <v>43</v>
      </c>
      <c r="T196" s="1046">
        <f ca="1">$A196*S196*$T$1</f>
        <v>52.592307692307699</v>
      </c>
    </row>
    <row r="197" spans="1:31" s="504" customFormat="1">
      <c r="A197" s="882"/>
      <c r="B197" s="3"/>
      <c r="C197" s="882" t="s">
        <v>161</v>
      </c>
      <c r="D197" s="3"/>
      <c r="E197" s="882"/>
      <c r="F197" s="877"/>
      <c r="G197" s="882"/>
      <c r="H197" s="882"/>
      <c r="I197" s="503"/>
      <c r="J197" s="882"/>
      <c r="K197" s="882"/>
      <c r="L197" s="882"/>
      <c r="M197" s="882"/>
      <c r="N197" s="882"/>
      <c r="O197" s="882"/>
      <c r="P197" s="882"/>
      <c r="Q197" s="503"/>
      <c r="R197" s="1072">
        <f>$A197*Q197</f>
        <v>0</v>
      </c>
      <c r="S197" s="503"/>
      <c r="T197" s="884">
        <f>$A197*S197*$T$1</f>
        <v>0</v>
      </c>
    </row>
    <row r="198" spans="1:31" s="504" customFormat="1" ht="12.6" thickBot="1">
      <c r="A198" s="885" t="s">
        <v>142</v>
      </c>
      <c r="B198" s="886">
        <f>(R197+T197)</f>
        <v>0</v>
      </c>
      <c r="C198" s="887"/>
      <c r="D198" s="1092" t="s">
        <v>162</v>
      </c>
      <c r="E198" s="461">
        <f ca="1">IF($B180=0,0,ROUND(ROUND(($R198*$S$2+($T198*$T$2))/$B180, 2)*$C$2,2))</f>
        <v>13.17</v>
      </c>
      <c r="F198" s="462">
        <f ca="1">ROUND($B180*$E198,2)</f>
        <v>2792.04</v>
      </c>
      <c r="G198" s="887"/>
      <c r="H198" s="887"/>
      <c r="I198" s="889"/>
      <c r="J198" s="887"/>
      <c r="K198" s="1093" t="s">
        <v>140</v>
      </c>
      <c r="L198" s="890" t="s">
        <v>140</v>
      </c>
      <c r="M198" s="890"/>
      <c r="N198" s="890"/>
      <c r="O198" s="890"/>
      <c r="P198" s="890"/>
      <c r="Q198" s="1093"/>
      <c r="R198" s="1094">
        <f ca="1">SUM(R181:R197)</f>
        <v>772.91670549450566</v>
      </c>
      <c r="S198" s="1095"/>
      <c r="T198" s="1094">
        <f ca="1">SUM(T181:T197)</f>
        <v>52.592307692307699</v>
      </c>
      <c r="U198" s="514"/>
      <c r="V198" s="514"/>
      <c r="W198" s="514"/>
      <c r="X198" s="514"/>
      <c r="Y198" s="514"/>
      <c r="Z198" s="514"/>
      <c r="AA198" s="514"/>
      <c r="AB198" s="514"/>
    </row>
    <row r="199" spans="1:31" s="504" customFormat="1" ht="12" thickTop="1">
      <c r="A199" s="50"/>
      <c r="B199" s="50"/>
      <c r="C199" s="50"/>
      <c r="D199" s="50"/>
      <c r="E199" s="50"/>
      <c r="F199" s="50"/>
      <c r="G199" s="50"/>
      <c r="H199" s="50"/>
      <c r="I199" s="50"/>
      <c r="J199" s="50"/>
      <c r="K199" s="50"/>
      <c r="L199" s="50"/>
      <c r="M199" s="50"/>
      <c r="N199" s="50"/>
      <c r="O199" s="51"/>
      <c r="P199" s="50"/>
      <c r="Q199" s="41" t="s">
        <v>158</v>
      </c>
      <c r="R199" s="50"/>
      <c r="S199" s="13"/>
      <c r="T199" s="50"/>
    </row>
    <row r="200" spans="1:31" s="504" customFormat="1" ht="12" customHeight="1" thickBot="1">
      <c r="A200" s="1082">
        <v>70.5</v>
      </c>
      <c r="B200" s="1083">
        <f ca="1">Elec_Est!B5557</f>
        <v>666.5</v>
      </c>
      <c r="C200" s="1084"/>
      <c r="D200" s="1085" t="s">
        <v>1367</v>
      </c>
      <c r="E200" s="1086"/>
      <c r="F200" s="1086"/>
      <c r="G200" s="876"/>
      <c r="H200" s="876"/>
      <c r="I200" s="1087"/>
      <c r="J200" s="876"/>
      <c r="K200" s="1084" t="s">
        <v>159</v>
      </c>
      <c r="L200" s="1088" t="s">
        <v>159</v>
      </c>
      <c r="M200" s="1088"/>
      <c r="N200" s="1088"/>
      <c r="O200" s="1088"/>
      <c r="P200" s="1088"/>
      <c r="Q200" s="1089">
        <f ca="1">B200/A200</f>
        <v>9.4539007092198588</v>
      </c>
      <c r="R200" s="1090">
        <f ca="1">IF($B200=0,0,IF($S$1="R",ROUND(R208/$B200,2),R208/$B200))</f>
        <v>9.65</v>
      </c>
      <c r="S200" s="1091"/>
      <c r="T200" s="1090">
        <f ca="1">IF($B200=0,0,IF($S$1="R",ROUND(T208/$B200,2),T208/$B200))</f>
        <v>1.31</v>
      </c>
      <c r="AC200" s="1082">
        <v>1</v>
      </c>
      <c r="AE200" s="1082">
        <f>57.5+13</f>
        <v>70.5</v>
      </c>
    </row>
    <row r="201" spans="1:31" s="504" customFormat="1" ht="13.8" thickTop="1">
      <c r="B201" s="3"/>
      <c r="C201" s="3"/>
      <c r="D201" s="102" t="s">
        <v>160</v>
      </c>
      <c r="E201" s="3"/>
      <c r="F201" s="3"/>
      <c r="G201" s="3"/>
      <c r="H201" s="3"/>
      <c r="I201" s="3"/>
      <c r="J201" s="3"/>
      <c r="K201" s="3"/>
      <c r="L201" s="3"/>
      <c r="M201" s="3"/>
      <c r="N201" s="3"/>
      <c r="O201" s="103"/>
      <c r="P201" s="3"/>
      <c r="Q201" s="3"/>
      <c r="R201" s="3"/>
      <c r="S201" s="3"/>
      <c r="T201" s="3"/>
    </row>
    <row r="202" spans="1:31" s="1039" customFormat="1">
      <c r="A202" s="1296">
        <f ca="1">$Q$200 *(6*70.5)</f>
        <v>3999.0000000000005</v>
      </c>
      <c r="B202" s="1039" t="s">
        <v>326</v>
      </c>
      <c r="D202" s="1039" t="s">
        <v>1130</v>
      </c>
      <c r="G202" s="1040" t="s">
        <v>1131</v>
      </c>
      <c r="H202" s="1041">
        <v>700</v>
      </c>
      <c r="I202" s="1039" t="s">
        <v>1132</v>
      </c>
      <c r="J202" s="1039" t="s">
        <v>1133</v>
      </c>
      <c r="O202" s="1042">
        <v>1</v>
      </c>
      <c r="P202" s="1043">
        <v>42213</v>
      </c>
      <c r="Q202" s="1044">
        <v>0.67</v>
      </c>
      <c r="R202" s="1045">
        <f t="shared" ref="R202:R207" ca="1" si="26">$A202*Q202</f>
        <v>2679.3300000000004</v>
      </c>
      <c r="S202" s="1044">
        <v>0.13</v>
      </c>
      <c r="T202" s="1046">
        <f t="shared" ref="T202:T207" ca="1" si="27">$A202*S202*$T$1</f>
        <v>545.86350000000016</v>
      </c>
      <c r="AC202" s="1197">
        <v>6</v>
      </c>
      <c r="AE202" s="1197">
        <f>272+51</f>
        <v>323</v>
      </c>
    </row>
    <row r="203" spans="1:31" s="1039" customFormat="1">
      <c r="A203" s="1295">
        <f ca="1">$Q$200 *(6*5*70.5)</f>
        <v>19995</v>
      </c>
      <c r="B203" s="1039" t="s">
        <v>326</v>
      </c>
      <c r="D203" s="1039" t="s">
        <v>1166</v>
      </c>
      <c r="G203" s="1040" t="s">
        <v>1167</v>
      </c>
      <c r="H203" s="1041">
        <v>615</v>
      </c>
      <c r="I203" s="1039" t="s">
        <v>991</v>
      </c>
      <c r="K203" s="1039" t="s">
        <v>1168</v>
      </c>
      <c r="O203" s="1042">
        <v>2</v>
      </c>
      <c r="P203" s="1043">
        <v>38988</v>
      </c>
      <c r="Q203" s="1044">
        <v>0.17</v>
      </c>
      <c r="R203" s="1045">
        <f t="shared" ca="1" si="26"/>
        <v>3399.15</v>
      </c>
      <c r="S203" s="1044">
        <v>1.4999999999999999E-2</v>
      </c>
      <c r="T203" s="1046">
        <f t="shared" ca="1" si="27"/>
        <v>314.92125000000004</v>
      </c>
      <c r="AC203" s="1198">
        <f>6*5</f>
        <v>30</v>
      </c>
      <c r="AE203" s="1198">
        <f>1535+335</f>
        <v>1870</v>
      </c>
    </row>
    <row r="204" spans="1:31" s="1039" customFormat="1">
      <c r="A204" s="1295">
        <f ca="1">$Q$200 *(1)</f>
        <v>9.4539007092198588</v>
      </c>
      <c r="B204" s="1039" t="s">
        <v>949</v>
      </c>
      <c r="D204" s="1039" t="s">
        <v>1181</v>
      </c>
      <c r="F204" s="1039" t="s">
        <v>1506</v>
      </c>
      <c r="G204" s="1040" t="s">
        <v>1182</v>
      </c>
      <c r="H204" s="1041">
        <v>705</v>
      </c>
      <c r="I204" s="1039" t="s">
        <v>1183</v>
      </c>
      <c r="J204" s="1039" t="s">
        <v>1184</v>
      </c>
      <c r="O204" s="1042">
        <v>3</v>
      </c>
      <c r="P204" s="1043">
        <v>34669</v>
      </c>
      <c r="Q204" s="1044">
        <v>2.31</v>
      </c>
      <c r="R204" s="1045">
        <f t="shared" ca="1" si="26"/>
        <v>21.838510638297873</v>
      </c>
      <c r="S204" s="1044">
        <v>0.17</v>
      </c>
      <c r="T204" s="1046">
        <f t="shared" ca="1" si="27"/>
        <v>1.687521276595745</v>
      </c>
      <c r="AC204" s="1198">
        <v>0</v>
      </c>
      <c r="AE204" s="1198">
        <v>1</v>
      </c>
    </row>
    <row r="205" spans="1:31" s="1039" customFormat="1">
      <c r="A205" s="1295">
        <f ca="1">$Q$200 *(3)</f>
        <v>28.361702127659576</v>
      </c>
      <c r="B205" s="1039" t="s">
        <v>949</v>
      </c>
      <c r="D205" s="1039" t="s">
        <v>1185</v>
      </c>
      <c r="F205" s="1039" t="s">
        <v>1506</v>
      </c>
      <c r="G205" s="1040" t="s">
        <v>1186</v>
      </c>
      <c r="H205" s="1041">
        <v>705</v>
      </c>
      <c r="I205" s="1039" t="s">
        <v>1183</v>
      </c>
      <c r="J205" s="1039" t="s">
        <v>1187</v>
      </c>
      <c r="O205" s="1042">
        <v>3</v>
      </c>
      <c r="P205" s="1043">
        <v>34669</v>
      </c>
      <c r="Q205" s="1044">
        <v>3.2</v>
      </c>
      <c r="R205" s="1045">
        <f t="shared" ca="1" si="26"/>
        <v>90.75744680851065</v>
      </c>
      <c r="S205" s="1044">
        <v>0.17</v>
      </c>
      <c r="T205" s="1046">
        <f t="shared" ca="1" si="27"/>
        <v>5.0625638297872353</v>
      </c>
      <c r="AC205" s="1198">
        <v>0</v>
      </c>
      <c r="AE205" s="1198">
        <v>3</v>
      </c>
    </row>
    <row r="206" spans="1:31" s="1039" customFormat="1">
      <c r="A206" s="1295">
        <f ca="1">$Q$200 *(3)</f>
        <v>28.361702127659576</v>
      </c>
      <c r="B206" s="1039" t="s">
        <v>949</v>
      </c>
      <c r="D206" s="1039" t="s">
        <v>1476</v>
      </c>
      <c r="F206" s="1039" t="s">
        <v>1506</v>
      </c>
      <c r="G206" s="1040" t="s">
        <v>1188</v>
      </c>
      <c r="H206" s="1041">
        <v>705</v>
      </c>
      <c r="I206" s="1039" t="s">
        <v>1183</v>
      </c>
      <c r="J206" s="1039" t="s">
        <v>1189</v>
      </c>
      <c r="O206" s="1042">
        <v>3</v>
      </c>
      <c r="P206" s="1043">
        <v>34669</v>
      </c>
      <c r="Q206" s="1044">
        <v>8.5500000000000007</v>
      </c>
      <c r="R206" s="1045">
        <f t="shared" ca="1" si="26"/>
        <v>242.49255319148941</v>
      </c>
      <c r="S206" s="1044">
        <v>0.17</v>
      </c>
      <c r="T206" s="1046">
        <f t="shared" ca="1" si="27"/>
        <v>5.0625638297872353</v>
      </c>
      <c r="AC206" s="1198">
        <v>0</v>
      </c>
      <c r="AE206" s="1198">
        <v>3</v>
      </c>
    </row>
    <row r="207" spans="1:31" s="504" customFormat="1">
      <c r="A207" s="882"/>
      <c r="B207" s="3"/>
      <c r="C207" s="882" t="s">
        <v>161</v>
      </c>
      <c r="D207" s="3"/>
      <c r="E207" s="882"/>
      <c r="F207" s="877"/>
      <c r="G207" s="882"/>
      <c r="H207" s="882"/>
      <c r="I207" s="503"/>
      <c r="J207" s="882"/>
      <c r="K207" s="882"/>
      <c r="L207" s="882"/>
      <c r="M207" s="882"/>
      <c r="N207" s="882"/>
      <c r="O207" s="882"/>
      <c r="P207" s="882"/>
      <c r="Q207" s="503"/>
      <c r="R207" s="1072">
        <f t="shared" si="26"/>
        <v>0</v>
      </c>
      <c r="S207" s="503"/>
      <c r="T207" s="884">
        <f t="shared" si="27"/>
        <v>0</v>
      </c>
    </row>
    <row r="208" spans="1:31" s="504" customFormat="1" ht="12.6" thickBot="1">
      <c r="A208" s="885" t="s">
        <v>142</v>
      </c>
      <c r="B208" s="886">
        <f>(R207+T207)</f>
        <v>0</v>
      </c>
      <c r="C208" s="887"/>
      <c r="D208" s="1092" t="s">
        <v>162</v>
      </c>
      <c r="E208" s="461">
        <f ca="1">IF($B200=0,0,ROUND(ROUND(($R208*$S$2+($T208*$T$2))/$B200, 2)*$C$2,2))</f>
        <v>57.83</v>
      </c>
      <c r="F208" s="462">
        <f ca="1">ROUND($B200*$E208,2)</f>
        <v>38543.699999999997</v>
      </c>
      <c r="G208" s="887"/>
      <c r="H208" s="887"/>
      <c r="I208" s="889"/>
      <c r="J208" s="887"/>
      <c r="K208" s="1093" t="s">
        <v>140</v>
      </c>
      <c r="L208" s="890" t="s">
        <v>140</v>
      </c>
      <c r="M208" s="890"/>
      <c r="N208" s="890"/>
      <c r="O208" s="890"/>
      <c r="P208" s="890"/>
      <c r="Q208" s="1093"/>
      <c r="R208" s="1094">
        <f ca="1">SUM(R201:R207)</f>
        <v>6433.568510638298</v>
      </c>
      <c r="S208" s="1095"/>
      <c r="T208" s="1094">
        <f ca="1">SUM(T201:T207)</f>
        <v>872.59739893617041</v>
      </c>
      <c r="U208" s="514"/>
      <c r="V208" s="514"/>
      <c r="W208" s="514"/>
      <c r="X208" s="514"/>
      <c r="Y208" s="514"/>
      <c r="Z208" s="514"/>
      <c r="AA208" s="514"/>
      <c r="AB208" s="514"/>
    </row>
    <row r="209" spans="1:28" s="504" customFormat="1" ht="12" thickTop="1">
      <c r="A209" s="50"/>
      <c r="B209" s="50"/>
      <c r="C209" s="50"/>
      <c r="D209" s="50"/>
      <c r="E209" s="50"/>
      <c r="F209" s="50"/>
      <c r="G209" s="50"/>
      <c r="H209" s="50"/>
      <c r="I209" s="50"/>
      <c r="J209" s="50"/>
      <c r="K209" s="50"/>
      <c r="L209" s="50"/>
      <c r="M209" s="50"/>
      <c r="N209" s="50"/>
      <c r="O209" s="51"/>
      <c r="P209" s="50"/>
      <c r="Q209" s="41" t="s">
        <v>158</v>
      </c>
      <c r="R209" s="50"/>
      <c r="S209" s="13"/>
      <c r="T209" s="50"/>
    </row>
    <row r="210" spans="1:28" s="504" customFormat="1" ht="12" customHeight="1" thickBot="1">
      <c r="A210" s="1082">
        <v>1</v>
      </c>
      <c r="B210" s="1083">
        <f ca="1">Elec_Est!B5558</f>
        <v>65</v>
      </c>
      <c r="C210" s="1084"/>
      <c r="D210" s="1085" t="s">
        <v>1174</v>
      </c>
      <c r="E210" s="1086"/>
      <c r="F210" s="1086"/>
      <c r="G210" s="876"/>
      <c r="H210" s="876"/>
      <c r="I210" s="1087"/>
      <c r="J210" s="876"/>
      <c r="K210" s="1084" t="s">
        <v>159</v>
      </c>
      <c r="L210" s="1088" t="s">
        <v>159</v>
      </c>
      <c r="M210" s="1088"/>
      <c r="N210" s="1088"/>
      <c r="O210" s="1088"/>
      <c r="P210" s="1088"/>
      <c r="Q210" s="1089">
        <f ca="1">B210/A210</f>
        <v>65</v>
      </c>
      <c r="R210" s="1090">
        <f ca="1">IF($B210=0,0,IF($S$1="R",ROUND(R214/$B210,2),R214/$B210))</f>
        <v>17.670000000000002</v>
      </c>
      <c r="S210" s="1091"/>
      <c r="T210" s="1090">
        <f ca="1">IF($B210=0,0,IF($S$1="R",ROUND(T214/$B210,2),T214/$B210))</f>
        <v>0.26</v>
      </c>
    </row>
    <row r="211" spans="1:28" s="504" customFormat="1" ht="13.8" thickTop="1">
      <c r="A211" s="872"/>
      <c r="B211" s="3"/>
      <c r="C211" s="3"/>
      <c r="D211" s="102" t="s">
        <v>160</v>
      </c>
      <c r="E211" s="3"/>
      <c r="F211" s="3"/>
      <c r="G211" s="3"/>
      <c r="H211" s="3"/>
      <c r="I211" s="3"/>
      <c r="J211" s="3"/>
      <c r="K211" s="3"/>
      <c r="L211" s="3"/>
      <c r="M211" s="3"/>
      <c r="N211" s="3"/>
      <c r="O211" s="103"/>
      <c r="P211" s="3"/>
      <c r="Q211" s="3"/>
      <c r="R211" s="3"/>
      <c r="S211" s="3"/>
      <c r="T211" s="3"/>
    </row>
    <row r="212" spans="1:28" s="1039" customFormat="1">
      <c r="A212" s="1296">
        <f ca="1">$Q$210 *(1)</f>
        <v>65</v>
      </c>
      <c r="B212" s="1039" t="s">
        <v>949</v>
      </c>
      <c r="D212" s="1039" t="s">
        <v>1175</v>
      </c>
      <c r="F212" s="1039" t="s">
        <v>1506</v>
      </c>
      <c r="G212" s="1040" t="s">
        <v>1176</v>
      </c>
      <c r="H212" s="1041">
        <v>705</v>
      </c>
      <c r="I212" s="1039" t="s">
        <v>951</v>
      </c>
      <c r="O212" s="1042">
        <v>3</v>
      </c>
      <c r="P212" s="1043"/>
      <c r="Q212" s="1044">
        <v>17.670000000000002</v>
      </c>
      <c r="R212" s="1045">
        <f ca="1">$A212*Q212</f>
        <v>1148.5500000000002</v>
      </c>
      <c r="S212" s="1044">
        <v>0.25</v>
      </c>
      <c r="T212" s="1046">
        <f ca="1">$A212*S212*$T$1</f>
        <v>17.0625</v>
      </c>
    </row>
    <row r="213" spans="1:28" s="504" customFormat="1">
      <c r="A213" s="882"/>
      <c r="B213" s="3"/>
      <c r="C213" s="882" t="s">
        <v>161</v>
      </c>
      <c r="D213" s="3"/>
      <c r="E213" s="882"/>
      <c r="F213" s="877"/>
      <c r="G213" s="882"/>
      <c r="H213" s="882"/>
      <c r="I213" s="503"/>
      <c r="J213" s="882"/>
      <c r="K213" s="882"/>
      <c r="L213" s="882"/>
      <c r="M213" s="882"/>
      <c r="N213" s="882"/>
      <c r="O213" s="882"/>
      <c r="P213" s="882"/>
      <c r="Q213" s="503"/>
      <c r="R213" s="1072">
        <f>$A213*Q213</f>
        <v>0</v>
      </c>
      <c r="S213" s="503"/>
      <c r="T213" s="884">
        <f>$A213*S213*$T$1</f>
        <v>0</v>
      </c>
    </row>
    <row r="214" spans="1:28" s="504" customFormat="1" ht="12.6" thickBot="1">
      <c r="A214" s="885" t="s">
        <v>142</v>
      </c>
      <c r="B214" s="886">
        <f>(R213+T213)</f>
        <v>0</v>
      </c>
      <c r="C214" s="887"/>
      <c r="D214" s="1092" t="s">
        <v>162</v>
      </c>
      <c r="E214" s="461">
        <f ca="1">IF($B210=0,0,ROUND(ROUND(($R214*$S$2+($T214*$T$2))/$B210, 2)*$C$2,2))</f>
        <v>30.79</v>
      </c>
      <c r="F214" s="462">
        <f ca="1">ROUND($B210*$E214,2)</f>
        <v>2001.35</v>
      </c>
      <c r="G214" s="887"/>
      <c r="H214" s="887"/>
      <c r="I214" s="889"/>
      <c r="J214" s="887"/>
      <c r="K214" s="1093" t="s">
        <v>140</v>
      </c>
      <c r="L214" s="890" t="s">
        <v>140</v>
      </c>
      <c r="M214" s="890"/>
      <c r="N214" s="890"/>
      <c r="O214" s="890"/>
      <c r="P214" s="890"/>
      <c r="Q214" s="1093"/>
      <c r="R214" s="1094">
        <f ca="1">SUM(R211:R213)</f>
        <v>1148.5500000000002</v>
      </c>
      <c r="S214" s="1095"/>
      <c r="T214" s="1094">
        <f ca="1">SUM(T211:T213)</f>
        <v>17.0625</v>
      </c>
      <c r="U214" s="514"/>
      <c r="V214" s="514"/>
      <c r="W214" s="514"/>
      <c r="X214" s="514"/>
      <c r="Y214" s="514"/>
      <c r="Z214" s="514"/>
      <c r="AA214" s="514"/>
      <c r="AB214" s="514"/>
    </row>
    <row r="215" spans="1:28" s="504" customFormat="1" ht="12" thickTop="1">
      <c r="A215" s="50"/>
      <c r="B215" s="50"/>
      <c r="C215" s="50"/>
      <c r="D215" s="50"/>
      <c r="E215" s="50"/>
      <c r="F215" s="50"/>
      <c r="G215" s="50"/>
      <c r="H215" s="50"/>
      <c r="I215" s="50"/>
      <c r="J215" s="50"/>
      <c r="K215" s="50"/>
      <c r="L215" s="50"/>
      <c r="M215" s="50"/>
      <c r="N215" s="50"/>
      <c r="O215" s="51"/>
      <c r="P215" s="50"/>
      <c r="Q215" s="41" t="s">
        <v>158</v>
      </c>
      <c r="R215" s="50"/>
      <c r="S215" s="13"/>
      <c r="T215" s="50"/>
    </row>
    <row r="216" spans="1:28" s="504" customFormat="1" ht="12" customHeight="1" thickBot="1">
      <c r="A216" s="1082">
        <v>1</v>
      </c>
      <c r="B216" s="1083">
        <f ca="1">Elec_Est!B5559</f>
        <v>8</v>
      </c>
      <c r="C216" s="1084"/>
      <c r="D216" s="1085" t="s">
        <v>1190</v>
      </c>
      <c r="E216" s="1086"/>
      <c r="F216" s="1086"/>
      <c r="G216" s="876"/>
      <c r="H216" s="876"/>
      <c r="I216" s="1087"/>
      <c r="J216" s="876"/>
      <c r="K216" s="1084" t="s">
        <v>159</v>
      </c>
      <c r="L216" s="1088" t="s">
        <v>159</v>
      </c>
      <c r="M216" s="1088"/>
      <c r="N216" s="1088"/>
      <c r="O216" s="1088"/>
      <c r="P216" s="1088"/>
      <c r="Q216" s="1089">
        <f ca="1">B216/A216</f>
        <v>8</v>
      </c>
      <c r="R216" s="1090">
        <f ca="1">IF($B216=0,0,IF($S$1="R",ROUND(R220/$B216,2),R220/$B216))</f>
        <v>35.299999999999997</v>
      </c>
      <c r="S216" s="1091"/>
      <c r="T216" s="1090">
        <f ca="1">IF($B216=0,0,IF($S$1="R",ROUND(T220/$B216,2),T220/$B216))</f>
        <v>0</v>
      </c>
    </row>
    <row r="217" spans="1:28" s="504" customFormat="1" ht="13.8" thickTop="1">
      <c r="A217" s="872"/>
      <c r="B217" s="3"/>
      <c r="C217" s="3"/>
      <c r="D217" s="102" t="s">
        <v>160</v>
      </c>
      <c r="E217" s="3"/>
      <c r="F217" s="3"/>
      <c r="G217" s="3"/>
      <c r="H217" s="3"/>
      <c r="I217" s="3"/>
      <c r="J217" s="3"/>
      <c r="K217" s="3"/>
      <c r="L217" s="3"/>
      <c r="M217" s="3"/>
      <c r="N217" s="3"/>
      <c r="O217" s="103"/>
      <c r="P217" s="3"/>
      <c r="Q217" s="3"/>
      <c r="R217" s="3"/>
      <c r="S217" s="3"/>
      <c r="T217" s="3"/>
    </row>
    <row r="218" spans="1:28" s="1039" customFormat="1">
      <c r="A218" s="1296">
        <f ca="1">$Q$216 *(1)</f>
        <v>8</v>
      </c>
      <c r="B218" s="1039" t="s">
        <v>949</v>
      </c>
      <c r="D218" s="1039" t="s">
        <v>1192</v>
      </c>
      <c r="G218" s="1040" t="s">
        <v>1191</v>
      </c>
      <c r="H218" s="1041">
        <v>835</v>
      </c>
      <c r="I218" s="1039" t="s">
        <v>951</v>
      </c>
      <c r="O218" s="1042">
        <v>3</v>
      </c>
      <c r="P218" s="1043">
        <v>38187</v>
      </c>
      <c r="Q218" s="503">
        <v>35.299999999999997</v>
      </c>
      <c r="R218" s="1045">
        <f ca="1">$A218*Q218</f>
        <v>282.39999999999998</v>
      </c>
      <c r="S218" s="1044"/>
      <c r="T218" s="1046">
        <f ca="1">$A218*S218*$T$1</f>
        <v>0</v>
      </c>
    </row>
    <row r="219" spans="1:28" s="504" customFormat="1">
      <c r="A219" s="882"/>
      <c r="B219" s="3"/>
      <c r="C219" s="882" t="s">
        <v>161</v>
      </c>
      <c r="D219" s="3"/>
      <c r="E219" s="882"/>
      <c r="F219" s="877"/>
      <c r="G219" s="882"/>
      <c r="H219" s="882"/>
      <c r="I219" s="503"/>
      <c r="J219" s="882"/>
      <c r="K219" s="882"/>
      <c r="L219" s="882"/>
      <c r="M219" s="882"/>
      <c r="N219" s="882"/>
      <c r="O219" s="882"/>
      <c r="P219" s="882"/>
      <c r="Q219" s="503"/>
      <c r="R219" s="1072">
        <f>$A219*Q219</f>
        <v>0</v>
      </c>
      <c r="S219" s="503"/>
      <c r="T219" s="884">
        <f>$A219*S219*$T$1</f>
        <v>0</v>
      </c>
    </row>
    <row r="220" spans="1:28" s="504" customFormat="1" ht="12.6" thickBot="1">
      <c r="A220" s="885" t="s">
        <v>142</v>
      </c>
      <c r="B220" s="886">
        <f>(R219+T219)</f>
        <v>0</v>
      </c>
      <c r="C220" s="887"/>
      <c r="D220" s="1092" t="s">
        <v>162</v>
      </c>
      <c r="E220" s="461">
        <f ca="1">IF($B216=0,0,ROUND(ROUND(($R220*$S$2+($T220*$T$2))/$B216, 2)*$C$2,2))</f>
        <v>43.07</v>
      </c>
      <c r="F220" s="462">
        <f ca="1">ROUND($B216*$E220,2)</f>
        <v>344.56</v>
      </c>
      <c r="G220" s="887"/>
      <c r="H220" s="887"/>
      <c r="I220" s="889"/>
      <c r="J220" s="887"/>
      <c r="K220" s="1093" t="s">
        <v>140</v>
      </c>
      <c r="L220" s="890" t="s">
        <v>140</v>
      </c>
      <c r="M220" s="890"/>
      <c r="N220" s="890"/>
      <c r="O220" s="890"/>
      <c r="P220" s="890"/>
      <c r="Q220" s="1093"/>
      <c r="R220" s="1094">
        <f ca="1">SUM(R217:R219)</f>
        <v>282.39999999999998</v>
      </c>
      <c r="S220" s="1095"/>
      <c r="T220" s="1094">
        <f ca="1">SUM(T217:T219)</f>
        <v>0</v>
      </c>
      <c r="U220" s="514"/>
      <c r="V220" s="514"/>
      <c r="W220" s="514"/>
      <c r="X220" s="514"/>
      <c r="Y220" s="514"/>
      <c r="Z220" s="514"/>
      <c r="AA220" s="514"/>
      <c r="AB220" s="514"/>
    </row>
    <row r="221" spans="1:28" s="504" customFormat="1" ht="12" thickTop="1">
      <c r="A221" s="50"/>
      <c r="B221" s="50"/>
      <c r="C221" s="50"/>
      <c r="D221" s="50"/>
      <c r="E221" s="50"/>
      <c r="F221" s="50"/>
      <c r="G221" s="50"/>
      <c r="H221" s="50"/>
      <c r="I221" s="50"/>
      <c r="J221" s="50"/>
      <c r="K221" s="50"/>
      <c r="L221" s="50"/>
      <c r="M221" s="50"/>
      <c r="N221" s="50"/>
      <c r="O221" s="51"/>
      <c r="P221" s="50"/>
      <c r="Q221" s="41" t="s">
        <v>158</v>
      </c>
      <c r="R221" s="50"/>
      <c r="S221" s="13"/>
      <c r="T221" s="50"/>
    </row>
    <row r="222" spans="1:28" s="504" customFormat="1" ht="12" customHeight="1" thickBot="1">
      <c r="A222" s="1082">
        <v>1</v>
      </c>
      <c r="B222" s="1083">
        <f ca="1">Elec_Est!B5560</f>
        <v>34</v>
      </c>
      <c r="C222" s="1084"/>
      <c r="D222" s="1085" t="s">
        <v>1193</v>
      </c>
      <c r="E222" s="1086"/>
      <c r="F222" s="1086"/>
      <c r="G222" s="876"/>
      <c r="H222" s="876"/>
      <c r="I222" s="1087"/>
      <c r="J222" s="876"/>
      <c r="K222" s="1084" t="s">
        <v>159</v>
      </c>
      <c r="L222" s="1088" t="s">
        <v>159</v>
      </c>
      <c r="M222" s="1088"/>
      <c r="N222" s="1088"/>
      <c r="O222" s="1088"/>
      <c r="P222" s="1088"/>
      <c r="Q222" s="1089">
        <f ca="1">B222/A222</f>
        <v>34</v>
      </c>
      <c r="R222" s="1090">
        <f ca="1">IF($B222=0,0,IF($S$1="R",ROUND(R226/$B222,2),R226/$B222))</f>
        <v>23.75</v>
      </c>
      <c r="S222" s="1091"/>
      <c r="T222" s="1090">
        <f ca="1">IF($B222=0,0,IF($S$1="R",ROUND(T226/$B222,2),T226/$B222))</f>
        <v>0</v>
      </c>
    </row>
    <row r="223" spans="1:28" s="504" customFormat="1" ht="13.8" thickTop="1">
      <c r="A223" s="872"/>
      <c r="B223" s="3"/>
      <c r="C223" s="3"/>
      <c r="D223" s="102" t="s">
        <v>160</v>
      </c>
      <c r="E223" s="3"/>
      <c r="F223" s="3"/>
      <c r="G223" s="3"/>
      <c r="H223" s="3"/>
      <c r="I223" s="3"/>
      <c r="J223" s="3"/>
      <c r="K223" s="3"/>
      <c r="L223" s="3"/>
      <c r="M223" s="3"/>
      <c r="N223" s="3"/>
      <c r="O223" s="103"/>
      <c r="P223" s="3"/>
      <c r="Q223" s="3"/>
      <c r="R223" s="3"/>
      <c r="S223" s="3"/>
      <c r="T223" s="3"/>
    </row>
    <row r="224" spans="1:28" s="1039" customFormat="1">
      <c r="A224" s="1296">
        <f ca="1">$Q$222 *(1)</f>
        <v>34</v>
      </c>
      <c r="B224" s="1039" t="s">
        <v>949</v>
      </c>
      <c r="D224" s="1039" t="s">
        <v>1194</v>
      </c>
      <c r="G224" s="1040" t="s">
        <v>1191</v>
      </c>
      <c r="H224" s="1041">
        <v>835</v>
      </c>
      <c r="I224" s="1039" t="s">
        <v>951</v>
      </c>
      <c r="O224" s="1042">
        <v>3</v>
      </c>
      <c r="P224" s="1043">
        <v>38187</v>
      </c>
      <c r="Q224" s="503">
        <v>23.75</v>
      </c>
      <c r="R224" s="1045">
        <f ca="1">$A224*Q224</f>
        <v>807.5</v>
      </c>
      <c r="S224" s="1044"/>
      <c r="T224" s="1046">
        <f ca="1">$A224*S224*$T$1</f>
        <v>0</v>
      </c>
    </row>
    <row r="225" spans="1:28" s="504" customFormat="1">
      <c r="A225" s="882"/>
      <c r="B225" s="3"/>
      <c r="C225" s="882" t="s">
        <v>161</v>
      </c>
      <c r="D225" s="3"/>
      <c r="E225" s="882"/>
      <c r="F225" s="877"/>
      <c r="G225" s="882"/>
      <c r="H225" s="882"/>
      <c r="I225" s="503"/>
      <c r="J225" s="882"/>
      <c r="K225" s="882"/>
      <c r="L225" s="882"/>
      <c r="M225" s="882"/>
      <c r="N225" s="882"/>
      <c r="O225" s="882"/>
      <c r="P225" s="882"/>
      <c r="Q225" s="503"/>
      <c r="R225" s="1072">
        <f>$A225*Q225</f>
        <v>0</v>
      </c>
      <c r="S225" s="503"/>
      <c r="T225" s="884">
        <f>$A225*S225*$T$1</f>
        <v>0</v>
      </c>
    </row>
    <row r="226" spans="1:28" s="504" customFormat="1" ht="12.6" thickBot="1">
      <c r="A226" s="885" t="s">
        <v>142</v>
      </c>
      <c r="B226" s="886">
        <f>(R225+T225)</f>
        <v>0</v>
      </c>
      <c r="C226" s="887"/>
      <c r="D226" s="1092" t="s">
        <v>162</v>
      </c>
      <c r="E226" s="461">
        <f ca="1">IF($B222=0,0,ROUND(ROUND(($R226*$S$2+($T226*$T$2))/$B222, 2)*$C$2,2))</f>
        <v>28.98</v>
      </c>
      <c r="F226" s="462">
        <f ca="1">ROUND($B222*$E226,2)</f>
        <v>985.32</v>
      </c>
      <c r="G226" s="887"/>
      <c r="H226" s="887"/>
      <c r="I226" s="889"/>
      <c r="J226" s="887"/>
      <c r="K226" s="1093" t="s">
        <v>140</v>
      </c>
      <c r="L226" s="890" t="s">
        <v>140</v>
      </c>
      <c r="M226" s="890"/>
      <c r="N226" s="890"/>
      <c r="O226" s="890"/>
      <c r="P226" s="890"/>
      <c r="Q226" s="1093"/>
      <c r="R226" s="1094">
        <f ca="1">SUM(R223:R225)</f>
        <v>807.5</v>
      </c>
      <c r="S226" s="1095"/>
      <c r="T226" s="1094">
        <f ca="1">SUM(T223:T225)</f>
        <v>0</v>
      </c>
      <c r="U226" s="514"/>
      <c r="V226" s="514"/>
      <c r="W226" s="514"/>
      <c r="X226" s="514"/>
      <c r="Y226" s="514"/>
      <c r="Z226" s="514"/>
      <c r="AA226" s="514"/>
      <c r="AB226" s="514"/>
    </row>
    <row r="227" spans="1:28" s="504" customFormat="1" ht="12" thickTop="1">
      <c r="A227" s="50"/>
      <c r="B227" s="50"/>
      <c r="C227" s="50"/>
      <c r="D227" s="50"/>
      <c r="E227" s="50"/>
      <c r="F227" s="50"/>
      <c r="G227" s="50"/>
      <c r="H227" s="50"/>
      <c r="I227" s="50"/>
      <c r="J227" s="50"/>
      <c r="K227" s="50"/>
      <c r="L227" s="50"/>
      <c r="M227" s="50"/>
      <c r="N227" s="50"/>
      <c r="O227" s="51"/>
      <c r="P227" s="50"/>
      <c r="Q227" s="41" t="s">
        <v>158</v>
      </c>
      <c r="R227" s="50"/>
      <c r="S227" s="13"/>
      <c r="T227" s="50"/>
    </row>
    <row r="228" spans="1:28" s="504" customFormat="1" ht="12" customHeight="1" thickBot="1">
      <c r="A228" s="1082">
        <v>1</v>
      </c>
      <c r="B228" s="1083">
        <f ca="1">Elec_Est!B5561</f>
        <v>6</v>
      </c>
      <c r="C228" s="1084"/>
      <c r="D228" s="1085" t="s">
        <v>1195</v>
      </c>
      <c r="E228" s="1086"/>
      <c r="F228" s="1086"/>
      <c r="G228" s="876"/>
      <c r="H228" s="876"/>
      <c r="I228" s="1087"/>
      <c r="J228" s="876"/>
      <c r="K228" s="1084" t="s">
        <v>159</v>
      </c>
      <c r="L228" s="1088" t="s">
        <v>159</v>
      </c>
      <c r="M228" s="1088"/>
      <c r="N228" s="1088"/>
      <c r="O228" s="1088"/>
      <c r="P228" s="1088"/>
      <c r="Q228" s="1089">
        <f ca="1">B228/A228</f>
        <v>6</v>
      </c>
      <c r="R228" s="1090">
        <f ca="1">IF($B228=0,0,IF($S$1="R",ROUND(R232/$B228,2),R232/$B228))</f>
        <v>35.950000000000003</v>
      </c>
      <c r="S228" s="1091"/>
      <c r="T228" s="1090">
        <f ca="1">IF($B228=0,0,IF($S$1="R",ROUND(T232/$B228,2),T232/$B228))</f>
        <v>0</v>
      </c>
    </row>
    <row r="229" spans="1:28" s="504" customFormat="1" ht="13.8" thickTop="1">
      <c r="A229" s="872"/>
      <c r="B229" s="3"/>
      <c r="C229" s="3"/>
      <c r="D229" s="102" t="s">
        <v>160</v>
      </c>
      <c r="E229" s="3"/>
      <c r="F229" s="3"/>
      <c r="G229" s="3"/>
      <c r="H229" s="3"/>
      <c r="I229" s="3"/>
      <c r="J229" s="3"/>
      <c r="K229" s="3"/>
      <c r="L229" s="3"/>
      <c r="M229" s="3"/>
      <c r="N229" s="3"/>
      <c r="O229" s="103"/>
      <c r="P229" s="3"/>
      <c r="Q229" s="3"/>
      <c r="R229" s="3"/>
      <c r="S229" s="3"/>
      <c r="T229" s="3"/>
    </row>
    <row r="230" spans="1:28" s="1039" customFormat="1">
      <c r="A230" s="1296">
        <f ca="1">$Q$228 *(1)</f>
        <v>6</v>
      </c>
      <c r="B230" s="1039" t="s">
        <v>949</v>
      </c>
      <c r="D230" s="1039" t="s">
        <v>1196</v>
      </c>
      <c r="G230" s="1040" t="s">
        <v>1191</v>
      </c>
      <c r="H230" s="1041">
        <v>835</v>
      </c>
      <c r="I230" s="1039" t="s">
        <v>951</v>
      </c>
      <c r="O230" s="1042">
        <v>3</v>
      </c>
      <c r="P230" s="1043">
        <v>38187</v>
      </c>
      <c r="Q230" s="503">
        <v>35.950000000000003</v>
      </c>
      <c r="R230" s="1045">
        <f ca="1">$A230*Q230</f>
        <v>215.70000000000002</v>
      </c>
      <c r="S230" s="1044"/>
      <c r="T230" s="1046">
        <f ca="1">$A230*S230*$T$1</f>
        <v>0</v>
      </c>
    </row>
    <row r="231" spans="1:28" s="504" customFormat="1">
      <c r="A231" s="882"/>
      <c r="B231" s="3"/>
      <c r="C231" s="882" t="s">
        <v>161</v>
      </c>
      <c r="D231" s="3"/>
      <c r="E231" s="882"/>
      <c r="F231" s="877"/>
      <c r="G231" s="882"/>
      <c r="H231" s="882"/>
      <c r="I231" s="503"/>
      <c r="J231" s="882"/>
      <c r="K231" s="882"/>
      <c r="L231" s="882"/>
      <c r="M231" s="882"/>
      <c r="N231" s="882"/>
      <c r="O231" s="882"/>
      <c r="P231" s="882"/>
      <c r="Q231" s="503"/>
      <c r="R231" s="1072">
        <f>$A231*Q231</f>
        <v>0</v>
      </c>
      <c r="S231" s="503"/>
      <c r="T231" s="884">
        <f>$A231*S231*$T$1</f>
        <v>0</v>
      </c>
    </row>
    <row r="232" spans="1:28" s="504" customFormat="1" ht="12.6" thickBot="1">
      <c r="A232" s="885" t="s">
        <v>142</v>
      </c>
      <c r="B232" s="886">
        <f>(R231+T231)</f>
        <v>0</v>
      </c>
      <c r="C232" s="887"/>
      <c r="D232" s="1092" t="s">
        <v>162</v>
      </c>
      <c r="E232" s="461">
        <f ca="1">IF($B228=0,0,ROUND(ROUND(($R232*$S$2+($T232*$T$2))/$B228, 2)*$C$2,2))</f>
        <v>43.86</v>
      </c>
      <c r="F232" s="462">
        <f ca="1">ROUND($B228*$E232,2)</f>
        <v>263.16000000000003</v>
      </c>
      <c r="G232" s="887"/>
      <c r="H232" s="887"/>
      <c r="I232" s="889"/>
      <c r="J232" s="887"/>
      <c r="K232" s="1093" t="s">
        <v>140</v>
      </c>
      <c r="L232" s="890" t="s">
        <v>140</v>
      </c>
      <c r="M232" s="890"/>
      <c r="N232" s="890"/>
      <c r="O232" s="890"/>
      <c r="P232" s="890"/>
      <c r="Q232" s="1093"/>
      <c r="R232" s="1094">
        <f ca="1">SUM(R229:R231)</f>
        <v>215.70000000000002</v>
      </c>
      <c r="S232" s="1095"/>
      <c r="T232" s="1094">
        <f ca="1">SUM(T229:T231)</f>
        <v>0</v>
      </c>
      <c r="U232" s="514"/>
      <c r="V232" s="514"/>
      <c r="W232" s="514"/>
      <c r="X232" s="514"/>
      <c r="Y232" s="514"/>
      <c r="Z232" s="514"/>
      <c r="AA232" s="514"/>
      <c r="AB232" s="514"/>
    </row>
    <row r="233" spans="1:28" s="504" customFormat="1" ht="12" thickTop="1">
      <c r="A233" s="50"/>
      <c r="B233" s="50"/>
      <c r="C233" s="50"/>
      <c r="D233" s="50"/>
      <c r="E233" s="50"/>
      <c r="F233" s="50"/>
      <c r="G233" s="50"/>
      <c r="H233" s="50"/>
      <c r="I233" s="50"/>
      <c r="J233" s="50"/>
      <c r="K233" s="50"/>
      <c r="L233" s="50"/>
      <c r="M233" s="50"/>
      <c r="N233" s="50"/>
      <c r="O233" s="51"/>
      <c r="P233" s="50"/>
      <c r="Q233" s="41" t="s">
        <v>158</v>
      </c>
      <c r="R233" s="50"/>
      <c r="S233" s="13"/>
      <c r="T233" s="50"/>
    </row>
    <row r="234" spans="1:28" s="504" customFormat="1" ht="12" customHeight="1" thickBot="1">
      <c r="A234" s="1082">
        <v>1</v>
      </c>
      <c r="B234" s="1083">
        <f ca="1">Elec_Est!B5562</f>
        <v>8</v>
      </c>
      <c r="C234" s="1084"/>
      <c r="D234" s="1085" t="s">
        <v>1368</v>
      </c>
      <c r="E234" s="1086"/>
      <c r="F234" s="1086"/>
      <c r="G234" s="876"/>
      <c r="H234" s="876"/>
      <c r="I234" s="1087"/>
      <c r="J234" s="876"/>
      <c r="K234" s="1084" t="s">
        <v>159</v>
      </c>
      <c r="L234" s="1088" t="s">
        <v>159</v>
      </c>
      <c r="M234" s="1088"/>
      <c r="N234" s="1088"/>
      <c r="O234" s="1088"/>
      <c r="P234" s="1088"/>
      <c r="Q234" s="1089">
        <f ca="1">B234/A234</f>
        <v>8</v>
      </c>
      <c r="R234" s="1090">
        <f ca="1">IF($B234=0,0,IF($S$1="R",ROUND(R238/$B234,2),R238/$B234))</f>
        <v>66.849999999999994</v>
      </c>
      <c r="S234" s="1091"/>
      <c r="T234" s="1090">
        <f ca="1">IF($B234=0,0,IF($S$1="R",ROUND(T238/$B234,2),T238/$B234))</f>
        <v>0</v>
      </c>
    </row>
    <row r="235" spans="1:28" s="504" customFormat="1" ht="13.8" thickTop="1">
      <c r="A235" s="872"/>
      <c r="B235" s="3"/>
      <c r="C235" s="3"/>
      <c r="D235" s="102" t="s">
        <v>160</v>
      </c>
      <c r="E235" s="3"/>
      <c r="F235" s="3"/>
      <c r="G235" s="3"/>
      <c r="H235" s="3"/>
      <c r="I235" s="3"/>
      <c r="J235" s="3"/>
      <c r="K235" s="3"/>
      <c r="L235" s="3"/>
      <c r="M235" s="3"/>
      <c r="N235" s="3"/>
      <c r="O235" s="103"/>
      <c r="P235" s="3"/>
      <c r="Q235" s="3"/>
      <c r="R235" s="3"/>
      <c r="S235" s="3"/>
      <c r="T235" s="3"/>
      <c r="Z235" s="117" t="s">
        <v>1366</v>
      </c>
    </row>
    <row r="236" spans="1:28" s="1039" customFormat="1">
      <c r="A236" s="1296">
        <f ca="1">$Q$234 *(1)</f>
        <v>8</v>
      </c>
      <c r="B236" s="1039" t="s">
        <v>949</v>
      </c>
      <c r="D236" s="1039" t="s">
        <v>1365</v>
      </c>
      <c r="G236" s="1040" t="s">
        <v>1191</v>
      </c>
      <c r="H236" s="1041">
        <v>835</v>
      </c>
      <c r="I236" s="1039" t="s">
        <v>951</v>
      </c>
      <c r="O236" s="1042">
        <v>3</v>
      </c>
      <c r="P236" s="1043">
        <v>38187</v>
      </c>
      <c r="Q236" s="503">
        <v>66.849999999999994</v>
      </c>
      <c r="R236" s="1045">
        <f ca="1">$A236*Q236</f>
        <v>534.79999999999995</v>
      </c>
      <c r="S236" s="1044"/>
      <c r="T236" s="1046">
        <f ca="1">$A236*S236*$T$1</f>
        <v>0</v>
      </c>
    </row>
    <row r="237" spans="1:28" s="504" customFormat="1">
      <c r="A237" s="882"/>
      <c r="B237" s="3"/>
      <c r="C237" s="882" t="s">
        <v>161</v>
      </c>
      <c r="D237" s="3"/>
      <c r="E237" s="882"/>
      <c r="F237" s="877"/>
      <c r="G237" s="882"/>
      <c r="H237" s="882"/>
      <c r="I237" s="503"/>
      <c r="J237" s="882"/>
      <c r="K237" s="882"/>
      <c r="L237" s="882"/>
      <c r="M237" s="882"/>
      <c r="N237" s="882"/>
      <c r="O237" s="882"/>
      <c r="P237" s="882"/>
      <c r="Q237" s="503"/>
      <c r="R237" s="1072">
        <f>$A237*Q237</f>
        <v>0</v>
      </c>
      <c r="S237" s="503"/>
      <c r="T237" s="884">
        <f>$A237*S237*$T$1</f>
        <v>0</v>
      </c>
    </row>
    <row r="238" spans="1:28" s="504" customFormat="1" ht="12.6" thickBot="1">
      <c r="A238" s="885" t="s">
        <v>142</v>
      </c>
      <c r="B238" s="886">
        <f>(R237+T237)</f>
        <v>0</v>
      </c>
      <c r="C238" s="887"/>
      <c r="D238" s="1092" t="s">
        <v>162</v>
      </c>
      <c r="E238" s="461">
        <f ca="1">IF($B234=0,0,ROUND(ROUND(($R238*$S$2+($T238*$T$2))/$B234, 2)*$C$2,2))</f>
        <v>81.56</v>
      </c>
      <c r="F238" s="462">
        <f ca="1">ROUND($B234*$E238,2)</f>
        <v>652.48</v>
      </c>
      <c r="G238" s="887"/>
      <c r="H238" s="887"/>
      <c r="I238" s="889"/>
      <c r="J238" s="887"/>
      <c r="K238" s="1093" t="s">
        <v>140</v>
      </c>
      <c r="L238" s="890" t="s">
        <v>140</v>
      </c>
      <c r="M238" s="890"/>
      <c r="N238" s="890"/>
      <c r="O238" s="890"/>
      <c r="P238" s="890"/>
      <c r="Q238" s="1093"/>
      <c r="R238" s="1094">
        <f ca="1">SUM(R235:R237)</f>
        <v>534.79999999999995</v>
      </c>
      <c r="S238" s="1095"/>
      <c r="T238" s="1094">
        <f ca="1">SUM(T235:T237)</f>
        <v>0</v>
      </c>
      <c r="U238" s="514"/>
      <c r="V238" s="514"/>
      <c r="W238" s="514"/>
      <c r="X238" s="514"/>
      <c r="Y238" s="514"/>
      <c r="Z238" s="514"/>
      <c r="AA238" s="514"/>
      <c r="AB238" s="514"/>
    </row>
    <row r="239" spans="1:28" s="504" customFormat="1" ht="12" thickTop="1">
      <c r="A239" s="50"/>
      <c r="B239" s="50"/>
      <c r="C239" s="50"/>
      <c r="D239" s="50"/>
      <c r="E239" s="50"/>
      <c r="F239" s="50"/>
      <c r="G239" s="50"/>
      <c r="H239" s="50"/>
      <c r="I239" s="50"/>
      <c r="J239" s="50"/>
      <c r="K239" s="50"/>
      <c r="L239" s="50"/>
      <c r="M239" s="50"/>
      <c r="N239" s="50"/>
      <c r="O239" s="51"/>
      <c r="P239" s="50"/>
      <c r="Q239" s="41" t="s">
        <v>158</v>
      </c>
      <c r="R239" s="50"/>
      <c r="S239" s="13"/>
      <c r="T239" s="50"/>
    </row>
    <row r="240" spans="1:28" s="504" customFormat="1" ht="12" customHeight="1" thickBot="1">
      <c r="A240" s="1082">
        <v>1</v>
      </c>
      <c r="B240" s="1083">
        <f ca="1">Elec_Est!B5563</f>
        <v>8</v>
      </c>
      <c r="C240" s="1084"/>
      <c r="D240" s="1085" t="s">
        <v>1369</v>
      </c>
      <c r="E240" s="1086"/>
      <c r="F240" s="1086"/>
      <c r="G240" s="876"/>
      <c r="H240" s="876"/>
      <c r="I240" s="1087"/>
      <c r="J240" s="876"/>
      <c r="K240" s="1084" t="s">
        <v>159</v>
      </c>
      <c r="L240" s="1088" t="s">
        <v>159</v>
      </c>
      <c r="M240" s="1088"/>
      <c r="N240" s="1088"/>
      <c r="O240" s="1088"/>
      <c r="P240" s="1088"/>
      <c r="Q240" s="1089">
        <f ca="1">B240/A240</f>
        <v>8</v>
      </c>
      <c r="R240" s="1090">
        <f ca="1">IF($B240=0,0,IF($S$1="R",ROUND(R245/$B240,2),R245/$B240))</f>
        <v>1.1000000000000001</v>
      </c>
      <c r="S240" s="1091"/>
      <c r="T240" s="1090">
        <f ca="1">IF($B240=0,0,IF($S$1="R",ROUND(T245/$B240,2),T245/$B240))</f>
        <v>0.57999999999999996</v>
      </c>
    </row>
    <row r="241" spans="1:28" s="504" customFormat="1" ht="13.8" thickTop="1">
      <c r="A241" s="872"/>
      <c r="B241" s="3"/>
      <c r="C241" s="3"/>
      <c r="D241" s="102" t="s">
        <v>160</v>
      </c>
      <c r="E241" s="3"/>
      <c r="F241" s="3"/>
      <c r="G241" s="3"/>
      <c r="H241" s="3"/>
      <c r="I241" s="3"/>
      <c r="J241" s="3"/>
      <c r="K241" s="3"/>
      <c r="L241" s="3"/>
      <c r="M241" s="3"/>
      <c r="N241" s="3"/>
      <c r="O241" s="103"/>
      <c r="P241" s="3"/>
      <c r="Q241" s="3"/>
      <c r="R241" s="3"/>
      <c r="S241" s="3"/>
      <c r="T241" s="3"/>
    </row>
    <row r="242" spans="1:28" s="1039" customFormat="1">
      <c r="A242" s="1296">
        <f ca="1">$Q$240 *(1)</f>
        <v>8</v>
      </c>
      <c r="B242" s="1039" t="s">
        <v>949</v>
      </c>
      <c r="D242" s="1039" t="s">
        <v>1199</v>
      </c>
      <c r="G242" s="1040" t="s">
        <v>1191</v>
      </c>
      <c r="H242" s="1041">
        <v>835</v>
      </c>
      <c r="I242" s="1039" t="s">
        <v>951</v>
      </c>
      <c r="O242" s="1042">
        <v>3</v>
      </c>
      <c r="P242" s="1043">
        <v>38187</v>
      </c>
      <c r="Q242" s="503">
        <v>0</v>
      </c>
      <c r="R242" s="1045">
        <f ca="1">$A242*Q242</f>
        <v>0</v>
      </c>
      <c r="S242" s="1044">
        <v>0.5</v>
      </c>
      <c r="T242" s="1046">
        <f ca="1">$A242*S242*$T$1</f>
        <v>4.2</v>
      </c>
    </row>
    <row r="243" spans="1:28" s="1039" customFormat="1">
      <c r="A243" s="1296">
        <f ca="1">$Q$240 *(1)</f>
        <v>8</v>
      </c>
      <c r="B243" s="1039" t="s">
        <v>326</v>
      </c>
      <c r="D243" s="1039" t="s">
        <v>1180</v>
      </c>
      <c r="G243" s="1040" t="s">
        <v>1167</v>
      </c>
      <c r="H243" s="1041">
        <v>615</v>
      </c>
      <c r="I243" s="1039" t="s">
        <v>991</v>
      </c>
      <c r="K243" s="1039" t="s">
        <v>1168</v>
      </c>
      <c r="O243" s="1042">
        <v>2</v>
      </c>
      <c r="P243" s="1043">
        <v>38988</v>
      </c>
      <c r="Q243" s="1044">
        <v>1.1000000000000001</v>
      </c>
      <c r="R243" s="1045">
        <f ca="1">$A243*Q243</f>
        <v>8.8000000000000007</v>
      </c>
      <c r="S243" s="1044">
        <v>0.05</v>
      </c>
      <c r="T243" s="1046">
        <f ca="1">$A243*S243*$T$1</f>
        <v>0.42000000000000004</v>
      </c>
    </row>
    <row r="244" spans="1:28" s="504" customFormat="1">
      <c r="A244" s="882"/>
      <c r="B244" s="3"/>
      <c r="C244" s="882" t="s">
        <v>161</v>
      </c>
      <c r="D244" s="3"/>
      <c r="E244" s="882"/>
      <c r="F244" s="877"/>
      <c r="G244" s="882"/>
      <c r="H244" s="882"/>
      <c r="I244" s="503"/>
      <c r="J244" s="882"/>
      <c r="K244" s="882"/>
      <c r="L244" s="882"/>
      <c r="M244" s="882"/>
      <c r="N244" s="882"/>
      <c r="O244" s="882"/>
      <c r="P244" s="882"/>
      <c r="Q244" s="503"/>
      <c r="R244" s="1072">
        <f>$A244*Q244</f>
        <v>0</v>
      </c>
      <c r="S244" s="503"/>
      <c r="T244" s="884">
        <f>$A244*S244*$T$1</f>
        <v>0</v>
      </c>
    </row>
    <row r="245" spans="1:28" s="504" customFormat="1" ht="12.6" thickBot="1">
      <c r="A245" s="885" t="s">
        <v>142</v>
      </c>
      <c r="B245" s="886">
        <f>(R244+T244)</f>
        <v>0</v>
      </c>
      <c r="C245" s="887"/>
      <c r="D245" s="1092" t="s">
        <v>162</v>
      </c>
      <c r="E245" s="461">
        <f ca="1">IF($B240=0,0,ROUND(ROUND(($R245*$S$2+($T245*$T$2))/$B240, 2)*$C$2,2))</f>
        <v>21.66</v>
      </c>
      <c r="F245" s="462">
        <f ca="1">ROUND($B240*$E245,2)</f>
        <v>173.28</v>
      </c>
      <c r="G245" s="887"/>
      <c r="H245" s="887"/>
      <c r="I245" s="889"/>
      <c r="J245" s="887"/>
      <c r="K245" s="1093" t="s">
        <v>140</v>
      </c>
      <c r="L245" s="890" t="s">
        <v>140</v>
      </c>
      <c r="M245" s="890"/>
      <c r="N245" s="890"/>
      <c r="O245" s="890"/>
      <c r="P245" s="890"/>
      <c r="Q245" s="1093"/>
      <c r="R245" s="1094">
        <f ca="1">SUM(R241:R244)</f>
        <v>8.8000000000000007</v>
      </c>
      <c r="S245" s="1095"/>
      <c r="T245" s="1094">
        <f ca="1">SUM(T241:T244)</f>
        <v>4.62</v>
      </c>
      <c r="U245" s="514"/>
      <c r="V245" s="514"/>
      <c r="W245" s="514"/>
      <c r="X245" s="514"/>
      <c r="Y245" s="514"/>
      <c r="Z245" s="514"/>
      <c r="AA245" s="514"/>
      <c r="AB245" s="514"/>
    </row>
    <row r="246" spans="1:28" s="504" customFormat="1" ht="12" thickTop="1">
      <c r="A246" s="50"/>
      <c r="B246" s="50"/>
      <c r="C246" s="50"/>
      <c r="D246" s="50"/>
      <c r="E246" s="50"/>
      <c r="F246" s="50"/>
      <c r="G246" s="50"/>
      <c r="H246" s="50"/>
      <c r="I246" s="50"/>
      <c r="J246" s="50"/>
      <c r="K246" s="50"/>
      <c r="L246" s="50"/>
      <c r="M246" s="50"/>
      <c r="N246" s="50"/>
      <c r="O246" s="51"/>
      <c r="P246" s="50"/>
      <c r="Q246" s="41" t="s">
        <v>158</v>
      </c>
      <c r="R246" s="50"/>
      <c r="S246" s="13"/>
      <c r="T246" s="50"/>
    </row>
    <row r="247" spans="1:28" s="504" customFormat="1" ht="12" customHeight="1" thickBot="1">
      <c r="A247" s="1082">
        <v>1</v>
      </c>
      <c r="B247" s="1083">
        <f ca="1">Elec_Est!B5564</f>
        <v>34</v>
      </c>
      <c r="C247" s="1084"/>
      <c r="D247" s="1085" t="s">
        <v>1370</v>
      </c>
      <c r="E247" s="1086"/>
      <c r="F247" s="1086"/>
      <c r="G247" s="876"/>
      <c r="H247" s="876"/>
      <c r="I247" s="1087"/>
      <c r="J247" s="876"/>
      <c r="K247" s="1084" t="s">
        <v>159</v>
      </c>
      <c r="L247" s="1088" t="s">
        <v>159</v>
      </c>
      <c r="M247" s="1088"/>
      <c r="N247" s="1088"/>
      <c r="O247" s="1088"/>
      <c r="P247" s="1088"/>
      <c r="Q247" s="1089">
        <f ca="1">B247/A247</f>
        <v>34</v>
      </c>
      <c r="R247" s="1090">
        <f ca="1">IF($B247=0,0,IF($S$1="R",ROUND(R253/$B247,2),R253/$B247))</f>
        <v>0.16</v>
      </c>
      <c r="S247" s="1091"/>
      <c r="T247" s="1090">
        <f ca="1">IF($B247=0,0,IF($S$1="R",ROUND(T253/$B247,2),T253/$B247))</f>
        <v>0.37</v>
      </c>
    </row>
    <row r="248" spans="1:28" s="504" customFormat="1" ht="13.8" thickTop="1">
      <c r="A248" s="872"/>
      <c r="B248" s="3"/>
      <c r="C248" s="3"/>
      <c r="D248" s="102" t="s">
        <v>160</v>
      </c>
      <c r="E248" s="3"/>
      <c r="F248" s="3"/>
      <c r="G248" s="3"/>
      <c r="H248" s="3"/>
      <c r="I248" s="3"/>
      <c r="J248" s="3"/>
      <c r="K248" s="3"/>
      <c r="L248" s="3"/>
      <c r="M248" s="3"/>
      <c r="N248" s="3"/>
      <c r="O248" s="103"/>
      <c r="P248" s="3"/>
      <c r="Q248" s="3"/>
      <c r="R248" s="3"/>
      <c r="S248" s="3"/>
      <c r="T248" s="3"/>
    </row>
    <row r="249" spans="1:28" s="1039" customFormat="1">
      <c r="A249" s="1296">
        <f ca="1">$Q$247 *(1)</f>
        <v>34</v>
      </c>
      <c r="B249" s="1039" t="s">
        <v>949</v>
      </c>
      <c r="D249" s="1039" t="s">
        <v>1194</v>
      </c>
      <c r="G249" s="1040" t="s">
        <v>1191</v>
      </c>
      <c r="H249" s="1041">
        <v>835</v>
      </c>
      <c r="I249" s="1039" t="s">
        <v>951</v>
      </c>
      <c r="O249" s="1042">
        <v>3</v>
      </c>
      <c r="P249" s="1043">
        <v>38187</v>
      </c>
      <c r="Q249" s="503">
        <v>0</v>
      </c>
      <c r="R249" s="1045">
        <f ca="1">$A249*Q249</f>
        <v>0</v>
      </c>
      <c r="S249" s="1044">
        <v>0.35</v>
      </c>
      <c r="T249" s="1046">
        <f ca="1">$A249*S249*$T$1</f>
        <v>12.494999999999999</v>
      </c>
    </row>
    <row r="250" spans="1:28" s="1039" customFormat="1">
      <c r="A250" s="1296">
        <f ca="1">$Q$247 *(4)</f>
        <v>136</v>
      </c>
      <c r="B250" s="1039" t="s">
        <v>949</v>
      </c>
      <c r="D250" s="1039" t="s">
        <v>965</v>
      </c>
      <c r="G250" s="1040" t="s">
        <v>966</v>
      </c>
      <c r="H250" s="1041">
        <v>875</v>
      </c>
      <c r="I250" s="1039" t="s">
        <v>951</v>
      </c>
      <c r="K250" s="1039" t="s">
        <v>967</v>
      </c>
      <c r="O250" s="1042">
        <v>1</v>
      </c>
      <c r="P250" s="1043">
        <v>34669</v>
      </c>
      <c r="Q250" s="1044">
        <v>0.02</v>
      </c>
      <c r="R250" s="1045">
        <f ca="1">$A250*Q250</f>
        <v>2.72</v>
      </c>
      <c r="S250" s="1044"/>
      <c r="T250" s="1046">
        <f ca="1">$A250*S250*$T$1</f>
        <v>0</v>
      </c>
    </row>
    <row r="251" spans="1:28" s="1039" customFormat="1">
      <c r="A251" s="1296">
        <f ca="1">$Q$247 *(4)</f>
        <v>136</v>
      </c>
      <c r="B251" s="1039" t="s">
        <v>949</v>
      </c>
      <c r="D251" s="1039" t="s">
        <v>968</v>
      </c>
      <c r="G251" s="1040" t="s">
        <v>969</v>
      </c>
      <c r="H251" s="1041">
        <v>875</v>
      </c>
      <c r="I251" s="1039" t="s">
        <v>951</v>
      </c>
      <c r="K251" s="1039" t="s">
        <v>970</v>
      </c>
      <c r="O251" s="1042">
        <v>1</v>
      </c>
      <c r="P251" s="1043">
        <v>34669</v>
      </c>
      <c r="Q251" s="1044">
        <v>0.02</v>
      </c>
      <c r="R251" s="1045">
        <f ca="1">$A251*Q251</f>
        <v>2.72</v>
      </c>
      <c r="S251" s="1044"/>
      <c r="T251" s="1046">
        <f ca="1">$A251*S251*$T$1</f>
        <v>0</v>
      </c>
    </row>
    <row r="252" spans="1:28" s="504" customFormat="1">
      <c r="A252" s="882"/>
      <c r="B252" s="3"/>
      <c r="C252" s="882" t="s">
        <v>161</v>
      </c>
      <c r="D252" s="3"/>
      <c r="E252" s="882"/>
      <c r="F252" s="877"/>
      <c r="G252" s="882"/>
      <c r="H252" s="882"/>
      <c r="I252" s="503"/>
      <c r="J252" s="882"/>
      <c r="K252" s="882"/>
      <c r="L252" s="882"/>
      <c r="M252" s="882"/>
      <c r="N252" s="882"/>
      <c r="O252" s="882"/>
      <c r="P252" s="882"/>
      <c r="Q252" s="503"/>
      <c r="R252" s="1072">
        <f>$A252*Q252</f>
        <v>0</v>
      </c>
      <c r="S252" s="503"/>
      <c r="T252" s="884">
        <f>$A252*S252*$T$1</f>
        <v>0</v>
      </c>
    </row>
    <row r="253" spans="1:28" s="504" customFormat="1" ht="12.6" thickBot="1">
      <c r="A253" s="885" t="s">
        <v>142</v>
      </c>
      <c r="B253" s="886">
        <f>(R252+T252)</f>
        <v>0</v>
      </c>
      <c r="C253" s="887"/>
      <c r="D253" s="1092" t="s">
        <v>162</v>
      </c>
      <c r="E253" s="461">
        <f ca="1">IF($B247=0,0,ROUND(ROUND(($R253*$S$2+($T253*$T$2))/$B247, 2)*$C$2,2))</f>
        <v>13.12</v>
      </c>
      <c r="F253" s="462">
        <f ca="1">ROUND($B247*$E253,2)</f>
        <v>446.08</v>
      </c>
      <c r="G253" s="887"/>
      <c r="H253" s="887"/>
      <c r="I253" s="889"/>
      <c r="J253" s="887"/>
      <c r="K253" s="1093" t="s">
        <v>140</v>
      </c>
      <c r="L253" s="890" t="s">
        <v>140</v>
      </c>
      <c r="M253" s="890"/>
      <c r="N253" s="890"/>
      <c r="O253" s="890"/>
      <c r="P253" s="890"/>
      <c r="Q253" s="1093"/>
      <c r="R253" s="1094">
        <f ca="1">SUM(R248:R252)</f>
        <v>5.44</v>
      </c>
      <c r="S253" s="1095"/>
      <c r="T253" s="1094">
        <f ca="1">SUM(T248:T252)</f>
        <v>12.494999999999999</v>
      </c>
      <c r="U253" s="514"/>
      <c r="V253" s="514"/>
      <c r="W253" s="514"/>
      <c r="X253" s="514"/>
      <c r="Y253" s="514"/>
      <c r="Z253" s="514"/>
      <c r="AA253" s="514"/>
      <c r="AB253" s="514"/>
    </row>
    <row r="254" spans="1:28" s="504" customFormat="1" ht="12" thickTop="1">
      <c r="A254" s="50"/>
      <c r="B254" s="50"/>
      <c r="C254" s="50"/>
      <c r="D254" s="50"/>
      <c r="E254" s="50"/>
      <c r="F254" s="50"/>
      <c r="G254" s="50"/>
      <c r="H254" s="50"/>
      <c r="I254" s="50"/>
      <c r="J254" s="50"/>
      <c r="K254" s="50"/>
      <c r="L254" s="50"/>
      <c r="M254" s="50"/>
      <c r="N254" s="50"/>
      <c r="O254" s="51"/>
      <c r="P254" s="50"/>
      <c r="Q254" s="41" t="s">
        <v>158</v>
      </c>
      <c r="R254" s="50"/>
      <c r="S254" s="13"/>
      <c r="T254" s="50"/>
    </row>
    <row r="255" spans="1:28" s="504" customFormat="1" ht="12" customHeight="1" thickBot="1">
      <c r="A255" s="1082">
        <v>1</v>
      </c>
      <c r="B255" s="1083">
        <f ca="1">Elec_Est!B5565</f>
        <v>6</v>
      </c>
      <c r="C255" s="1084"/>
      <c r="D255" s="1085" t="s">
        <v>1371</v>
      </c>
      <c r="E255" s="1086"/>
      <c r="F255" s="1086"/>
      <c r="G255" s="876"/>
      <c r="H255" s="876"/>
      <c r="I255" s="1087"/>
      <c r="J255" s="876"/>
      <c r="K255" s="1084" t="s">
        <v>159</v>
      </c>
      <c r="L255" s="1088" t="s">
        <v>159</v>
      </c>
      <c r="M255" s="1088"/>
      <c r="N255" s="1088"/>
      <c r="O255" s="1088"/>
      <c r="P255" s="1088"/>
      <c r="Q255" s="1089">
        <f ca="1">B255/A255</f>
        <v>6</v>
      </c>
      <c r="R255" s="1090">
        <f ca="1">IF($B255=0,0,IF($S$1="R",ROUND(R260/$B255,2),R260/$B255))</f>
        <v>1.1000000000000001</v>
      </c>
      <c r="S255" s="1091"/>
      <c r="T255" s="1090">
        <f ca="1">IF($B255=0,0,IF($S$1="R",ROUND(T260/$B255,2),T260/$B255))</f>
        <v>0.47</v>
      </c>
    </row>
    <row r="256" spans="1:28" s="504" customFormat="1" ht="13.8" thickTop="1">
      <c r="A256" s="872"/>
      <c r="B256" s="3"/>
      <c r="C256" s="3"/>
      <c r="D256" s="102" t="s">
        <v>160</v>
      </c>
      <c r="E256" s="3"/>
      <c r="F256" s="3"/>
      <c r="G256" s="3"/>
      <c r="H256" s="3"/>
      <c r="I256" s="3"/>
      <c r="J256" s="3"/>
      <c r="K256" s="3"/>
      <c r="L256" s="3"/>
      <c r="M256" s="3"/>
      <c r="N256" s="3"/>
      <c r="O256" s="103"/>
      <c r="P256" s="3"/>
      <c r="Q256" s="3"/>
      <c r="R256" s="3"/>
      <c r="S256" s="3"/>
      <c r="T256" s="3"/>
    </row>
    <row r="257" spans="1:28" s="1039" customFormat="1">
      <c r="A257" s="1296">
        <f ca="1">$Q$255 *(1)</f>
        <v>6</v>
      </c>
      <c r="B257" s="1039" t="s">
        <v>949</v>
      </c>
      <c r="D257" s="1039" t="s">
        <v>1200</v>
      </c>
      <c r="G257" s="1040" t="s">
        <v>1191</v>
      </c>
      <c r="H257" s="1041">
        <v>835</v>
      </c>
      <c r="I257" s="1039" t="s">
        <v>951</v>
      </c>
      <c r="O257" s="1042">
        <v>3</v>
      </c>
      <c r="P257" s="1043">
        <v>38187</v>
      </c>
      <c r="Q257" s="503">
        <v>0</v>
      </c>
      <c r="R257" s="1045">
        <f ca="1">$A257*Q257</f>
        <v>0</v>
      </c>
      <c r="S257" s="1044">
        <v>0.4</v>
      </c>
      <c r="T257" s="1046">
        <f ca="1">$A257*S257*$T$1</f>
        <v>2.5200000000000005</v>
      </c>
    </row>
    <row r="258" spans="1:28" s="1039" customFormat="1">
      <c r="A258" s="1296">
        <f ca="1">$Q$255 *(1)</f>
        <v>6</v>
      </c>
      <c r="B258" s="1039" t="s">
        <v>326</v>
      </c>
      <c r="D258" s="1039" t="s">
        <v>1180</v>
      </c>
      <c r="G258" s="1040" t="s">
        <v>1167</v>
      </c>
      <c r="H258" s="1041">
        <v>615</v>
      </c>
      <c r="I258" s="1039" t="s">
        <v>991</v>
      </c>
      <c r="K258" s="1039" t="s">
        <v>1168</v>
      </c>
      <c r="O258" s="1042">
        <v>2</v>
      </c>
      <c r="P258" s="1043">
        <v>38988</v>
      </c>
      <c r="Q258" s="1044">
        <v>1.1000000000000001</v>
      </c>
      <c r="R258" s="1045">
        <f ca="1">$A258*Q258</f>
        <v>6.6000000000000005</v>
      </c>
      <c r="S258" s="1044">
        <v>0.05</v>
      </c>
      <c r="T258" s="1046">
        <f ca="1">$A258*S258*$T$1</f>
        <v>0.31500000000000006</v>
      </c>
    </row>
    <row r="259" spans="1:28" s="504" customFormat="1">
      <c r="A259" s="882"/>
      <c r="B259" s="3"/>
      <c r="C259" s="882" t="s">
        <v>161</v>
      </c>
      <c r="D259" s="3"/>
      <c r="E259" s="882"/>
      <c r="F259" s="877"/>
      <c r="G259" s="882"/>
      <c r="H259" s="882"/>
      <c r="I259" s="503"/>
      <c r="J259" s="882"/>
      <c r="K259" s="882"/>
      <c r="L259" s="882"/>
      <c r="M259" s="882"/>
      <c r="N259" s="882"/>
      <c r="O259" s="882"/>
      <c r="P259" s="882"/>
      <c r="Q259" s="503"/>
      <c r="R259" s="1072">
        <f>$A259*Q259</f>
        <v>0</v>
      </c>
      <c r="S259" s="503"/>
      <c r="T259" s="884">
        <f>$A259*S259*$T$1</f>
        <v>0</v>
      </c>
    </row>
    <row r="260" spans="1:28" s="504" customFormat="1" ht="12.6" thickBot="1">
      <c r="A260" s="885" t="s">
        <v>142</v>
      </c>
      <c r="B260" s="886">
        <f>(R259+T259)</f>
        <v>0</v>
      </c>
      <c r="C260" s="887"/>
      <c r="D260" s="1092" t="s">
        <v>162</v>
      </c>
      <c r="E260" s="461">
        <f ca="1">IF($B255=0,0,ROUND(ROUND(($R260*$S$2+($T260*$T$2))/$B255, 2)*$C$2,2))</f>
        <v>17.96</v>
      </c>
      <c r="F260" s="462">
        <f ca="1">ROUND($B255*$E260,2)</f>
        <v>107.76</v>
      </c>
      <c r="G260" s="887"/>
      <c r="H260" s="887"/>
      <c r="I260" s="889"/>
      <c r="J260" s="887"/>
      <c r="K260" s="1093" t="s">
        <v>140</v>
      </c>
      <c r="L260" s="890" t="s">
        <v>140</v>
      </c>
      <c r="M260" s="890"/>
      <c r="N260" s="890"/>
      <c r="O260" s="890"/>
      <c r="P260" s="890"/>
      <c r="Q260" s="1093"/>
      <c r="R260" s="1094">
        <f ca="1">SUM(R256:R259)</f>
        <v>6.6000000000000005</v>
      </c>
      <c r="S260" s="1095"/>
      <c r="T260" s="1094">
        <f ca="1">SUM(T256:T259)</f>
        <v>2.8350000000000004</v>
      </c>
      <c r="U260" s="514"/>
      <c r="V260" s="514"/>
      <c r="W260" s="514"/>
      <c r="X260" s="514"/>
      <c r="Y260" s="514"/>
      <c r="Z260" s="514"/>
      <c r="AA260" s="514"/>
      <c r="AB260" s="514"/>
    </row>
    <row r="261" spans="1:28" s="504" customFormat="1" ht="12" thickTop="1">
      <c r="A261" s="50"/>
      <c r="B261" s="50"/>
      <c r="C261" s="50"/>
      <c r="D261" s="50"/>
      <c r="E261" s="50"/>
      <c r="F261" s="50"/>
      <c r="G261" s="50"/>
      <c r="H261" s="50"/>
      <c r="I261" s="50"/>
      <c r="J261" s="50"/>
      <c r="K261" s="50"/>
      <c r="L261" s="50"/>
      <c r="M261" s="50"/>
      <c r="N261" s="50"/>
      <c r="O261" s="51"/>
      <c r="P261" s="50"/>
      <c r="Q261" s="41" t="s">
        <v>158</v>
      </c>
      <c r="R261" s="50"/>
      <c r="S261" s="13"/>
      <c r="T261" s="50"/>
    </row>
    <row r="262" spans="1:28" s="504" customFormat="1" ht="12" customHeight="1" thickBot="1">
      <c r="A262" s="1082">
        <v>1</v>
      </c>
      <c r="B262" s="1083">
        <f ca="1">Elec_Est!B5566</f>
        <v>8</v>
      </c>
      <c r="C262" s="1084"/>
      <c r="D262" s="1085" t="s">
        <v>1372</v>
      </c>
      <c r="E262" s="1086"/>
      <c r="F262" s="1086"/>
      <c r="G262" s="876"/>
      <c r="H262" s="876"/>
      <c r="I262" s="1087"/>
      <c r="J262" s="876"/>
      <c r="K262" s="1084" t="s">
        <v>159</v>
      </c>
      <c r="L262" s="1088" t="s">
        <v>159</v>
      </c>
      <c r="M262" s="1088"/>
      <c r="N262" s="1088"/>
      <c r="O262" s="1088"/>
      <c r="P262" s="1088"/>
      <c r="Q262" s="1089">
        <f ca="1">B262/A262</f>
        <v>8</v>
      </c>
      <c r="R262" s="1090">
        <f ca="1">IF($B262=0,0,IF($S$1="R",ROUND(R268/$B262,2),R268/$B262))</f>
        <v>0.16</v>
      </c>
      <c r="S262" s="1091"/>
      <c r="T262" s="1090">
        <f ca="1">IF($B262=0,0,IF($S$1="R",ROUND(T268/$B262,2),T268/$B262))</f>
        <v>0.37</v>
      </c>
    </row>
    <row r="263" spans="1:28" s="504" customFormat="1" ht="13.8" thickTop="1">
      <c r="A263" s="872"/>
      <c r="B263" s="3"/>
      <c r="C263" s="3"/>
      <c r="D263" s="102" t="s">
        <v>160</v>
      </c>
      <c r="E263" s="3"/>
      <c r="F263" s="3"/>
      <c r="G263" s="3"/>
      <c r="H263" s="3"/>
      <c r="I263" s="3"/>
      <c r="J263" s="3"/>
      <c r="K263" s="3"/>
      <c r="L263" s="3"/>
      <c r="M263" s="3"/>
      <c r="N263" s="3"/>
      <c r="O263" s="103"/>
      <c r="P263" s="3"/>
      <c r="Q263" s="3"/>
      <c r="R263" s="3"/>
      <c r="S263" s="3"/>
      <c r="T263" s="3"/>
    </row>
    <row r="264" spans="1:28" s="1039" customFormat="1">
      <c r="A264" s="1296">
        <f ca="1">$Q$262 *(1)</f>
        <v>8</v>
      </c>
      <c r="B264" s="1039" t="s">
        <v>949</v>
      </c>
      <c r="D264" s="1039" t="s">
        <v>1365</v>
      </c>
      <c r="G264" s="1040" t="s">
        <v>1191</v>
      </c>
      <c r="H264" s="1041">
        <v>835</v>
      </c>
      <c r="I264" s="1039" t="s">
        <v>951</v>
      </c>
      <c r="O264" s="1042">
        <v>3</v>
      </c>
      <c r="P264" s="1043">
        <v>38187</v>
      </c>
      <c r="Q264" s="503">
        <v>0</v>
      </c>
      <c r="R264" s="1045">
        <f ca="1">$A264*Q264</f>
        <v>0</v>
      </c>
      <c r="S264" s="1044">
        <v>0.35</v>
      </c>
      <c r="T264" s="1046">
        <f ca="1">$A264*S264*$T$1</f>
        <v>2.94</v>
      </c>
    </row>
    <row r="265" spans="1:28" s="1039" customFormat="1">
      <c r="A265" s="1296">
        <f ca="1">$Q$262 *(4)</f>
        <v>32</v>
      </c>
      <c r="B265" s="1039" t="s">
        <v>949</v>
      </c>
      <c r="D265" s="1039" t="s">
        <v>965</v>
      </c>
      <c r="G265" s="1040" t="s">
        <v>966</v>
      </c>
      <c r="H265" s="1041">
        <v>875</v>
      </c>
      <c r="I265" s="1039" t="s">
        <v>951</v>
      </c>
      <c r="K265" s="1039" t="s">
        <v>967</v>
      </c>
      <c r="O265" s="1042">
        <v>1</v>
      </c>
      <c r="P265" s="1043">
        <v>34669</v>
      </c>
      <c r="Q265" s="1044">
        <v>0.02</v>
      </c>
      <c r="R265" s="1045">
        <f ca="1">$A265*Q265</f>
        <v>0.64</v>
      </c>
      <c r="S265" s="1044"/>
      <c r="T265" s="1046">
        <f ca="1">$A265*S265*$T$1</f>
        <v>0</v>
      </c>
    </row>
    <row r="266" spans="1:28" s="1039" customFormat="1">
      <c r="A266" s="1296">
        <f ca="1">$Q$262 *(4)</f>
        <v>32</v>
      </c>
      <c r="B266" s="1039" t="s">
        <v>949</v>
      </c>
      <c r="D266" s="1039" t="s">
        <v>968</v>
      </c>
      <c r="G266" s="1040" t="s">
        <v>969</v>
      </c>
      <c r="H266" s="1041">
        <v>875</v>
      </c>
      <c r="I266" s="1039" t="s">
        <v>951</v>
      </c>
      <c r="K266" s="1039" t="s">
        <v>970</v>
      </c>
      <c r="O266" s="1042">
        <v>1</v>
      </c>
      <c r="P266" s="1043">
        <v>34669</v>
      </c>
      <c r="Q266" s="1044">
        <v>0.02</v>
      </c>
      <c r="R266" s="1045">
        <f ca="1">$A266*Q266</f>
        <v>0.64</v>
      </c>
      <c r="S266" s="1044"/>
      <c r="T266" s="1046">
        <f ca="1">$A266*S266*$T$1</f>
        <v>0</v>
      </c>
    </row>
    <row r="267" spans="1:28" s="504" customFormat="1">
      <c r="A267" s="882"/>
      <c r="B267" s="3"/>
      <c r="C267" s="882" t="s">
        <v>161</v>
      </c>
      <c r="D267" s="3"/>
      <c r="E267" s="882"/>
      <c r="F267" s="877"/>
      <c r="G267" s="882"/>
      <c r="H267" s="882"/>
      <c r="I267" s="503"/>
      <c r="J267" s="882"/>
      <c r="K267" s="882"/>
      <c r="L267" s="882"/>
      <c r="M267" s="882"/>
      <c r="N267" s="882"/>
      <c r="O267" s="882"/>
      <c r="P267" s="882"/>
      <c r="Q267" s="503"/>
      <c r="R267" s="1072">
        <f>$A267*Q267</f>
        <v>0</v>
      </c>
      <c r="S267" s="503"/>
      <c r="T267" s="884">
        <f>$A267*S267*$T$1</f>
        <v>0</v>
      </c>
    </row>
    <row r="268" spans="1:28" s="504" customFormat="1" ht="12.6" thickBot="1">
      <c r="A268" s="885" t="s">
        <v>142</v>
      </c>
      <c r="B268" s="886">
        <f>(R267+T267)</f>
        <v>0</v>
      </c>
      <c r="C268" s="887"/>
      <c r="D268" s="1092" t="s">
        <v>162</v>
      </c>
      <c r="E268" s="461">
        <f ca="1">IF($B262=0,0,ROUND(ROUND(($R268*$S$2+($T268*$T$2))/$B262, 2)*$C$2,2))</f>
        <v>13.12</v>
      </c>
      <c r="F268" s="462">
        <f ca="1">ROUND($B262*$E268,2)</f>
        <v>104.96</v>
      </c>
      <c r="G268" s="887"/>
      <c r="H268" s="887"/>
      <c r="I268" s="889"/>
      <c r="J268" s="887"/>
      <c r="K268" s="1093" t="s">
        <v>140</v>
      </c>
      <c r="L268" s="890" t="s">
        <v>140</v>
      </c>
      <c r="M268" s="890"/>
      <c r="N268" s="890"/>
      <c r="O268" s="890"/>
      <c r="P268" s="890"/>
      <c r="Q268" s="1093"/>
      <c r="R268" s="1094">
        <f ca="1">SUM(R263:R267)</f>
        <v>1.28</v>
      </c>
      <c r="S268" s="1095"/>
      <c r="T268" s="1094">
        <f ca="1">SUM(T263:T267)</f>
        <v>2.94</v>
      </c>
      <c r="U268" s="514"/>
      <c r="V268" s="514"/>
      <c r="W268" s="514"/>
      <c r="X268" s="514"/>
      <c r="Y268" s="514"/>
      <c r="Z268" s="514"/>
      <c r="AA268" s="514"/>
      <c r="AB268" s="514"/>
    </row>
    <row r="269" spans="1:28" s="504" customFormat="1" ht="12" thickTop="1">
      <c r="A269" s="50"/>
      <c r="B269" s="50"/>
      <c r="C269" s="50"/>
      <c r="D269" s="50"/>
      <c r="E269" s="50"/>
      <c r="F269" s="50"/>
      <c r="G269" s="50"/>
      <c r="H269" s="50"/>
      <c r="I269" s="50"/>
      <c r="J269" s="50"/>
      <c r="K269" s="50"/>
      <c r="L269" s="50"/>
      <c r="M269" s="50"/>
      <c r="N269" s="50"/>
      <c r="O269" s="51"/>
      <c r="P269" s="50"/>
      <c r="Q269" s="41" t="s">
        <v>158</v>
      </c>
      <c r="R269" s="50"/>
      <c r="S269" s="13"/>
      <c r="T269" s="50"/>
    </row>
    <row r="270" spans="1:28" s="504" customFormat="1" ht="12" customHeight="1" thickBot="1">
      <c r="A270" s="1082">
        <v>1</v>
      </c>
      <c r="B270" s="1083">
        <f ca="1">Elec_Est!B5567</f>
        <v>40</v>
      </c>
      <c r="C270" s="1084"/>
      <c r="D270" s="1085" t="s">
        <v>1373</v>
      </c>
      <c r="E270" s="1086"/>
      <c r="F270" s="1086"/>
      <c r="G270" s="876"/>
      <c r="H270" s="876"/>
      <c r="I270" s="1087"/>
      <c r="J270" s="876"/>
      <c r="K270" s="1084" t="s">
        <v>159</v>
      </c>
      <c r="L270" s="1088" t="s">
        <v>159</v>
      </c>
      <c r="M270" s="1088"/>
      <c r="N270" s="1088"/>
      <c r="O270" s="1088"/>
      <c r="P270" s="1088"/>
      <c r="Q270" s="1089">
        <f ca="1">B270/A270</f>
        <v>40</v>
      </c>
      <c r="R270" s="1090">
        <f ca="1">IF($B270=0,0,IF($S$1="R",ROUND(R275/$B270,2),R275/$B270))</f>
        <v>1.1000000000000001</v>
      </c>
      <c r="S270" s="1091"/>
      <c r="T270" s="1090">
        <f ca="1">IF($B270=0,0,IF($S$1="R",ROUND(T275/$B270,2),T275/$B270))</f>
        <v>0.42</v>
      </c>
    </row>
    <row r="271" spans="1:28" s="504" customFormat="1" ht="13.8" thickTop="1">
      <c r="A271" s="872"/>
      <c r="B271" s="3"/>
      <c r="C271" s="3"/>
      <c r="D271" s="102" t="s">
        <v>160</v>
      </c>
      <c r="E271" s="3"/>
      <c r="F271" s="3"/>
      <c r="G271" s="3"/>
      <c r="H271" s="3"/>
      <c r="I271" s="3"/>
      <c r="J271" s="3"/>
      <c r="K271" s="3"/>
      <c r="L271" s="3"/>
      <c r="M271" s="3"/>
      <c r="N271" s="3"/>
      <c r="O271" s="103"/>
      <c r="P271" s="3"/>
      <c r="Q271" s="3"/>
      <c r="R271" s="3"/>
      <c r="S271" s="3"/>
      <c r="T271" s="3"/>
    </row>
    <row r="272" spans="1:28" s="1039" customFormat="1">
      <c r="A272" s="1296">
        <f ca="1">$Q$270 *(1)</f>
        <v>40</v>
      </c>
      <c r="B272" s="1039" t="s">
        <v>949</v>
      </c>
      <c r="D272" s="1039" t="s">
        <v>1201</v>
      </c>
      <c r="G272" s="1040" t="s">
        <v>1191</v>
      </c>
      <c r="H272" s="1041">
        <v>835</v>
      </c>
      <c r="I272" s="1039" t="s">
        <v>951</v>
      </c>
      <c r="O272" s="1042">
        <v>3</v>
      </c>
      <c r="P272" s="1043">
        <v>38187</v>
      </c>
      <c r="Q272" s="503">
        <v>0</v>
      </c>
      <c r="R272" s="1045">
        <f ca="1">$A272*Q272</f>
        <v>0</v>
      </c>
      <c r="S272" s="1044">
        <v>0.35</v>
      </c>
      <c r="T272" s="1046">
        <f ca="1">$A272*S272*$T$1</f>
        <v>14.700000000000001</v>
      </c>
    </row>
    <row r="273" spans="1:28" s="1039" customFormat="1">
      <c r="A273" s="1296">
        <f ca="1">$Q$270 *(1)</f>
        <v>40</v>
      </c>
      <c r="B273" s="1039" t="s">
        <v>326</v>
      </c>
      <c r="D273" s="1039" t="s">
        <v>1180</v>
      </c>
      <c r="G273" s="1040" t="s">
        <v>1167</v>
      </c>
      <c r="H273" s="1041">
        <v>615</v>
      </c>
      <c r="I273" s="1039" t="s">
        <v>991</v>
      </c>
      <c r="K273" s="1039" t="s">
        <v>1168</v>
      </c>
      <c r="O273" s="1042">
        <v>2</v>
      </c>
      <c r="P273" s="1043">
        <v>38988</v>
      </c>
      <c r="Q273" s="1044">
        <v>1.1000000000000001</v>
      </c>
      <c r="R273" s="1045">
        <f ca="1">$A273*Q273</f>
        <v>44</v>
      </c>
      <c r="S273" s="1044">
        <v>0.05</v>
      </c>
      <c r="T273" s="1046">
        <f ca="1">$A273*S273*$T$1</f>
        <v>2.1</v>
      </c>
    </row>
    <row r="274" spans="1:28" s="504" customFormat="1">
      <c r="A274" s="882"/>
      <c r="B274" s="3"/>
      <c r="C274" s="882" t="s">
        <v>161</v>
      </c>
      <c r="D274" s="3"/>
      <c r="E274" s="882"/>
      <c r="F274" s="877"/>
      <c r="G274" s="882"/>
      <c r="H274" s="882"/>
      <c r="I274" s="503"/>
      <c r="J274" s="882"/>
      <c r="K274" s="882"/>
      <c r="L274" s="882"/>
      <c r="M274" s="882"/>
      <c r="N274" s="882"/>
      <c r="O274" s="882"/>
      <c r="P274" s="882"/>
      <c r="Q274" s="503"/>
      <c r="R274" s="1072">
        <f>$A274*Q274</f>
        <v>0</v>
      </c>
      <c r="S274" s="503"/>
      <c r="T274" s="884">
        <f>$A274*S274*$T$1</f>
        <v>0</v>
      </c>
    </row>
    <row r="275" spans="1:28" s="504" customFormat="1" ht="12.6" thickBot="1">
      <c r="A275" s="885" t="s">
        <v>142</v>
      </c>
      <c r="B275" s="886">
        <f>(R274+T274)</f>
        <v>0</v>
      </c>
      <c r="C275" s="887"/>
      <c r="D275" s="1092" t="s">
        <v>162</v>
      </c>
      <c r="E275" s="461">
        <f ca="1">IF($B270=0,0,ROUND(ROUND(($R275*$S$2+($T275*$T$2))/$B270, 2)*$C$2,2))</f>
        <v>16.12</v>
      </c>
      <c r="F275" s="462">
        <f ca="1">ROUND($B270*$E275,2)</f>
        <v>644.79999999999995</v>
      </c>
      <c r="G275" s="887"/>
      <c r="H275" s="887"/>
      <c r="I275" s="889"/>
      <c r="J275" s="887"/>
      <c r="K275" s="1093" t="s">
        <v>140</v>
      </c>
      <c r="L275" s="890" t="s">
        <v>140</v>
      </c>
      <c r="M275" s="890"/>
      <c r="N275" s="890"/>
      <c r="O275" s="890"/>
      <c r="P275" s="890"/>
      <c r="Q275" s="1093"/>
      <c r="R275" s="1094">
        <f ca="1">SUM(R271:R274)</f>
        <v>44</v>
      </c>
      <c r="S275" s="1095"/>
      <c r="T275" s="1094">
        <f ca="1">SUM(T271:T274)</f>
        <v>16.8</v>
      </c>
      <c r="U275" s="514"/>
      <c r="V275" s="514"/>
      <c r="W275" s="514"/>
      <c r="X275" s="514"/>
      <c r="Y275" s="514"/>
      <c r="Z275" s="514"/>
      <c r="AA275" s="514"/>
      <c r="AB275" s="514"/>
    </row>
    <row r="276" spans="1:28" s="504" customFormat="1" ht="12" thickTop="1">
      <c r="A276" s="50"/>
      <c r="B276" s="50"/>
      <c r="C276" s="50"/>
      <c r="D276" s="50"/>
      <c r="E276" s="50"/>
      <c r="F276" s="50"/>
      <c r="G276" s="50"/>
      <c r="H276" s="50"/>
      <c r="I276" s="50"/>
      <c r="J276" s="50"/>
      <c r="K276" s="50"/>
      <c r="L276" s="50"/>
      <c r="M276" s="50"/>
      <c r="N276" s="50"/>
      <c r="O276" s="51"/>
      <c r="P276" s="50"/>
      <c r="Q276" s="41" t="s">
        <v>158</v>
      </c>
      <c r="R276" s="50"/>
      <c r="S276" s="13"/>
      <c r="T276" s="50"/>
    </row>
    <row r="277" spans="1:28" s="504" customFormat="1" ht="12" customHeight="1" thickBot="1">
      <c r="A277" s="1082">
        <v>1</v>
      </c>
      <c r="B277" s="1083">
        <f ca="1">Elec_Est!B5568</f>
        <v>7</v>
      </c>
      <c r="C277" s="1084"/>
      <c r="D277" s="1085" t="s">
        <v>1374</v>
      </c>
      <c r="E277" s="1086"/>
      <c r="F277" s="1086"/>
      <c r="G277" s="876"/>
      <c r="H277" s="876"/>
      <c r="I277" s="1087"/>
      <c r="J277" s="876"/>
      <c r="K277" s="1084" t="s">
        <v>159</v>
      </c>
      <c r="L277" s="1088" t="s">
        <v>159</v>
      </c>
      <c r="M277" s="1088"/>
      <c r="N277" s="1088"/>
      <c r="O277" s="1088"/>
      <c r="P277" s="1088"/>
      <c r="Q277" s="1089">
        <f ca="1">B277/A277</f>
        <v>7</v>
      </c>
      <c r="R277" s="1090">
        <f ca="1">IF($B277=0,0,IF($S$1="R",ROUND(R283/$B277,2),R283/$B277))</f>
        <v>0.08</v>
      </c>
      <c r="S277" s="1091"/>
      <c r="T277" s="1090">
        <f ca="1">IF($B277=0,0,IF($S$1="R",ROUND(T283/$B277,2),T283/$B277))</f>
        <v>0.32</v>
      </c>
    </row>
    <row r="278" spans="1:28" s="504" customFormat="1" ht="13.8" thickTop="1">
      <c r="A278" s="872"/>
      <c r="B278" s="3"/>
      <c r="C278" s="3"/>
      <c r="D278" s="102" t="s">
        <v>160</v>
      </c>
      <c r="E278" s="3"/>
      <c r="F278" s="3"/>
      <c r="G278" s="3"/>
      <c r="H278" s="3"/>
      <c r="I278" s="3"/>
      <c r="J278" s="3"/>
      <c r="K278" s="3"/>
      <c r="L278" s="3"/>
      <c r="M278" s="3"/>
      <c r="N278" s="3"/>
      <c r="O278" s="103"/>
      <c r="P278" s="3"/>
      <c r="Q278" s="3"/>
      <c r="R278" s="3"/>
      <c r="S278" s="3"/>
      <c r="T278" s="3"/>
    </row>
    <row r="279" spans="1:28" s="1039" customFormat="1">
      <c r="A279" s="1296">
        <f ca="1">$Q$277 *(1)</f>
        <v>7</v>
      </c>
      <c r="B279" s="1039" t="s">
        <v>949</v>
      </c>
      <c r="D279" s="1039" t="s">
        <v>1363</v>
      </c>
      <c r="G279" s="1040" t="s">
        <v>1191</v>
      </c>
      <c r="H279" s="1041">
        <v>835</v>
      </c>
      <c r="I279" s="1039" t="s">
        <v>951</v>
      </c>
      <c r="O279" s="1042">
        <v>3</v>
      </c>
      <c r="P279" s="1043">
        <v>38187</v>
      </c>
      <c r="Q279" s="503">
        <v>0</v>
      </c>
      <c r="R279" s="1045">
        <f ca="1">$A279*Q279</f>
        <v>0</v>
      </c>
      <c r="S279" s="1044">
        <v>0.3</v>
      </c>
      <c r="T279" s="1046">
        <f ca="1">$A279*S279*$T$1</f>
        <v>2.2050000000000001</v>
      </c>
    </row>
    <row r="280" spans="1:28" s="1039" customFormat="1">
      <c r="A280" s="1296">
        <f ca="1">$Q$277 *(2)</f>
        <v>14</v>
      </c>
      <c r="B280" s="1039" t="s">
        <v>949</v>
      </c>
      <c r="D280" s="1039" t="s">
        <v>965</v>
      </c>
      <c r="G280" s="1040" t="s">
        <v>966</v>
      </c>
      <c r="H280" s="1041">
        <v>875</v>
      </c>
      <c r="I280" s="1039" t="s">
        <v>951</v>
      </c>
      <c r="K280" s="1039" t="s">
        <v>967</v>
      </c>
      <c r="O280" s="1042">
        <v>1</v>
      </c>
      <c r="P280" s="1043">
        <v>34669</v>
      </c>
      <c r="Q280" s="1044">
        <v>0.02</v>
      </c>
      <c r="R280" s="1045">
        <f ca="1">$A280*Q280</f>
        <v>0.28000000000000003</v>
      </c>
      <c r="S280" s="1044"/>
      <c r="T280" s="1046">
        <f ca="1">$A280*S280*$T$1</f>
        <v>0</v>
      </c>
    </row>
    <row r="281" spans="1:28" s="1039" customFormat="1">
      <c r="A281" s="1296">
        <f ca="1">$Q$277 *(2)</f>
        <v>14</v>
      </c>
      <c r="B281" s="1039" t="s">
        <v>949</v>
      </c>
      <c r="D281" s="1039" t="s">
        <v>968</v>
      </c>
      <c r="G281" s="1040" t="s">
        <v>969</v>
      </c>
      <c r="H281" s="1041">
        <v>875</v>
      </c>
      <c r="I281" s="1039" t="s">
        <v>951</v>
      </c>
      <c r="K281" s="1039" t="s">
        <v>970</v>
      </c>
      <c r="O281" s="1042">
        <v>1</v>
      </c>
      <c r="P281" s="1043">
        <v>34669</v>
      </c>
      <c r="Q281" s="1044">
        <v>0.02</v>
      </c>
      <c r="R281" s="1045">
        <f ca="1">$A281*Q281</f>
        <v>0.28000000000000003</v>
      </c>
      <c r="S281" s="1044"/>
      <c r="T281" s="1046">
        <f ca="1">$A281*S281*$T$1</f>
        <v>0</v>
      </c>
    </row>
    <row r="282" spans="1:28" s="504" customFormat="1">
      <c r="A282" s="882"/>
      <c r="B282" s="3"/>
      <c r="C282" s="882" t="s">
        <v>161</v>
      </c>
      <c r="D282" s="3"/>
      <c r="E282" s="882"/>
      <c r="F282" s="877"/>
      <c r="G282" s="882"/>
      <c r="H282" s="882"/>
      <c r="I282" s="503"/>
      <c r="J282" s="882"/>
      <c r="K282" s="882"/>
      <c r="L282" s="882"/>
      <c r="M282" s="882"/>
      <c r="N282" s="882"/>
      <c r="O282" s="882"/>
      <c r="P282" s="882"/>
      <c r="Q282" s="503"/>
      <c r="R282" s="1072">
        <f>$A282*Q282</f>
        <v>0</v>
      </c>
      <c r="S282" s="503"/>
      <c r="T282" s="884">
        <f>$A282*S282*$T$1</f>
        <v>0</v>
      </c>
    </row>
    <row r="283" spans="1:28" s="504" customFormat="1" ht="12.6" thickBot="1">
      <c r="A283" s="885" t="s">
        <v>142</v>
      </c>
      <c r="B283" s="886">
        <f>(R282+T282)</f>
        <v>0</v>
      </c>
      <c r="C283" s="887"/>
      <c r="D283" s="1092" t="s">
        <v>162</v>
      </c>
      <c r="E283" s="461">
        <f ca="1">IF($B277=0,0,ROUND(ROUND(($R283*$S$2+($T283*$T$2))/$B277, 2)*$C$2,2))</f>
        <v>11.18</v>
      </c>
      <c r="F283" s="462">
        <f ca="1">ROUND($B277*$E283,2)</f>
        <v>78.260000000000005</v>
      </c>
      <c r="G283" s="887"/>
      <c r="H283" s="887"/>
      <c r="I283" s="889"/>
      <c r="J283" s="887"/>
      <c r="K283" s="1093" t="s">
        <v>140</v>
      </c>
      <c r="L283" s="890" t="s">
        <v>140</v>
      </c>
      <c r="M283" s="890"/>
      <c r="N283" s="890"/>
      <c r="O283" s="890"/>
      <c r="P283" s="890"/>
      <c r="Q283" s="1093"/>
      <c r="R283" s="1094">
        <f ca="1">SUM(R278:R282)</f>
        <v>0.56000000000000005</v>
      </c>
      <c r="S283" s="1095"/>
      <c r="T283" s="1094">
        <f ca="1">SUM(T278:T282)</f>
        <v>2.2050000000000001</v>
      </c>
      <c r="U283" s="514"/>
      <c r="V283" s="514"/>
      <c r="W283" s="514"/>
      <c r="X283" s="514"/>
      <c r="Y283" s="514"/>
      <c r="Z283" s="514"/>
      <c r="AA283" s="514"/>
      <c r="AB283" s="514"/>
    </row>
    <row r="284" spans="1:28" s="504" customFormat="1" ht="12" thickTop="1">
      <c r="A284" s="50"/>
      <c r="B284" s="50"/>
      <c r="C284" s="50"/>
      <c r="D284" s="50"/>
      <c r="E284" s="50"/>
      <c r="F284" s="50"/>
      <c r="G284" s="50"/>
      <c r="H284" s="50"/>
      <c r="I284" s="50"/>
      <c r="J284" s="50"/>
      <c r="K284" s="50"/>
      <c r="L284" s="50"/>
      <c r="M284" s="50"/>
      <c r="N284" s="50"/>
      <c r="O284" s="51"/>
      <c r="P284" s="50"/>
      <c r="Q284" s="41" t="s">
        <v>158</v>
      </c>
      <c r="R284" s="50"/>
      <c r="S284" s="13"/>
      <c r="T284" s="50"/>
    </row>
    <row r="285" spans="1:28" s="504" customFormat="1" ht="12" customHeight="1" thickBot="1">
      <c r="A285" s="1082">
        <v>1</v>
      </c>
      <c r="B285" s="1083">
        <f ca="1">Elec_Est!B5569</f>
        <v>19</v>
      </c>
      <c r="C285" s="1084"/>
      <c r="D285" s="1085" t="s">
        <v>1375</v>
      </c>
      <c r="E285" s="1086"/>
      <c r="F285" s="1086"/>
      <c r="G285" s="876"/>
      <c r="H285" s="876"/>
      <c r="I285" s="1087"/>
      <c r="J285" s="876"/>
      <c r="K285" s="1084" t="s">
        <v>159</v>
      </c>
      <c r="L285" s="1088" t="s">
        <v>159</v>
      </c>
      <c r="M285" s="1088"/>
      <c r="N285" s="1088"/>
      <c r="O285" s="1088"/>
      <c r="P285" s="1088"/>
      <c r="Q285" s="1089">
        <f ca="1">B285/A285</f>
        <v>19</v>
      </c>
      <c r="R285" s="1090">
        <f ca="1">IF($B285=0,0,IF($S$1="R",ROUND(R291/$B285,2),R291/$B285))</f>
        <v>0.08</v>
      </c>
      <c r="S285" s="1091"/>
      <c r="T285" s="1090">
        <f ca="1">IF($B285=0,0,IF($S$1="R",ROUND(T291/$B285,2),T291/$B285))</f>
        <v>0.32</v>
      </c>
    </row>
    <row r="286" spans="1:28" s="504" customFormat="1" ht="13.8" thickTop="1">
      <c r="A286" s="872"/>
      <c r="B286" s="3"/>
      <c r="C286" s="3"/>
      <c r="D286" s="102" t="s">
        <v>160</v>
      </c>
      <c r="E286" s="3"/>
      <c r="F286" s="3"/>
      <c r="G286" s="3"/>
      <c r="H286" s="3"/>
      <c r="I286" s="3"/>
      <c r="J286" s="3"/>
      <c r="K286" s="3"/>
      <c r="L286" s="3"/>
      <c r="M286" s="3"/>
      <c r="N286" s="3"/>
      <c r="O286" s="103"/>
      <c r="P286" s="3"/>
      <c r="Q286" s="3"/>
      <c r="R286" s="3"/>
      <c r="S286" s="3"/>
      <c r="T286" s="3"/>
    </row>
    <row r="287" spans="1:28" s="1039" customFormat="1">
      <c r="A287" s="1296">
        <f ca="1">$Q$285 *(1)</f>
        <v>19</v>
      </c>
      <c r="B287" s="1039" t="s">
        <v>949</v>
      </c>
      <c r="D287" s="1039" t="s">
        <v>1202</v>
      </c>
      <c r="G287" s="1040" t="s">
        <v>1191</v>
      </c>
      <c r="H287" s="1041">
        <v>835</v>
      </c>
      <c r="I287" s="1039" t="s">
        <v>951</v>
      </c>
      <c r="O287" s="1042">
        <v>3</v>
      </c>
      <c r="P287" s="1043">
        <v>38187</v>
      </c>
      <c r="Q287" s="503">
        <v>0</v>
      </c>
      <c r="R287" s="1045">
        <f ca="1">$A287*Q287</f>
        <v>0</v>
      </c>
      <c r="S287" s="1044">
        <v>0.3</v>
      </c>
      <c r="T287" s="1046">
        <f ca="1">$A287*S287*$T$1</f>
        <v>5.9850000000000003</v>
      </c>
    </row>
    <row r="288" spans="1:28" s="1039" customFormat="1">
      <c r="A288" s="1296">
        <f ca="1">$Q$285 *(2)</f>
        <v>38</v>
      </c>
      <c r="B288" s="1039" t="s">
        <v>949</v>
      </c>
      <c r="D288" s="1039" t="s">
        <v>965</v>
      </c>
      <c r="G288" s="1040" t="s">
        <v>966</v>
      </c>
      <c r="H288" s="1041">
        <v>875</v>
      </c>
      <c r="I288" s="1039" t="s">
        <v>951</v>
      </c>
      <c r="K288" s="1039" t="s">
        <v>967</v>
      </c>
      <c r="O288" s="1042">
        <v>1</v>
      </c>
      <c r="P288" s="1043">
        <v>34669</v>
      </c>
      <c r="Q288" s="1044">
        <v>0.02</v>
      </c>
      <c r="R288" s="1045">
        <f ca="1">$A288*Q288</f>
        <v>0.76</v>
      </c>
      <c r="S288" s="1044"/>
      <c r="T288" s="1046">
        <f ca="1">$A288*S288*$T$1</f>
        <v>0</v>
      </c>
    </row>
    <row r="289" spans="1:28" s="1039" customFormat="1">
      <c r="A289" s="1296">
        <f ca="1">$Q$285 *(2)</f>
        <v>38</v>
      </c>
      <c r="B289" s="1039" t="s">
        <v>949</v>
      </c>
      <c r="D289" s="1039" t="s">
        <v>968</v>
      </c>
      <c r="G289" s="1040" t="s">
        <v>969</v>
      </c>
      <c r="H289" s="1041">
        <v>875</v>
      </c>
      <c r="I289" s="1039" t="s">
        <v>951</v>
      </c>
      <c r="K289" s="1039" t="s">
        <v>970</v>
      </c>
      <c r="O289" s="1042">
        <v>1</v>
      </c>
      <c r="P289" s="1043">
        <v>34669</v>
      </c>
      <c r="Q289" s="1044">
        <v>0.02</v>
      </c>
      <c r="R289" s="1045">
        <f ca="1">$A289*Q289</f>
        <v>0.76</v>
      </c>
      <c r="S289" s="1044"/>
      <c r="T289" s="1046">
        <f ca="1">$A289*S289*$T$1</f>
        <v>0</v>
      </c>
    </row>
    <row r="290" spans="1:28" s="504" customFormat="1">
      <c r="A290" s="882"/>
      <c r="B290" s="3"/>
      <c r="C290" s="882" t="s">
        <v>161</v>
      </c>
      <c r="D290" s="3"/>
      <c r="E290" s="882"/>
      <c r="F290" s="877"/>
      <c r="G290" s="882"/>
      <c r="H290" s="882"/>
      <c r="I290" s="503"/>
      <c r="J290" s="882"/>
      <c r="K290" s="882"/>
      <c r="L290" s="882"/>
      <c r="M290" s="882"/>
      <c r="N290" s="882"/>
      <c r="O290" s="882"/>
      <c r="P290" s="882"/>
      <c r="Q290" s="503"/>
      <c r="R290" s="1072">
        <f>$A290*Q290</f>
        <v>0</v>
      </c>
      <c r="S290" s="503"/>
      <c r="T290" s="884">
        <f>$A290*S290*$T$1</f>
        <v>0</v>
      </c>
    </row>
    <row r="291" spans="1:28" s="504" customFormat="1" ht="12.6" thickBot="1">
      <c r="A291" s="885" t="s">
        <v>142</v>
      </c>
      <c r="B291" s="886">
        <f>(R290+T290)</f>
        <v>0</v>
      </c>
      <c r="C291" s="887"/>
      <c r="D291" s="1092" t="s">
        <v>162</v>
      </c>
      <c r="E291" s="461">
        <f ca="1">IF($B285=0,0,ROUND(ROUND(($R291*$S$2+($T291*$T$2))/$B285, 2)*$C$2,2))</f>
        <v>11.18</v>
      </c>
      <c r="F291" s="462">
        <f ca="1">ROUND($B285*$E291,2)</f>
        <v>212.42</v>
      </c>
      <c r="G291" s="887"/>
      <c r="H291" s="887"/>
      <c r="I291" s="889"/>
      <c r="J291" s="887"/>
      <c r="K291" s="1093" t="s">
        <v>140</v>
      </c>
      <c r="L291" s="890" t="s">
        <v>140</v>
      </c>
      <c r="M291" s="890"/>
      <c r="N291" s="890"/>
      <c r="O291" s="890"/>
      <c r="P291" s="890"/>
      <c r="Q291" s="1093"/>
      <c r="R291" s="1094">
        <f ca="1">SUM(R286:R290)</f>
        <v>1.52</v>
      </c>
      <c r="S291" s="1095"/>
      <c r="T291" s="1094">
        <f ca="1">SUM(T286:T290)</f>
        <v>5.9850000000000003</v>
      </c>
      <c r="U291" s="514"/>
      <c r="V291" s="514"/>
      <c r="W291" s="514"/>
      <c r="X291" s="514"/>
      <c r="Y291" s="514"/>
      <c r="Z291" s="514"/>
      <c r="AA291" s="514"/>
      <c r="AB291" s="514"/>
    </row>
    <row r="292" spans="1:28" s="504" customFormat="1" ht="12" thickTop="1">
      <c r="A292" s="50"/>
      <c r="B292" s="50"/>
      <c r="C292" s="50"/>
      <c r="D292" s="50"/>
      <c r="E292" s="50"/>
      <c r="F292" s="50"/>
      <c r="G292" s="50"/>
      <c r="H292" s="50"/>
      <c r="I292" s="50"/>
      <c r="J292" s="50"/>
      <c r="K292" s="50"/>
      <c r="L292" s="50"/>
      <c r="M292" s="50"/>
      <c r="N292" s="50"/>
      <c r="O292" s="51"/>
      <c r="P292" s="50"/>
      <c r="Q292" s="41" t="s">
        <v>158</v>
      </c>
      <c r="R292" s="50"/>
      <c r="S292" s="13"/>
      <c r="T292" s="50"/>
    </row>
    <row r="293" spans="1:28" s="504" customFormat="1" ht="12" customHeight="1" thickBot="1">
      <c r="A293" s="1082">
        <v>1</v>
      </c>
      <c r="B293" s="1083">
        <f ca="1">Elec_Est!B5570</f>
        <v>2</v>
      </c>
      <c r="C293" s="1084"/>
      <c r="D293" s="1085" t="s">
        <v>1376</v>
      </c>
      <c r="E293" s="1086"/>
      <c r="F293" s="1086"/>
      <c r="G293" s="876"/>
      <c r="H293" s="876"/>
      <c r="I293" s="1087"/>
      <c r="J293" s="876"/>
      <c r="K293" s="1084" t="s">
        <v>159</v>
      </c>
      <c r="L293" s="1088" t="s">
        <v>159</v>
      </c>
      <c r="M293" s="1088"/>
      <c r="N293" s="1088"/>
      <c r="O293" s="1088"/>
      <c r="P293" s="1088"/>
      <c r="Q293" s="1089">
        <f ca="1">B293/A293</f>
        <v>2</v>
      </c>
      <c r="R293" s="1090">
        <f ca="1">IF($B293=0,0,IF($S$1="R",ROUND(R299/$B293,2),R299/$B293))</f>
        <v>0.08</v>
      </c>
      <c r="S293" s="1091"/>
      <c r="T293" s="1090">
        <f ca="1">IF($B293=0,0,IF($S$1="R",ROUND(T299/$B293,2),T299/$B293))</f>
        <v>0.32</v>
      </c>
    </row>
    <row r="294" spans="1:28" s="504" customFormat="1" ht="13.8" thickTop="1">
      <c r="A294" s="872"/>
      <c r="B294" s="3"/>
      <c r="C294" s="3"/>
      <c r="D294" s="102" t="s">
        <v>160</v>
      </c>
      <c r="E294" s="3"/>
      <c r="F294" s="3"/>
      <c r="G294" s="3"/>
      <c r="H294" s="3"/>
      <c r="I294" s="3"/>
      <c r="J294" s="3"/>
      <c r="K294" s="3"/>
      <c r="L294" s="3"/>
      <c r="M294" s="3"/>
      <c r="N294" s="3"/>
      <c r="O294" s="103"/>
      <c r="P294" s="3"/>
      <c r="Q294" s="3"/>
      <c r="R294" s="3"/>
      <c r="S294" s="3"/>
      <c r="T294" s="3"/>
    </row>
    <row r="295" spans="1:28" s="1039" customFormat="1">
      <c r="A295" s="1296">
        <f ca="1">$Q$293 *(1)</f>
        <v>2</v>
      </c>
      <c r="B295" s="1039" t="s">
        <v>949</v>
      </c>
      <c r="D295" s="1039" t="s">
        <v>1203</v>
      </c>
      <c r="G295" s="1040" t="s">
        <v>1191</v>
      </c>
      <c r="H295" s="1041">
        <v>835</v>
      </c>
      <c r="I295" s="1039" t="s">
        <v>951</v>
      </c>
      <c r="O295" s="1042">
        <v>3</v>
      </c>
      <c r="P295" s="1043">
        <v>38187</v>
      </c>
      <c r="Q295" s="503">
        <v>0</v>
      </c>
      <c r="R295" s="1045">
        <f ca="1">$A295*Q295</f>
        <v>0</v>
      </c>
      <c r="S295" s="1044">
        <v>0.3</v>
      </c>
      <c r="T295" s="1046">
        <f ca="1">$A295*S295*$T$1</f>
        <v>0.63</v>
      </c>
    </row>
    <row r="296" spans="1:28" s="1039" customFormat="1">
      <c r="A296" s="1296">
        <f ca="1">$Q$293 *(2)</f>
        <v>4</v>
      </c>
      <c r="B296" s="1039" t="s">
        <v>949</v>
      </c>
      <c r="D296" s="1039" t="s">
        <v>965</v>
      </c>
      <c r="G296" s="1040" t="s">
        <v>966</v>
      </c>
      <c r="H296" s="1041">
        <v>875</v>
      </c>
      <c r="I296" s="1039" t="s">
        <v>951</v>
      </c>
      <c r="K296" s="1039" t="s">
        <v>967</v>
      </c>
      <c r="O296" s="1042">
        <v>1</v>
      </c>
      <c r="P296" s="1043">
        <v>34669</v>
      </c>
      <c r="Q296" s="1044">
        <v>0.02</v>
      </c>
      <c r="R296" s="1045">
        <f ca="1">$A296*Q296</f>
        <v>0.08</v>
      </c>
      <c r="S296" s="1044"/>
      <c r="T296" s="1046">
        <f ca="1">$A296*S296*$T$1</f>
        <v>0</v>
      </c>
    </row>
    <row r="297" spans="1:28" s="1039" customFormat="1">
      <c r="A297" s="1296">
        <f ca="1">$Q$293 *(2)</f>
        <v>4</v>
      </c>
      <c r="B297" s="1039" t="s">
        <v>949</v>
      </c>
      <c r="D297" s="1039" t="s">
        <v>968</v>
      </c>
      <c r="G297" s="1040" t="s">
        <v>969</v>
      </c>
      <c r="H297" s="1041">
        <v>875</v>
      </c>
      <c r="I297" s="1039" t="s">
        <v>951</v>
      </c>
      <c r="K297" s="1039" t="s">
        <v>970</v>
      </c>
      <c r="O297" s="1042">
        <v>1</v>
      </c>
      <c r="P297" s="1043">
        <v>34669</v>
      </c>
      <c r="Q297" s="1044">
        <v>0.02</v>
      </c>
      <c r="R297" s="1045">
        <f ca="1">$A297*Q297</f>
        <v>0.08</v>
      </c>
      <c r="S297" s="1044"/>
      <c r="T297" s="1046">
        <f ca="1">$A297*S297*$T$1</f>
        <v>0</v>
      </c>
    </row>
    <row r="298" spans="1:28" s="504" customFormat="1">
      <c r="A298" s="882"/>
      <c r="B298" s="3"/>
      <c r="C298" s="882" t="s">
        <v>161</v>
      </c>
      <c r="D298" s="3"/>
      <c r="E298" s="882"/>
      <c r="F298" s="877"/>
      <c r="G298" s="882"/>
      <c r="H298" s="882"/>
      <c r="I298" s="503"/>
      <c r="J298" s="882"/>
      <c r="K298" s="882"/>
      <c r="L298" s="882"/>
      <c r="M298" s="882"/>
      <c r="N298" s="882"/>
      <c r="O298" s="882"/>
      <c r="P298" s="882"/>
      <c r="Q298" s="503"/>
      <c r="R298" s="1072">
        <f>$A298*Q298</f>
        <v>0</v>
      </c>
      <c r="S298" s="503"/>
      <c r="T298" s="884">
        <f>$A298*S298*$T$1</f>
        <v>0</v>
      </c>
    </row>
    <row r="299" spans="1:28" s="504" customFormat="1" ht="12.6" thickBot="1">
      <c r="A299" s="885" t="s">
        <v>142</v>
      </c>
      <c r="B299" s="886">
        <f>(R298+T298)</f>
        <v>0</v>
      </c>
      <c r="C299" s="887"/>
      <c r="D299" s="1092" t="s">
        <v>162</v>
      </c>
      <c r="E299" s="461">
        <f ca="1">IF($B293=0,0,ROUND(ROUND(($R299*$S$2+($T299*$T$2))/$B293, 2)*$C$2,2))</f>
        <v>11.18</v>
      </c>
      <c r="F299" s="462">
        <f ca="1">ROUND($B293*$E299,2)</f>
        <v>22.36</v>
      </c>
      <c r="G299" s="887"/>
      <c r="H299" s="887"/>
      <c r="I299" s="889"/>
      <c r="J299" s="887"/>
      <c r="K299" s="1093" t="s">
        <v>140</v>
      </c>
      <c r="L299" s="890" t="s">
        <v>140</v>
      </c>
      <c r="M299" s="890"/>
      <c r="N299" s="890"/>
      <c r="O299" s="890"/>
      <c r="P299" s="890"/>
      <c r="Q299" s="1093"/>
      <c r="R299" s="1094">
        <f ca="1">SUM(R294:R298)</f>
        <v>0.16</v>
      </c>
      <c r="S299" s="1095"/>
      <c r="T299" s="1094">
        <f ca="1">SUM(T294:T298)</f>
        <v>0.63</v>
      </c>
      <c r="U299" s="514"/>
      <c r="V299" s="514"/>
      <c r="W299" s="514"/>
      <c r="X299" s="514"/>
      <c r="Y299" s="514"/>
      <c r="Z299" s="514"/>
      <c r="AA299" s="514"/>
      <c r="AB299" s="514"/>
    </row>
    <row r="300" spans="1:28" s="504" customFormat="1" ht="12" thickTop="1">
      <c r="A300" s="50"/>
      <c r="B300" s="50"/>
      <c r="C300" s="50"/>
      <c r="D300" s="50"/>
      <c r="E300" s="50"/>
      <c r="F300" s="50"/>
      <c r="G300" s="50"/>
      <c r="H300" s="50"/>
      <c r="I300" s="50"/>
      <c r="J300" s="50"/>
      <c r="K300" s="50"/>
      <c r="L300" s="50"/>
      <c r="M300" s="50"/>
      <c r="N300" s="50"/>
      <c r="O300" s="51"/>
      <c r="P300" s="50"/>
      <c r="Q300" s="41" t="s">
        <v>158</v>
      </c>
      <c r="R300" s="50"/>
      <c r="S300" s="13"/>
      <c r="T300" s="50"/>
    </row>
    <row r="301" spans="1:28" s="504" customFormat="1" ht="12" customHeight="1" thickBot="1">
      <c r="A301" s="1082">
        <v>1</v>
      </c>
      <c r="B301" s="1083">
        <f ca="1">Elec_Est!B5571</f>
        <v>3</v>
      </c>
      <c r="C301" s="1084"/>
      <c r="D301" s="1085" t="s">
        <v>1377</v>
      </c>
      <c r="E301" s="1086"/>
      <c r="F301" s="1086"/>
      <c r="G301" s="876"/>
      <c r="H301" s="876"/>
      <c r="I301" s="1087"/>
      <c r="J301" s="876"/>
      <c r="K301" s="1084" t="s">
        <v>159</v>
      </c>
      <c r="L301" s="1088" t="s">
        <v>159</v>
      </c>
      <c r="M301" s="1088"/>
      <c r="N301" s="1088"/>
      <c r="O301" s="1088"/>
      <c r="P301" s="1088"/>
      <c r="Q301" s="1089">
        <f ca="1">B301/A301</f>
        <v>3</v>
      </c>
      <c r="R301" s="1090">
        <f ca="1">IF($B301=0,0,IF($S$1="R",ROUND(R306/$B301,2),R306/$B301))</f>
        <v>0.47</v>
      </c>
      <c r="S301" s="1091"/>
      <c r="T301" s="1090">
        <f ca="1">IF($B301=0,0,IF($S$1="R",ROUND(T306/$B301,2),T306/$B301))</f>
        <v>1.05</v>
      </c>
    </row>
    <row r="302" spans="1:28" s="504" customFormat="1" ht="13.8" thickTop="1">
      <c r="A302" s="872"/>
      <c r="B302" s="3"/>
      <c r="C302" s="3"/>
      <c r="D302" s="102" t="s">
        <v>160</v>
      </c>
      <c r="E302" s="3"/>
      <c r="F302" s="3"/>
      <c r="G302" s="3"/>
      <c r="H302" s="3"/>
      <c r="I302" s="3"/>
      <c r="J302" s="3"/>
      <c r="K302" s="3"/>
      <c r="L302" s="3"/>
      <c r="M302" s="3"/>
      <c r="N302" s="3"/>
      <c r="O302" s="103"/>
      <c r="P302" s="3"/>
      <c r="Q302" s="3"/>
      <c r="R302" s="3"/>
      <c r="S302" s="3"/>
      <c r="T302" s="3"/>
    </row>
    <row r="303" spans="1:28" s="1039" customFormat="1">
      <c r="A303" s="1296">
        <f ca="1">$Q$301 *(1)</f>
        <v>3</v>
      </c>
      <c r="B303" s="1039" t="s">
        <v>949</v>
      </c>
      <c r="D303" s="1039" t="s">
        <v>1203</v>
      </c>
      <c r="G303" s="1040" t="s">
        <v>1191</v>
      </c>
      <c r="H303" s="1041">
        <v>835</v>
      </c>
      <c r="I303" s="1039" t="s">
        <v>951</v>
      </c>
      <c r="O303" s="1042">
        <v>3</v>
      </c>
      <c r="P303" s="1043">
        <v>38187</v>
      </c>
      <c r="Q303" s="503">
        <v>0</v>
      </c>
      <c r="R303" s="1045">
        <f ca="1">$A303*Q303</f>
        <v>0</v>
      </c>
      <c r="S303" s="1044">
        <v>1</v>
      </c>
      <c r="T303" s="1046">
        <f ca="1">$A303*S303*$T$1</f>
        <v>3.1500000000000004</v>
      </c>
    </row>
    <row r="304" spans="1:28" s="1039" customFormat="1">
      <c r="A304" s="1296">
        <f ca="1">$Q$301 *(1)</f>
        <v>3</v>
      </c>
      <c r="B304" s="1039" t="s">
        <v>949</v>
      </c>
      <c r="D304" s="1039" t="s">
        <v>1319</v>
      </c>
      <c r="G304" s="1040" t="s">
        <v>1320</v>
      </c>
      <c r="H304" s="1041">
        <v>875</v>
      </c>
      <c r="I304" s="1039" t="s">
        <v>951</v>
      </c>
      <c r="K304" s="1039" t="s">
        <v>1321</v>
      </c>
      <c r="O304" s="1042">
        <v>1</v>
      </c>
      <c r="P304" s="1043">
        <v>34669</v>
      </c>
      <c r="Q304" s="1044">
        <v>0.47</v>
      </c>
      <c r="R304" s="1045">
        <f ca="1">$A304*Q304</f>
        <v>1.41</v>
      </c>
      <c r="S304" s="1044"/>
      <c r="T304" s="1046">
        <f ca="1">$A304*S304*$T$1</f>
        <v>0</v>
      </c>
    </row>
    <row r="305" spans="1:28" s="504" customFormat="1">
      <c r="A305" s="882"/>
      <c r="B305" s="3"/>
      <c r="C305" s="882" t="s">
        <v>161</v>
      </c>
      <c r="D305" s="3"/>
      <c r="E305" s="882"/>
      <c r="F305" s="877"/>
      <c r="G305" s="882"/>
      <c r="H305" s="882"/>
      <c r="I305" s="503"/>
      <c r="J305" s="882"/>
      <c r="K305" s="882"/>
      <c r="L305" s="882"/>
      <c r="M305" s="882"/>
      <c r="N305" s="882"/>
      <c r="O305" s="882"/>
      <c r="P305" s="882"/>
      <c r="Q305" s="503"/>
      <c r="R305" s="1072">
        <f>$A305*Q305</f>
        <v>0</v>
      </c>
      <c r="S305" s="503"/>
      <c r="T305" s="884">
        <f>$A305*S305*$T$1</f>
        <v>0</v>
      </c>
    </row>
    <row r="306" spans="1:28" s="504" customFormat="1" ht="12.6" thickBot="1">
      <c r="A306" s="885" t="s">
        <v>142</v>
      </c>
      <c r="B306" s="886">
        <f>(R305+T305)</f>
        <v>0</v>
      </c>
      <c r="C306" s="887"/>
      <c r="D306" s="1092" t="s">
        <v>162</v>
      </c>
      <c r="E306" s="461">
        <f ca="1">IF($B301=0,0,ROUND(ROUND(($R306*$S$2+($T306*$T$2))/$B301, 2)*$C$2,2))</f>
        <v>37.51</v>
      </c>
      <c r="F306" s="462">
        <f ca="1">ROUND($B301*$E306,2)</f>
        <v>112.53</v>
      </c>
      <c r="G306" s="887"/>
      <c r="H306" s="887"/>
      <c r="I306" s="889"/>
      <c r="J306" s="887"/>
      <c r="K306" s="1093" t="s">
        <v>140</v>
      </c>
      <c r="L306" s="890" t="s">
        <v>140</v>
      </c>
      <c r="M306" s="890"/>
      <c r="N306" s="890"/>
      <c r="O306" s="890"/>
      <c r="P306" s="890"/>
      <c r="Q306" s="1093"/>
      <c r="R306" s="1094">
        <f ca="1">SUM(R302:R305)</f>
        <v>1.41</v>
      </c>
      <c r="S306" s="1095"/>
      <c r="T306" s="1094">
        <f ca="1">SUM(T302:T305)</f>
        <v>3.1500000000000004</v>
      </c>
      <c r="U306" s="514"/>
      <c r="V306" s="514"/>
      <c r="W306" s="514"/>
      <c r="X306" s="514"/>
      <c r="Y306" s="514"/>
      <c r="Z306" s="514"/>
      <c r="AA306" s="514"/>
      <c r="AB306" s="514"/>
    </row>
    <row r="307" spans="1:28" s="504" customFormat="1" ht="12" thickTop="1">
      <c r="A307" s="50"/>
      <c r="B307" s="50"/>
      <c r="C307" s="50"/>
      <c r="D307" s="50"/>
      <c r="E307" s="50"/>
      <c r="F307" s="50"/>
      <c r="G307" s="50"/>
      <c r="H307" s="50"/>
      <c r="I307" s="50"/>
      <c r="J307" s="50"/>
      <c r="K307" s="50"/>
      <c r="L307" s="50"/>
      <c r="M307" s="50"/>
      <c r="N307" s="50"/>
      <c r="O307" s="51"/>
      <c r="P307" s="50"/>
      <c r="Q307" s="41" t="s">
        <v>158</v>
      </c>
      <c r="R307" s="50"/>
      <c r="S307" s="13"/>
      <c r="T307" s="50"/>
    </row>
    <row r="308" spans="1:28" s="504" customFormat="1" ht="12" customHeight="1" thickBot="1">
      <c r="A308" s="1082">
        <v>1</v>
      </c>
      <c r="B308" s="1083">
        <f ca="1">Elec_Est!B5572</f>
        <v>10</v>
      </c>
      <c r="C308" s="1084"/>
      <c r="D308" s="1085" t="s">
        <v>1477</v>
      </c>
      <c r="E308" s="1086"/>
      <c r="F308" s="1086"/>
      <c r="G308" s="876"/>
      <c r="H308" s="876"/>
      <c r="I308" s="1087"/>
      <c r="J308" s="876"/>
      <c r="K308" s="1084" t="s">
        <v>159</v>
      </c>
      <c r="L308" s="1088" t="s">
        <v>159</v>
      </c>
      <c r="M308" s="1088"/>
      <c r="N308" s="1088"/>
      <c r="O308" s="1088"/>
      <c r="P308" s="1088"/>
      <c r="Q308" s="1089">
        <f ca="1">B308/A308</f>
        <v>10</v>
      </c>
      <c r="R308" s="1090">
        <f ca="1">IF($B308=0,0,IF($S$1="R",ROUND(R314/$B308,2),R314/$B308))</f>
        <v>0.08</v>
      </c>
      <c r="S308" s="1091"/>
      <c r="T308" s="1090">
        <f ca="1">IF($B308=0,0,IF($S$1="R",ROUND(T314/$B308,2),T314/$B308))</f>
        <v>0.32</v>
      </c>
    </row>
    <row r="309" spans="1:28" s="504" customFormat="1" ht="13.8" thickTop="1">
      <c r="A309" s="872"/>
      <c r="B309" s="3"/>
      <c r="C309" s="3"/>
      <c r="D309" s="102" t="s">
        <v>160</v>
      </c>
      <c r="E309" s="3"/>
      <c r="F309" s="3"/>
      <c r="G309" s="3"/>
      <c r="H309" s="3"/>
      <c r="I309" s="3"/>
      <c r="J309" s="3"/>
      <c r="K309" s="3"/>
      <c r="L309" s="3"/>
      <c r="M309" s="3"/>
      <c r="N309" s="3"/>
      <c r="O309" s="103"/>
      <c r="P309" s="3"/>
      <c r="Q309" s="3"/>
      <c r="R309" s="3"/>
      <c r="S309" s="3"/>
      <c r="T309" s="3"/>
    </row>
    <row r="310" spans="1:28" s="1039" customFormat="1">
      <c r="A310" s="1296">
        <f ca="1">$Q$308 *(1)</f>
        <v>10</v>
      </c>
      <c r="B310" s="1039" t="s">
        <v>949</v>
      </c>
      <c r="D310" s="1039" t="s">
        <v>1406</v>
      </c>
      <c r="G310" s="1040" t="s">
        <v>1191</v>
      </c>
      <c r="H310" s="1041">
        <v>835</v>
      </c>
      <c r="I310" s="1039" t="s">
        <v>951</v>
      </c>
      <c r="O310" s="1042">
        <v>3</v>
      </c>
      <c r="P310" s="1043">
        <v>38187</v>
      </c>
      <c r="Q310" s="503">
        <v>0</v>
      </c>
      <c r="R310" s="1045">
        <f ca="1">$A310*Q310</f>
        <v>0</v>
      </c>
      <c r="S310" s="1044">
        <v>0.3</v>
      </c>
      <c r="T310" s="1046">
        <f ca="1">$A310*S310*$T$1</f>
        <v>3.1500000000000004</v>
      </c>
    </row>
    <row r="311" spans="1:28" s="1039" customFormat="1">
      <c r="A311" s="1296">
        <f ca="1">$Q$308 *(2)</f>
        <v>20</v>
      </c>
      <c r="B311" s="1039" t="s">
        <v>949</v>
      </c>
      <c r="D311" s="1039" t="s">
        <v>965</v>
      </c>
      <c r="G311" s="1040" t="s">
        <v>966</v>
      </c>
      <c r="H311" s="1041">
        <v>875</v>
      </c>
      <c r="I311" s="1039" t="s">
        <v>951</v>
      </c>
      <c r="K311" s="1039" t="s">
        <v>967</v>
      </c>
      <c r="O311" s="1042">
        <v>1</v>
      </c>
      <c r="P311" s="1043">
        <v>34669</v>
      </c>
      <c r="Q311" s="1044">
        <v>0.02</v>
      </c>
      <c r="R311" s="1045">
        <f ca="1">$A311*Q311</f>
        <v>0.4</v>
      </c>
      <c r="S311" s="1044"/>
      <c r="T311" s="1046">
        <f ca="1">$A311*S311*$T$1</f>
        <v>0</v>
      </c>
    </row>
    <row r="312" spans="1:28" s="1039" customFormat="1">
      <c r="A312" s="1296">
        <f ca="1">$Q$308 *(2)</f>
        <v>20</v>
      </c>
      <c r="B312" s="1039" t="s">
        <v>949</v>
      </c>
      <c r="D312" s="1039" t="s">
        <v>968</v>
      </c>
      <c r="G312" s="1040" t="s">
        <v>969</v>
      </c>
      <c r="H312" s="1041">
        <v>875</v>
      </c>
      <c r="I312" s="1039" t="s">
        <v>951</v>
      </c>
      <c r="K312" s="1039" t="s">
        <v>970</v>
      </c>
      <c r="O312" s="1042">
        <v>1</v>
      </c>
      <c r="P312" s="1043">
        <v>34669</v>
      </c>
      <c r="Q312" s="1044">
        <v>0.02</v>
      </c>
      <c r="R312" s="1045">
        <f ca="1">$A312*Q312</f>
        <v>0.4</v>
      </c>
      <c r="S312" s="1044"/>
      <c r="T312" s="1046">
        <f ca="1">$A312*S312*$T$1</f>
        <v>0</v>
      </c>
    </row>
    <row r="313" spans="1:28" s="504" customFormat="1">
      <c r="A313" s="882"/>
      <c r="B313" s="3"/>
      <c r="C313" s="882" t="s">
        <v>161</v>
      </c>
      <c r="D313" s="3"/>
      <c r="E313" s="882"/>
      <c r="F313" s="877"/>
      <c r="G313" s="882"/>
      <c r="H313" s="882"/>
      <c r="I313" s="503"/>
      <c r="J313" s="882"/>
      <c r="K313" s="882"/>
      <c r="L313" s="882"/>
      <c r="M313" s="882"/>
      <c r="N313" s="882"/>
      <c r="O313" s="882"/>
      <c r="P313" s="882"/>
      <c r="Q313" s="503"/>
      <c r="R313" s="1072">
        <f>$A313*Q313</f>
        <v>0</v>
      </c>
      <c r="S313" s="503"/>
      <c r="T313" s="884">
        <f>$A313*S313*$T$1</f>
        <v>0</v>
      </c>
    </row>
    <row r="314" spans="1:28" s="504" customFormat="1" ht="12.6" thickBot="1">
      <c r="A314" s="885" t="s">
        <v>142</v>
      </c>
      <c r="B314" s="886">
        <f>(R313+T313)</f>
        <v>0</v>
      </c>
      <c r="C314" s="887"/>
      <c r="D314" s="1092" t="s">
        <v>162</v>
      </c>
      <c r="E314" s="461">
        <f ca="1">IF($B308=0,0,ROUND(ROUND(($R314*$S$2+($T314*$T$2))/$B308, 2)*$C$2,2))</f>
        <v>11.18</v>
      </c>
      <c r="F314" s="462">
        <f ca="1">ROUND($B308*$E314,2)</f>
        <v>111.8</v>
      </c>
      <c r="G314" s="887"/>
      <c r="H314" s="887"/>
      <c r="I314" s="889"/>
      <c r="J314" s="887"/>
      <c r="K314" s="1093" t="s">
        <v>140</v>
      </c>
      <c r="L314" s="890" t="s">
        <v>140</v>
      </c>
      <c r="M314" s="890"/>
      <c r="N314" s="890"/>
      <c r="O314" s="890"/>
      <c r="P314" s="890"/>
      <c r="Q314" s="1093"/>
      <c r="R314" s="1094">
        <f ca="1">SUM(R309:R313)</f>
        <v>0.8</v>
      </c>
      <c r="S314" s="1095"/>
      <c r="T314" s="1094">
        <f ca="1">SUM(T309:T313)</f>
        <v>3.1500000000000004</v>
      </c>
      <c r="U314" s="514"/>
      <c r="V314" s="514"/>
      <c r="W314" s="514"/>
      <c r="X314" s="514"/>
      <c r="Y314" s="514"/>
      <c r="Z314" s="514"/>
      <c r="AA314" s="514"/>
      <c r="AB314" s="514"/>
    </row>
    <row r="315" spans="1:28" s="504" customFormat="1" ht="12" thickTop="1">
      <c r="A315" s="50"/>
      <c r="B315" s="50"/>
      <c r="C315" s="50"/>
      <c r="D315" s="50"/>
      <c r="E315" s="50"/>
      <c r="F315" s="50"/>
      <c r="G315" s="50"/>
      <c r="H315" s="50"/>
      <c r="I315" s="50"/>
      <c r="J315" s="50"/>
      <c r="K315" s="50"/>
      <c r="L315" s="50"/>
      <c r="M315" s="50"/>
      <c r="N315" s="50"/>
      <c r="O315" s="51"/>
      <c r="P315" s="50"/>
      <c r="Q315" s="41" t="s">
        <v>158</v>
      </c>
      <c r="R315" s="50"/>
      <c r="S315" s="13"/>
      <c r="T315" s="50"/>
    </row>
    <row r="316" spans="1:28" s="504" customFormat="1" ht="12" customHeight="1" thickBot="1">
      <c r="A316" s="1082">
        <v>1</v>
      </c>
      <c r="B316" s="1083">
        <f ca="1">Elec_Est!B5573</f>
        <v>2</v>
      </c>
      <c r="C316" s="1084"/>
      <c r="D316" s="1085" t="s">
        <v>1478</v>
      </c>
      <c r="E316" s="1086"/>
      <c r="F316" s="1086"/>
      <c r="G316" s="876"/>
      <c r="H316" s="876"/>
      <c r="I316" s="1087"/>
      <c r="J316" s="876"/>
      <c r="K316" s="1084" t="s">
        <v>159</v>
      </c>
      <c r="L316" s="1088" t="s">
        <v>159</v>
      </c>
      <c r="M316" s="1088"/>
      <c r="N316" s="1088"/>
      <c r="O316" s="1088"/>
      <c r="P316" s="1088"/>
      <c r="Q316" s="1089">
        <f ca="1">B316/A316</f>
        <v>2</v>
      </c>
      <c r="R316" s="1090">
        <f ca="1">IF($B316=0,0,IF($S$1="R",ROUND(R320/$B316,2),R320/$B316))</f>
        <v>0</v>
      </c>
      <c r="S316" s="1091"/>
      <c r="T316" s="1090">
        <f ca="1">IF($B316=0,0,IF($S$1="R",ROUND(T320/$B316,2),T320/$B316))</f>
        <v>0.16</v>
      </c>
    </row>
    <row r="317" spans="1:28" s="504" customFormat="1" ht="13.8" thickTop="1">
      <c r="A317" s="872"/>
      <c r="B317" s="3"/>
      <c r="C317" s="3"/>
      <c r="D317" s="102" t="s">
        <v>160</v>
      </c>
      <c r="E317" s="3"/>
      <c r="F317" s="3"/>
      <c r="G317" s="3"/>
      <c r="H317" s="3"/>
      <c r="I317" s="3"/>
      <c r="J317" s="3"/>
      <c r="K317" s="3"/>
      <c r="L317" s="3"/>
      <c r="M317" s="3"/>
      <c r="N317" s="3"/>
      <c r="O317" s="103"/>
      <c r="P317" s="3"/>
      <c r="Q317" s="3"/>
      <c r="R317" s="3"/>
      <c r="S317" s="3"/>
      <c r="T317" s="3"/>
    </row>
    <row r="318" spans="1:28" s="1039" customFormat="1">
      <c r="A318" s="1296">
        <f ca="1">$Q$316 *(1)</f>
        <v>2</v>
      </c>
      <c r="B318" s="1039" t="s">
        <v>949</v>
      </c>
      <c r="D318" s="1039" t="s">
        <v>1204</v>
      </c>
      <c r="G318" s="1040" t="s">
        <v>1191</v>
      </c>
      <c r="H318" s="1041">
        <v>835</v>
      </c>
      <c r="I318" s="1039" t="s">
        <v>951</v>
      </c>
      <c r="O318" s="1042">
        <v>3</v>
      </c>
      <c r="P318" s="1043">
        <v>38187</v>
      </c>
      <c r="Q318" s="503">
        <v>0</v>
      </c>
      <c r="R318" s="1045">
        <f ca="1">$A318*Q318</f>
        <v>0</v>
      </c>
      <c r="S318" s="1044">
        <v>0.15</v>
      </c>
      <c r="T318" s="1046">
        <f ca="1">$A318*S318*$T$1</f>
        <v>0.315</v>
      </c>
    </row>
    <row r="319" spans="1:28" s="504" customFormat="1">
      <c r="A319" s="882"/>
      <c r="B319" s="3"/>
      <c r="C319" s="882" t="s">
        <v>161</v>
      </c>
      <c r="D319" s="3"/>
      <c r="E319" s="882"/>
      <c r="F319" s="877"/>
      <c r="G319" s="882"/>
      <c r="H319" s="882"/>
      <c r="I319" s="503"/>
      <c r="J319" s="882"/>
      <c r="K319" s="882"/>
      <c r="L319" s="882"/>
      <c r="M319" s="882"/>
      <c r="N319" s="882"/>
      <c r="O319" s="882"/>
      <c r="P319" s="882"/>
      <c r="Q319" s="503"/>
      <c r="R319" s="1072">
        <f>$A319*Q319</f>
        <v>0</v>
      </c>
      <c r="S319" s="503"/>
      <c r="T319" s="884">
        <f>$A319*S319*$T$1</f>
        <v>0</v>
      </c>
    </row>
    <row r="320" spans="1:28" s="504" customFormat="1" ht="12.6" thickBot="1">
      <c r="A320" s="885" t="s">
        <v>142</v>
      </c>
      <c r="B320" s="886">
        <f>(R319+T319)</f>
        <v>0</v>
      </c>
      <c r="C320" s="887"/>
      <c r="D320" s="1092" t="s">
        <v>162</v>
      </c>
      <c r="E320" s="461">
        <f ca="1">IF($B316=0,0,ROUND(ROUND(($R320*$S$2+($T320*$T$2))/$B316, 2)*$C$2,2))</f>
        <v>5.54</v>
      </c>
      <c r="F320" s="462">
        <f ca="1">ROUND($B316*$E320,2)</f>
        <v>11.08</v>
      </c>
      <c r="G320" s="887"/>
      <c r="H320" s="887"/>
      <c r="I320" s="889"/>
      <c r="J320" s="887"/>
      <c r="K320" s="1093" t="s">
        <v>140</v>
      </c>
      <c r="L320" s="890" t="s">
        <v>140</v>
      </c>
      <c r="M320" s="890"/>
      <c r="N320" s="890"/>
      <c r="O320" s="890"/>
      <c r="P320" s="890"/>
      <c r="Q320" s="1093"/>
      <c r="R320" s="1094">
        <f ca="1">SUM(R317:R319)</f>
        <v>0</v>
      </c>
      <c r="S320" s="1095"/>
      <c r="T320" s="1094">
        <f ca="1">SUM(T317:T319)</f>
        <v>0.315</v>
      </c>
      <c r="U320" s="514"/>
      <c r="V320" s="514"/>
      <c r="W320" s="514"/>
      <c r="X320" s="514"/>
      <c r="Y320" s="514"/>
      <c r="Z320" s="514"/>
      <c r="AA320" s="514"/>
      <c r="AB320" s="514"/>
    </row>
    <row r="321" spans="1:28" s="504" customFormat="1" ht="12" thickTop="1">
      <c r="A321" s="50"/>
      <c r="B321" s="50"/>
      <c r="C321" s="50"/>
      <c r="D321" s="50"/>
      <c r="E321" s="50"/>
      <c r="F321" s="50"/>
      <c r="G321" s="50"/>
      <c r="H321" s="50"/>
      <c r="I321" s="50"/>
      <c r="J321" s="50"/>
      <c r="K321" s="50"/>
      <c r="L321" s="50"/>
      <c r="M321" s="50"/>
      <c r="N321" s="50"/>
      <c r="O321" s="51"/>
      <c r="P321" s="50"/>
      <c r="Q321" s="41" t="s">
        <v>158</v>
      </c>
      <c r="R321" s="50"/>
      <c r="S321" s="13"/>
      <c r="T321" s="50"/>
    </row>
    <row r="322" spans="1:28" s="504" customFormat="1" ht="12" customHeight="1" thickBot="1">
      <c r="A322" s="1082">
        <v>1</v>
      </c>
      <c r="B322" s="1083">
        <f ca="1">Elec_Est!B5574</f>
        <v>19</v>
      </c>
      <c r="C322" s="1084"/>
      <c r="D322" s="1085" t="s">
        <v>1479</v>
      </c>
      <c r="E322" s="1086"/>
      <c r="F322" s="1086"/>
      <c r="G322" s="876"/>
      <c r="H322" s="876"/>
      <c r="I322" s="1087"/>
      <c r="J322" s="876"/>
      <c r="K322" s="1084" t="s">
        <v>159</v>
      </c>
      <c r="L322" s="1088" t="s">
        <v>159</v>
      </c>
      <c r="M322" s="1088"/>
      <c r="N322" s="1088"/>
      <c r="O322" s="1088"/>
      <c r="P322" s="1088"/>
      <c r="Q322" s="1089">
        <f ca="1">B322/A322</f>
        <v>19</v>
      </c>
      <c r="R322" s="1090">
        <f ca="1">IF($B322=0,0,IF($S$1="R",ROUND(R328/$B322,2),R328/$B322))</f>
        <v>0.08</v>
      </c>
      <c r="S322" s="1091"/>
      <c r="T322" s="1090">
        <f ca="1">IF($B322=0,0,IF($S$1="R",ROUND(T328/$B322,2),T328/$B322))</f>
        <v>0.32</v>
      </c>
    </row>
    <row r="323" spans="1:28" s="504" customFormat="1" ht="13.8" thickTop="1">
      <c r="A323" s="872"/>
      <c r="B323" s="3"/>
      <c r="C323" s="3"/>
      <c r="D323" s="102" t="s">
        <v>160</v>
      </c>
      <c r="E323" s="3"/>
      <c r="F323" s="3"/>
      <c r="G323" s="3"/>
      <c r="H323" s="3"/>
      <c r="I323" s="3"/>
      <c r="J323" s="3"/>
      <c r="K323" s="3"/>
      <c r="L323" s="3"/>
      <c r="M323" s="3"/>
      <c r="N323" s="3"/>
      <c r="O323" s="103"/>
      <c r="P323" s="3"/>
      <c r="Q323" s="3"/>
      <c r="R323" s="3"/>
      <c r="S323" s="3"/>
      <c r="T323" s="3"/>
    </row>
    <row r="324" spans="1:28" s="1039" customFormat="1">
      <c r="A324" s="1296">
        <f ca="1">$Q$322 *(1)</f>
        <v>19</v>
      </c>
      <c r="B324" s="1039" t="s">
        <v>949</v>
      </c>
      <c r="D324" s="1039" t="s">
        <v>1205</v>
      </c>
      <c r="G324" s="1040" t="s">
        <v>1191</v>
      </c>
      <c r="H324" s="1041">
        <v>835</v>
      </c>
      <c r="I324" s="1039" t="s">
        <v>951</v>
      </c>
      <c r="O324" s="1042">
        <v>3</v>
      </c>
      <c r="P324" s="1043">
        <v>38187</v>
      </c>
      <c r="Q324" s="503">
        <v>0</v>
      </c>
      <c r="R324" s="1045">
        <f ca="1">$A324*Q324</f>
        <v>0</v>
      </c>
      <c r="S324" s="1044">
        <v>0.3</v>
      </c>
      <c r="T324" s="1046">
        <f ca="1">$A324*S324*$T$1</f>
        <v>5.9850000000000003</v>
      </c>
    </row>
    <row r="325" spans="1:28" s="1039" customFormat="1">
      <c r="A325" s="1296">
        <f ca="1">$Q$322 *(2)</f>
        <v>38</v>
      </c>
      <c r="B325" s="1039" t="s">
        <v>949</v>
      </c>
      <c r="D325" s="1039" t="s">
        <v>965</v>
      </c>
      <c r="G325" s="1040" t="s">
        <v>966</v>
      </c>
      <c r="H325" s="1041">
        <v>875</v>
      </c>
      <c r="I325" s="1039" t="s">
        <v>951</v>
      </c>
      <c r="K325" s="1039" t="s">
        <v>967</v>
      </c>
      <c r="O325" s="1042">
        <v>1</v>
      </c>
      <c r="P325" s="1043">
        <v>34669</v>
      </c>
      <c r="Q325" s="1044">
        <v>0.02</v>
      </c>
      <c r="R325" s="1045">
        <f ca="1">$A325*Q325</f>
        <v>0.76</v>
      </c>
      <c r="S325" s="1044"/>
      <c r="T325" s="1046">
        <f ca="1">$A325*S325*$T$1</f>
        <v>0</v>
      </c>
    </row>
    <row r="326" spans="1:28" s="1039" customFormat="1">
      <c r="A326" s="1296">
        <f ca="1">$Q$322 *(2)</f>
        <v>38</v>
      </c>
      <c r="B326" s="1039" t="s">
        <v>949</v>
      </c>
      <c r="D326" s="1039" t="s">
        <v>968</v>
      </c>
      <c r="G326" s="1040" t="s">
        <v>969</v>
      </c>
      <c r="H326" s="1041">
        <v>875</v>
      </c>
      <c r="I326" s="1039" t="s">
        <v>951</v>
      </c>
      <c r="K326" s="1039" t="s">
        <v>970</v>
      </c>
      <c r="O326" s="1042">
        <v>1</v>
      </c>
      <c r="P326" s="1043">
        <v>34669</v>
      </c>
      <c r="Q326" s="1044">
        <v>0.02</v>
      </c>
      <c r="R326" s="1045">
        <f ca="1">$A326*Q326</f>
        <v>0.76</v>
      </c>
      <c r="S326" s="1044"/>
      <c r="T326" s="1046">
        <f ca="1">$A326*S326*$T$1</f>
        <v>0</v>
      </c>
    </row>
    <row r="327" spans="1:28" s="504" customFormat="1">
      <c r="A327" s="882"/>
      <c r="B327" s="3"/>
      <c r="C327" s="882" t="s">
        <v>161</v>
      </c>
      <c r="D327" s="3"/>
      <c r="E327" s="882"/>
      <c r="F327" s="877"/>
      <c r="G327" s="882"/>
      <c r="H327" s="882"/>
      <c r="I327" s="503"/>
      <c r="J327" s="882"/>
      <c r="K327" s="882"/>
      <c r="L327" s="882"/>
      <c r="M327" s="882"/>
      <c r="N327" s="882"/>
      <c r="O327" s="882"/>
      <c r="P327" s="882"/>
      <c r="Q327" s="503"/>
      <c r="R327" s="1072">
        <f>$A327*Q327</f>
        <v>0</v>
      </c>
      <c r="S327" s="503"/>
      <c r="T327" s="884">
        <f>$A327*S327*$T$1</f>
        <v>0</v>
      </c>
    </row>
    <row r="328" spans="1:28" s="504" customFormat="1" ht="12.6" thickBot="1">
      <c r="A328" s="885" t="s">
        <v>142</v>
      </c>
      <c r="B328" s="886">
        <f>(R327+T327)</f>
        <v>0</v>
      </c>
      <c r="C328" s="887"/>
      <c r="D328" s="1092" t="s">
        <v>162</v>
      </c>
      <c r="E328" s="461">
        <f ca="1">IF($B322=0,0,ROUND(ROUND(($R328*$S$2+($T328*$T$2))/$B322, 2)*$C$2,2))</f>
        <v>11.18</v>
      </c>
      <c r="F328" s="462">
        <f ca="1">ROUND($B322*$E328,2)</f>
        <v>212.42</v>
      </c>
      <c r="G328" s="887"/>
      <c r="H328" s="887"/>
      <c r="I328" s="889"/>
      <c r="J328" s="887"/>
      <c r="K328" s="1093" t="s">
        <v>140</v>
      </c>
      <c r="L328" s="890" t="s">
        <v>140</v>
      </c>
      <c r="M328" s="890"/>
      <c r="N328" s="890"/>
      <c r="O328" s="890"/>
      <c r="P328" s="890"/>
      <c r="Q328" s="1093"/>
      <c r="R328" s="1094">
        <f ca="1">SUM(R323:R327)</f>
        <v>1.52</v>
      </c>
      <c r="S328" s="1095"/>
      <c r="T328" s="1094">
        <f ca="1">SUM(T323:T327)</f>
        <v>5.9850000000000003</v>
      </c>
      <c r="U328" s="514"/>
      <c r="V328" s="514"/>
      <c r="W328" s="514"/>
      <c r="X328" s="514"/>
      <c r="Y328" s="514"/>
      <c r="Z328" s="514"/>
      <c r="AA328" s="514"/>
      <c r="AB328" s="514"/>
    </row>
    <row r="329" spans="1:28" s="504" customFormat="1" ht="12" thickTop="1">
      <c r="A329" s="50"/>
      <c r="B329" s="50"/>
      <c r="C329" s="50"/>
      <c r="D329" s="50"/>
      <c r="E329" s="50"/>
      <c r="F329" s="50"/>
      <c r="G329" s="50"/>
      <c r="H329" s="50"/>
      <c r="I329" s="50"/>
      <c r="J329" s="50"/>
      <c r="K329" s="50"/>
      <c r="L329" s="50"/>
      <c r="M329" s="50"/>
      <c r="N329" s="50"/>
      <c r="O329" s="51"/>
      <c r="P329" s="50"/>
      <c r="Q329" s="41" t="s">
        <v>158</v>
      </c>
      <c r="R329" s="50"/>
      <c r="S329" s="13"/>
      <c r="T329" s="50"/>
    </row>
    <row r="330" spans="1:28" s="504" customFormat="1" ht="12" customHeight="1" thickBot="1">
      <c r="A330" s="1082">
        <v>1</v>
      </c>
      <c r="B330" s="1083">
        <f ca="1">Elec_Est!B5575</f>
        <v>28</v>
      </c>
      <c r="C330" s="1084"/>
      <c r="D330" s="1085" t="s">
        <v>1480</v>
      </c>
      <c r="E330" s="1086"/>
      <c r="F330" s="1086"/>
      <c r="G330" s="876"/>
      <c r="H330" s="876"/>
      <c r="I330" s="1087"/>
      <c r="J330" s="876"/>
      <c r="K330" s="1084" t="s">
        <v>159</v>
      </c>
      <c r="L330" s="1088" t="s">
        <v>159</v>
      </c>
      <c r="M330" s="1088"/>
      <c r="N330" s="1088"/>
      <c r="O330" s="1088"/>
      <c r="P330" s="1088"/>
      <c r="Q330" s="1089">
        <f ca="1">B330/A330</f>
        <v>28</v>
      </c>
      <c r="R330" s="1090">
        <f ca="1">IF($B330=0,0,IF($S$1="R",ROUND(R336/$B330,2),R336/$B330))</f>
        <v>0.08</v>
      </c>
      <c r="S330" s="1091"/>
      <c r="T330" s="1090">
        <f ca="1">IF($B330=0,0,IF($S$1="R",ROUND(T336/$B330,2),T336/$B330))</f>
        <v>0.32</v>
      </c>
    </row>
    <row r="331" spans="1:28" s="504" customFormat="1" ht="13.8" thickTop="1">
      <c r="A331" s="872"/>
      <c r="B331" s="3"/>
      <c r="C331" s="3"/>
      <c r="D331" s="102" t="s">
        <v>160</v>
      </c>
      <c r="E331" s="3"/>
      <c r="F331" s="3"/>
      <c r="G331" s="3"/>
      <c r="H331" s="3"/>
      <c r="I331" s="3"/>
      <c r="J331" s="3"/>
      <c r="K331" s="3"/>
      <c r="L331" s="3"/>
      <c r="M331" s="3"/>
      <c r="N331" s="3"/>
      <c r="O331" s="103"/>
      <c r="P331" s="3"/>
      <c r="Q331" s="3"/>
      <c r="R331" s="3"/>
      <c r="S331" s="3"/>
      <c r="T331" s="3"/>
    </row>
    <row r="332" spans="1:28" s="1039" customFormat="1">
      <c r="A332" s="1296">
        <f ca="1">$Q$330 *(1)</f>
        <v>28</v>
      </c>
      <c r="B332" s="1039" t="s">
        <v>949</v>
      </c>
      <c r="D332" s="1039" t="s">
        <v>1323</v>
      </c>
      <c r="G332" s="1040" t="s">
        <v>1191</v>
      </c>
      <c r="H332" s="1041">
        <v>835</v>
      </c>
      <c r="I332" s="1039" t="s">
        <v>951</v>
      </c>
      <c r="O332" s="1042">
        <v>3</v>
      </c>
      <c r="P332" s="1043">
        <v>38187</v>
      </c>
      <c r="Q332" s="503">
        <v>0</v>
      </c>
      <c r="R332" s="1045">
        <f ca="1">$A332*Q332</f>
        <v>0</v>
      </c>
      <c r="S332" s="1044">
        <v>0.3</v>
      </c>
      <c r="T332" s="1046">
        <f ca="1">$A332*S332*$T$1</f>
        <v>8.82</v>
      </c>
    </row>
    <row r="333" spans="1:28" s="1039" customFormat="1">
      <c r="A333" s="1296">
        <f ca="1">$Q$330 *(2)</f>
        <v>56</v>
      </c>
      <c r="B333" s="1039" t="s">
        <v>949</v>
      </c>
      <c r="D333" s="1039" t="s">
        <v>965</v>
      </c>
      <c r="G333" s="1040" t="s">
        <v>966</v>
      </c>
      <c r="H333" s="1041">
        <v>875</v>
      </c>
      <c r="I333" s="1039" t="s">
        <v>951</v>
      </c>
      <c r="K333" s="1039" t="s">
        <v>967</v>
      </c>
      <c r="O333" s="1042">
        <v>1</v>
      </c>
      <c r="P333" s="1043">
        <v>34669</v>
      </c>
      <c r="Q333" s="1044">
        <v>0.02</v>
      </c>
      <c r="R333" s="1045">
        <f ca="1">$A333*Q333</f>
        <v>1.1200000000000001</v>
      </c>
      <c r="S333" s="1044"/>
      <c r="T333" s="1046">
        <f ca="1">$A333*S333*$T$1</f>
        <v>0</v>
      </c>
    </row>
    <row r="334" spans="1:28" s="1039" customFormat="1">
      <c r="A334" s="1296">
        <f ca="1">$Q$330 *(2)</f>
        <v>56</v>
      </c>
      <c r="B334" s="1039" t="s">
        <v>949</v>
      </c>
      <c r="D334" s="1039" t="s">
        <v>968</v>
      </c>
      <c r="G334" s="1040" t="s">
        <v>969</v>
      </c>
      <c r="H334" s="1041">
        <v>875</v>
      </c>
      <c r="I334" s="1039" t="s">
        <v>951</v>
      </c>
      <c r="K334" s="1039" t="s">
        <v>970</v>
      </c>
      <c r="O334" s="1042">
        <v>1</v>
      </c>
      <c r="P334" s="1043">
        <v>34669</v>
      </c>
      <c r="Q334" s="1044">
        <v>0.02</v>
      </c>
      <c r="R334" s="1045">
        <f ca="1">$A334*Q334</f>
        <v>1.1200000000000001</v>
      </c>
      <c r="S334" s="1044"/>
      <c r="T334" s="1046">
        <f ca="1">$A334*S334*$T$1</f>
        <v>0</v>
      </c>
    </row>
    <row r="335" spans="1:28" s="504" customFormat="1">
      <c r="A335" s="882"/>
      <c r="B335" s="3"/>
      <c r="C335" s="882" t="s">
        <v>161</v>
      </c>
      <c r="D335" s="3"/>
      <c r="E335" s="882"/>
      <c r="F335" s="877"/>
      <c r="G335" s="882"/>
      <c r="H335" s="882"/>
      <c r="I335" s="503"/>
      <c r="J335" s="882"/>
      <c r="K335" s="882"/>
      <c r="L335" s="882"/>
      <c r="M335" s="882"/>
      <c r="N335" s="882"/>
      <c r="O335" s="882"/>
      <c r="P335" s="882"/>
      <c r="Q335" s="503"/>
      <c r="R335" s="1072">
        <f>$A335*Q335</f>
        <v>0</v>
      </c>
      <c r="S335" s="503"/>
      <c r="T335" s="884">
        <f>$A335*S335*$T$1</f>
        <v>0</v>
      </c>
    </row>
    <row r="336" spans="1:28" s="504" customFormat="1" ht="12.6" thickBot="1">
      <c r="A336" s="885" t="s">
        <v>142</v>
      </c>
      <c r="B336" s="886">
        <f>(R335+T335)</f>
        <v>0</v>
      </c>
      <c r="C336" s="887"/>
      <c r="D336" s="1092" t="s">
        <v>162</v>
      </c>
      <c r="E336" s="461">
        <f ca="1">IF($B330=0,0,ROUND(ROUND(($R336*$S$2+($T336*$T$2))/$B330, 2)*$C$2,2))</f>
        <v>11.18</v>
      </c>
      <c r="F336" s="462">
        <f ca="1">ROUND($B330*$E336,2)</f>
        <v>313.04000000000002</v>
      </c>
      <c r="G336" s="887"/>
      <c r="H336" s="887"/>
      <c r="I336" s="889"/>
      <c r="J336" s="887"/>
      <c r="K336" s="1093" t="s">
        <v>140</v>
      </c>
      <c r="L336" s="890" t="s">
        <v>140</v>
      </c>
      <c r="M336" s="890"/>
      <c r="N336" s="890"/>
      <c r="O336" s="890"/>
      <c r="P336" s="890"/>
      <c r="Q336" s="1093"/>
      <c r="R336" s="1094">
        <f ca="1">SUM(R331:R335)</f>
        <v>2.2400000000000002</v>
      </c>
      <c r="S336" s="1095"/>
      <c r="T336" s="1094">
        <f ca="1">SUM(T331:T335)</f>
        <v>8.82</v>
      </c>
      <c r="U336" s="514"/>
      <c r="V336" s="514"/>
      <c r="W336" s="514"/>
      <c r="X336" s="514"/>
      <c r="Y336" s="514"/>
      <c r="Z336" s="514"/>
      <c r="AA336" s="514"/>
      <c r="AB336" s="514"/>
    </row>
    <row r="337" spans="1:28" s="504" customFormat="1" ht="12" thickTop="1">
      <c r="A337" s="50"/>
      <c r="B337" s="50"/>
      <c r="C337" s="50"/>
      <c r="D337" s="50"/>
      <c r="E337" s="50"/>
      <c r="F337" s="50"/>
      <c r="G337" s="50"/>
      <c r="H337" s="50"/>
      <c r="I337" s="50"/>
      <c r="J337" s="50"/>
      <c r="K337" s="50"/>
      <c r="L337" s="50"/>
      <c r="M337" s="50"/>
      <c r="N337" s="50"/>
      <c r="O337" s="51"/>
      <c r="P337" s="50"/>
      <c r="Q337" s="41" t="s">
        <v>158</v>
      </c>
      <c r="R337" s="50"/>
      <c r="S337" s="13"/>
      <c r="T337" s="50"/>
    </row>
    <row r="338" spans="1:28" s="504" customFormat="1" ht="12" customHeight="1" thickBot="1">
      <c r="A338" s="1082">
        <v>1</v>
      </c>
      <c r="B338" s="1083">
        <f ca="1">Elec_Est!B5576</f>
        <v>1</v>
      </c>
      <c r="C338" s="1084"/>
      <c r="D338" s="1085" t="s">
        <v>1481</v>
      </c>
      <c r="E338" s="1086"/>
      <c r="F338" s="1086"/>
      <c r="G338" s="876"/>
      <c r="H338" s="876"/>
      <c r="I338" s="1087"/>
      <c r="J338" s="876"/>
      <c r="K338" s="1084" t="s">
        <v>159</v>
      </c>
      <c r="L338" s="1088" t="s">
        <v>159</v>
      </c>
      <c r="M338" s="1088"/>
      <c r="N338" s="1088"/>
      <c r="O338" s="1088"/>
      <c r="P338" s="1088"/>
      <c r="Q338" s="1089">
        <f ca="1">B338/A338</f>
        <v>1</v>
      </c>
      <c r="R338" s="1090">
        <f ca="1">IF($B338=0,0,IF($S$1="R",ROUND(R343/$B338,2),R343/$B338))</f>
        <v>0.47</v>
      </c>
      <c r="S338" s="1091"/>
      <c r="T338" s="1090">
        <f ca="1">IF($B338=0,0,IF($S$1="R",ROUND(T343/$B338,2),T343/$B338))</f>
        <v>1.05</v>
      </c>
    </row>
    <row r="339" spans="1:28" s="504" customFormat="1" ht="13.8" thickTop="1">
      <c r="A339" s="872"/>
      <c r="B339" s="3"/>
      <c r="C339" s="3"/>
      <c r="D339" s="102" t="s">
        <v>160</v>
      </c>
      <c r="E339" s="3"/>
      <c r="F339" s="3"/>
      <c r="G339" s="3"/>
      <c r="H339" s="3"/>
      <c r="I339" s="3"/>
      <c r="J339" s="3"/>
      <c r="K339" s="3"/>
      <c r="L339" s="3"/>
      <c r="M339" s="3"/>
      <c r="N339" s="3"/>
      <c r="O339" s="103"/>
      <c r="P339" s="3"/>
      <c r="Q339" s="3"/>
      <c r="R339" s="3"/>
      <c r="S339" s="3"/>
      <c r="T339" s="3"/>
    </row>
    <row r="340" spans="1:28" s="1039" customFormat="1">
      <c r="A340" s="1296">
        <f ca="1">$Q$338 *(1)</f>
        <v>1</v>
      </c>
      <c r="B340" s="1039" t="s">
        <v>949</v>
      </c>
      <c r="D340" s="1039" t="s">
        <v>1322</v>
      </c>
      <c r="G340" s="1040" t="s">
        <v>1191</v>
      </c>
      <c r="H340" s="1041">
        <v>835</v>
      </c>
      <c r="I340" s="1039" t="s">
        <v>951</v>
      </c>
      <c r="O340" s="1042">
        <v>3</v>
      </c>
      <c r="P340" s="1043">
        <v>38187</v>
      </c>
      <c r="Q340" s="503">
        <v>0</v>
      </c>
      <c r="R340" s="1045">
        <f ca="1">$A340*Q340</f>
        <v>0</v>
      </c>
      <c r="S340" s="1044">
        <v>1</v>
      </c>
      <c r="T340" s="1046">
        <f ca="1">$A340*S340*$T$1</f>
        <v>1.05</v>
      </c>
    </row>
    <row r="341" spans="1:28" s="1039" customFormat="1">
      <c r="A341" s="1296">
        <f ca="1">$Q$338 *(1)</f>
        <v>1</v>
      </c>
      <c r="B341" s="1039" t="s">
        <v>949</v>
      </c>
      <c r="D341" s="1039" t="s">
        <v>1319</v>
      </c>
      <c r="G341" s="1040" t="s">
        <v>1320</v>
      </c>
      <c r="H341" s="1041">
        <v>875</v>
      </c>
      <c r="I341" s="1039" t="s">
        <v>951</v>
      </c>
      <c r="K341" s="1039" t="s">
        <v>1321</v>
      </c>
      <c r="O341" s="1042">
        <v>1</v>
      </c>
      <c r="P341" s="1043">
        <v>34669</v>
      </c>
      <c r="Q341" s="1044">
        <v>0.47</v>
      </c>
      <c r="R341" s="1045">
        <f ca="1">$A341*Q341</f>
        <v>0.47</v>
      </c>
      <c r="S341" s="1044"/>
      <c r="T341" s="1046">
        <f ca="1">$A341*S341*$T$1</f>
        <v>0</v>
      </c>
    </row>
    <row r="342" spans="1:28" s="504" customFormat="1">
      <c r="A342" s="882"/>
      <c r="B342" s="3"/>
      <c r="C342" s="882" t="s">
        <v>161</v>
      </c>
      <c r="D342" s="3"/>
      <c r="E342" s="882"/>
      <c r="F342" s="877"/>
      <c r="G342" s="882"/>
      <c r="H342" s="882"/>
      <c r="I342" s="503"/>
      <c r="J342" s="882"/>
      <c r="K342" s="882"/>
      <c r="L342" s="882"/>
      <c r="M342" s="882"/>
      <c r="N342" s="882"/>
      <c r="O342" s="882"/>
      <c r="P342" s="882"/>
      <c r="Q342" s="503"/>
      <c r="R342" s="1072">
        <f>$A342*Q342</f>
        <v>0</v>
      </c>
      <c r="S342" s="503"/>
      <c r="T342" s="884">
        <f>$A342*S342*$T$1</f>
        <v>0</v>
      </c>
    </row>
    <row r="343" spans="1:28" s="504" customFormat="1" ht="12.6" thickBot="1">
      <c r="A343" s="885" t="s">
        <v>142</v>
      </c>
      <c r="B343" s="886">
        <f>(R342+T342)</f>
        <v>0</v>
      </c>
      <c r="C343" s="887"/>
      <c r="D343" s="1092" t="s">
        <v>162</v>
      </c>
      <c r="E343" s="461">
        <f ca="1">IF($B338=0,0,ROUND(ROUND(($R343*$S$2+($T343*$T$2))/$B338, 2)*$C$2,2))</f>
        <v>37.51</v>
      </c>
      <c r="F343" s="462">
        <f ca="1">ROUND($B338*$E343,2)</f>
        <v>37.51</v>
      </c>
      <c r="G343" s="887"/>
      <c r="H343" s="887"/>
      <c r="I343" s="889"/>
      <c r="J343" s="887"/>
      <c r="K343" s="1093" t="s">
        <v>140</v>
      </c>
      <c r="L343" s="890" t="s">
        <v>140</v>
      </c>
      <c r="M343" s="890"/>
      <c r="N343" s="890"/>
      <c r="O343" s="890"/>
      <c r="P343" s="890"/>
      <c r="Q343" s="1093"/>
      <c r="R343" s="1094">
        <f ca="1">SUM(R339:R342)</f>
        <v>0.47</v>
      </c>
      <c r="S343" s="1095"/>
      <c r="T343" s="1094">
        <f ca="1">SUM(T339:T342)</f>
        <v>1.05</v>
      </c>
      <c r="U343" s="514"/>
      <c r="V343" s="514"/>
      <c r="W343" s="514"/>
      <c r="X343" s="514"/>
      <c r="Y343" s="514"/>
      <c r="Z343" s="514"/>
      <c r="AA343" s="514"/>
      <c r="AB343" s="514"/>
    </row>
    <row r="344" spans="1:28" s="504" customFormat="1" ht="12" thickTop="1">
      <c r="A344" s="50"/>
      <c r="B344" s="50"/>
      <c r="C344" s="50"/>
      <c r="D344" s="50"/>
      <c r="E344" s="50"/>
      <c r="F344" s="50"/>
      <c r="G344" s="50"/>
      <c r="H344" s="50"/>
      <c r="I344" s="50"/>
      <c r="J344" s="50"/>
      <c r="K344" s="50"/>
      <c r="L344" s="50"/>
      <c r="M344" s="50"/>
      <c r="N344" s="50"/>
      <c r="O344" s="51"/>
      <c r="P344" s="50"/>
      <c r="Q344" s="41" t="s">
        <v>158</v>
      </c>
      <c r="R344" s="50"/>
      <c r="S344" s="13"/>
      <c r="T344" s="50"/>
    </row>
    <row r="345" spans="1:28" s="504" customFormat="1" ht="12" customHeight="1" thickBot="1">
      <c r="A345" s="1082">
        <v>1</v>
      </c>
      <c r="B345" s="1083">
        <f ca="1">Elec_Est!B5577</f>
        <v>6</v>
      </c>
      <c r="C345" s="1084"/>
      <c r="D345" s="1085" t="s">
        <v>1482</v>
      </c>
      <c r="E345" s="1086"/>
      <c r="F345" s="1086"/>
      <c r="G345" s="876"/>
      <c r="H345" s="876"/>
      <c r="I345" s="1087"/>
      <c r="J345" s="876"/>
      <c r="K345" s="1084" t="s">
        <v>159</v>
      </c>
      <c r="L345" s="1088" t="s">
        <v>159</v>
      </c>
      <c r="M345" s="1088"/>
      <c r="N345" s="1088"/>
      <c r="O345" s="1088"/>
      <c r="P345" s="1088"/>
      <c r="Q345" s="1089">
        <f ca="1">B345/A345</f>
        <v>6</v>
      </c>
      <c r="R345" s="1090">
        <f ca="1">IF($B345=0,0,IF($S$1="R",ROUND(R351/$B345,2),R351/$B345))</f>
        <v>0.08</v>
      </c>
      <c r="S345" s="1091"/>
      <c r="T345" s="1090">
        <f ca="1">IF($B345=0,0,IF($S$1="R",ROUND(T351/$B345,2),T351/$B345))</f>
        <v>0.53</v>
      </c>
    </row>
    <row r="346" spans="1:28" s="504" customFormat="1" ht="13.8" thickTop="1">
      <c r="A346" s="872"/>
      <c r="B346" s="3"/>
      <c r="C346" s="3"/>
      <c r="D346" s="102" t="s">
        <v>160</v>
      </c>
      <c r="E346" s="3"/>
      <c r="F346" s="3"/>
      <c r="G346" s="3"/>
      <c r="H346" s="3"/>
      <c r="I346" s="3"/>
      <c r="J346" s="3"/>
      <c r="K346" s="3"/>
      <c r="L346" s="3"/>
      <c r="M346" s="3"/>
      <c r="N346" s="3"/>
      <c r="O346" s="103"/>
      <c r="P346" s="3"/>
      <c r="Q346" s="3"/>
      <c r="R346" s="3"/>
      <c r="S346" s="3"/>
      <c r="T346" s="3"/>
    </row>
    <row r="347" spans="1:28" s="1039" customFormat="1">
      <c r="A347" s="1296">
        <f ca="1">$Q$345 *(1)</f>
        <v>6</v>
      </c>
      <c r="B347" s="1039" t="s">
        <v>949</v>
      </c>
      <c r="D347" s="1039" t="s">
        <v>1364</v>
      </c>
      <c r="G347" s="1040" t="s">
        <v>1191</v>
      </c>
      <c r="H347" s="1041">
        <v>835</v>
      </c>
      <c r="I347" s="1039" t="s">
        <v>951</v>
      </c>
      <c r="O347" s="1042">
        <v>3</v>
      </c>
      <c r="P347" s="1043">
        <v>38187</v>
      </c>
      <c r="Q347" s="503">
        <v>0</v>
      </c>
      <c r="R347" s="1045">
        <f ca="1">$A347*Q347</f>
        <v>0</v>
      </c>
      <c r="S347" s="1044">
        <v>0.5</v>
      </c>
      <c r="T347" s="1046">
        <f ca="1">$A347*S347*$T$1</f>
        <v>3.1500000000000004</v>
      </c>
    </row>
    <row r="348" spans="1:28" s="1039" customFormat="1">
      <c r="A348" s="1296">
        <f ca="1">$Q$345 *(2)</f>
        <v>12</v>
      </c>
      <c r="B348" s="1039" t="s">
        <v>949</v>
      </c>
      <c r="D348" s="1039" t="s">
        <v>965</v>
      </c>
      <c r="G348" s="1040" t="s">
        <v>966</v>
      </c>
      <c r="H348" s="1041">
        <v>875</v>
      </c>
      <c r="I348" s="1039" t="s">
        <v>951</v>
      </c>
      <c r="K348" s="1039" t="s">
        <v>967</v>
      </c>
      <c r="O348" s="1042">
        <v>1</v>
      </c>
      <c r="P348" s="1043">
        <v>34669</v>
      </c>
      <c r="Q348" s="1044">
        <v>0.02</v>
      </c>
      <c r="R348" s="1045">
        <f ca="1">$A348*Q348</f>
        <v>0.24</v>
      </c>
      <c r="S348" s="1044"/>
      <c r="T348" s="1046">
        <f ca="1">$A348*S348*$T$1</f>
        <v>0</v>
      </c>
    </row>
    <row r="349" spans="1:28" s="1039" customFormat="1">
      <c r="A349" s="1296">
        <f ca="1">$Q$345 *(2)</f>
        <v>12</v>
      </c>
      <c r="B349" s="1039" t="s">
        <v>949</v>
      </c>
      <c r="D349" s="1039" t="s">
        <v>968</v>
      </c>
      <c r="G349" s="1040" t="s">
        <v>969</v>
      </c>
      <c r="H349" s="1041">
        <v>875</v>
      </c>
      <c r="I349" s="1039" t="s">
        <v>951</v>
      </c>
      <c r="K349" s="1039" t="s">
        <v>970</v>
      </c>
      <c r="O349" s="1042">
        <v>1</v>
      </c>
      <c r="P349" s="1043">
        <v>34669</v>
      </c>
      <c r="Q349" s="1044">
        <v>0.02</v>
      </c>
      <c r="R349" s="1045">
        <f ca="1">$A349*Q349</f>
        <v>0.24</v>
      </c>
      <c r="S349" s="1044"/>
      <c r="T349" s="1046">
        <f ca="1">$A349*S349*$T$1</f>
        <v>0</v>
      </c>
    </row>
    <row r="350" spans="1:28" s="504" customFormat="1">
      <c r="A350" s="882"/>
      <c r="B350" s="3"/>
      <c r="C350" s="882" t="s">
        <v>161</v>
      </c>
      <c r="D350" s="3"/>
      <c r="E350" s="882"/>
      <c r="F350" s="877"/>
      <c r="G350" s="882"/>
      <c r="H350" s="882"/>
      <c r="I350" s="503"/>
      <c r="J350" s="882"/>
      <c r="K350" s="882"/>
      <c r="L350" s="882"/>
      <c r="M350" s="882"/>
      <c r="N350" s="882"/>
      <c r="O350" s="882"/>
      <c r="P350" s="882"/>
      <c r="Q350" s="503"/>
      <c r="R350" s="1072">
        <f>$A350*Q350</f>
        <v>0</v>
      </c>
      <c r="S350" s="503"/>
      <c r="T350" s="884">
        <f>$A350*S350*$T$1</f>
        <v>0</v>
      </c>
    </row>
    <row r="351" spans="1:28" s="504" customFormat="1" ht="12.6" thickBot="1">
      <c r="A351" s="885" t="s">
        <v>142</v>
      </c>
      <c r="B351" s="886">
        <f>(R350+T350)</f>
        <v>0</v>
      </c>
      <c r="C351" s="887"/>
      <c r="D351" s="1092" t="s">
        <v>162</v>
      </c>
      <c r="E351" s="461">
        <f ca="1">IF($B345=0,0,ROUND(ROUND(($R351*$S$2+($T351*$T$2))/$B345, 2)*$C$2,2))</f>
        <v>18.57</v>
      </c>
      <c r="F351" s="462">
        <f ca="1">ROUND($B345*$E351,2)</f>
        <v>111.42</v>
      </c>
      <c r="G351" s="887"/>
      <c r="H351" s="887"/>
      <c r="I351" s="889"/>
      <c r="J351" s="887"/>
      <c r="K351" s="1093" t="s">
        <v>140</v>
      </c>
      <c r="L351" s="890" t="s">
        <v>140</v>
      </c>
      <c r="M351" s="890"/>
      <c r="N351" s="890"/>
      <c r="O351" s="890"/>
      <c r="P351" s="890"/>
      <c r="Q351" s="1093"/>
      <c r="R351" s="1094">
        <f ca="1">SUM(R346:R350)</f>
        <v>0.48</v>
      </c>
      <c r="S351" s="1095"/>
      <c r="T351" s="1094">
        <f ca="1">SUM(T346:T350)</f>
        <v>3.1500000000000004</v>
      </c>
      <c r="U351" s="514"/>
      <c r="V351" s="514"/>
      <c r="W351" s="514"/>
      <c r="X351" s="514"/>
      <c r="Y351" s="514"/>
      <c r="Z351" s="514"/>
      <c r="AA351" s="514"/>
      <c r="AB351" s="514"/>
    </row>
    <row r="352" spans="1:28" s="504" customFormat="1" ht="12" thickTop="1">
      <c r="A352" s="50"/>
      <c r="B352" s="50"/>
      <c r="C352" s="50"/>
      <c r="D352" s="50"/>
      <c r="E352" s="50"/>
      <c r="F352" s="50"/>
      <c r="G352" s="50"/>
      <c r="H352" s="50"/>
      <c r="I352" s="50"/>
      <c r="J352" s="50"/>
      <c r="K352" s="50"/>
      <c r="L352" s="50"/>
      <c r="M352" s="50"/>
      <c r="N352" s="50"/>
      <c r="O352" s="51"/>
      <c r="P352" s="50"/>
      <c r="Q352" s="41" t="s">
        <v>158</v>
      </c>
      <c r="R352" s="50"/>
      <c r="S352" s="13"/>
      <c r="T352" s="50"/>
    </row>
    <row r="353" spans="1:28" s="504" customFormat="1" ht="12" customHeight="1" thickBot="1">
      <c r="A353" s="1082">
        <v>1</v>
      </c>
      <c r="B353" s="1083">
        <f ca="1">Elec_Est!B5578</f>
        <v>23</v>
      </c>
      <c r="C353" s="1084"/>
      <c r="D353" s="1085" t="s">
        <v>1483</v>
      </c>
      <c r="E353" s="1086"/>
      <c r="F353" s="1086"/>
      <c r="G353" s="876"/>
      <c r="H353" s="876"/>
      <c r="I353" s="1087"/>
      <c r="J353" s="876"/>
      <c r="K353" s="1084" t="s">
        <v>159</v>
      </c>
      <c r="L353" s="1088" t="s">
        <v>159</v>
      </c>
      <c r="M353" s="1088"/>
      <c r="N353" s="1088"/>
      <c r="O353" s="1088"/>
      <c r="P353" s="1088"/>
      <c r="Q353" s="1089">
        <f ca="1">B353/A353</f>
        <v>23</v>
      </c>
      <c r="R353" s="1090">
        <f ca="1">IF($B353=0,0,IF($S$1="R",ROUND(R359/$B353,2),R359/$B353))</f>
        <v>0.08</v>
      </c>
      <c r="S353" s="1091"/>
      <c r="T353" s="1090">
        <f ca="1">IF($B353=0,0,IF($S$1="R",ROUND(T359/$B353,2),T359/$B353))</f>
        <v>0.32</v>
      </c>
    </row>
    <row r="354" spans="1:28" s="504" customFormat="1" ht="13.8" thickTop="1">
      <c r="A354" s="872"/>
      <c r="B354" s="3"/>
      <c r="C354" s="3"/>
      <c r="D354" s="102" t="s">
        <v>160</v>
      </c>
      <c r="E354" s="3"/>
      <c r="F354" s="3"/>
      <c r="G354" s="3"/>
      <c r="H354" s="3"/>
      <c r="I354" s="3"/>
      <c r="J354" s="3"/>
      <c r="K354" s="3"/>
      <c r="L354" s="3"/>
      <c r="M354" s="3"/>
      <c r="N354" s="3"/>
      <c r="O354" s="103"/>
      <c r="P354" s="3"/>
      <c r="Q354" s="3"/>
      <c r="R354" s="3"/>
      <c r="S354" s="3"/>
      <c r="T354" s="3"/>
    </row>
    <row r="355" spans="1:28" s="1039" customFormat="1">
      <c r="A355" s="1296">
        <f ca="1">$Q$353 *(1)</f>
        <v>23</v>
      </c>
      <c r="B355" s="1039" t="s">
        <v>949</v>
      </c>
      <c r="D355" s="1039" t="s">
        <v>1307</v>
      </c>
      <c r="G355" s="1040" t="s">
        <v>1191</v>
      </c>
      <c r="H355" s="1041">
        <v>835</v>
      </c>
      <c r="I355" s="1039" t="s">
        <v>951</v>
      </c>
      <c r="O355" s="1042">
        <v>3</v>
      </c>
      <c r="P355" s="1043">
        <v>38187</v>
      </c>
      <c r="Q355" s="503">
        <v>0</v>
      </c>
      <c r="R355" s="1045">
        <f ca="1">$A355*Q355</f>
        <v>0</v>
      </c>
      <c r="S355" s="1044">
        <v>0.3</v>
      </c>
      <c r="T355" s="1046">
        <f ca="1">$A355*S355*$T$1</f>
        <v>7.2450000000000001</v>
      </c>
    </row>
    <row r="356" spans="1:28" s="1039" customFormat="1">
      <c r="A356" s="1296">
        <f ca="1">$Q$353 *(2)</f>
        <v>46</v>
      </c>
      <c r="B356" s="1039" t="s">
        <v>949</v>
      </c>
      <c r="D356" s="1039" t="s">
        <v>965</v>
      </c>
      <c r="G356" s="1040" t="s">
        <v>966</v>
      </c>
      <c r="H356" s="1041">
        <v>875</v>
      </c>
      <c r="I356" s="1039" t="s">
        <v>951</v>
      </c>
      <c r="K356" s="1039" t="s">
        <v>967</v>
      </c>
      <c r="O356" s="1042">
        <v>1</v>
      </c>
      <c r="P356" s="1043">
        <v>34669</v>
      </c>
      <c r="Q356" s="1044">
        <v>0.02</v>
      </c>
      <c r="R356" s="1045">
        <f ca="1">$A356*Q356</f>
        <v>0.92</v>
      </c>
      <c r="S356" s="1044"/>
      <c r="T356" s="1046">
        <f ca="1">$A356*S356*$T$1</f>
        <v>0</v>
      </c>
    </row>
    <row r="357" spans="1:28" s="1039" customFormat="1">
      <c r="A357" s="1296">
        <f ca="1">$Q$353 *(2)</f>
        <v>46</v>
      </c>
      <c r="B357" s="1039" t="s">
        <v>949</v>
      </c>
      <c r="D357" s="1039" t="s">
        <v>968</v>
      </c>
      <c r="G357" s="1040" t="s">
        <v>969</v>
      </c>
      <c r="H357" s="1041">
        <v>875</v>
      </c>
      <c r="I357" s="1039" t="s">
        <v>951</v>
      </c>
      <c r="K357" s="1039" t="s">
        <v>970</v>
      </c>
      <c r="O357" s="1042">
        <v>1</v>
      </c>
      <c r="P357" s="1043">
        <v>34669</v>
      </c>
      <c r="Q357" s="1044">
        <v>0.02</v>
      </c>
      <c r="R357" s="1045">
        <f ca="1">$A357*Q357</f>
        <v>0.92</v>
      </c>
      <c r="S357" s="1044"/>
      <c r="T357" s="1046">
        <f ca="1">$A357*S357*$T$1</f>
        <v>0</v>
      </c>
    </row>
    <row r="358" spans="1:28" s="504" customFormat="1">
      <c r="A358" s="882"/>
      <c r="B358" s="3"/>
      <c r="C358" s="882" t="s">
        <v>161</v>
      </c>
      <c r="D358" s="3"/>
      <c r="E358" s="882"/>
      <c r="F358" s="877"/>
      <c r="G358" s="882"/>
      <c r="H358" s="882"/>
      <c r="I358" s="503"/>
      <c r="J358" s="882"/>
      <c r="K358" s="882"/>
      <c r="L358" s="882"/>
      <c r="M358" s="882"/>
      <c r="N358" s="882"/>
      <c r="O358" s="882"/>
      <c r="P358" s="882"/>
      <c r="Q358" s="503"/>
      <c r="R358" s="1072">
        <f>$A358*Q358</f>
        <v>0</v>
      </c>
      <c r="S358" s="503"/>
      <c r="T358" s="884">
        <f>$A358*S358*$T$1</f>
        <v>0</v>
      </c>
    </row>
    <row r="359" spans="1:28" s="504" customFormat="1" ht="12.6" thickBot="1">
      <c r="A359" s="885" t="s">
        <v>142</v>
      </c>
      <c r="B359" s="886">
        <f>(R358+T358)</f>
        <v>0</v>
      </c>
      <c r="C359" s="887"/>
      <c r="D359" s="1092" t="s">
        <v>162</v>
      </c>
      <c r="E359" s="461">
        <f ca="1">IF($B353=0,0,ROUND(ROUND(($R359*$S$2+($T359*$T$2))/$B353, 2)*$C$2,2))</f>
        <v>11.18</v>
      </c>
      <c r="F359" s="462">
        <f ca="1">ROUND($B353*$E359,2)</f>
        <v>257.14</v>
      </c>
      <c r="G359" s="887"/>
      <c r="H359" s="887"/>
      <c r="I359" s="889"/>
      <c r="J359" s="887"/>
      <c r="K359" s="1093" t="s">
        <v>140</v>
      </c>
      <c r="L359" s="890" t="s">
        <v>140</v>
      </c>
      <c r="M359" s="890"/>
      <c r="N359" s="890"/>
      <c r="O359" s="890"/>
      <c r="P359" s="890"/>
      <c r="Q359" s="1093"/>
      <c r="R359" s="1094">
        <f ca="1">SUM(R354:R358)</f>
        <v>1.84</v>
      </c>
      <c r="S359" s="1095"/>
      <c r="T359" s="1094">
        <f ca="1">SUM(T354:T358)</f>
        <v>7.2450000000000001</v>
      </c>
      <c r="U359" s="514"/>
      <c r="V359" s="514"/>
      <c r="W359" s="514"/>
      <c r="X359" s="514"/>
      <c r="Y359" s="514"/>
      <c r="Z359" s="514"/>
      <c r="AA359" s="514"/>
      <c r="AB359" s="514"/>
    </row>
    <row r="360" spans="1:28" s="504" customFormat="1" ht="12" thickTop="1">
      <c r="A360" s="50"/>
      <c r="B360" s="50"/>
      <c r="C360" s="50"/>
      <c r="D360" s="50"/>
      <c r="E360" s="50"/>
      <c r="F360" s="50"/>
      <c r="G360" s="50"/>
      <c r="H360" s="50"/>
      <c r="I360" s="50"/>
      <c r="J360" s="50"/>
      <c r="K360" s="50"/>
      <c r="L360" s="50"/>
      <c r="M360" s="50"/>
      <c r="N360" s="50"/>
      <c r="O360" s="51"/>
      <c r="P360" s="50"/>
      <c r="Q360" s="41" t="s">
        <v>158</v>
      </c>
      <c r="R360" s="50"/>
      <c r="S360" s="13"/>
      <c r="T360" s="50"/>
    </row>
    <row r="361" spans="1:28" s="504" customFormat="1" ht="12" customHeight="1" thickBot="1">
      <c r="A361" s="1082">
        <v>1</v>
      </c>
      <c r="B361" s="1083">
        <f ca="1">Elec_Est!B5579</f>
        <v>4</v>
      </c>
      <c r="C361" s="1084"/>
      <c r="D361" s="1085" t="s">
        <v>1484</v>
      </c>
      <c r="E361" s="1086"/>
      <c r="F361" s="1086"/>
      <c r="G361" s="876"/>
      <c r="H361" s="876"/>
      <c r="I361" s="1087"/>
      <c r="J361" s="876"/>
      <c r="K361" s="1084" t="s">
        <v>159</v>
      </c>
      <c r="L361" s="1088" t="s">
        <v>159</v>
      </c>
      <c r="M361" s="1088"/>
      <c r="N361" s="1088"/>
      <c r="O361" s="1088"/>
      <c r="P361" s="1088"/>
      <c r="Q361" s="1089">
        <f ca="1">B361/A361</f>
        <v>4</v>
      </c>
      <c r="R361" s="1090">
        <f ca="1">IF($B361=0,0,IF($S$1="R",ROUND(R367/$B361,2),R367/$B361))</f>
        <v>0.08</v>
      </c>
      <c r="S361" s="1091"/>
      <c r="T361" s="1090">
        <f ca="1">IF($B361=0,0,IF($S$1="R",ROUND(T367/$B361,2),T367/$B361))</f>
        <v>0.32</v>
      </c>
    </row>
    <row r="362" spans="1:28" s="504" customFormat="1" ht="13.8" thickTop="1">
      <c r="A362" s="872"/>
      <c r="B362" s="3"/>
      <c r="C362" s="3"/>
      <c r="D362" s="102" t="s">
        <v>160</v>
      </c>
      <c r="E362" s="3"/>
      <c r="F362" s="3"/>
      <c r="G362" s="3"/>
      <c r="H362" s="3"/>
      <c r="I362" s="3"/>
      <c r="J362" s="3"/>
      <c r="K362" s="3"/>
      <c r="L362" s="3"/>
      <c r="M362" s="3"/>
      <c r="N362" s="3"/>
      <c r="O362" s="103"/>
      <c r="P362" s="3"/>
      <c r="Q362" s="3"/>
      <c r="R362" s="3"/>
      <c r="S362" s="3"/>
      <c r="T362" s="3"/>
    </row>
    <row r="363" spans="1:28" s="1039" customFormat="1">
      <c r="A363" s="1296">
        <f ca="1">$Q$361 *(1)</f>
        <v>4</v>
      </c>
      <c r="B363" s="1039" t="s">
        <v>949</v>
      </c>
      <c r="D363" s="1039" t="s">
        <v>1206</v>
      </c>
      <c r="G363" s="1040" t="s">
        <v>1191</v>
      </c>
      <c r="H363" s="1041">
        <v>835</v>
      </c>
      <c r="I363" s="1039" t="s">
        <v>951</v>
      </c>
      <c r="O363" s="1042">
        <v>3</v>
      </c>
      <c r="P363" s="1043">
        <v>38187</v>
      </c>
      <c r="Q363" s="503">
        <v>0</v>
      </c>
      <c r="R363" s="1045">
        <f ca="1">$A363*Q363</f>
        <v>0</v>
      </c>
      <c r="S363" s="1044">
        <v>0.3</v>
      </c>
      <c r="T363" s="1046">
        <f ca="1">$A363*S363*$T$1</f>
        <v>1.26</v>
      </c>
    </row>
    <row r="364" spans="1:28" s="1039" customFormat="1">
      <c r="A364" s="1296">
        <f ca="1">$Q$361 *(2)</f>
        <v>8</v>
      </c>
      <c r="B364" s="1039" t="s">
        <v>949</v>
      </c>
      <c r="D364" s="1039" t="s">
        <v>965</v>
      </c>
      <c r="G364" s="1040" t="s">
        <v>966</v>
      </c>
      <c r="H364" s="1041">
        <v>875</v>
      </c>
      <c r="I364" s="1039" t="s">
        <v>951</v>
      </c>
      <c r="K364" s="1039" t="s">
        <v>967</v>
      </c>
      <c r="O364" s="1042">
        <v>1</v>
      </c>
      <c r="P364" s="1043">
        <v>34669</v>
      </c>
      <c r="Q364" s="1044">
        <v>0.02</v>
      </c>
      <c r="R364" s="1045">
        <f ca="1">$A364*Q364</f>
        <v>0.16</v>
      </c>
      <c r="S364" s="1044"/>
      <c r="T364" s="1046">
        <f ca="1">$A364*S364*$T$1</f>
        <v>0</v>
      </c>
    </row>
    <row r="365" spans="1:28" s="1039" customFormat="1">
      <c r="A365" s="1296">
        <f ca="1">$Q$361 *(2)</f>
        <v>8</v>
      </c>
      <c r="B365" s="1039" t="s">
        <v>949</v>
      </c>
      <c r="D365" s="1039" t="s">
        <v>968</v>
      </c>
      <c r="G365" s="1040" t="s">
        <v>969</v>
      </c>
      <c r="H365" s="1041">
        <v>875</v>
      </c>
      <c r="I365" s="1039" t="s">
        <v>951</v>
      </c>
      <c r="K365" s="1039" t="s">
        <v>970</v>
      </c>
      <c r="O365" s="1042">
        <v>1</v>
      </c>
      <c r="P365" s="1043">
        <v>34669</v>
      </c>
      <c r="Q365" s="1044">
        <v>0.02</v>
      </c>
      <c r="R365" s="1045">
        <f ca="1">$A365*Q365</f>
        <v>0.16</v>
      </c>
      <c r="S365" s="1044"/>
      <c r="T365" s="1046">
        <f ca="1">$A365*S365*$T$1</f>
        <v>0</v>
      </c>
    </row>
    <row r="366" spans="1:28" s="504" customFormat="1">
      <c r="A366" s="882"/>
      <c r="B366" s="3"/>
      <c r="C366" s="882" t="s">
        <v>161</v>
      </c>
      <c r="D366" s="3"/>
      <c r="E366" s="882"/>
      <c r="F366" s="877"/>
      <c r="G366" s="882"/>
      <c r="H366" s="882"/>
      <c r="I366" s="503"/>
      <c r="J366" s="882"/>
      <c r="K366" s="882"/>
      <c r="L366" s="882"/>
      <c r="M366" s="882"/>
      <c r="N366" s="882"/>
      <c r="O366" s="882"/>
      <c r="P366" s="882"/>
      <c r="Q366" s="503"/>
      <c r="R366" s="1072">
        <f>$A366*Q366</f>
        <v>0</v>
      </c>
      <c r="S366" s="503"/>
      <c r="T366" s="884">
        <f>$A366*S366*$T$1</f>
        <v>0</v>
      </c>
    </row>
    <row r="367" spans="1:28" s="504" customFormat="1" ht="12.6" thickBot="1">
      <c r="A367" s="885" t="s">
        <v>142</v>
      </c>
      <c r="B367" s="886">
        <f>(R366+T366)</f>
        <v>0</v>
      </c>
      <c r="C367" s="887"/>
      <c r="D367" s="1092" t="s">
        <v>162</v>
      </c>
      <c r="E367" s="461">
        <f ca="1">IF($B361=0,0,ROUND(ROUND(($R367*$S$2+($T367*$T$2))/$B361, 2)*$C$2,2))</f>
        <v>11.18</v>
      </c>
      <c r="F367" s="462">
        <f ca="1">ROUND($B361*$E367,2)</f>
        <v>44.72</v>
      </c>
      <c r="G367" s="887"/>
      <c r="H367" s="887"/>
      <c r="I367" s="889"/>
      <c r="J367" s="887"/>
      <c r="K367" s="1093" t="s">
        <v>140</v>
      </c>
      <c r="L367" s="890" t="s">
        <v>140</v>
      </c>
      <c r="M367" s="890"/>
      <c r="N367" s="890"/>
      <c r="O367" s="890"/>
      <c r="P367" s="890"/>
      <c r="Q367" s="1093"/>
      <c r="R367" s="1094">
        <f ca="1">SUM(R362:R366)</f>
        <v>0.32</v>
      </c>
      <c r="S367" s="1095"/>
      <c r="T367" s="1094">
        <f ca="1">SUM(T362:T366)</f>
        <v>1.26</v>
      </c>
      <c r="U367" s="514"/>
      <c r="V367" s="514"/>
      <c r="W367" s="514"/>
      <c r="X367" s="514"/>
      <c r="Y367" s="514"/>
      <c r="Z367" s="514"/>
      <c r="AA367" s="514"/>
      <c r="AB367" s="514"/>
    </row>
    <row r="368" spans="1:28" s="504" customFormat="1" ht="12" thickTop="1">
      <c r="A368" s="50"/>
      <c r="B368" s="50"/>
      <c r="C368" s="50"/>
      <c r="D368" s="50"/>
      <c r="E368" s="50"/>
      <c r="F368" s="50"/>
      <c r="G368" s="50"/>
      <c r="H368" s="50"/>
      <c r="I368" s="50"/>
      <c r="J368" s="50"/>
      <c r="K368" s="50"/>
      <c r="L368" s="50"/>
      <c r="M368" s="50"/>
      <c r="N368" s="50"/>
      <c r="O368" s="51"/>
      <c r="P368" s="50"/>
      <c r="Q368" s="41" t="s">
        <v>158</v>
      </c>
      <c r="R368" s="50"/>
      <c r="S368" s="13"/>
      <c r="T368" s="50"/>
    </row>
    <row r="369" spans="1:28" s="504" customFormat="1" ht="12" customHeight="1" thickBot="1">
      <c r="A369" s="1082">
        <v>1</v>
      </c>
      <c r="B369" s="1083">
        <f ca="1">Elec_Est!B5580</f>
        <v>112</v>
      </c>
      <c r="C369" s="1084"/>
      <c r="D369" s="1085" t="s">
        <v>1485</v>
      </c>
      <c r="E369" s="1086"/>
      <c r="F369" s="1086"/>
      <c r="G369" s="876"/>
      <c r="H369" s="876"/>
      <c r="I369" s="1087"/>
      <c r="J369" s="876"/>
      <c r="K369" s="1084" t="s">
        <v>159</v>
      </c>
      <c r="L369" s="1088" t="s">
        <v>159</v>
      </c>
      <c r="M369" s="1088"/>
      <c r="N369" s="1088"/>
      <c r="O369" s="1088"/>
      <c r="P369" s="1088"/>
      <c r="Q369" s="1089">
        <f ca="1">B369/A369</f>
        <v>112</v>
      </c>
      <c r="R369" s="1090">
        <f ca="1">IF($B369=0,0,IF($S$1="R",ROUND(R374/$B369,2),R374/$B369))</f>
        <v>1.1000000000000001</v>
      </c>
      <c r="S369" s="1091"/>
      <c r="T369" s="1090">
        <f ca="1">IF($B369=0,0,IF($S$1="R",ROUND(T374/$B369,2),T374/$B369))</f>
        <v>0.37</v>
      </c>
    </row>
    <row r="370" spans="1:28" s="504" customFormat="1" ht="13.8" thickTop="1">
      <c r="A370" s="872"/>
      <c r="B370" s="3"/>
      <c r="C370" s="3"/>
      <c r="D370" s="102" t="s">
        <v>160</v>
      </c>
      <c r="E370" s="3"/>
      <c r="F370" s="3"/>
      <c r="G370" s="3"/>
      <c r="H370" s="3"/>
      <c r="I370" s="3"/>
      <c r="J370" s="3"/>
      <c r="K370" s="3"/>
      <c r="L370" s="3"/>
      <c r="M370" s="3"/>
      <c r="N370" s="3"/>
      <c r="O370" s="103"/>
      <c r="P370" s="3"/>
      <c r="Q370" s="3"/>
      <c r="R370" s="3"/>
      <c r="S370" s="3"/>
      <c r="T370" s="3"/>
    </row>
    <row r="371" spans="1:28" s="1039" customFormat="1">
      <c r="A371" s="1296">
        <f ca="1">$Q$369 *(1)</f>
        <v>112</v>
      </c>
      <c r="B371" s="1039" t="s">
        <v>949</v>
      </c>
      <c r="D371" s="1039" t="s">
        <v>1302</v>
      </c>
      <c r="G371" s="1040" t="s">
        <v>1191</v>
      </c>
      <c r="H371" s="1041">
        <v>835</v>
      </c>
      <c r="I371" s="1039" t="s">
        <v>951</v>
      </c>
      <c r="O371" s="1042">
        <v>3</v>
      </c>
      <c r="P371" s="1043">
        <v>38187</v>
      </c>
      <c r="Q371" s="503">
        <v>0</v>
      </c>
      <c r="R371" s="1045">
        <f ca="1">$A371*Q371</f>
        <v>0</v>
      </c>
      <c r="S371" s="1044">
        <v>0.3</v>
      </c>
      <c r="T371" s="1046">
        <f ca="1">$A371*S371*$T$1</f>
        <v>35.28</v>
      </c>
    </row>
    <row r="372" spans="1:28" s="1039" customFormat="1">
      <c r="A372" s="1296">
        <f ca="1">$Q$369 *(1)</f>
        <v>112</v>
      </c>
      <c r="B372" s="1039" t="s">
        <v>326</v>
      </c>
      <c r="D372" s="1039" t="s">
        <v>1180</v>
      </c>
      <c r="G372" s="1040" t="s">
        <v>1167</v>
      </c>
      <c r="H372" s="1041">
        <v>615</v>
      </c>
      <c r="I372" s="1039" t="s">
        <v>991</v>
      </c>
      <c r="K372" s="1039" t="s">
        <v>1168</v>
      </c>
      <c r="O372" s="1042">
        <v>2</v>
      </c>
      <c r="P372" s="1043">
        <v>38988</v>
      </c>
      <c r="Q372" s="1044">
        <v>1.1000000000000001</v>
      </c>
      <c r="R372" s="1045">
        <f ca="1">$A372*Q372</f>
        <v>123.20000000000002</v>
      </c>
      <c r="S372" s="1044">
        <v>0.05</v>
      </c>
      <c r="T372" s="1046">
        <f ca="1">$A372*S372*$T$1</f>
        <v>5.8800000000000008</v>
      </c>
    </row>
    <row r="373" spans="1:28" s="504" customFormat="1">
      <c r="A373" s="882"/>
      <c r="B373" s="3"/>
      <c r="C373" s="882" t="s">
        <v>161</v>
      </c>
      <c r="D373" s="3"/>
      <c r="E373" s="882"/>
      <c r="F373" s="877"/>
      <c r="G373" s="882"/>
      <c r="H373" s="882"/>
      <c r="I373" s="503"/>
      <c r="J373" s="882"/>
      <c r="K373" s="882"/>
      <c r="L373" s="882"/>
      <c r="M373" s="882"/>
      <c r="N373" s="882"/>
      <c r="O373" s="882"/>
      <c r="P373" s="882"/>
      <c r="Q373" s="503"/>
      <c r="R373" s="1072">
        <f>$A373*Q373</f>
        <v>0</v>
      </c>
      <c r="S373" s="503"/>
      <c r="T373" s="884">
        <f>$A373*S373*$T$1</f>
        <v>0</v>
      </c>
    </row>
    <row r="374" spans="1:28" s="504" customFormat="1" ht="12.6" thickBot="1">
      <c r="A374" s="885" t="s">
        <v>142</v>
      </c>
      <c r="B374" s="886">
        <f>(R373+T373)</f>
        <v>0</v>
      </c>
      <c r="C374" s="887"/>
      <c r="D374" s="1092" t="s">
        <v>162</v>
      </c>
      <c r="E374" s="461">
        <f ca="1">IF($B369=0,0,ROUND(ROUND(($R374*$S$2+($T374*$T$2))/$B369, 2)*$C$2,2))</f>
        <v>14.27</v>
      </c>
      <c r="F374" s="462">
        <f ca="1">ROUND($B369*$E374,2)</f>
        <v>1598.24</v>
      </c>
      <c r="G374" s="887"/>
      <c r="H374" s="887"/>
      <c r="I374" s="889"/>
      <c r="J374" s="887"/>
      <c r="K374" s="1093" t="s">
        <v>140</v>
      </c>
      <c r="L374" s="890" t="s">
        <v>140</v>
      </c>
      <c r="M374" s="890"/>
      <c r="N374" s="890"/>
      <c r="O374" s="890"/>
      <c r="P374" s="890"/>
      <c r="Q374" s="1093"/>
      <c r="R374" s="1094">
        <f ca="1">SUM(R370:R373)</f>
        <v>123.20000000000002</v>
      </c>
      <c r="S374" s="1095"/>
      <c r="T374" s="1094">
        <f ca="1">SUM(T370:T373)</f>
        <v>41.160000000000004</v>
      </c>
      <c r="U374" s="514"/>
      <c r="V374" s="514"/>
      <c r="W374" s="514"/>
      <c r="X374" s="514"/>
      <c r="Y374" s="514"/>
      <c r="Z374" s="514"/>
      <c r="AA374" s="514"/>
      <c r="AB374" s="514"/>
    </row>
    <row r="375" spans="1:28" s="504" customFormat="1" ht="12" thickTop="1">
      <c r="A375" s="50"/>
      <c r="B375" s="50"/>
      <c r="C375" s="50"/>
      <c r="D375" s="50"/>
      <c r="E375" s="50"/>
      <c r="F375" s="50"/>
      <c r="G375" s="50"/>
      <c r="H375" s="50"/>
      <c r="I375" s="50"/>
      <c r="J375" s="50"/>
      <c r="K375" s="50"/>
      <c r="L375" s="50"/>
      <c r="M375" s="50"/>
      <c r="N375" s="50"/>
      <c r="O375" s="51"/>
      <c r="P375" s="50"/>
      <c r="Q375" s="41" t="s">
        <v>158</v>
      </c>
      <c r="R375" s="50"/>
      <c r="S375" s="13"/>
      <c r="T375" s="50"/>
    </row>
    <row r="376" spans="1:28" s="504" customFormat="1" ht="12" customHeight="1" thickBot="1">
      <c r="A376" s="1082">
        <v>1</v>
      </c>
      <c r="B376" s="1083">
        <f ca="1">Elec_Est!B5581</f>
        <v>44</v>
      </c>
      <c r="C376" s="1084"/>
      <c r="D376" s="1085" t="s">
        <v>1486</v>
      </c>
      <c r="E376" s="1086"/>
      <c r="F376" s="1086"/>
      <c r="G376" s="876"/>
      <c r="H376" s="876"/>
      <c r="I376" s="1087"/>
      <c r="J376" s="876"/>
      <c r="K376" s="1084" t="s">
        <v>159</v>
      </c>
      <c r="L376" s="1088" t="s">
        <v>159</v>
      </c>
      <c r="M376" s="1088"/>
      <c r="N376" s="1088"/>
      <c r="O376" s="1088"/>
      <c r="P376" s="1088"/>
      <c r="Q376" s="1089">
        <f ca="1">B376/A376</f>
        <v>44</v>
      </c>
      <c r="R376" s="1090">
        <f ca="1">IF($B376=0,0,IF($S$1="R",ROUND(R381/$B376,2),R381/$B376))</f>
        <v>1.1000000000000001</v>
      </c>
      <c r="S376" s="1091"/>
      <c r="T376" s="1090">
        <f ca="1">IF($B376=0,0,IF($S$1="R",ROUND(T381/$B376,2),T381/$B376))</f>
        <v>0.37</v>
      </c>
    </row>
    <row r="377" spans="1:28" s="504" customFormat="1" ht="13.8" thickTop="1">
      <c r="A377" s="872"/>
      <c r="B377" s="3"/>
      <c r="C377" s="3"/>
      <c r="D377" s="102" t="s">
        <v>160</v>
      </c>
      <c r="E377" s="3"/>
      <c r="F377" s="3"/>
      <c r="G377" s="3"/>
      <c r="H377" s="3"/>
      <c r="I377" s="3"/>
      <c r="J377" s="3"/>
      <c r="K377" s="3"/>
      <c r="L377" s="3"/>
      <c r="M377" s="3"/>
      <c r="N377" s="3"/>
      <c r="O377" s="103"/>
      <c r="P377" s="3"/>
      <c r="Q377" s="3"/>
      <c r="R377" s="3"/>
      <c r="S377" s="3"/>
      <c r="T377" s="3"/>
    </row>
    <row r="378" spans="1:28" s="1039" customFormat="1">
      <c r="A378" s="1296">
        <f ca="1">$Q$376 *(1)</f>
        <v>44</v>
      </c>
      <c r="B378" s="1039" t="s">
        <v>949</v>
      </c>
      <c r="D378" s="1039" t="s">
        <v>1207</v>
      </c>
      <c r="G378" s="1040" t="s">
        <v>1191</v>
      </c>
      <c r="H378" s="1041">
        <v>835</v>
      </c>
      <c r="I378" s="1039" t="s">
        <v>951</v>
      </c>
      <c r="O378" s="1042">
        <v>3</v>
      </c>
      <c r="P378" s="1043">
        <v>38187</v>
      </c>
      <c r="Q378" s="503">
        <v>0</v>
      </c>
      <c r="R378" s="1045">
        <f ca="1">$A378*Q378</f>
        <v>0</v>
      </c>
      <c r="S378" s="1044">
        <v>0.3</v>
      </c>
      <c r="T378" s="1046">
        <f ca="1">$A378*S378*$T$1</f>
        <v>13.86</v>
      </c>
    </row>
    <row r="379" spans="1:28" s="1039" customFormat="1">
      <c r="A379" s="1296">
        <f ca="1">$Q$376 *(1)</f>
        <v>44</v>
      </c>
      <c r="B379" s="1039" t="s">
        <v>326</v>
      </c>
      <c r="D379" s="1039" t="s">
        <v>1180</v>
      </c>
      <c r="G379" s="1040" t="s">
        <v>1167</v>
      </c>
      <c r="H379" s="1041">
        <v>615</v>
      </c>
      <c r="I379" s="1039" t="s">
        <v>991</v>
      </c>
      <c r="K379" s="1039" t="s">
        <v>1168</v>
      </c>
      <c r="O379" s="1042">
        <v>2</v>
      </c>
      <c r="P379" s="1043">
        <v>38988</v>
      </c>
      <c r="Q379" s="1044">
        <v>1.1000000000000001</v>
      </c>
      <c r="R379" s="1045">
        <f ca="1">$A379*Q379</f>
        <v>48.400000000000006</v>
      </c>
      <c r="S379" s="1044">
        <v>0.05</v>
      </c>
      <c r="T379" s="1046">
        <f ca="1">$A379*S379*$T$1</f>
        <v>2.3100000000000005</v>
      </c>
    </row>
    <row r="380" spans="1:28" s="504" customFormat="1">
      <c r="A380" s="882"/>
      <c r="B380" s="3"/>
      <c r="C380" s="882" t="s">
        <v>161</v>
      </c>
      <c r="D380" s="3"/>
      <c r="E380" s="882"/>
      <c r="F380" s="877"/>
      <c r="G380" s="882"/>
      <c r="H380" s="882"/>
      <c r="I380" s="503"/>
      <c r="J380" s="882"/>
      <c r="K380" s="882"/>
      <c r="L380" s="882"/>
      <c r="M380" s="882"/>
      <c r="N380" s="882"/>
      <c r="O380" s="882"/>
      <c r="P380" s="882"/>
      <c r="Q380" s="503"/>
      <c r="R380" s="1072">
        <f>$A380*Q380</f>
        <v>0</v>
      </c>
      <c r="S380" s="503"/>
      <c r="T380" s="884">
        <f>$A380*S380*$T$1</f>
        <v>0</v>
      </c>
    </row>
    <row r="381" spans="1:28" s="504" customFormat="1" ht="12.6" thickBot="1">
      <c r="A381" s="885" t="s">
        <v>142</v>
      </c>
      <c r="B381" s="886">
        <f>(R380+T380)</f>
        <v>0</v>
      </c>
      <c r="C381" s="887"/>
      <c r="D381" s="1092" t="s">
        <v>162</v>
      </c>
      <c r="E381" s="461">
        <f ca="1">IF($B376=0,0,ROUND(ROUND(($R381*$S$2+($T381*$T$2))/$B376, 2)*$C$2,2))</f>
        <v>14.27</v>
      </c>
      <c r="F381" s="462">
        <f ca="1">ROUND($B376*$E381,2)</f>
        <v>627.88</v>
      </c>
      <c r="G381" s="887"/>
      <c r="H381" s="887"/>
      <c r="I381" s="889"/>
      <c r="J381" s="887"/>
      <c r="K381" s="1093" t="s">
        <v>140</v>
      </c>
      <c r="L381" s="890" t="s">
        <v>140</v>
      </c>
      <c r="M381" s="890"/>
      <c r="N381" s="890"/>
      <c r="O381" s="890"/>
      <c r="P381" s="890"/>
      <c r="Q381" s="1093"/>
      <c r="R381" s="1094">
        <f ca="1">SUM(R377:R380)</f>
        <v>48.400000000000006</v>
      </c>
      <c r="S381" s="1095"/>
      <c r="T381" s="1094">
        <f ca="1">SUM(T377:T380)</f>
        <v>16.170000000000002</v>
      </c>
      <c r="U381" s="514"/>
      <c r="V381" s="514"/>
      <c r="W381" s="514"/>
      <c r="X381" s="514"/>
      <c r="Y381" s="514"/>
      <c r="Z381" s="514"/>
      <c r="AA381" s="514"/>
      <c r="AB381" s="514"/>
    </row>
    <row r="382" spans="1:28" s="504" customFormat="1" ht="12" thickTop="1">
      <c r="A382" s="50"/>
      <c r="B382" s="50"/>
      <c r="C382" s="50"/>
      <c r="D382" s="50"/>
      <c r="E382" s="50"/>
      <c r="F382" s="50"/>
      <c r="G382" s="50"/>
      <c r="H382" s="50"/>
      <c r="I382" s="50"/>
      <c r="J382" s="50"/>
      <c r="K382" s="50"/>
      <c r="L382" s="50"/>
      <c r="M382" s="50"/>
      <c r="N382" s="50"/>
      <c r="O382" s="51"/>
      <c r="P382" s="50"/>
      <c r="Q382" s="41" t="s">
        <v>158</v>
      </c>
      <c r="R382" s="50"/>
      <c r="S382" s="13"/>
      <c r="T382" s="50"/>
    </row>
    <row r="383" spans="1:28" s="504" customFormat="1" ht="12" customHeight="1" thickBot="1">
      <c r="A383" s="1082">
        <v>1</v>
      </c>
      <c r="B383" s="1083">
        <f ca="1">Elec_Est!B5582</f>
        <v>2</v>
      </c>
      <c r="C383" s="1084"/>
      <c r="D383" s="1085" t="s">
        <v>1487</v>
      </c>
      <c r="E383" s="1086"/>
      <c r="F383" s="1086"/>
      <c r="G383" s="876"/>
      <c r="H383" s="876"/>
      <c r="I383" s="1087"/>
      <c r="J383" s="876"/>
      <c r="K383" s="1084" t="s">
        <v>159</v>
      </c>
      <c r="L383" s="1088" t="s">
        <v>159</v>
      </c>
      <c r="M383" s="1088"/>
      <c r="N383" s="1088"/>
      <c r="O383" s="1088"/>
      <c r="P383" s="1088"/>
      <c r="Q383" s="1089">
        <f ca="1">B383/A383</f>
        <v>2</v>
      </c>
      <c r="R383" s="1090">
        <f ca="1">IF($B383=0,0,IF($S$1="R",ROUND(R389/$B383,2),R389/$B383))</f>
        <v>0.08</v>
      </c>
      <c r="S383" s="1091"/>
      <c r="T383" s="1090">
        <f ca="1">IF($B383=0,0,IF($S$1="R",ROUND(T389/$B383,2),T389/$B383))</f>
        <v>0.32</v>
      </c>
    </row>
    <row r="384" spans="1:28" s="504" customFormat="1" ht="13.8" thickTop="1">
      <c r="A384" s="872"/>
      <c r="B384" s="3"/>
      <c r="C384" s="3"/>
      <c r="D384" s="102" t="s">
        <v>160</v>
      </c>
      <c r="E384" s="3"/>
      <c r="F384" s="3"/>
      <c r="G384" s="3"/>
      <c r="H384" s="3"/>
      <c r="I384" s="3"/>
      <c r="J384" s="3"/>
      <c r="K384" s="3"/>
      <c r="L384" s="3"/>
      <c r="M384" s="3"/>
      <c r="N384" s="3"/>
      <c r="O384" s="103"/>
      <c r="P384" s="3"/>
      <c r="Q384" s="3"/>
      <c r="R384" s="3"/>
      <c r="S384" s="3"/>
      <c r="T384" s="3"/>
    </row>
    <row r="385" spans="1:28" s="1039" customFormat="1">
      <c r="A385" s="1296">
        <f ca="1">$Q$383 *(1)</f>
        <v>2</v>
      </c>
      <c r="B385" s="1039" t="s">
        <v>949</v>
      </c>
      <c r="D385" s="1039" t="s">
        <v>1208</v>
      </c>
      <c r="G385" s="1040" t="s">
        <v>1191</v>
      </c>
      <c r="H385" s="1041">
        <v>835</v>
      </c>
      <c r="I385" s="1039" t="s">
        <v>951</v>
      </c>
      <c r="O385" s="1042">
        <v>3</v>
      </c>
      <c r="P385" s="1043">
        <v>38187</v>
      </c>
      <c r="Q385" s="503">
        <v>0</v>
      </c>
      <c r="R385" s="1045">
        <f ca="1">$A385*Q385</f>
        <v>0</v>
      </c>
      <c r="S385" s="1044">
        <v>0.3</v>
      </c>
      <c r="T385" s="1046">
        <f ca="1">$A385*S385*$T$1</f>
        <v>0.63</v>
      </c>
    </row>
    <row r="386" spans="1:28" s="1039" customFormat="1">
      <c r="A386" s="1296">
        <f ca="1">$Q$383 *(2)</f>
        <v>4</v>
      </c>
      <c r="B386" s="1039" t="s">
        <v>949</v>
      </c>
      <c r="D386" s="1039" t="s">
        <v>965</v>
      </c>
      <c r="G386" s="1040" t="s">
        <v>966</v>
      </c>
      <c r="H386" s="1041">
        <v>875</v>
      </c>
      <c r="I386" s="1039" t="s">
        <v>951</v>
      </c>
      <c r="K386" s="1039" t="s">
        <v>967</v>
      </c>
      <c r="O386" s="1042">
        <v>1</v>
      </c>
      <c r="P386" s="1043">
        <v>34669</v>
      </c>
      <c r="Q386" s="1044">
        <v>0.02</v>
      </c>
      <c r="R386" s="1045">
        <f ca="1">$A386*Q386</f>
        <v>0.08</v>
      </c>
      <c r="S386" s="1044"/>
      <c r="T386" s="1046">
        <f ca="1">$A386*S386*$T$1</f>
        <v>0</v>
      </c>
    </row>
    <row r="387" spans="1:28" s="1039" customFormat="1">
      <c r="A387" s="1296">
        <f ca="1">$Q$383 *(2)</f>
        <v>4</v>
      </c>
      <c r="B387" s="1039" t="s">
        <v>949</v>
      </c>
      <c r="D387" s="1039" t="s">
        <v>968</v>
      </c>
      <c r="G387" s="1040" t="s">
        <v>969</v>
      </c>
      <c r="H387" s="1041">
        <v>875</v>
      </c>
      <c r="I387" s="1039" t="s">
        <v>951</v>
      </c>
      <c r="K387" s="1039" t="s">
        <v>970</v>
      </c>
      <c r="O387" s="1042">
        <v>1</v>
      </c>
      <c r="P387" s="1043">
        <v>34669</v>
      </c>
      <c r="Q387" s="1044">
        <v>0.02</v>
      </c>
      <c r="R387" s="1045">
        <f ca="1">$A387*Q387</f>
        <v>0.08</v>
      </c>
      <c r="S387" s="1044"/>
      <c r="T387" s="1046">
        <f ca="1">$A387*S387*$T$1</f>
        <v>0</v>
      </c>
    </row>
    <row r="388" spans="1:28" s="504" customFormat="1">
      <c r="A388" s="882"/>
      <c r="B388" s="3"/>
      <c r="C388" s="882" t="s">
        <v>161</v>
      </c>
      <c r="D388" s="3"/>
      <c r="E388" s="882"/>
      <c r="F388" s="877"/>
      <c r="G388" s="882"/>
      <c r="H388" s="882"/>
      <c r="I388" s="503"/>
      <c r="J388" s="882"/>
      <c r="K388" s="882"/>
      <c r="L388" s="882"/>
      <c r="M388" s="882"/>
      <c r="N388" s="882"/>
      <c r="O388" s="882"/>
      <c r="P388" s="882"/>
      <c r="Q388" s="503"/>
      <c r="R388" s="1072">
        <f>$A388*Q388</f>
        <v>0</v>
      </c>
      <c r="S388" s="503"/>
      <c r="T388" s="884">
        <f>$A388*S388*$T$1</f>
        <v>0</v>
      </c>
    </row>
    <row r="389" spans="1:28" s="504" customFormat="1" ht="12.6" thickBot="1">
      <c r="A389" s="885" t="s">
        <v>142</v>
      </c>
      <c r="B389" s="886">
        <f>(R388+T388)</f>
        <v>0</v>
      </c>
      <c r="C389" s="887"/>
      <c r="D389" s="1092" t="s">
        <v>162</v>
      </c>
      <c r="E389" s="461">
        <f ca="1">IF($B383=0,0,ROUND(ROUND(($R389*$S$2+($T389*$T$2))/$B383, 2)*$C$2,2))</f>
        <v>11.18</v>
      </c>
      <c r="F389" s="462">
        <f ca="1">ROUND($B383*$E389,2)</f>
        <v>22.36</v>
      </c>
      <c r="G389" s="887"/>
      <c r="H389" s="887"/>
      <c r="I389" s="889"/>
      <c r="J389" s="887"/>
      <c r="K389" s="1093" t="s">
        <v>140</v>
      </c>
      <c r="L389" s="890" t="s">
        <v>140</v>
      </c>
      <c r="M389" s="890"/>
      <c r="N389" s="890"/>
      <c r="O389" s="890"/>
      <c r="P389" s="890"/>
      <c r="Q389" s="1093"/>
      <c r="R389" s="1094">
        <f ca="1">SUM(R384:R388)</f>
        <v>0.16</v>
      </c>
      <c r="S389" s="1095"/>
      <c r="T389" s="1094">
        <f ca="1">SUM(T384:T388)</f>
        <v>0.63</v>
      </c>
      <c r="U389" s="514"/>
      <c r="V389" s="514"/>
      <c r="W389" s="514"/>
      <c r="X389" s="514"/>
      <c r="Y389" s="514"/>
      <c r="Z389" s="514"/>
      <c r="AA389" s="514"/>
      <c r="AB389" s="514"/>
    </row>
    <row r="390" spans="1:28" s="504" customFormat="1" ht="12" thickTop="1">
      <c r="A390" s="50"/>
      <c r="B390" s="50"/>
      <c r="C390" s="50"/>
      <c r="D390" s="50"/>
      <c r="E390" s="50"/>
      <c r="F390" s="50"/>
      <c r="G390" s="50"/>
      <c r="H390" s="50"/>
      <c r="I390" s="50"/>
      <c r="J390" s="50"/>
      <c r="K390" s="50"/>
      <c r="L390" s="50"/>
      <c r="M390" s="50"/>
      <c r="N390" s="50"/>
      <c r="O390" s="51"/>
      <c r="P390" s="50"/>
      <c r="Q390" s="41" t="s">
        <v>158</v>
      </c>
      <c r="R390" s="50"/>
      <c r="S390" s="13"/>
      <c r="T390" s="50"/>
    </row>
    <row r="391" spans="1:28" s="504" customFormat="1" ht="12" customHeight="1" thickBot="1">
      <c r="A391" s="1082">
        <v>1</v>
      </c>
      <c r="B391" s="1083">
        <f ca="1">Elec_Est!B5583</f>
        <v>74</v>
      </c>
      <c r="C391" s="1084"/>
      <c r="D391" s="1085" t="s">
        <v>1488</v>
      </c>
      <c r="E391" s="1086"/>
      <c r="F391" s="1086"/>
      <c r="G391" s="876"/>
      <c r="H391" s="876"/>
      <c r="I391" s="1087"/>
      <c r="J391" s="876"/>
      <c r="K391" s="1084" t="s">
        <v>159</v>
      </c>
      <c r="L391" s="1088" t="s">
        <v>159</v>
      </c>
      <c r="M391" s="1088"/>
      <c r="N391" s="1088"/>
      <c r="O391" s="1088"/>
      <c r="P391" s="1088"/>
      <c r="Q391" s="1089">
        <f ca="1">B391/A391</f>
        <v>74</v>
      </c>
      <c r="R391" s="1090">
        <f ca="1">IF($B391=0,0,IF($S$1="R",ROUND(R397/$B391,2),R397/$B391))</f>
        <v>0.08</v>
      </c>
      <c r="S391" s="1091"/>
      <c r="T391" s="1090">
        <f ca="1">IF($B391=0,0,IF($S$1="R",ROUND(T397/$B391,2),T397/$B391))</f>
        <v>0.32</v>
      </c>
    </row>
    <row r="392" spans="1:28" s="504" customFormat="1" ht="13.8" thickTop="1">
      <c r="A392" s="872"/>
      <c r="B392" s="3"/>
      <c r="C392" s="3"/>
      <c r="D392" s="102" t="s">
        <v>160</v>
      </c>
      <c r="E392" s="3"/>
      <c r="F392" s="3"/>
      <c r="G392" s="3"/>
      <c r="H392" s="3"/>
      <c r="I392" s="3"/>
      <c r="J392" s="3"/>
      <c r="K392" s="3"/>
      <c r="L392" s="3"/>
      <c r="M392" s="3"/>
      <c r="N392" s="3"/>
      <c r="O392" s="103"/>
      <c r="P392" s="3"/>
      <c r="Q392" s="3"/>
      <c r="R392" s="3"/>
      <c r="S392" s="3"/>
      <c r="T392" s="3"/>
    </row>
    <row r="393" spans="1:28" s="1039" customFormat="1">
      <c r="A393" s="1296">
        <f ca="1">$Q$391 *(1)</f>
        <v>74</v>
      </c>
      <c r="B393" s="1039" t="s">
        <v>949</v>
      </c>
      <c r="D393" s="1039" t="s">
        <v>1285</v>
      </c>
      <c r="G393" s="1040" t="s">
        <v>1191</v>
      </c>
      <c r="H393" s="1041">
        <v>835</v>
      </c>
      <c r="I393" s="1039" t="s">
        <v>951</v>
      </c>
      <c r="O393" s="1042">
        <v>3</v>
      </c>
      <c r="P393" s="1043">
        <v>38187</v>
      </c>
      <c r="Q393" s="503">
        <v>0</v>
      </c>
      <c r="R393" s="1045">
        <f ca="1">$A393*Q393</f>
        <v>0</v>
      </c>
      <c r="S393" s="1044">
        <v>0.3</v>
      </c>
      <c r="T393" s="1046">
        <f ca="1">$A393*S393*$T$1</f>
        <v>23.31</v>
      </c>
    </row>
    <row r="394" spans="1:28" s="1039" customFormat="1">
      <c r="A394" s="1296">
        <f ca="1">$Q$391 *(2)</f>
        <v>148</v>
      </c>
      <c r="B394" s="1039" t="s">
        <v>949</v>
      </c>
      <c r="D394" s="1039" t="s">
        <v>965</v>
      </c>
      <c r="G394" s="1040" t="s">
        <v>966</v>
      </c>
      <c r="H394" s="1041">
        <v>875</v>
      </c>
      <c r="I394" s="1039" t="s">
        <v>951</v>
      </c>
      <c r="K394" s="1039" t="s">
        <v>967</v>
      </c>
      <c r="O394" s="1042">
        <v>1</v>
      </c>
      <c r="P394" s="1043">
        <v>34669</v>
      </c>
      <c r="Q394" s="1044">
        <v>0.02</v>
      </c>
      <c r="R394" s="1045">
        <f ca="1">$A394*Q394</f>
        <v>2.96</v>
      </c>
      <c r="S394" s="1044"/>
      <c r="T394" s="1046">
        <f ca="1">$A394*S394*$T$1</f>
        <v>0</v>
      </c>
    </row>
    <row r="395" spans="1:28" s="1039" customFormat="1">
      <c r="A395" s="1296">
        <f ca="1">$Q$391 *(2)</f>
        <v>148</v>
      </c>
      <c r="B395" s="1039" t="s">
        <v>949</v>
      </c>
      <c r="D395" s="1039" t="s">
        <v>968</v>
      </c>
      <c r="G395" s="1040" t="s">
        <v>969</v>
      </c>
      <c r="H395" s="1041">
        <v>875</v>
      </c>
      <c r="I395" s="1039" t="s">
        <v>951</v>
      </c>
      <c r="K395" s="1039" t="s">
        <v>970</v>
      </c>
      <c r="O395" s="1042">
        <v>1</v>
      </c>
      <c r="P395" s="1043">
        <v>34669</v>
      </c>
      <c r="Q395" s="1044">
        <v>0.02</v>
      </c>
      <c r="R395" s="1045">
        <f ca="1">$A395*Q395</f>
        <v>2.96</v>
      </c>
      <c r="S395" s="1044"/>
      <c r="T395" s="1046">
        <f ca="1">$A395*S395*$T$1</f>
        <v>0</v>
      </c>
    </row>
    <row r="396" spans="1:28" s="504" customFormat="1">
      <c r="A396" s="882"/>
      <c r="B396" s="3"/>
      <c r="C396" s="882" t="s">
        <v>161</v>
      </c>
      <c r="D396" s="3"/>
      <c r="E396" s="882"/>
      <c r="F396" s="877"/>
      <c r="G396" s="882"/>
      <c r="H396" s="882"/>
      <c r="I396" s="503"/>
      <c r="J396" s="882"/>
      <c r="K396" s="882"/>
      <c r="L396" s="882"/>
      <c r="M396" s="882"/>
      <c r="N396" s="882"/>
      <c r="O396" s="882"/>
      <c r="P396" s="882"/>
      <c r="Q396" s="503"/>
      <c r="R396" s="1072">
        <f>$A396*Q396</f>
        <v>0</v>
      </c>
      <c r="S396" s="503"/>
      <c r="T396" s="884">
        <f>$A396*S396*$T$1</f>
        <v>0</v>
      </c>
    </row>
    <row r="397" spans="1:28" s="504" customFormat="1" ht="12.6" thickBot="1">
      <c r="A397" s="885" t="s">
        <v>142</v>
      </c>
      <c r="B397" s="886">
        <f>(R396+T396)</f>
        <v>0</v>
      </c>
      <c r="C397" s="887"/>
      <c r="D397" s="1092" t="s">
        <v>162</v>
      </c>
      <c r="E397" s="461">
        <f ca="1">IF($B391=0,0,ROUND(ROUND(($R397*$S$2+($T397*$T$2))/$B391, 2)*$C$2,2))</f>
        <v>11.18</v>
      </c>
      <c r="F397" s="462">
        <f ca="1">ROUND($B391*$E397,2)</f>
        <v>827.32</v>
      </c>
      <c r="G397" s="887"/>
      <c r="H397" s="887"/>
      <c r="I397" s="889"/>
      <c r="J397" s="887"/>
      <c r="K397" s="1093" t="s">
        <v>140</v>
      </c>
      <c r="L397" s="890" t="s">
        <v>140</v>
      </c>
      <c r="M397" s="890"/>
      <c r="N397" s="890"/>
      <c r="O397" s="890"/>
      <c r="P397" s="890"/>
      <c r="Q397" s="1093"/>
      <c r="R397" s="1094">
        <f ca="1">SUM(R392:R396)</f>
        <v>5.92</v>
      </c>
      <c r="S397" s="1095"/>
      <c r="T397" s="1094">
        <f ca="1">SUM(T392:T396)</f>
        <v>23.31</v>
      </c>
      <c r="U397" s="514"/>
      <c r="V397" s="514"/>
      <c r="W397" s="514"/>
      <c r="X397" s="514"/>
      <c r="Y397" s="514"/>
      <c r="Z397" s="514"/>
      <c r="AA397" s="514"/>
      <c r="AB397" s="514"/>
    </row>
    <row r="398" spans="1:28" s="504" customFormat="1" ht="12" thickTop="1">
      <c r="A398" s="50"/>
      <c r="B398" s="50"/>
      <c r="C398" s="50"/>
      <c r="D398" s="50"/>
      <c r="E398" s="50"/>
      <c r="F398" s="50"/>
      <c r="G398" s="50"/>
      <c r="H398" s="50"/>
      <c r="I398" s="50"/>
      <c r="J398" s="50"/>
      <c r="K398" s="50"/>
      <c r="L398" s="50"/>
      <c r="M398" s="50"/>
      <c r="N398" s="50"/>
      <c r="O398" s="51"/>
      <c r="P398" s="50"/>
      <c r="Q398" s="41" t="s">
        <v>158</v>
      </c>
      <c r="R398" s="50"/>
      <c r="S398" s="13"/>
      <c r="T398" s="50"/>
    </row>
    <row r="399" spans="1:28" s="504" customFormat="1" ht="12" customHeight="1" thickBot="1">
      <c r="A399" s="1082">
        <v>1</v>
      </c>
      <c r="B399" s="1083">
        <f ca="1">Elec_Est!B5584</f>
        <v>57</v>
      </c>
      <c r="C399" s="1084"/>
      <c r="D399" s="1085" t="s">
        <v>1489</v>
      </c>
      <c r="E399" s="1086"/>
      <c r="F399" s="1086"/>
      <c r="G399" s="876"/>
      <c r="H399" s="876"/>
      <c r="I399" s="1087"/>
      <c r="J399" s="876"/>
      <c r="K399" s="1084" t="s">
        <v>159</v>
      </c>
      <c r="L399" s="1088" t="s">
        <v>159</v>
      </c>
      <c r="M399" s="1088"/>
      <c r="N399" s="1088"/>
      <c r="O399" s="1088"/>
      <c r="P399" s="1088"/>
      <c r="Q399" s="1089">
        <f ca="1">B399/A399</f>
        <v>57</v>
      </c>
      <c r="R399" s="1090">
        <f ca="1">IF($B399=0,0,IF($S$1="R",ROUND(R405/$B399,2),R405/$B399))</f>
        <v>0.08</v>
      </c>
      <c r="S399" s="1091"/>
      <c r="T399" s="1090">
        <f ca="1">IF($B399=0,0,IF($S$1="R",ROUND(T405/$B399,2),T405/$B399))</f>
        <v>0.32</v>
      </c>
    </row>
    <row r="400" spans="1:28" s="504" customFormat="1" ht="13.8" thickTop="1">
      <c r="A400" s="872"/>
      <c r="B400" s="3"/>
      <c r="C400" s="3"/>
      <c r="D400" s="102" t="s">
        <v>160</v>
      </c>
      <c r="E400" s="3"/>
      <c r="F400" s="3"/>
      <c r="G400" s="3"/>
      <c r="H400" s="3"/>
      <c r="I400" s="3"/>
      <c r="J400" s="3"/>
      <c r="K400" s="3"/>
      <c r="L400" s="3"/>
      <c r="M400" s="3"/>
      <c r="N400" s="3"/>
      <c r="O400" s="103"/>
      <c r="P400" s="3"/>
      <c r="Q400" s="3"/>
      <c r="R400" s="3"/>
      <c r="S400" s="3"/>
      <c r="T400" s="3"/>
    </row>
    <row r="401" spans="1:28" s="1039" customFormat="1">
      <c r="A401" s="1296">
        <f ca="1">$Q$399 *(1)</f>
        <v>57</v>
      </c>
      <c r="B401" s="1039" t="s">
        <v>949</v>
      </c>
      <c r="D401" s="1039" t="s">
        <v>1303</v>
      </c>
      <c r="G401" s="1040" t="s">
        <v>1191</v>
      </c>
      <c r="H401" s="1041">
        <v>835</v>
      </c>
      <c r="I401" s="1039" t="s">
        <v>951</v>
      </c>
      <c r="O401" s="1042">
        <v>3</v>
      </c>
      <c r="P401" s="1043">
        <v>38187</v>
      </c>
      <c r="Q401" s="503">
        <v>0</v>
      </c>
      <c r="R401" s="1045">
        <f ca="1">$A401*Q401</f>
        <v>0</v>
      </c>
      <c r="S401" s="1044">
        <v>0.3</v>
      </c>
      <c r="T401" s="1046">
        <f ca="1">$A401*S401*$T$1</f>
        <v>17.954999999999998</v>
      </c>
    </row>
    <row r="402" spans="1:28" s="1039" customFormat="1">
      <c r="A402" s="1296">
        <f ca="1">$Q$399 *(2)</f>
        <v>114</v>
      </c>
      <c r="B402" s="1039" t="s">
        <v>949</v>
      </c>
      <c r="D402" s="1039" t="s">
        <v>965</v>
      </c>
      <c r="G402" s="1040" t="s">
        <v>966</v>
      </c>
      <c r="H402" s="1041">
        <v>875</v>
      </c>
      <c r="I402" s="1039" t="s">
        <v>951</v>
      </c>
      <c r="K402" s="1039" t="s">
        <v>967</v>
      </c>
      <c r="O402" s="1042">
        <v>1</v>
      </c>
      <c r="P402" s="1043">
        <v>34669</v>
      </c>
      <c r="Q402" s="1044">
        <v>0.02</v>
      </c>
      <c r="R402" s="1045">
        <f ca="1">$A402*Q402</f>
        <v>2.2800000000000002</v>
      </c>
      <c r="S402" s="1044"/>
      <c r="T402" s="1046">
        <f ca="1">$A402*S402*$T$1</f>
        <v>0</v>
      </c>
    </row>
    <row r="403" spans="1:28" s="1039" customFormat="1">
      <c r="A403" s="1296">
        <f ca="1">$Q$399 *(2)</f>
        <v>114</v>
      </c>
      <c r="B403" s="1039" t="s">
        <v>949</v>
      </c>
      <c r="D403" s="1039" t="s">
        <v>968</v>
      </c>
      <c r="G403" s="1040" t="s">
        <v>969</v>
      </c>
      <c r="H403" s="1041">
        <v>875</v>
      </c>
      <c r="I403" s="1039" t="s">
        <v>951</v>
      </c>
      <c r="K403" s="1039" t="s">
        <v>970</v>
      </c>
      <c r="O403" s="1042">
        <v>1</v>
      </c>
      <c r="P403" s="1043">
        <v>34669</v>
      </c>
      <c r="Q403" s="1044">
        <v>0.02</v>
      </c>
      <c r="R403" s="1045">
        <f ca="1">$A403*Q403</f>
        <v>2.2800000000000002</v>
      </c>
      <c r="S403" s="1044"/>
      <c r="T403" s="1046">
        <f ca="1">$A403*S403*$T$1</f>
        <v>0</v>
      </c>
    </row>
    <row r="404" spans="1:28" s="504" customFormat="1">
      <c r="A404" s="882"/>
      <c r="B404" s="3"/>
      <c r="C404" s="882" t="s">
        <v>161</v>
      </c>
      <c r="D404" s="3"/>
      <c r="E404" s="882"/>
      <c r="F404" s="877"/>
      <c r="G404" s="882"/>
      <c r="H404" s="882"/>
      <c r="I404" s="503"/>
      <c r="J404" s="882"/>
      <c r="K404" s="882"/>
      <c r="L404" s="882"/>
      <c r="M404" s="882"/>
      <c r="N404" s="882"/>
      <c r="O404" s="882"/>
      <c r="P404" s="882"/>
      <c r="Q404" s="503"/>
      <c r="R404" s="1072">
        <f>$A404*Q404</f>
        <v>0</v>
      </c>
      <c r="S404" s="503"/>
      <c r="T404" s="884">
        <f>$A404*S404*$T$1</f>
        <v>0</v>
      </c>
    </row>
    <row r="405" spans="1:28" s="504" customFormat="1" ht="12.6" thickBot="1">
      <c r="A405" s="885" t="s">
        <v>142</v>
      </c>
      <c r="B405" s="886">
        <f>(R404+T404)</f>
        <v>0</v>
      </c>
      <c r="C405" s="887"/>
      <c r="D405" s="1092" t="s">
        <v>162</v>
      </c>
      <c r="E405" s="461">
        <f ca="1">IF($B399=0,0,ROUND(ROUND(($R405*$S$2+($T405*$T$2))/$B399, 2)*$C$2,2))</f>
        <v>11.18</v>
      </c>
      <c r="F405" s="462">
        <f ca="1">ROUND($B399*$E405,2)</f>
        <v>637.26</v>
      </c>
      <c r="G405" s="887"/>
      <c r="H405" s="887"/>
      <c r="I405" s="889"/>
      <c r="J405" s="887"/>
      <c r="K405" s="1093" t="s">
        <v>140</v>
      </c>
      <c r="L405" s="890" t="s">
        <v>140</v>
      </c>
      <c r="M405" s="890"/>
      <c r="N405" s="890"/>
      <c r="O405" s="890"/>
      <c r="P405" s="890"/>
      <c r="Q405" s="1093"/>
      <c r="R405" s="1094">
        <f ca="1">SUM(R400:R404)</f>
        <v>4.5600000000000005</v>
      </c>
      <c r="S405" s="1095"/>
      <c r="T405" s="1094">
        <f ca="1">SUM(T400:T404)</f>
        <v>17.954999999999998</v>
      </c>
      <c r="U405" s="514"/>
      <c r="V405" s="514"/>
      <c r="W405" s="514"/>
      <c r="X405" s="514"/>
      <c r="Y405" s="514"/>
      <c r="Z405" s="514"/>
      <c r="AA405" s="514"/>
      <c r="AB405" s="514"/>
    </row>
    <row r="406" spans="1:28" s="504" customFormat="1" ht="12" thickTop="1">
      <c r="A406" s="50"/>
      <c r="B406" s="50"/>
      <c r="C406" s="50"/>
      <c r="D406" s="50"/>
      <c r="E406" s="50"/>
      <c r="F406" s="50"/>
      <c r="G406" s="50"/>
      <c r="H406" s="50"/>
      <c r="I406" s="50"/>
      <c r="J406" s="50"/>
      <c r="K406" s="50"/>
      <c r="L406" s="50"/>
      <c r="M406" s="50"/>
      <c r="N406" s="50"/>
      <c r="O406" s="51"/>
      <c r="P406" s="50"/>
      <c r="Q406" s="41" t="s">
        <v>158</v>
      </c>
      <c r="R406" s="50"/>
      <c r="S406" s="13"/>
      <c r="T406" s="50"/>
    </row>
    <row r="407" spans="1:28" s="504" customFormat="1" ht="12" customHeight="1" thickBot="1">
      <c r="A407" s="1082">
        <v>1</v>
      </c>
      <c r="B407" s="1083">
        <f ca="1">Elec_Est!B5585</f>
        <v>19</v>
      </c>
      <c r="C407" s="1084"/>
      <c r="D407" s="1085" t="s">
        <v>1490</v>
      </c>
      <c r="E407" s="1086"/>
      <c r="F407" s="1086"/>
      <c r="G407" s="876"/>
      <c r="H407" s="876"/>
      <c r="I407" s="1087"/>
      <c r="J407" s="876"/>
      <c r="K407" s="1084" t="s">
        <v>159</v>
      </c>
      <c r="L407" s="1088" t="s">
        <v>159</v>
      </c>
      <c r="M407" s="1088"/>
      <c r="N407" s="1088"/>
      <c r="O407" s="1088"/>
      <c r="P407" s="1088"/>
      <c r="Q407" s="1089">
        <f ca="1">B407/A407</f>
        <v>19</v>
      </c>
      <c r="R407" s="1090">
        <f ca="1">IF($B407=0,0,IF($S$1="R",ROUND(R413/$B407,2),R413/$B407))</f>
        <v>0.08</v>
      </c>
      <c r="S407" s="1091"/>
      <c r="T407" s="1090">
        <f ca="1">IF($B407=0,0,IF($S$1="R",ROUND(T413/$B407,2),T413/$B407))</f>
        <v>0.32</v>
      </c>
    </row>
    <row r="408" spans="1:28" s="504" customFormat="1" ht="13.8" thickTop="1">
      <c r="A408" s="872"/>
      <c r="B408" s="3"/>
      <c r="C408" s="3"/>
      <c r="D408" s="102" t="s">
        <v>160</v>
      </c>
      <c r="E408" s="3"/>
      <c r="F408" s="3"/>
      <c r="G408" s="3"/>
      <c r="H408" s="3"/>
      <c r="I408" s="3"/>
      <c r="J408" s="3"/>
      <c r="K408" s="3"/>
      <c r="L408" s="3"/>
      <c r="M408" s="3"/>
      <c r="N408" s="3"/>
      <c r="O408" s="103"/>
      <c r="P408" s="3"/>
      <c r="Q408" s="3"/>
      <c r="R408" s="3"/>
      <c r="S408" s="3"/>
      <c r="T408" s="3"/>
    </row>
    <row r="409" spans="1:28" s="1039" customFormat="1">
      <c r="A409" s="1296">
        <f ca="1">$Q$407 *(1)</f>
        <v>19</v>
      </c>
      <c r="B409" s="1039" t="s">
        <v>949</v>
      </c>
      <c r="D409" s="1039" t="s">
        <v>1304</v>
      </c>
      <c r="G409" s="1040" t="s">
        <v>1191</v>
      </c>
      <c r="H409" s="1041">
        <v>835</v>
      </c>
      <c r="I409" s="1039" t="s">
        <v>951</v>
      </c>
      <c r="O409" s="1042">
        <v>3</v>
      </c>
      <c r="P409" s="1043">
        <v>38187</v>
      </c>
      <c r="Q409" s="503">
        <v>0</v>
      </c>
      <c r="R409" s="1045">
        <f ca="1">$A409*Q409</f>
        <v>0</v>
      </c>
      <c r="S409" s="1044">
        <v>0.3</v>
      </c>
      <c r="T409" s="1046">
        <f ca="1">$A409*S409*$T$1</f>
        <v>5.9850000000000003</v>
      </c>
    </row>
    <row r="410" spans="1:28" s="1039" customFormat="1">
      <c r="A410" s="1296">
        <f ca="1">$Q$407 *(2)</f>
        <v>38</v>
      </c>
      <c r="B410" s="1039" t="s">
        <v>949</v>
      </c>
      <c r="D410" s="1039" t="s">
        <v>965</v>
      </c>
      <c r="G410" s="1040" t="s">
        <v>966</v>
      </c>
      <c r="H410" s="1041">
        <v>875</v>
      </c>
      <c r="I410" s="1039" t="s">
        <v>951</v>
      </c>
      <c r="K410" s="1039" t="s">
        <v>967</v>
      </c>
      <c r="O410" s="1042">
        <v>1</v>
      </c>
      <c r="P410" s="1043">
        <v>34669</v>
      </c>
      <c r="Q410" s="1044">
        <v>0.02</v>
      </c>
      <c r="R410" s="1045">
        <f ca="1">$A410*Q410</f>
        <v>0.76</v>
      </c>
      <c r="S410" s="1044"/>
      <c r="T410" s="1046">
        <f ca="1">$A410*S410*$T$1</f>
        <v>0</v>
      </c>
    </row>
    <row r="411" spans="1:28" s="1039" customFormat="1">
      <c r="A411" s="1296">
        <f ca="1">$Q$407 *(2)</f>
        <v>38</v>
      </c>
      <c r="B411" s="1039" t="s">
        <v>949</v>
      </c>
      <c r="D411" s="1039" t="s">
        <v>968</v>
      </c>
      <c r="G411" s="1040" t="s">
        <v>969</v>
      </c>
      <c r="H411" s="1041">
        <v>875</v>
      </c>
      <c r="I411" s="1039" t="s">
        <v>951</v>
      </c>
      <c r="K411" s="1039" t="s">
        <v>970</v>
      </c>
      <c r="O411" s="1042">
        <v>1</v>
      </c>
      <c r="P411" s="1043">
        <v>34669</v>
      </c>
      <c r="Q411" s="1044">
        <v>0.02</v>
      </c>
      <c r="R411" s="1045">
        <f ca="1">$A411*Q411</f>
        <v>0.76</v>
      </c>
      <c r="S411" s="1044"/>
      <c r="T411" s="1046">
        <f ca="1">$A411*S411*$T$1</f>
        <v>0</v>
      </c>
    </row>
    <row r="412" spans="1:28" s="504" customFormat="1">
      <c r="A412" s="882"/>
      <c r="B412" s="3"/>
      <c r="C412" s="882" t="s">
        <v>161</v>
      </c>
      <c r="D412" s="3"/>
      <c r="E412" s="882"/>
      <c r="F412" s="877"/>
      <c r="G412" s="882"/>
      <c r="H412" s="882"/>
      <c r="I412" s="503"/>
      <c r="J412" s="882"/>
      <c r="K412" s="882"/>
      <c r="L412" s="882"/>
      <c r="M412" s="882"/>
      <c r="N412" s="882"/>
      <c r="O412" s="882"/>
      <c r="P412" s="882"/>
      <c r="Q412" s="503"/>
      <c r="R412" s="1072">
        <f>$A412*Q412</f>
        <v>0</v>
      </c>
      <c r="S412" s="503"/>
      <c r="T412" s="884">
        <f>$A412*S412*$T$1</f>
        <v>0</v>
      </c>
    </row>
    <row r="413" spans="1:28" s="504" customFormat="1" ht="12.6" thickBot="1">
      <c r="A413" s="885" t="s">
        <v>142</v>
      </c>
      <c r="B413" s="886">
        <f>(R412+T412)</f>
        <v>0</v>
      </c>
      <c r="C413" s="887"/>
      <c r="D413" s="1092" t="s">
        <v>162</v>
      </c>
      <c r="E413" s="461">
        <f ca="1">IF($B407=0,0,ROUND(ROUND(($R413*$S$2+($T413*$T$2))/$B407, 2)*$C$2,2))</f>
        <v>11.18</v>
      </c>
      <c r="F413" s="462">
        <f ca="1">ROUND($B407*$E413,2)</f>
        <v>212.42</v>
      </c>
      <c r="G413" s="887"/>
      <c r="H413" s="887"/>
      <c r="I413" s="889"/>
      <c r="J413" s="887"/>
      <c r="K413" s="1093" t="s">
        <v>140</v>
      </c>
      <c r="L413" s="890" t="s">
        <v>140</v>
      </c>
      <c r="M413" s="890"/>
      <c r="N413" s="890"/>
      <c r="O413" s="890"/>
      <c r="P413" s="890"/>
      <c r="Q413" s="1093"/>
      <c r="R413" s="1094">
        <f ca="1">SUM(R408:R412)</f>
        <v>1.52</v>
      </c>
      <c r="S413" s="1095"/>
      <c r="T413" s="1094">
        <f ca="1">SUM(T408:T412)</f>
        <v>5.9850000000000003</v>
      </c>
      <c r="U413" s="514"/>
      <c r="V413" s="514"/>
      <c r="W413" s="514"/>
      <c r="X413" s="514"/>
      <c r="Y413" s="514"/>
      <c r="Z413" s="514"/>
      <c r="AA413" s="514"/>
      <c r="AB413" s="514"/>
    </row>
    <row r="414" spans="1:28" s="504" customFormat="1" ht="12" thickTop="1">
      <c r="A414" s="50"/>
      <c r="B414" s="50"/>
      <c r="C414" s="50"/>
      <c r="D414" s="50"/>
      <c r="E414" s="50"/>
      <c r="F414" s="50"/>
      <c r="G414" s="50"/>
      <c r="H414" s="50"/>
      <c r="I414" s="50"/>
      <c r="J414" s="50"/>
      <c r="K414" s="50"/>
      <c r="L414" s="50"/>
      <c r="M414" s="50"/>
      <c r="N414" s="50"/>
      <c r="O414" s="51"/>
      <c r="P414" s="50"/>
      <c r="Q414" s="41" t="s">
        <v>158</v>
      </c>
      <c r="R414" s="50"/>
      <c r="S414" s="13"/>
      <c r="T414" s="50"/>
    </row>
    <row r="415" spans="1:28" s="504" customFormat="1" ht="12" customHeight="1" thickBot="1">
      <c r="A415" s="1082">
        <v>1</v>
      </c>
      <c r="B415" s="1083">
        <f ca="1">Elec_Est!B5586</f>
        <v>43</v>
      </c>
      <c r="C415" s="1084"/>
      <c r="D415" s="1085" t="s">
        <v>1491</v>
      </c>
      <c r="E415" s="1086"/>
      <c r="F415" s="1086"/>
      <c r="G415" s="876"/>
      <c r="H415" s="876"/>
      <c r="I415" s="1087"/>
      <c r="J415" s="876"/>
      <c r="K415" s="1084" t="s">
        <v>159</v>
      </c>
      <c r="L415" s="1088" t="s">
        <v>159</v>
      </c>
      <c r="M415" s="1088"/>
      <c r="N415" s="1088"/>
      <c r="O415" s="1088"/>
      <c r="P415" s="1088"/>
      <c r="Q415" s="1089">
        <f ca="1">B415/A415</f>
        <v>43</v>
      </c>
      <c r="R415" s="1090">
        <f ca="1">IF($B415=0,0,IF($S$1="R",ROUND(R421/$B415,2),R421/$B415))</f>
        <v>0.08</v>
      </c>
      <c r="S415" s="1091"/>
      <c r="T415" s="1090">
        <f ca="1">IF($B415=0,0,IF($S$1="R",ROUND(T421/$B415,2),T421/$B415))</f>
        <v>0.32</v>
      </c>
    </row>
    <row r="416" spans="1:28" s="504" customFormat="1" ht="13.8" thickTop="1">
      <c r="A416" s="872"/>
      <c r="B416" s="3"/>
      <c r="C416" s="3"/>
      <c r="D416" s="102" t="s">
        <v>160</v>
      </c>
      <c r="E416" s="3"/>
      <c r="F416" s="3"/>
      <c r="G416" s="3"/>
      <c r="H416" s="3"/>
      <c r="I416" s="3"/>
      <c r="J416" s="3"/>
      <c r="K416" s="3"/>
      <c r="L416" s="3"/>
      <c r="M416" s="3"/>
      <c r="N416" s="3"/>
      <c r="O416" s="103"/>
      <c r="P416" s="3"/>
      <c r="Q416" s="3"/>
      <c r="R416" s="3"/>
      <c r="S416" s="3"/>
      <c r="T416" s="3"/>
    </row>
    <row r="417" spans="1:28" s="1039" customFormat="1">
      <c r="A417" s="1296">
        <f ca="1">$Q$415 *(1)</f>
        <v>43</v>
      </c>
      <c r="B417" s="1039" t="s">
        <v>949</v>
      </c>
      <c r="D417" s="1039" t="s">
        <v>1405</v>
      </c>
      <c r="G417" s="1040" t="s">
        <v>1191</v>
      </c>
      <c r="H417" s="1041">
        <v>835</v>
      </c>
      <c r="I417" s="1039" t="s">
        <v>951</v>
      </c>
      <c r="O417" s="1042">
        <v>3</v>
      </c>
      <c r="P417" s="1043">
        <v>38187</v>
      </c>
      <c r="Q417" s="503">
        <v>0</v>
      </c>
      <c r="R417" s="1045">
        <f ca="1">$A417*Q417</f>
        <v>0</v>
      </c>
      <c r="S417" s="1044">
        <v>0.3</v>
      </c>
      <c r="T417" s="1046">
        <f ca="1">$A417*S417*$T$1</f>
        <v>13.545000000000002</v>
      </c>
    </row>
    <row r="418" spans="1:28" s="1039" customFormat="1">
      <c r="A418" s="1296">
        <f ca="1">$Q$415 *(2)</f>
        <v>86</v>
      </c>
      <c r="B418" s="1039" t="s">
        <v>949</v>
      </c>
      <c r="D418" s="1039" t="s">
        <v>965</v>
      </c>
      <c r="G418" s="1040" t="s">
        <v>966</v>
      </c>
      <c r="H418" s="1041">
        <v>875</v>
      </c>
      <c r="I418" s="1039" t="s">
        <v>951</v>
      </c>
      <c r="K418" s="1039" t="s">
        <v>967</v>
      </c>
      <c r="O418" s="1042">
        <v>1</v>
      </c>
      <c r="P418" s="1043">
        <v>34669</v>
      </c>
      <c r="Q418" s="1044">
        <v>0.02</v>
      </c>
      <c r="R418" s="1045">
        <f ca="1">$A418*Q418</f>
        <v>1.72</v>
      </c>
      <c r="S418" s="1044"/>
      <c r="T418" s="1046">
        <f ca="1">$A418*S418*$T$1</f>
        <v>0</v>
      </c>
    </row>
    <row r="419" spans="1:28" s="1039" customFormat="1">
      <c r="A419" s="1296">
        <f ca="1">$Q$415 *(2)</f>
        <v>86</v>
      </c>
      <c r="B419" s="1039" t="s">
        <v>949</v>
      </c>
      <c r="D419" s="1039" t="s">
        <v>968</v>
      </c>
      <c r="G419" s="1040" t="s">
        <v>969</v>
      </c>
      <c r="H419" s="1041">
        <v>875</v>
      </c>
      <c r="I419" s="1039" t="s">
        <v>951</v>
      </c>
      <c r="K419" s="1039" t="s">
        <v>970</v>
      </c>
      <c r="O419" s="1042">
        <v>1</v>
      </c>
      <c r="P419" s="1043">
        <v>34669</v>
      </c>
      <c r="Q419" s="1044">
        <v>0.02</v>
      </c>
      <c r="R419" s="1045">
        <f ca="1">$A419*Q419</f>
        <v>1.72</v>
      </c>
      <c r="S419" s="1044"/>
      <c r="T419" s="1046">
        <f ca="1">$A419*S419*$T$1</f>
        <v>0</v>
      </c>
    </row>
    <row r="420" spans="1:28" s="504" customFormat="1">
      <c r="A420" s="882"/>
      <c r="B420" s="3"/>
      <c r="C420" s="882" t="s">
        <v>161</v>
      </c>
      <c r="D420" s="3"/>
      <c r="E420" s="882"/>
      <c r="F420" s="877"/>
      <c r="G420" s="882"/>
      <c r="H420" s="882"/>
      <c r="I420" s="503"/>
      <c r="J420" s="882"/>
      <c r="K420" s="882"/>
      <c r="L420" s="882"/>
      <c r="M420" s="882"/>
      <c r="N420" s="882"/>
      <c r="O420" s="882"/>
      <c r="P420" s="882"/>
      <c r="Q420" s="503"/>
      <c r="R420" s="1072">
        <f>$A420*Q420</f>
        <v>0</v>
      </c>
      <c r="S420" s="503"/>
      <c r="T420" s="884">
        <f>$A420*S420*$T$1</f>
        <v>0</v>
      </c>
    </row>
    <row r="421" spans="1:28" s="504" customFormat="1" ht="12.6" thickBot="1">
      <c r="A421" s="885" t="s">
        <v>142</v>
      </c>
      <c r="B421" s="886">
        <f>(R420+T420)</f>
        <v>0</v>
      </c>
      <c r="C421" s="887"/>
      <c r="D421" s="1092" t="s">
        <v>162</v>
      </c>
      <c r="E421" s="461">
        <f ca="1">IF($B415=0,0,ROUND(ROUND(($R421*$S$2+($T421*$T$2))/$B415, 2)*$C$2,2))</f>
        <v>11.18</v>
      </c>
      <c r="F421" s="462">
        <f ca="1">ROUND($B415*$E421,2)</f>
        <v>480.74</v>
      </c>
      <c r="G421" s="887"/>
      <c r="H421" s="887"/>
      <c r="I421" s="889"/>
      <c r="J421" s="887"/>
      <c r="K421" s="1093" t="s">
        <v>140</v>
      </c>
      <c r="L421" s="890" t="s">
        <v>140</v>
      </c>
      <c r="M421" s="890"/>
      <c r="N421" s="890"/>
      <c r="O421" s="890"/>
      <c r="P421" s="890"/>
      <c r="Q421" s="1093"/>
      <c r="R421" s="1094">
        <f ca="1">SUM(R416:R420)</f>
        <v>3.44</v>
      </c>
      <c r="S421" s="1095"/>
      <c r="T421" s="1094">
        <f ca="1">SUM(T416:T420)</f>
        <v>13.545000000000002</v>
      </c>
      <c r="U421" s="514"/>
      <c r="V421" s="514"/>
      <c r="W421" s="514"/>
      <c r="X421" s="514"/>
      <c r="Y421" s="514"/>
      <c r="Z421" s="514"/>
      <c r="AA421" s="514"/>
      <c r="AB421" s="514"/>
    </row>
    <row r="422" spans="1:28" s="504" customFormat="1" ht="12" thickTop="1">
      <c r="A422" s="50"/>
      <c r="B422" s="50"/>
      <c r="C422" s="50"/>
      <c r="D422" s="50"/>
      <c r="E422" s="50"/>
      <c r="F422" s="50"/>
      <c r="G422" s="50"/>
      <c r="H422" s="50"/>
      <c r="I422" s="50"/>
      <c r="J422" s="50"/>
      <c r="K422" s="50"/>
      <c r="L422" s="50"/>
      <c r="M422" s="50"/>
      <c r="N422" s="50"/>
      <c r="O422" s="51"/>
      <c r="P422" s="50"/>
      <c r="Q422" s="41" t="s">
        <v>158</v>
      </c>
      <c r="R422" s="50"/>
      <c r="S422" s="13"/>
      <c r="T422" s="50"/>
    </row>
    <row r="423" spans="1:28" s="504" customFormat="1" ht="12" customHeight="1" thickBot="1">
      <c r="A423" s="1082">
        <v>1</v>
      </c>
      <c r="B423" s="1083">
        <f ca="1">Elec_Est!B5587</f>
        <v>7</v>
      </c>
      <c r="C423" s="1084"/>
      <c r="D423" s="1085" t="s">
        <v>1492</v>
      </c>
      <c r="E423" s="1086"/>
      <c r="F423" s="1086"/>
      <c r="G423" s="876"/>
      <c r="H423" s="876"/>
      <c r="I423" s="1087"/>
      <c r="J423" s="876"/>
      <c r="K423" s="1084" t="s">
        <v>159</v>
      </c>
      <c r="L423" s="1088" t="s">
        <v>159</v>
      </c>
      <c r="M423" s="1088"/>
      <c r="N423" s="1088"/>
      <c r="O423" s="1088"/>
      <c r="P423" s="1088"/>
      <c r="Q423" s="1089">
        <f ca="1">B423/A423</f>
        <v>7</v>
      </c>
      <c r="R423" s="1090">
        <f ca="1">IF($B423=0,0,IF($S$1="R",ROUND(R427/$B423,2),R427/$B423))</f>
        <v>0</v>
      </c>
      <c r="S423" s="1091"/>
      <c r="T423" s="1090">
        <f ca="1">IF($B423=0,0,IF($S$1="R",ROUND(T427/$B423,2),T427/$B423))</f>
        <v>0.26</v>
      </c>
    </row>
    <row r="424" spans="1:28" s="504" customFormat="1" ht="13.8" thickTop="1">
      <c r="A424" s="872"/>
      <c r="B424" s="3"/>
      <c r="C424" s="3"/>
      <c r="D424" s="102" t="s">
        <v>160</v>
      </c>
      <c r="E424" s="3"/>
      <c r="F424" s="3"/>
      <c r="G424" s="3"/>
      <c r="H424" s="3"/>
      <c r="I424" s="3"/>
      <c r="J424" s="3"/>
      <c r="K424" s="3"/>
      <c r="L424" s="3"/>
      <c r="M424" s="3"/>
      <c r="N424" s="3"/>
      <c r="O424" s="103"/>
      <c r="P424" s="3"/>
      <c r="Q424" s="3"/>
      <c r="R424" s="3"/>
      <c r="S424" s="3"/>
      <c r="T424" s="3"/>
    </row>
    <row r="425" spans="1:28" s="1039" customFormat="1">
      <c r="A425" s="1296">
        <f ca="1">$Q$423 *(1)</f>
        <v>7</v>
      </c>
      <c r="B425" s="1039" t="s">
        <v>949</v>
      </c>
      <c r="D425" s="1039" t="s">
        <v>1305</v>
      </c>
      <c r="G425" s="1040" t="s">
        <v>1191</v>
      </c>
      <c r="H425" s="1041">
        <v>835</v>
      </c>
      <c r="I425" s="1039" t="s">
        <v>951</v>
      </c>
      <c r="O425" s="1042">
        <v>3</v>
      </c>
      <c r="P425" s="1043">
        <v>38187</v>
      </c>
      <c r="Q425" s="503">
        <v>0</v>
      </c>
      <c r="R425" s="1045">
        <f ca="1">$A425*Q425</f>
        <v>0</v>
      </c>
      <c r="S425" s="1044">
        <v>0.25</v>
      </c>
      <c r="T425" s="1046">
        <f ca="1">$A425*S425*$T$1</f>
        <v>1.8375000000000001</v>
      </c>
    </row>
    <row r="426" spans="1:28" s="504" customFormat="1">
      <c r="A426" s="882"/>
      <c r="B426" s="3"/>
      <c r="C426" s="882" t="s">
        <v>161</v>
      </c>
      <c r="D426" s="3"/>
      <c r="E426" s="882"/>
      <c r="F426" s="877"/>
      <c r="G426" s="882"/>
      <c r="H426" s="882"/>
      <c r="I426" s="503"/>
      <c r="J426" s="882"/>
      <c r="K426" s="882"/>
      <c r="L426" s="882"/>
      <c r="M426" s="882"/>
      <c r="N426" s="882"/>
      <c r="O426" s="882"/>
      <c r="P426" s="882"/>
      <c r="Q426" s="503"/>
      <c r="R426" s="1072">
        <f>$A426*Q426</f>
        <v>0</v>
      </c>
      <c r="S426" s="503"/>
      <c r="T426" s="884">
        <f>$A426*S426*$T$1</f>
        <v>0</v>
      </c>
    </row>
    <row r="427" spans="1:28" s="504" customFormat="1" ht="12.6" thickBot="1">
      <c r="A427" s="885" t="s">
        <v>142</v>
      </c>
      <c r="B427" s="886">
        <f>(R426+T426)</f>
        <v>0</v>
      </c>
      <c r="C427" s="887"/>
      <c r="D427" s="1092" t="s">
        <v>162</v>
      </c>
      <c r="E427" s="461">
        <f ca="1">IF($B423=0,0,ROUND(ROUND(($R427*$S$2+($T427*$T$2))/$B423, 2)*$C$2,2))</f>
        <v>9.23</v>
      </c>
      <c r="F427" s="462">
        <f ca="1">ROUND($B423*$E427,2)</f>
        <v>64.61</v>
      </c>
      <c r="G427" s="887"/>
      <c r="H427" s="887"/>
      <c r="I427" s="889"/>
      <c r="J427" s="887"/>
      <c r="K427" s="1093" t="s">
        <v>140</v>
      </c>
      <c r="L427" s="890" t="s">
        <v>140</v>
      </c>
      <c r="M427" s="890"/>
      <c r="N427" s="890"/>
      <c r="O427" s="890"/>
      <c r="P427" s="890"/>
      <c r="Q427" s="1093"/>
      <c r="R427" s="1094">
        <f ca="1">SUM(R424:R426)</f>
        <v>0</v>
      </c>
      <c r="S427" s="1095"/>
      <c r="T427" s="1094">
        <f ca="1">SUM(T424:T426)</f>
        <v>1.8375000000000001</v>
      </c>
      <c r="U427" s="514"/>
      <c r="V427" s="514"/>
      <c r="W427" s="514"/>
      <c r="X427" s="514"/>
      <c r="Y427" s="514"/>
      <c r="Z427" s="514"/>
      <c r="AA427" s="514"/>
      <c r="AB427" s="514"/>
    </row>
    <row r="428" spans="1:28" s="504" customFormat="1" ht="12" thickTop="1">
      <c r="A428" s="50"/>
      <c r="B428" s="50"/>
      <c r="C428" s="50"/>
      <c r="D428" s="50"/>
      <c r="E428" s="50"/>
      <c r="F428" s="50"/>
      <c r="G428" s="50"/>
      <c r="H428" s="50"/>
      <c r="I428" s="50"/>
      <c r="J428" s="50"/>
      <c r="K428" s="50"/>
      <c r="L428" s="50"/>
      <c r="M428" s="50"/>
      <c r="N428" s="50"/>
      <c r="O428" s="51"/>
      <c r="P428" s="50"/>
      <c r="Q428" s="41" t="s">
        <v>158</v>
      </c>
      <c r="R428" s="50"/>
      <c r="S428" s="13"/>
      <c r="T428" s="50"/>
    </row>
    <row r="429" spans="1:28" s="504" customFormat="1" ht="12" customHeight="1" thickBot="1">
      <c r="A429" s="1082">
        <v>1</v>
      </c>
      <c r="B429" s="1083">
        <f ca="1">Elec_Est!B5588</f>
        <v>6</v>
      </c>
      <c r="C429" s="1084"/>
      <c r="D429" s="1085" t="s">
        <v>1493</v>
      </c>
      <c r="E429" s="1086"/>
      <c r="F429" s="1086"/>
      <c r="G429" s="876"/>
      <c r="H429" s="876"/>
      <c r="I429" s="1087"/>
      <c r="J429" s="876"/>
      <c r="K429" s="1084" t="s">
        <v>159</v>
      </c>
      <c r="L429" s="1088" t="s">
        <v>159</v>
      </c>
      <c r="M429" s="1088"/>
      <c r="N429" s="1088"/>
      <c r="O429" s="1088"/>
      <c r="P429" s="1088"/>
      <c r="Q429" s="1089">
        <f ca="1">B429/A429</f>
        <v>6</v>
      </c>
      <c r="R429" s="1090">
        <f ca="1">IF($B429=0,0,IF($S$1="R",ROUND(R434/$B429,2),R434/$B429))</f>
        <v>1.1000000000000001</v>
      </c>
      <c r="S429" s="1091"/>
      <c r="T429" s="1090">
        <f ca="1">IF($B429=0,0,IF($S$1="R",ROUND(T434/$B429,2),T434/$B429))</f>
        <v>0.37</v>
      </c>
    </row>
    <row r="430" spans="1:28" s="504" customFormat="1" ht="13.8" thickTop="1">
      <c r="A430" s="872"/>
      <c r="B430" s="3"/>
      <c r="C430" s="3"/>
      <c r="D430" s="102" t="s">
        <v>160</v>
      </c>
      <c r="E430" s="3"/>
      <c r="F430" s="3"/>
      <c r="G430" s="3"/>
      <c r="H430" s="3"/>
      <c r="I430" s="3"/>
      <c r="J430" s="3"/>
      <c r="K430" s="3"/>
      <c r="L430" s="3"/>
      <c r="M430" s="3"/>
      <c r="N430" s="3"/>
      <c r="O430" s="103"/>
      <c r="P430" s="3"/>
      <c r="Q430" s="3"/>
      <c r="R430" s="3"/>
      <c r="S430" s="3"/>
      <c r="T430" s="3"/>
    </row>
    <row r="431" spans="1:28" s="1039" customFormat="1">
      <c r="A431" s="1296">
        <f ca="1">$Q$429 *(1)</f>
        <v>6</v>
      </c>
      <c r="B431" s="1039" t="s">
        <v>949</v>
      </c>
      <c r="D431" s="1039" t="s">
        <v>1209</v>
      </c>
      <c r="G431" s="1040" t="s">
        <v>1191</v>
      </c>
      <c r="H431" s="1041">
        <v>835</v>
      </c>
      <c r="I431" s="1039" t="s">
        <v>951</v>
      </c>
      <c r="O431" s="1042">
        <v>3</v>
      </c>
      <c r="P431" s="1043">
        <v>38187</v>
      </c>
      <c r="Q431" s="503">
        <v>0</v>
      </c>
      <c r="R431" s="1045">
        <f ca="1">$A431*Q431</f>
        <v>0</v>
      </c>
      <c r="S431" s="1044">
        <v>0.3</v>
      </c>
      <c r="T431" s="1046">
        <f ca="1">$A431*S431*$T$1</f>
        <v>1.89</v>
      </c>
    </row>
    <row r="432" spans="1:28" s="1039" customFormat="1">
      <c r="A432" s="1296">
        <f ca="1">$Q$429 *(1)</f>
        <v>6</v>
      </c>
      <c r="B432" s="1039" t="s">
        <v>326</v>
      </c>
      <c r="D432" s="1039" t="s">
        <v>1180</v>
      </c>
      <c r="G432" s="1040" t="s">
        <v>1167</v>
      </c>
      <c r="H432" s="1041">
        <v>615</v>
      </c>
      <c r="I432" s="1039" t="s">
        <v>991</v>
      </c>
      <c r="K432" s="1039" t="s">
        <v>1168</v>
      </c>
      <c r="O432" s="1042">
        <v>2</v>
      </c>
      <c r="P432" s="1043">
        <v>38988</v>
      </c>
      <c r="Q432" s="1044">
        <v>1.1000000000000001</v>
      </c>
      <c r="R432" s="1045">
        <f ca="1">$A432*Q432</f>
        <v>6.6000000000000005</v>
      </c>
      <c r="S432" s="1044">
        <v>0.05</v>
      </c>
      <c r="T432" s="1046">
        <f ca="1">$A432*S432*$T$1</f>
        <v>0.31500000000000006</v>
      </c>
    </row>
    <row r="433" spans="1:28" s="504" customFormat="1">
      <c r="A433" s="882"/>
      <c r="B433" s="3"/>
      <c r="C433" s="882" t="s">
        <v>161</v>
      </c>
      <c r="D433" s="3"/>
      <c r="E433" s="882"/>
      <c r="F433" s="877"/>
      <c r="G433" s="882"/>
      <c r="H433" s="882"/>
      <c r="I433" s="503"/>
      <c r="J433" s="882"/>
      <c r="K433" s="882"/>
      <c r="L433" s="882"/>
      <c r="M433" s="882"/>
      <c r="N433" s="882"/>
      <c r="O433" s="882"/>
      <c r="P433" s="882"/>
      <c r="Q433" s="503"/>
      <c r="R433" s="1072">
        <f>$A433*Q433</f>
        <v>0</v>
      </c>
      <c r="S433" s="503"/>
      <c r="T433" s="884">
        <f>$A433*S433*$T$1</f>
        <v>0</v>
      </c>
    </row>
    <row r="434" spans="1:28" s="504" customFormat="1" ht="12.6" thickBot="1">
      <c r="A434" s="885" t="s">
        <v>142</v>
      </c>
      <c r="B434" s="886">
        <f>(R433+T433)</f>
        <v>0</v>
      </c>
      <c r="C434" s="887"/>
      <c r="D434" s="1092" t="s">
        <v>162</v>
      </c>
      <c r="E434" s="461">
        <f ca="1">IF($B429=0,0,ROUND(ROUND(($R434*$S$2+($T434*$T$2))/$B429, 2)*$C$2,2))</f>
        <v>14.27</v>
      </c>
      <c r="F434" s="462">
        <f ca="1">ROUND($B429*$E434,2)</f>
        <v>85.62</v>
      </c>
      <c r="G434" s="887"/>
      <c r="H434" s="887"/>
      <c r="I434" s="889"/>
      <c r="J434" s="887"/>
      <c r="K434" s="1093" t="s">
        <v>140</v>
      </c>
      <c r="L434" s="890" t="s">
        <v>140</v>
      </c>
      <c r="M434" s="890"/>
      <c r="N434" s="890"/>
      <c r="O434" s="890"/>
      <c r="P434" s="890"/>
      <c r="Q434" s="1093"/>
      <c r="R434" s="1094">
        <f ca="1">SUM(R430:R433)</f>
        <v>6.6000000000000005</v>
      </c>
      <c r="S434" s="1095"/>
      <c r="T434" s="1094">
        <f ca="1">SUM(T430:T433)</f>
        <v>2.2050000000000001</v>
      </c>
      <c r="U434" s="514"/>
      <c r="V434" s="514"/>
      <c r="W434" s="514"/>
      <c r="X434" s="514"/>
      <c r="Y434" s="514"/>
      <c r="Z434" s="514"/>
      <c r="AA434" s="514"/>
      <c r="AB434" s="514"/>
    </row>
    <row r="435" spans="1:28" s="504" customFormat="1" ht="12" thickTop="1">
      <c r="A435" s="50"/>
      <c r="B435" s="50"/>
      <c r="C435" s="50"/>
      <c r="D435" s="50"/>
      <c r="E435" s="50"/>
      <c r="F435" s="50"/>
      <c r="G435" s="50"/>
      <c r="H435" s="50"/>
      <c r="I435" s="50"/>
      <c r="J435" s="50"/>
      <c r="K435" s="50"/>
      <c r="L435" s="50"/>
      <c r="M435" s="50"/>
      <c r="N435" s="50"/>
      <c r="O435" s="51"/>
      <c r="P435" s="50"/>
      <c r="Q435" s="41" t="s">
        <v>158</v>
      </c>
      <c r="R435" s="50"/>
      <c r="S435" s="13"/>
      <c r="T435" s="50"/>
    </row>
    <row r="436" spans="1:28" s="504" customFormat="1" ht="12" customHeight="1" thickBot="1">
      <c r="A436" s="1082">
        <v>1</v>
      </c>
      <c r="B436" s="1083">
        <f ca="1">Elec_Est!B5589</f>
        <v>3</v>
      </c>
      <c r="C436" s="1084"/>
      <c r="D436" s="1085" t="s">
        <v>1494</v>
      </c>
      <c r="E436" s="1086"/>
      <c r="F436" s="1086"/>
      <c r="G436" s="876"/>
      <c r="H436" s="876"/>
      <c r="I436" s="1087"/>
      <c r="J436" s="876"/>
      <c r="K436" s="1084" t="s">
        <v>159</v>
      </c>
      <c r="L436" s="1088" t="s">
        <v>159</v>
      </c>
      <c r="M436" s="1088"/>
      <c r="N436" s="1088"/>
      <c r="O436" s="1088"/>
      <c r="P436" s="1088"/>
      <c r="Q436" s="1089">
        <f ca="1">B436/A436</f>
        <v>3</v>
      </c>
      <c r="R436" s="1090">
        <f ca="1">IF($B436=0,0,IF($S$1="R",ROUND(R442/$B436,2),R442/$B436))</f>
        <v>17.78</v>
      </c>
      <c r="S436" s="1091"/>
      <c r="T436" s="1090">
        <f ca="1">IF($B436=0,0,IF($S$1="R",ROUND(T442/$B436,2),T442/$B436))</f>
        <v>0.57999999999999996</v>
      </c>
    </row>
    <row r="437" spans="1:28" s="504" customFormat="1" ht="13.8" thickTop="1">
      <c r="A437" s="872"/>
      <c r="B437" s="3"/>
      <c r="C437" s="3"/>
      <c r="D437" s="102" t="s">
        <v>160</v>
      </c>
      <c r="E437" s="3"/>
      <c r="F437" s="3"/>
      <c r="G437" s="3"/>
      <c r="H437" s="3"/>
      <c r="I437" s="3"/>
      <c r="J437" s="3"/>
      <c r="K437" s="3"/>
      <c r="L437" s="3"/>
      <c r="M437" s="3"/>
      <c r="N437" s="3"/>
      <c r="O437" s="103"/>
      <c r="P437" s="3"/>
      <c r="Q437" s="3"/>
      <c r="R437" s="3"/>
      <c r="S437" s="3"/>
      <c r="T437" s="3"/>
    </row>
    <row r="438" spans="1:28" s="1039" customFormat="1">
      <c r="A438" s="1296">
        <f ca="1">$Q$436 *(1)</f>
        <v>3</v>
      </c>
      <c r="B438" s="1039" t="s">
        <v>949</v>
      </c>
      <c r="D438" s="1039" t="s">
        <v>1362</v>
      </c>
      <c r="G438" s="1040" t="s">
        <v>1191</v>
      </c>
      <c r="H438" s="1041">
        <v>835</v>
      </c>
      <c r="I438" s="1039" t="s">
        <v>951</v>
      </c>
      <c r="O438" s="1042">
        <v>3</v>
      </c>
      <c r="P438" s="1043">
        <v>38187</v>
      </c>
      <c r="Q438" s="503">
        <v>0</v>
      </c>
      <c r="R438" s="1045">
        <f ca="1">$A438*Q438</f>
        <v>0</v>
      </c>
      <c r="S438" s="1044">
        <v>0.3</v>
      </c>
      <c r="T438" s="1046">
        <f ca="1">$A438*S438*$T$1</f>
        <v>0.94499999999999995</v>
      </c>
    </row>
    <row r="439" spans="1:28" s="1039" customFormat="1">
      <c r="A439" s="1295">
        <f ca="1">$Q$436 *(1)</f>
        <v>3</v>
      </c>
      <c r="B439" s="1039" t="s">
        <v>949</v>
      </c>
      <c r="D439" s="1039" t="s">
        <v>1212</v>
      </c>
      <c r="G439" s="1040" t="s">
        <v>1213</v>
      </c>
      <c r="H439" s="1041">
        <v>570</v>
      </c>
      <c r="I439" s="1039" t="s">
        <v>1211</v>
      </c>
      <c r="J439" s="1039" t="s">
        <v>1214</v>
      </c>
      <c r="O439" s="1042">
        <v>2</v>
      </c>
      <c r="P439" s="1043">
        <v>38047</v>
      </c>
      <c r="Q439" s="1044">
        <f>11.81*1.5</f>
        <v>17.715</v>
      </c>
      <c r="R439" s="1045">
        <f ca="1">$A439*Q439</f>
        <v>53.144999999999996</v>
      </c>
      <c r="S439" s="1044">
        <v>0.25</v>
      </c>
      <c r="T439" s="1046">
        <f ca="1">$A439*S439*$T$1</f>
        <v>0.78750000000000009</v>
      </c>
    </row>
    <row r="440" spans="1:28" s="1039" customFormat="1">
      <c r="A440" s="1296">
        <f ca="1">$Q$436 *(3)</f>
        <v>9</v>
      </c>
      <c r="B440" s="1039" t="s">
        <v>949</v>
      </c>
      <c r="D440" s="1039" t="s">
        <v>1215</v>
      </c>
      <c r="G440" s="1040" t="s">
        <v>1216</v>
      </c>
      <c r="H440" s="1041">
        <v>875</v>
      </c>
      <c r="I440" s="1039" t="s">
        <v>951</v>
      </c>
      <c r="K440" s="1039" t="s">
        <v>1217</v>
      </c>
      <c r="O440" s="1042">
        <v>1</v>
      </c>
      <c r="P440" s="1043">
        <v>34851</v>
      </c>
      <c r="Q440" s="1044">
        <v>0.02</v>
      </c>
      <c r="R440" s="1045">
        <f ca="1">$A440*Q440</f>
        <v>0.18</v>
      </c>
      <c r="S440" s="1044"/>
      <c r="T440" s="1046">
        <f ca="1">$A440*S440*$T$1</f>
        <v>0</v>
      </c>
    </row>
    <row r="441" spans="1:28" s="504" customFormat="1">
      <c r="A441" s="882"/>
      <c r="B441" s="3"/>
      <c r="C441" s="882" t="s">
        <v>161</v>
      </c>
      <c r="D441" s="3"/>
      <c r="E441" s="882"/>
      <c r="F441" s="877"/>
      <c r="G441" s="882"/>
      <c r="H441" s="882"/>
      <c r="I441" s="503"/>
      <c r="J441" s="882"/>
      <c r="K441" s="882"/>
      <c r="L441" s="882"/>
      <c r="M441" s="882"/>
      <c r="N441" s="882"/>
      <c r="O441" s="882"/>
      <c r="P441" s="882"/>
      <c r="Q441" s="503"/>
      <c r="R441" s="1072">
        <f>$A441*Q441</f>
        <v>0</v>
      </c>
      <c r="S441" s="503"/>
      <c r="T441" s="884">
        <f>$A441*S441*$T$1</f>
        <v>0</v>
      </c>
    </row>
    <row r="442" spans="1:28" s="504" customFormat="1" ht="12.6" thickBot="1">
      <c r="A442" s="885" t="s">
        <v>142</v>
      </c>
      <c r="B442" s="886">
        <f>(R441+T441)</f>
        <v>0</v>
      </c>
      <c r="C442" s="887"/>
      <c r="D442" s="1092" t="s">
        <v>162</v>
      </c>
      <c r="E442" s="461">
        <f ca="1">IF($B436=0,0,ROUND(ROUND(($R442*$S$2+($T442*$T$2))/$B436, 2)*$C$2,2))</f>
        <v>42</v>
      </c>
      <c r="F442" s="462">
        <f ca="1">ROUND($B436*$E442,2)</f>
        <v>126</v>
      </c>
      <c r="G442" s="887"/>
      <c r="H442" s="887"/>
      <c r="I442" s="889"/>
      <c r="J442" s="887"/>
      <c r="K442" s="1093" t="s">
        <v>140</v>
      </c>
      <c r="L442" s="890" t="s">
        <v>140</v>
      </c>
      <c r="M442" s="890"/>
      <c r="N442" s="890"/>
      <c r="O442" s="890"/>
      <c r="P442" s="890"/>
      <c r="Q442" s="1093"/>
      <c r="R442" s="1094">
        <f ca="1">SUM(R437:R441)</f>
        <v>53.324999999999996</v>
      </c>
      <c r="S442" s="1095"/>
      <c r="T442" s="1094">
        <f ca="1">SUM(T437:T441)</f>
        <v>1.7324999999999999</v>
      </c>
      <c r="U442" s="514"/>
      <c r="V442" s="514"/>
      <c r="W442" s="514"/>
      <c r="X442" s="514"/>
      <c r="Y442" s="514"/>
      <c r="Z442" s="514"/>
      <c r="AA442" s="514"/>
      <c r="AB442" s="514"/>
    </row>
    <row r="443" spans="1:28" s="504" customFormat="1" ht="12" thickTop="1">
      <c r="A443" s="50"/>
      <c r="B443" s="50"/>
      <c r="C443" s="50"/>
      <c r="D443" s="50"/>
      <c r="E443" s="50"/>
      <c r="F443" s="50"/>
      <c r="G443" s="50"/>
      <c r="H443" s="50"/>
      <c r="I443" s="50"/>
      <c r="J443" s="50"/>
      <c r="K443" s="50"/>
      <c r="L443" s="50"/>
      <c r="M443" s="50"/>
      <c r="N443" s="50"/>
      <c r="O443" s="51"/>
      <c r="P443" s="50"/>
      <c r="Q443" s="41" t="s">
        <v>158</v>
      </c>
      <c r="R443" s="50"/>
      <c r="S443" s="13"/>
      <c r="T443" s="50"/>
    </row>
    <row r="444" spans="1:28" s="504" customFormat="1" ht="12" customHeight="1" thickBot="1">
      <c r="A444" s="1082">
        <v>1</v>
      </c>
      <c r="B444" s="1083">
        <f ca="1">Elec_Est!B5590</f>
        <v>48</v>
      </c>
      <c r="C444" s="1084"/>
      <c r="D444" s="1085" t="s">
        <v>1495</v>
      </c>
      <c r="E444" s="1086"/>
      <c r="F444" s="1086"/>
      <c r="G444" s="876"/>
      <c r="H444" s="876"/>
      <c r="I444" s="1087"/>
      <c r="J444" s="876"/>
      <c r="K444" s="1084" t="s">
        <v>159</v>
      </c>
      <c r="L444" s="1088" t="s">
        <v>159</v>
      </c>
      <c r="M444" s="1088"/>
      <c r="N444" s="1088"/>
      <c r="O444" s="1088"/>
      <c r="P444" s="1088"/>
      <c r="Q444" s="1089">
        <f ca="1">B444/A444</f>
        <v>48</v>
      </c>
      <c r="R444" s="1090">
        <f ca="1">IF($B444=0,0,IF($S$1="R",ROUND(R450/$B444,2),R450/$B444))</f>
        <v>17.78</v>
      </c>
      <c r="S444" s="1091"/>
      <c r="T444" s="1090">
        <f ca="1">IF($B444=0,0,IF($S$1="R",ROUND(T450/$B444,2),T450/$B444))</f>
        <v>0.79</v>
      </c>
    </row>
    <row r="445" spans="1:28" s="504" customFormat="1" ht="13.8" thickTop="1">
      <c r="A445" s="872"/>
      <c r="B445" s="3"/>
      <c r="C445" s="3"/>
      <c r="D445" s="102" t="s">
        <v>160</v>
      </c>
      <c r="E445" s="3"/>
      <c r="F445" s="3"/>
      <c r="G445" s="3"/>
      <c r="H445" s="3"/>
      <c r="I445" s="3"/>
      <c r="J445" s="3"/>
      <c r="K445" s="3"/>
      <c r="L445" s="3"/>
      <c r="M445" s="3"/>
      <c r="N445" s="3"/>
      <c r="O445" s="103"/>
      <c r="P445" s="3"/>
      <c r="Q445" s="3"/>
      <c r="R445" s="3"/>
      <c r="S445" s="3"/>
      <c r="T445" s="3"/>
    </row>
    <row r="446" spans="1:28" s="1039" customFormat="1">
      <c r="A446" s="1296">
        <f ca="1">$Q$444 *(1)</f>
        <v>48</v>
      </c>
      <c r="B446" s="1039" t="s">
        <v>949</v>
      </c>
      <c r="D446" s="1039" t="s">
        <v>1210</v>
      </c>
      <c r="G446" s="1040" t="s">
        <v>1191</v>
      </c>
      <c r="H446" s="1041">
        <v>835</v>
      </c>
      <c r="I446" s="1039" t="s">
        <v>951</v>
      </c>
      <c r="O446" s="1042">
        <v>3</v>
      </c>
      <c r="P446" s="1043">
        <v>38187</v>
      </c>
      <c r="Q446" s="503">
        <v>0</v>
      </c>
      <c r="R446" s="1045">
        <f ca="1">$A446*Q446</f>
        <v>0</v>
      </c>
      <c r="S446" s="1044">
        <v>0.5</v>
      </c>
      <c r="T446" s="1046">
        <f ca="1">$A446*S446*$T$1</f>
        <v>25.200000000000003</v>
      </c>
    </row>
    <row r="447" spans="1:28" s="1039" customFormat="1">
      <c r="A447" s="1295">
        <f ca="1">$Q$444 *(1)</f>
        <v>48</v>
      </c>
      <c r="B447" s="1039" t="s">
        <v>949</v>
      </c>
      <c r="D447" s="1039" t="s">
        <v>1212</v>
      </c>
      <c r="G447" s="1040" t="s">
        <v>1213</v>
      </c>
      <c r="H447" s="1041">
        <v>570</v>
      </c>
      <c r="I447" s="1039" t="s">
        <v>1211</v>
      </c>
      <c r="J447" s="1039" t="s">
        <v>1214</v>
      </c>
      <c r="O447" s="1042">
        <v>2</v>
      </c>
      <c r="P447" s="1043">
        <v>38047</v>
      </c>
      <c r="Q447" s="1044">
        <f>11.81*1.5</f>
        <v>17.715</v>
      </c>
      <c r="R447" s="1045">
        <f ca="1">$A447*Q447</f>
        <v>850.31999999999994</v>
      </c>
      <c r="S447" s="1044">
        <v>0.25</v>
      </c>
      <c r="T447" s="1046">
        <f ca="1">$A447*S447*$T$1</f>
        <v>12.600000000000001</v>
      </c>
    </row>
    <row r="448" spans="1:28" s="1039" customFormat="1">
      <c r="A448" s="1296">
        <f ca="1">$Q$444 *(3)</f>
        <v>144</v>
      </c>
      <c r="B448" s="1039" t="s">
        <v>949</v>
      </c>
      <c r="D448" s="1039" t="s">
        <v>1215</v>
      </c>
      <c r="G448" s="1040" t="s">
        <v>1216</v>
      </c>
      <c r="H448" s="1041">
        <v>875</v>
      </c>
      <c r="I448" s="1039" t="s">
        <v>951</v>
      </c>
      <c r="K448" s="1039" t="s">
        <v>1217</v>
      </c>
      <c r="O448" s="1042">
        <v>1</v>
      </c>
      <c r="P448" s="1043">
        <v>34851</v>
      </c>
      <c r="Q448" s="1044">
        <v>0.02</v>
      </c>
      <c r="R448" s="1045">
        <f ca="1">$A448*Q448</f>
        <v>2.88</v>
      </c>
      <c r="S448" s="1044"/>
      <c r="T448" s="1046">
        <f ca="1">$A448*S448*$T$1</f>
        <v>0</v>
      </c>
    </row>
    <row r="449" spans="1:28" s="504" customFormat="1">
      <c r="A449" s="882"/>
      <c r="B449" s="3"/>
      <c r="C449" s="882" t="s">
        <v>161</v>
      </c>
      <c r="D449" s="3"/>
      <c r="E449" s="882"/>
      <c r="F449" s="877"/>
      <c r="G449" s="882"/>
      <c r="H449" s="882"/>
      <c r="I449" s="503"/>
      <c r="J449" s="882"/>
      <c r="K449" s="882"/>
      <c r="L449" s="882"/>
      <c r="M449" s="882"/>
      <c r="N449" s="882"/>
      <c r="O449" s="882"/>
      <c r="P449" s="882"/>
      <c r="Q449" s="503"/>
      <c r="R449" s="1072">
        <f>$A449*Q449</f>
        <v>0</v>
      </c>
      <c r="S449" s="503"/>
      <c r="T449" s="884">
        <f>$A449*S449*$T$1</f>
        <v>0</v>
      </c>
    </row>
    <row r="450" spans="1:28" s="504" customFormat="1" ht="12.6" thickBot="1">
      <c r="A450" s="885" t="s">
        <v>142</v>
      </c>
      <c r="B450" s="886">
        <f>(R449+T449)</f>
        <v>0</v>
      </c>
      <c r="C450" s="887"/>
      <c r="D450" s="1092" t="s">
        <v>162</v>
      </c>
      <c r="E450" s="461">
        <f ca="1">IF($B444=0,0,ROUND(ROUND(($R450*$S$2+($T450*$T$2))/$B444, 2)*$C$2,2))</f>
        <v>49.39</v>
      </c>
      <c r="F450" s="462">
        <f ca="1">ROUND($B444*$E450,2)</f>
        <v>2370.7199999999998</v>
      </c>
      <c r="G450" s="887"/>
      <c r="H450" s="887"/>
      <c r="I450" s="889"/>
      <c r="J450" s="887"/>
      <c r="K450" s="1093" t="s">
        <v>140</v>
      </c>
      <c r="L450" s="890" t="s">
        <v>140</v>
      </c>
      <c r="M450" s="890"/>
      <c r="N450" s="890"/>
      <c r="O450" s="890"/>
      <c r="P450" s="890"/>
      <c r="Q450" s="1093"/>
      <c r="R450" s="1094">
        <f ca="1">SUM(R445:R449)</f>
        <v>853.19999999999993</v>
      </c>
      <c r="S450" s="1095"/>
      <c r="T450" s="1094">
        <f ca="1">SUM(T445:T449)</f>
        <v>37.800000000000004</v>
      </c>
      <c r="U450" s="514"/>
      <c r="V450" s="514"/>
      <c r="W450" s="514"/>
      <c r="X450" s="514"/>
      <c r="Y450" s="514"/>
      <c r="Z450" s="514"/>
      <c r="AA450" s="514"/>
      <c r="AB450" s="514"/>
    </row>
    <row r="451" spans="1:28" s="504" customFormat="1" ht="12" thickTop="1">
      <c r="A451" s="50"/>
      <c r="B451" s="50"/>
      <c r="C451" s="50"/>
      <c r="D451" s="50"/>
      <c r="E451" s="50"/>
      <c r="F451" s="50"/>
      <c r="G451" s="50"/>
      <c r="H451" s="50"/>
      <c r="I451" s="50"/>
      <c r="J451" s="50"/>
      <c r="K451" s="50"/>
      <c r="L451" s="50"/>
      <c r="M451" s="50"/>
      <c r="N451" s="50"/>
      <c r="O451" s="51"/>
      <c r="P451" s="50"/>
      <c r="Q451" s="41" t="s">
        <v>158</v>
      </c>
      <c r="R451" s="50"/>
      <c r="S451" s="13"/>
      <c r="T451" s="50"/>
    </row>
    <row r="452" spans="1:28" s="504" customFormat="1" ht="12" customHeight="1" thickBot="1">
      <c r="A452" s="1082">
        <v>1</v>
      </c>
      <c r="B452" s="1083">
        <f ca="1">Elec_Est!B5591</f>
        <v>23</v>
      </c>
      <c r="C452" s="1084"/>
      <c r="D452" s="1085" t="s">
        <v>1496</v>
      </c>
      <c r="E452" s="1086"/>
      <c r="F452" s="1086"/>
      <c r="G452" s="876"/>
      <c r="H452" s="876"/>
      <c r="I452" s="1087"/>
      <c r="J452" s="876"/>
      <c r="K452" s="1084" t="s">
        <v>159</v>
      </c>
      <c r="L452" s="1088" t="s">
        <v>159</v>
      </c>
      <c r="M452" s="1088"/>
      <c r="N452" s="1088"/>
      <c r="O452" s="1088"/>
      <c r="P452" s="1088"/>
      <c r="Q452" s="1089">
        <f ca="1">B452/A452</f>
        <v>23</v>
      </c>
      <c r="R452" s="1090">
        <f ca="1">IF($B452=0,0,IF($S$1="R",ROUND(R456/$B452,2),R456/$B452))</f>
        <v>0</v>
      </c>
      <c r="S452" s="1091"/>
      <c r="T452" s="1090">
        <f ca="1">IF($B452=0,0,IF($S$1="R",ROUND(T456/$B452,2),T456/$B452))</f>
        <v>0.16</v>
      </c>
    </row>
    <row r="453" spans="1:28" s="504" customFormat="1" ht="13.8" thickTop="1">
      <c r="A453" s="872"/>
      <c r="B453" s="3"/>
      <c r="C453" s="3"/>
      <c r="D453" s="102" t="s">
        <v>160</v>
      </c>
      <c r="E453" s="3"/>
      <c r="F453" s="3"/>
      <c r="G453" s="3"/>
      <c r="H453" s="3"/>
      <c r="I453" s="3"/>
      <c r="J453" s="3"/>
      <c r="K453" s="3"/>
      <c r="L453" s="3"/>
      <c r="M453" s="3"/>
      <c r="N453" s="3"/>
      <c r="O453" s="103"/>
      <c r="P453" s="3"/>
      <c r="Q453" s="3"/>
      <c r="R453" s="3"/>
      <c r="S453" s="3"/>
      <c r="T453" s="3"/>
    </row>
    <row r="454" spans="1:28" s="1039" customFormat="1">
      <c r="A454" s="1296">
        <f ca="1">$Q$452 *(1)</f>
        <v>23</v>
      </c>
      <c r="B454" s="1039" t="s">
        <v>949</v>
      </c>
      <c r="D454" s="1039" t="s">
        <v>1306</v>
      </c>
      <c r="G454" s="1040" t="s">
        <v>1191</v>
      </c>
      <c r="H454" s="1041">
        <v>835</v>
      </c>
      <c r="I454" s="1039" t="s">
        <v>951</v>
      </c>
      <c r="O454" s="1042">
        <v>3</v>
      </c>
      <c r="P454" s="1043">
        <v>38187</v>
      </c>
      <c r="Q454" s="503">
        <v>0</v>
      </c>
      <c r="R454" s="1045">
        <f ca="1">$A454*Q454</f>
        <v>0</v>
      </c>
      <c r="S454" s="1044">
        <v>0.15</v>
      </c>
      <c r="T454" s="1046">
        <f ca="1">$A454*S454*$T$1</f>
        <v>3.6225000000000001</v>
      </c>
    </row>
    <row r="455" spans="1:28" s="504" customFormat="1">
      <c r="A455" s="882"/>
      <c r="B455" s="3"/>
      <c r="C455" s="882" t="s">
        <v>161</v>
      </c>
      <c r="D455" s="3"/>
      <c r="E455" s="882"/>
      <c r="F455" s="877"/>
      <c r="G455" s="882"/>
      <c r="H455" s="882"/>
      <c r="I455" s="503"/>
      <c r="J455" s="882"/>
      <c r="K455" s="882"/>
      <c r="L455" s="882"/>
      <c r="M455" s="882"/>
      <c r="N455" s="882"/>
      <c r="O455" s="882"/>
      <c r="P455" s="882"/>
      <c r="Q455" s="503"/>
      <c r="R455" s="1072">
        <f>$A455*Q455</f>
        <v>0</v>
      </c>
      <c r="S455" s="503"/>
      <c r="T455" s="884">
        <f>$A455*S455*$T$1</f>
        <v>0</v>
      </c>
    </row>
    <row r="456" spans="1:28" s="504" customFormat="1" ht="12.6" thickBot="1">
      <c r="A456" s="885" t="s">
        <v>142</v>
      </c>
      <c r="B456" s="886">
        <f>(R455+T455)</f>
        <v>0</v>
      </c>
      <c r="C456" s="887"/>
      <c r="D456" s="1092" t="s">
        <v>162</v>
      </c>
      <c r="E456" s="461">
        <f ca="1">IF($B452=0,0,ROUND(ROUND(($R456*$S$2+($T456*$T$2))/$B452, 2)*$C$2,2))</f>
        <v>5.54</v>
      </c>
      <c r="F456" s="462">
        <f ca="1">ROUND($B452*$E456,2)</f>
        <v>127.42</v>
      </c>
      <c r="G456" s="887"/>
      <c r="H456" s="887"/>
      <c r="I456" s="889"/>
      <c r="J456" s="887"/>
      <c r="K456" s="1093" t="s">
        <v>140</v>
      </c>
      <c r="L456" s="890" t="s">
        <v>140</v>
      </c>
      <c r="M456" s="890"/>
      <c r="N456" s="890"/>
      <c r="O456" s="890"/>
      <c r="P456" s="890"/>
      <c r="Q456" s="1093"/>
      <c r="R456" s="1094">
        <f ca="1">SUM(R453:R455)</f>
        <v>0</v>
      </c>
      <c r="S456" s="1095"/>
      <c r="T456" s="1094">
        <f ca="1">SUM(T453:T455)</f>
        <v>3.6225000000000001</v>
      </c>
      <c r="U456" s="514"/>
      <c r="V456" s="514"/>
      <c r="W456" s="514"/>
      <c r="X456" s="514"/>
      <c r="Y456" s="514"/>
      <c r="Z456" s="514"/>
      <c r="AA456" s="514"/>
      <c r="AB456" s="514"/>
    </row>
    <row r="457" spans="1:28" s="504" customFormat="1" ht="12" thickTop="1">
      <c r="A457" s="50"/>
      <c r="B457" s="50"/>
      <c r="C457" s="50"/>
      <c r="D457" s="50"/>
      <c r="E457" s="50"/>
      <c r="F457" s="50"/>
      <c r="G457" s="50"/>
      <c r="H457" s="50"/>
      <c r="I457" s="50"/>
      <c r="J457" s="50"/>
      <c r="K457" s="50"/>
      <c r="L457" s="50"/>
      <c r="M457" s="50"/>
      <c r="N457" s="50"/>
      <c r="O457" s="51"/>
      <c r="P457" s="50"/>
      <c r="Q457" s="41" t="s">
        <v>158</v>
      </c>
      <c r="R457" s="50"/>
      <c r="S457" s="13"/>
      <c r="T457" s="50"/>
    </row>
    <row r="458" spans="1:28" s="504" customFormat="1" ht="12" customHeight="1" thickBot="1">
      <c r="A458" s="1082">
        <v>1</v>
      </c>
      <c r="B458" s="1083">
        <f ca="1">Elec_Est!B5592</f>
        <v>22</v>
      </c>
      <c r="C458" s="1084"/>
      <c r="D458" s="1085" t="s">
        <v>1497</v>
      </c>
      <c r="E458" s="1086"/>
      <c r="F458" s="1086"/>
      <c r="G458" s="876"/>
      <c r="H458" s="876"/>
      <c r="I458" s="1087"/>
      <c r="J458" s="876"/>
      <c r="K458" s="1084" t="s">
        <v>159</v>
      </c>
      <c r="L458" s="1088" t="s">
        <v>159</v>
      </c>
      <c r="M458" s="1088"/>
      <c r="N458" s="1088"/>
      <c r="O458" s="1088"/>
      <c r="P458" s="1088"/>
      <c r="Q458" s="1089">
        <f ca="1">B458/A458</f>
        <v>22</v>
      </c>
      <c r="R458" s="1090">
        <f ca="1">IF($B458=0,0,IF($S$1="R",ROUND(R462/$B458,2),R462/$B458))</f>
        <v>0</v>
      </c>
      <c r="S458" s="1091"/>
      <c r="T458" s="1090">
        <f ca="1">IF($B458=0,0,IF($S$1="R",ROUND(T462/$B458,2),T462/$B458))</f>
        <v>0.16</v>
      </c>
    </row>
    <row r="459" spans="1:28" s="504" customFormat="1" ht="13.8" thickTop="1">
      <c r="A459" s="872"/>
      <c r="B459" s="3"/>
      <c r="C459" s="3"/>
      <c r="D459" s="102" t="s">
        <v>160</v>
      </c>
      <c r="E459" s="3"/>
      <c r="F459" s="3"/>
      <c r="G459" s="3"/>
      <c r="H459" s="3"/>
      <c r="I459" s="3"/>
      <c r="J459" s="3"/>
      <c r="K459" s="3"/>
      <c r="L459" s="3"/>
      <c r="M459" s="3"/>
      <c r="N459" s="3"/>
      <c r="O459" s="103"/>
      <c r="P459" s="3"/>
      <c r="Q459" s="3"/>
      <c r="R459" s="3"/>
      <c r="S459" s="3"/>
      <c r="T459" s="3"/>
    </row>
    <row r="460" spans="1:28" s="1039" customFormat="1">
      <c r="A460" s="1296">
        <f ca="1">$Q$458 *(1)</f>
        <v>22</v>
      </c>
      <c r="B460" s="1039" t="s">
        <v>949</v>
      </c>
      <c r="D460" s="1039" t="s">
        <v>1218</v>
      </c>
      <c r="G460" s="1040" t="s">
        <v>1191</v>
      </c>
      <c r="H460" s="1041">
        <v>835</v>
      </c>
      <c r="I460" s="1039" t="s">
        <v>951</v>
      </c>
      <c r="O460" s="1042">
        <v>3</v>
      </c>
      <c r="P460" s="1043">
        <v>38187</v>
      </c>
      <c r="Q460" s="503">
        <v>0</v>
      </c>
      <c r="R460" s="1045">
        <f ca="1">$A460*Q460</f>
        <v>0</v>
      </c>
      <c r="S460" s="1044">
        <v>0.15</v>
      </c>
      <c r="T460" s="1046">
        <f ca="1">$A460*S460*$T$1</f>
        <v>3.4649999999999999</v>
      </c>
    </row>
    <row r="461" spans="1:28" s="504" customFormat="1">
      <c r="A461" s="882"/>
      <c r="B461" s="3"/>
      <c r="C461" s="882" t="s">
        <v>161</v>
      </c>
      <c r="D461" s="3"/>
      <c r="E461" s="882"/>
      <c r="F461" s="877"/>
      <c r="G461" s="882"/>
      <c r="H461" s="882"/>
      <c r="I461" s="503"/>
      <c r="J461" s="882"/>
      <c r="K461" s="882"/>
      <c r="L461" s="882"/>
      <c r="M461" s="882"/>
      <c r="N461" s="882"/>
      <c r="O461" s="882"/>
      <c r="P461" s="882"/>
      <c r="Q461" s="503"/>
      <c r="R461" s="1072">
        <f>$A461*Q461</f>
        <v>0</v>
      </c>
      <c r="S461" s="503"/>
      <c r="T461" s="884">
        <f>$A461*S461*$T$1</f>
        <v>0</v>
      </c>
    </row>
    <row r="462" spans="1:28" s="504" customFormat="1" ht="12.6" thickBot="1">
      <c r="A462" s="885" t="s">
        <v>142</v>
      </c>
      <c r="B462" s="886">
        <f>(R461+T461)</f>
        <v>0</v>
      </c>
      <c r="C462" s="887"/>
      <c r="D462" s="1092" t="s">
        <v>162</v>
      </c>
      <c r="E462" s="461">
        <f ca="1">IF($B458=0,0,ROUND(ROUND(($R462*$S$2+($T462*$T$2))/$B458, 2)*$C$2,2))</f>
        <v>5.54</v>
      </c>
      <c r="F462" s="462">
        <f ca="1">ROUND($B458*$E462,2)</f>
        <v>121.88</v>
      </c>
      <c r="G462" s="887"/>
      <c r="H462" s="887"/>
      <c r="I462" s="889"/>
      <c r="J462" s="887"/>
      <c r="K462" s="1093" t="s">
        <v>140</v>
      </c>
      <c r="L462" s="890" t="s">
        <v>140</v>
      </c>
      <c r="M462" s="890"/>
      <c r="N462" s="890"/>
      <c r="O462" s="890"/>
      <c r="P462" s="890"/>
      <c r="Q462" s="1093"/>
      <c r="R462" s="1094">
        <f ca="1">SUM(R459:R461)</f>
        <v>0</v>
      </c>
      <c r="S462" s="1095"/>
      <c r="T462" s="1094">
        <f ca="1">SUM(T459:T461)</f>
        <v>3.4649999999999999</v>
      </c>
      <c r="U462" s="514"/>
      <c r="V462" s="514"/>
      <c r="W462" s="514"/>
      <c r="X462" s="514"/>
      <c r="Y462" s="514"/>
      <c r="Z462" s="514"/>
      <c r="AA462" s="514"/>
      <c r="AB462" s="514"/>
    </row>
    <row r="463" spans="1:28" s="504" customFormat="1" ht="12" thickTop="1">
      <c r="A463" s="50"/>
      <c r="B463" s="50"/>
      <c r="C463" s="50"/>
      <c r="D463" s="50"/>
      <c r="E463" s="50"/>
      <c r="F463" s="50"/>
      <c r="G463" s="50"/>
      <c r="H463" s="50"/>
      <c r="I463" s="50"/>
      <c r="J463" s="50"/>
      <c r="K463" s="50"/>
      <c r="L463" s="50"/>
      <c r="M463" s="50"/>
      <c r="N463" s="50"/>
      <c r="O463" s="51"/>
      <c r="P463" s="50"/>
      <c r="Q463" s="41" t="s">
        <v>158</v>
      </c>
      <c r="R463" s="50"/>
      <c r="S463" s="13"/>
      <c r="T463" s="50"/>
    </row>
    <row r="464" spans="1:28" s="504" customFormat="1" ht="12" customHeight="1" thickBot="1">
      <c r="A464" s="1082">
        <v>1</v>
      </c>
      <c r="B464" s="1083">
        <f ca="1">Elec_Est!B5593</f>
        <v>15</v>
      </c>
      <c r="C464" s="1084"/>
      <c r="D464" s="1085" t="s">
        <v>1498</v>
      </c>
      <c r="E464" s="1086"/>
      <c r="F464" s="1086"/>
      <c r="G464" s="876"/>
      <c r="H464" s="876"/>
      <c r="I464" s="1087"/>
      <c r="J464" s="876"/>
      <c r="K464" s="1084" t="s">
        <v>159</v>
      </c>
      <c r="L464" s="1088" t="s">
        <v>159</v>
      </c>
      <c r="M464" s="1088"/>
      <c r="N464" s="1088"/>
      <c r="O464" s="1088"/>
      <c r="P464" s="1088"/>
      <c r="Q464" s="1089">
        <f ca="1">B464/A464</f>
        <v>15</v>
      </c>
      <c r="R464" s="1090">
        <f ca="1">IF($B464=0,0,IF($S$1="R",ROUND(R469/$B464,2),R469/$B464))</f>
        <v>1.1000000000000001</v>
      </c>
      <c r="S464" s="1091"/>
      <c r="T464" s="1090">
        <f ca="1">IF($B464=0,0,IF($S$1="R",ROUND(T469/$B464,2),T469/$B464))</f>
        <v>0.37</v>
      </c>
    </row>
    <row r="465" spans="1:28" s="504" customFormat="1" ht="13.8" thickTop="1">
      <c r="A465" s="872"/>
      <c r="B465" s="3"/>
      <c r="C465" s="3"/>
      <c r="D465" s="102" t="s">
        <v>160</v>
      </c>
      <c r="E465" s="3"/>
      <c r="F465" s="3"/>
      <c r="G465" s="3"/>
      <c r="H465" s="3"/>
      <c r="I465" s="3"/>
      <c r="J465" s="3"/>
      <c r="K465" s="3"/>
      <c r="L465" s="3"/>
      <c r="M465" s="3"/>
      <c r="N465" s="3"/>
      <c r="O465" s="103"/>
      <c r="P465" s="3"/>
      <c r="Q465" s="3"/>
      <c r="R465" s="3"/>
      <c r="S465" s="3"/>
      <c r="T465" s="3"/>
    </row>
    <row r="466" spans="1:28" s="1039" customFormat="1">
      <c r="A466" s="1296">
        <f ca="1">$Q$464 *(1)</f>
        <v>15</v>
      </c>
      <c r="B466" s="1039" t="s">
        <v>949</v>
      </c>
      <c r="D466" s="1039" t="s">
        <v>1219</v>
      </c>
      <c r="G466" s="1040" t="s">
        <v>1191</v>
      </c>
      <c r="H466" s="1041">
        <v>835</v>
      </c>
      <c r="I466" s="1039" t="s">
        <v>951</v>
      </c>
      <c r="O466" s="1042">
        <v>3</v>
      </c>
      <c r="P466" s="1043">
        <v>38187</v>
      </c>
      <c r="Q466" s="503">
        <v>0</v>
      </c>
      <c r="R466" s="1045">
        <f ca="1">$A466*Q466</f>
        <v>0</v>
      </c>
      <c r="S466" s="1044">
        <v>0.3</v>
      </c>
      <c r="T466" s="1046">
        <f ca="1">$A466*S466*$T$1</f>
        <v>4.7250000000000005</v>
      </c>
    </row>
    <row r="467" spans="1:28" s="1039" customFormat="1">
      <c r="A467" s="1296">
        <f ca="1">$Q$464 *(1)</f>
        <v>15</v>
      </c>
      <c r="B467" s="1039" t="s">
        <v>326</v>
      </c>
      <c r="D467" s="1039" t="s">
        <v>1180</v>
      </c>
      <c r="G467" s="1040" t="s">
        <v>1167</v>
      </c>
      <c r="H467" s="1041">
        <v>615</v>
      </c>
      <c r="I467" s="1039" t="s">
        <v>991</v>
      </c>
      <c r="K467" s="1039" t="s">
        <v>1168</v>
      </c>
      <c r="O467" s="1042">
        <v>2</v>
      </c>
      <c r="P467" s="1043">
        <v>38988</v>
      </c>
      <c r="Q467" s="1044">
        <v>1.1000000000000001</v>
      </c>
      <c r="R467" s="1045">
        <f ca="1">$A467*Q467</f>
        <v>16.5</v>
      </c>
      <c r="S467" s="1044">
        <v>0.05</v>
      </c>
      <c r="T467" s="1046">
        <f ca="1">$A467*S467*$T$1</f>
        <v>0.78750000000000009</v>
      </c>
    </row>
    <row r="468" spans="1:28" s="504" customFormat="1">
      <c r="A468" s="882"/>
      <c r="B468" s="3"/>
      <c r="C468" s="882" t="s">
        <v>161</v>
      </c>
      <c r="D468" s="3"/>
      <c r="E468" s="882"/>
      <c r="F468" s="877"/>
      <c r="G468" s="882"/>
      <c r="H468" s="882"/>
      <c r="I468" s="503"/>
      <c r="J468" s="882"/>
      <c r="K468" s="882"/>
      <c r="L468" s="882"/>
      <c r="M468" s="882"/>
      <c r="N468" s="882"/>
      <c r="O468" s="882"/>
      <c r="P468" s="882"/>
      <c r="Q468" s="503"/>
      <c r="R468" s="1072">
        <f>$A468*Q468</f>
        <v>0</v>
      </c>
      <c r="S468" s="503"/>
      <c r="T468" s="884">
        <f>$A468*S468*$T$1</f>
        <v>0</v>
      </c>
    </row>
    <row r="469" spans="1:28" s="504" customFormat="1" ht="12.6" thickBot="1">
      <c r="A469" s="885" t="s">
        <v>142</v>
      </c>
      <c r="B469" s="886">
        <f>(R468+T468)</f>
        <v>0</v>
      </c>
      <c r="C469" s="887"/>
      <c r="D469" s="1092" t="s">
        <v>162</v>
      </c>
      <c r="E469" s="461">
        <f ca="1">IF($B464=0,0,ROUND(ROUND(($R469*$S$2+($T469*$T$2))/$B464, 2)*$C$2,2))</f>
        <v>14.27</v>
      </c>
      <c r="F469" s="462">
        <f ca="1">ROUND($B464*$E469,2)</f>
        <v>214.05</v>
      </c>
      <c r="G469" s="887"/>
      <c r="H469" s="887"/>
      <c r="I469" s="889"/>
      <c r="J469" s="887"/>
      <c r="K469" s="1093" t="s">
        <v>140</v>
      </c>
      <c r="L469" s="890" t="s">
        <v>140</v>
      </c>
      <c r="M469" s="890"/>
      <c r="N469" s="890"/>
      <c r="O469" s="890"/>
      <c r="P469" s="890"/>
      <c r="Q469" s="1093"/>
      <c r="R469" s="1094">
        <f ca="1">SUM(R465:R468)</f>
        <v>16.5</v>
      </c>
      <c r="S469" s="1095"/>
      <c r="T469" s="1094">
        <f ca="1">SUM(T465:T468)</f>
        <v>5.5125000000000011</v>
      </c>
      <c r="U469" s="514"/>
      <c r="V469" s="514"/>
      <c r="W469" s="514"/>
      <c r="X469" s="514"/>
      <c r="Y469" s="514"/>
      <c r="Z469" s="514"/>
      <c r="AA469" s="514"/>
      <c r="AB469" s="514"/>
    </row>
    <row r="470" spans="1:28" s="504" customFormat="1" ht="12" thickTop="1">
      <c r="A470" s="50"/>
      <c r="B470" s="50"/>
      <c r="C470" s="50"/>
      <c r="D470" s="50"/>
      <c r="E470" s="50"/>
      <c r="F470" s="50"/>
      <c r="G470" s="50"/>
      <c r="H470" s="50"/>
      <c r="I470" s="50"/>
      <c r="J470" s="50"/>
      <c r="K470" s="50"/>
      <c r="L470" s="50"/>
      <c r="M470" s="50"/>
      <c r="N470" s="50"/>
      <c r="O470" s="51"/>
      <c r="P470" s="50"/>
      <c r="Q470" s="41" t="s">
        <v>158</v>
      </c>
      <c r="R470" s="50"/>
      <c r="S470" s="13"/>
      <c r="T470" s="50"/>
    </row>
    <row r="471" spans="1:28" s="504" customFormat="1" ht="12" customHeight="1" thickBot="1">
      <c r="A471" s="1082">
        <v>1</v>
      </c>
      <c r="B471" s="1083">
        <f ca="1">Elec_Est!B5594</f>
        <v>1</v>
      </c>
      <c r="C471" s="1084"/>
      <c r="D471" s="1085" t="s">
        <v>1499</v>
      </c>
      <c r="E471" s="1086"/>
      <c r="F471" s="1086"/>
      <c r="G471" s="876"/>
      <c r="H471" s="876"/>
      <c r="I471" s="1087"/>
      <c r="J471" s="876"/>
      <c r="K471" s="1084" t="s">
        <v>159</v>
      </c>
      <c r="L471" s="1088" t="s">
        <v>159</v>
      </c>
      <c r="M471" s="1088"/>
      <c r="N471" s="1088"/>
      <c r="O471" s="1088"/>
      <c r="P471" s="1088"/>
      <c r="Q471" s="1089">
        <f ca="1">B471/A471</f>
        <v>1</v>
      </c>
      <c r="R471" s="1090">
        <f ca="1">IF($B471=0,0,IF($S$1="R",ROUND(R476/$B471,2),R476/$B471))</f>
        <v>1.1000000000000001</v>
      </c>
      <c r="S471" s="1091"/>
      <c r="T471" s="1090">
        <f ca="1">IF($B471=0,0,IF($S$1="R",ROUND(T476/$B471,2),T476/$B471))</f>
        <v>0.37</v>
      </c>
    </row>
    <row r="472" spans="1:28" s="504" customFormat="1" ht="13.8" thickTop="1">
      <c r="A472" s="872"/>
      <c r="B472" s="3"/>
      <c r="C472" s="3"/>
      <c r="D472" s="102" t="s">
        <v>160</v>
      </c>
      <c r="E472" s="3"/>
      <c r="F472" s="3"/>
      <c r="G472" s="3"/>
      <c r="H472" s="3"/>
      <c r="I472" s="3"/>
      <c r="J472" s="3"/>
      <c r="K472" s="3"/>
      <c r="L472" s="3"/>
      <c r="M472" s="3"/>
      <c r="N472" s="3"/>
      <c r="O472" s="103"/>
      <c r="P472" s="3"/>
      <c r="Q472" s="3"/>
      <c r="R472" s="3"/>
      <c r="S472" s="3"/>
      <c r="T472" s="3"/>
    </row>
    <row r="473" spans="1:28" s="1039" customFormat="1">
      <c r="A473" s="1296">
        <f ca="1">$Q$471 *(1)</f>
        <v>1</v>
      </c>
      <c r="B473" s="1039" t="s">
        <v>949</v>
      </c>
      <c r="D473" s="1039" t="s">
        <v>1220</v>
      </c>
      <c r="G473" s="1040" t="s">
        <v>1191</v>
      </c>
      <c r="H473" s="1041">
        <v>835</v>
      </c>
      <c r="I473" s="1039" t="s">
        <v>951</v>
      </c>
      <c r="O473" s="1042">
        <v>3</v>
      </c>
      <c r="P473" s="1043">
        <v>38187</v>
      </c>
      <c r="Q473" s="503">
        <v>0</v>
      </c>
      <c r="R473" s="1045">
        <f ca="1">$A473*Q473</f>
        <v>0</v>
      </c>
      <c r="S473" s="1044">
        <v>0.3</v>
      </c>
      <c r="T473" s="1046">
        <f ca="1">$A473*S473*$T$1</f>
        <v>0.315</v>
      </c>
    </row>
    <row r="474" spans="1:28" s="1039" customFormat="1">
      <c r="A474" s="1296">
        <f ca="1">$Q$471 *(1)</f>
        <v>1</v>
      </c>
      <c r="B474" s="1039" t="s">
        <v>326</v>
      </c>
      <c r="D474" s="1039" t="s">
        <v>1180</v>
      </c>
      <c r="G474" s="1040" t="s">
        <v>1167</v>
      </c>
      <c r="H474" s="1041">
        <v>615</v>
      </c>
      <c r="I474" s="1039" t="s">
        <v>991</v>
      </c>
      <c r="K474" s="1039" t="s">
        <v>1168</v>
      </c>
      <c r="O474" s="1042">
        <v>2</v>
      </c>
      <c r="P474" s="1043">
        <v>38988</v>
      </c>
      <c r="Q474" s="1044">
        <v>1.1000000000000001</v>
      </c>
      <c r="R474" s="1045">
        <f ca="1">$A474*Q474</f>
        <v>1.1000000000000001</v>
      </c>
      <c r="S474" s="1044">
        <v>0.05</v>
      </c>
      <c r="T474" s="1046">
        <f ca="1">$A474*S474*$T$1</f>
        <v>5.2500000000000005E-2</v>
      </c>
    </row>
    <row r="475" spans="1:28" s="504" customFormat="1">
      <c r="A475" s="882"/>
      <c r="B475" s="3"/>
      <c r="C475" s="882" t="s">
        <v>161</v>
      </c>
      <c r="D475" s="3"/>
      <c r="E475" s="882"/>
      <c r="F475" s="877"/>
      <c r="G475" s="882"/>
      <c r="H475" s="882"/>
      <c r="I475" s="503"/>
      <c r="J475" s="882"/>
      <c r="K475" s="882"/>
      <c r="L475" s="882"/>
      <c r="M475" s="882"/>
      <c r="N475" s="882"/>
      <c r="O475" s="882"/>
      <c r="P475" s="882"/>
      <c r="Q475" s="503"/>
      <c r="R475" s="1072">
        <f>$A475*Q475</f>
        <v>0</v>
      </c>
      <c r="S475" s="503"/>
      <c r="T475" s="884">
        <f>$A475*S475*$T$1</f>
        <v>0</v>
      </c>
    </row>
    <row r="476" spans="1:28" s="504" customFormat="1" ht="12.6" thickBot="1">
      <c r="A476" s="885" t="s">
        <v>142</v>
      </c>
      <c r="B476" s="886">
        <f>(R475+T475)</f>
        <v>0</v>
      </c>
      <c r="C476" s="887"/>
      <c r="D476" s="1092" t="s">
        <v>162</v>
      </c>
      <c r="E476" s="461">
        <f ca="1">IF($B471=0,0,ROUND(ROUND(($R476*$S$2+($T476*$T$2))/$B471, 2)*$C$2,2))</f>
        <v>14.27</v>
      </c>
      <c r="F476" s="462">
        <f ca="1">ROUND($B471*$E476,2)</f>
        <v>14.27</v>
      </c>
      <c r="G476" s="887"/>
      <c r="H476" s="887"/>
      <c r="I476" s="889"/>
      <c r="J476" s="887"/>
      <c r="K476" s="1093" t="s">
        <v>140</v>
      </c>
      <c r="L476" s="890" t="s">
        <v>140</v>
      </c>
      <c r="M476" s="890"/>
      <c r="N476" s="890"/>
      <c r="O476" s="890"/>
      <c r="P476" s="890"/>
      <c r="Q476" s="1093"/>
      <c r="R476" s="1094">
        <f ca="1">SUM(R472:R475)</f>
        <v>1.1000000000000001</v>
      </c>
      <c r="S476" s="1095"/>
      <c r="T476" s="1094">
        <f ca="1">SUM(T472:T475)</f>
        <v>0.36749999999999999</v>
      </c>
      <c r="U476" s="514"/>
      <c r="V476" s="514"/>
      <c r="W476" s="514"/>
      <c r="X476" s="514"/>
      <c r="Y476" s="514"/>
      <c r="Z476" s="514"/>
      <c r="AA476" s="514"/>
      <c r="AB476" s="514"/>
    </row>
    <row r="477" spans="1:28" s="504" customFormat="1" ht="12" thickTop="1">
      <c r="A477" s="50"/>
      <c r="B477" s="50"/>
      <c r="C477" s="50"/>
      <c r="D477" s="50"/>
      <c r="E477" s="50"/>
      <c r="F477" s="50"/>
      <c r="G477" s="50"/>
      <c r="H477" s="50"/>
      <c r="I477" s="50"/>
      <c r="J477" s="50"/>
      <c r="K477" s="50"/>
      <c r="L477" s="50"/>
      <c r="M477" s="50"/>
      <c r="N477" s="50"/>
      <c r="O477" s="51"/>
      <c r="P477" s="50"/>
      <c r="Q477" s="41" t="s">
        <v>158</v>
      </c>
      <c r="R477" s="50"/>
      <c r="S477" s="13"/>
      <c r="T477" s="50"/>
    </row>
    <row r="478" spans="1:28" s="504" customFormat="1" ht="12" customHeight="1" thickBot="1">
      <c r="A478" s="1082">
        <v>1</v>
      </c>
      <c r="B478" s="1083">
        <f ca="1">Elec_Est!B5595</f>
        <v>14</v>
      </c>
      <c r="C478" s="1084"/>
      <c r="D478" s="1085" t="s">
        <v>1500</v>
      </c>
      <c r="E478" s="1086"/>
      <c r="F478" s="1086"/>
      <c r="G478" s="876"/>
      <c r="H478" s="876"/>
      <c r="I478" s="1087"/>
      <c r="J478" s="876"/>
      <c r="K478" s="1084" t="s">
        <v>159</v>
      </c>
      <c r="L478" s="1088" t="s">
        <v>159</v>
      </c>
      <c r="M478" s="1088"/>
      <c r="N478" s="1088"/>
      <c r="O478" s="1088"/>
      <c r="P478" s="1088"/>
      <c r="Q478" s="1089">
        <f ca="1">B478/A478</f>
        <v>14</v>
      </c>
      <c r="R478" s="1090">
        <f ca="1">IF($B478=0,0,IF($S$1="R",ROUND(R484/$B478,2),R484/$B478))</f>
        <v>0.08</v>
      </c>
      <c r="S478" s="1091"/>
      <c r="T478" s="1090">
        <f ca="1">IF($B478=0,0,IF($S$1="R",ROUND(T484/$B478,2),T484/$B478))</f>
        <v>0.32</v>
      </c>
    </row>
    <row r="479" spans="1:28" s="504" customFormat="1" ht="13.8" thickTop="1">
      <c r="A479" s="872"/>
      <c r="B479" s="3"/>
      <c r="C479" s="3"/>
      <c r="D479" s="102" t="s">
        <v>160</v>
      </c>
      <c r="E479" s="3"/>
      <c r="F479" s="3"/>
      <c r="G479" s="3"/>
      <c r="H479" s="3"/>
      <c r="I479" s="3"/>
      <c r="J479" s="3"/>
      <c r="K479" s="3"/>
      <c r="L479" s="3"/>
      <c r="M479" s="3"/>
      <c r="N479" s="3"/>
      <c r="O479" s="103"/>
      <c r="P479" s="3"/>
      <c r="Q479" s="3"/>
      <c r="R479" s="3"/>
      <c r="S479" s="3"/>
      <c r="T479" s="3"/>
    </row>
    <row r="480" spans="1:28" s="1039" customFormat="1">
      <c r="A480" s="1296">
        <f ca="1">$Q$478 *(1)</f>
        <v>14</v>
      </c>
      <c r="B480" s="1039" t="s">
        <v>949</v>
      </c>
      <c r="D480" s="1039" t="s">
        <v>1308</v>
      </c>
      <c r="G480" s="1040" t="s">
        <v>1191</v>
      </c>
      <c r="H480" s="1041">
        <v>835</v>
      </c>
      <c r="I480" s="1039" t="s">
        <v>951</v>
      </c>
      <c r="O480" s="1042">
        <v>3</v>
      </c>
      <c r="P480" s="1043">
        <v>38187</v>
      </c>
      <c r="Q480" s="503">
        <v>0</v>
      </c>
      <c r="R480" s="1045">
        <f ca="1">$A480*Q480</f>
        <v>0</v>
      </c>
      <c r="S480" s="1044">
        <v>0.3</v>
      </c>
      <c r="T480" s="1046">
        <f ca="1">$A480*S480*$T$1</f>
        <v>4.41</v>
      </c>
    </row>
    <row r="481" spans="1:28" s="1039" customFormat="1">
      <c r="A481" s="1296">
        <f ca="1">$Q$478 *(2)</f>
        <v>28</v>
      </c>
      <c r="B481" s="1039" t="s">
        <v>949</v>
      </c>
      <c r="D481" s="1039" t="s">
        <v>965</v>
      </c>
      <c r="G481" s="1040" t="s">
        <v>966</v>
      </c>
      <c r="H481" s="1041">
        <v>875</v>
      </c>
      <c r="I481" s="1039" t="s">
        <v>951</v>
      </c>
      <c r="K481" s="1039" t="s">
        <v>967</v>
      </c>
      <c r="O481" s="1042">
        <v>1</v>
      </c>
      <c r="P481" s="1043">
        <v>34669</v>
      </c>
      <c r="Q481" s="1044">
        <v>0.02</v>
      </c>
      <c r="R481" s="1045">
        <f ca="1">$A481*Q481</f>
        <v>0.56000000000000005</v>
      </c>
      <c r="S481" s="1044"/>
      <c r="T481" s="1046">
        <f ca="1">$A481*S481*$T$1</f>
        <v>0</v>
      </c>
    </row>
    <row r="482" spans="1:28" s="1039" customFormat="1">
      <c r="A482" s="1296">
        <f ca="1">$Q$478 *(2)</f>
        <v>28</v>
      </c>
      <c r="B482" s="1039" t="s">
        <v>949</v>
      </c>
      <c r="D482" s="1039" t="s">
        <v>968</v>
      </c>
      <c r="G482" s="1040" t="s">
        <v>969</v>
      </c>
      <c r="H482" s="1041">
        <v>875</v>
      </c>
      <c r="I482" s="1039" t="s">
        <v>951</v>
      </c>
      <c r="K482" s="1039" t="s">
        <v>970</v>
      </c>
      <c r="O482" s="1042">
        <v>1</v>
      </c>
      <c r="P482" s="1043">
        <v>34669</v>
      </c>
      <c r="Q482" s="1044">
        <v>0.02</v>
      </c>
      <c r="R482" s="1045">
        <f ca="1">$A482*Q482</f>
        <v>0.56000000000000005</v>
      </c>
      <c r="S482" s="1044"/>
      <c r="T482" s="1046">
        <f ca="1">$A482*S482*$T$1</f>
        <v>0</v>
      </c>
    </row>
    <row r="483" spans="1:28" s="504" customFormat="1">
      <c r="A483" s="882"/>
      <c r="B483" s="3"/>
      <c r="C483" s="882" t="s">
        <v>161</v>
      </c>
      <c r="D483" s="3"/>
      <c r="E483" s="882"/>
      <c r="F483" s="877"/>
      <c r="G483" s="882"/>
      <c r="H483" s="882"/>
      <c r="I483" s="503"/>
      <c r="J483" s="882"/>
      <c r="K483" s="882"/>
      <c r="L483" s="882"/>
      <c r="M483" s="882"/>
      <c r="N483" s="882"/>
      <c r="O483" s="882"/>
      <c r="P483" s="882"/>
      <c r="Q483" s="503"/>
      <c r="R483" s="1072">
        <f>$A483*Q483</f>
        <v>0</v>
      </c>
      <c r="S483" s="503"/>
      <c r="T483" s="884">
        <f>$A483*S483*$T$1</f>
        <v>0</v>
      </c>
    </row>
    <row r="484" spans="1:28" s="504" customFormat="1" ht="12.6" thickBot="1">
      <c r="A484" s="885" t="s">
        <v>142</v>
      </c>
      <c r="B484" s="886">
        <f>(R483+T483)</f>
        <v>0</v>
      </c>
      <c r="C484" s="887"/>
      <c r="D484" s="1092" t="s">
        <v>162</v>
      </c>
      <c r="E484" s="461">
        <f ca="1">IF($B478=0,0,ROUND(ROUND(($R484*$S$2+($T484*$T$2))/$B478, 2)*$C$2,2))</f>
        <v>11.18</v>
      </c>
      <c r="F484" s="462">
        <f ca="1">ROUND($B478*$E484,2)</f>
        <v>156.52000000000001</v>
      </c>
      <c r="G484" s="887"/>
      <c r="H484" s="887"/>
      <c r="I484" s="889"/>
      <c r="J484" s="887"/>
      <c r="K484" s="1093" t="s">
        <v>140</v>
      </c>
      <c r="L484" s="890" t="s">
        <v>140</v>
      </c>
      <c r="M484" s="890"/>
      <c r="N484" s="890"/>
      <c r="O484" s="890"/>
      <c r="P484" s="890"/>
      <c r="Q484" s="1093"/>
      <c r="R484" s="1094">
        <f ca="1">SUM(R479:R483)</f>
        <v>1.1200000000000001</v>
      </c>
      <c r="S484" s="1095"/>
      <c r="T484" s="1094">
        <f ca="1">SUM(T479:T483)</f>
        <v>4.41</v>
      </c>
      <c r="U484" s="514"/>
      <c r="V484" s="514"/>
      <c r="W484" s="514"/>
      <c r="X484" s="514"/>
      <c r="Y484" s="514"/>
      <c r="Z484" s="514"/>
      <c r="AA484" s="514"/>
      <c r="AB484" s="514"/>
    </row>
    <row r="485" spans="1:28" s="504" customFormat="1" ht="12" thickTop="1">
      <c r="A485" s="50"/>
      <c r="B485" s="50"/>
      <c r="C485" s="50"/>
      <c r="D485" s="50"/>
      <c r="E485" s="50"/>
      <c r="F485" s="50"/>
      <c r="G485" s="50"/>
      <c r="H485" s="50"/>
      <c r="I485" s="50"/>
      <c r="J485" s="50"/>
      <c r="K485" s="50"/>
      <c r="L485" s="50"/>
      <c r="M485" s="50"/>
      <c r="N485" s="50"/>
      <c r="O485" s="51"/>
      <c r="P485" s="50"/>
      <c r="Q485" s="41" t="s">
        <v>158</v>
      </c>
      <c r="R485" s="50"/>
      <c r="S485" s="13"/>
      <c r="T485" s="50"/>
    </row>
    <row r="486" spans="1:28" s="504" customFormat="1" ht="12" customHeight="1" thickBot="1">
      <c r="A486" s="1082">
        <v>96</v>
      </c>
      <c r="B486" s="1083">
        <f ca="1">Elec_Est!B5596</f>
        <v>309</v>
      </c>
      <c r="C486" s="1084"/>
      <c r="D486" s="1085" t="s">
        <v>1501</v>
      </c>
      <c r="E486" s="1086"/>
      <c r="F486" s="1086"/>
      <c r="G486" s="876"/>
      <c r="H486" s="876"/>
      <c r="I486" s="1087"/>
      <c r="J486" s="876"/>
      <c r="K486" s="1084" t="s">
        <v>159</v>
      </c>
      <c r="L486" s="1088" t="s">
        <v>159</v>
      </c>
      <c r="M486" s="1088"/>
      <c r="N486" s="1088"/>
      <c r="O486" s="1088"/>
      <c r="P486" s="1088"/>
      <c r="Q486" s="1089">
        <f ca="1">B486/A486</f>
        <v>3.21875</v>
      </c>
      <c r="R486" s="1090">
        <f ca="1">IF($B486=0,0,IF($S$1="R",ROUND(R493/$B486,2),R493/$B486))</f>
        <v>13.92</v>
      </c>
      <c r="S486" s="1091"/>
      <c r="T486" s="1090">
        <f ca="1">IF($B486=0,0,IF($S$1="R",ROUND(T493/$B486,2),T493/$B486))</f>
        <v>1.43</v>
      </c>
    </row>
    <row r="487" spans="1:28" s="504" customFormat="1" ht="13.8" thickTop="1">
      <c r="A487" s="872"/>
      <c r="B487" s="3"/>
      <c r="C487" s="3"/>
      <c r="D487" s="102" t="s">
        <v>160</v>
      </c>
      <c r="E487" s="3"/>
      <c r="F487" s="3"/>
      <c r="G487" s="3"/>
      <c r="H487" s="3"/>
      <c r="I487" s="3"/>
      <c r="J487" s="3"/>
      <c r="K487" s="3"/>
      <c r="L487" s="3"/>
      <c r="M487" s="3"/>
      <c r="N487" s="3"/>
      <c r="O487" s="103"/>
      <c r="P487" s="3"/>
      <c r="Q487" s="3"/>
      <c r="R487" s="3"/>
      <c r="S487" s="3"/>
      <c r="T487" s="3"/>
    </row>
    <row r="488" spans="1:28" s="1039" customFormat="1">
      <c r="A488" s="1296">
        <f ca="1">$Q$486 *(414)</f>
        <v>1332.5625</v>
      </c>
      <c r="B488" s="1039" t="s">
        <v>326</v>
      </c>
      <c r="D488" s="1039" t="s">
        <v>1223</v>
      </c>
      <c r="G488" s="1040" t="s">
        <v>1131</v>
      </c>
      <c r="H488" s="1041">
        <v>700</v>
      </c>
      <c r="I488" s="1039" t="s">
        <v>1132</v>
      </c>
      <c r="J488" s="1039" t="s">
        <v>1133</v>
      </c>
      <c r="O488" s="1042">
        <v>1</v>
      </c>
      <c r="P488" s="1043">
        <v>42213</v>
      </c>
      <c r="Q488" s="1044">
        <v>0.67</v>
      </c>
      <c r="R488" s="1045">
        <f ca="1">$A488*Q488</f>
        <v>892.8168750000001</v>
      </c>
      <c r="S488" s="1044">
        <v>0.13</v>
      </c>
      <c r="T488" s="1046">
        <f ca="1">$A488*S488*$T$1</f>
        <v>181.89478125000002</v>
      </c>
    </row>
    <row r="489" spans="1:28" s="1039" customFormat="1">
      <c r="A489" s="1296">
        <f ca="1">$Q$486 *(168)</f>
        <v>540.75</v>
      </c>
      <c r="B489" s="1039" t="s">
        <v>326</v>
      </c>
      <c r="D489" s="1039" t="s">
        <v>1224</v>
      </c>
      <c r="G489" s="1040" t="s">
        <v>1221</v>
      </c>
      <c r="H489" s="1041">
        <v>700</v>
      </c>
      <c r="I489" s="1039" t="s">
        <v>1132</v>
      </c>
      <c r="J489" s="1039" t="s">
        <v>1222</v>
      </c>
      <c r="O489" s="1042">
        <v>1</v>
      </c>
      <c r="P489" s="1043">
        <v>42213</v>
      </c>
      <c r="Q489" s="1044">
        <v>1.41</v>
      </c>
      <c r="R489" s="1045">
        <f ca="1">$A489*Q489</f>
        <v>762.45749999999998</v>
      </c>
      <c r="S489" s="1044">
        <v>0.18</v>
      </c>
      <c r="T489" s="1046">
        <f ca="1">$A489*S489*$T$1</f>
        <v>102.20175</v>
      </c>
    </row>
    <row r="490" spans="1:28" s="1039" customFormat="1">
      <c r="A490" s="1295">
        <f ca="1">$Q$486 *(1400)</f>
        <v>4506.25</v>
      </c>
      <c r="B490" s="1039" t="s">
        <v>326</v>
      </c>
      <c r="D490" s="1039" t="s">
        <v>1225</v>
      </c>
      <c r="G490" s="1040" t="s">
        <v>1226</v>
      </c>
      <c r="H490" s="1041">
        <v>615</v>
      </c>
      <c r="I490" s="1039" t="s">
        <v>991</v>
      </c>
      <c r="K490" s="1039" t="s">
        <v>1227</v>
      </c>
      <c r="O490" s="1042">
        <v>2</v>
      </c>
      <c r="P490" s="1043">
        <v>38988</v>
      </c>
      <c r="Q490" s="1044">
        <v>0.3</v>
      </c>
      <c r="R490" s="1045">
        <f ca="1">$A490*Q490</f>
        <v>1351.875</v>
      </c>
      <c r="S490" s="1044">
        <v>0.02</v>
      </c>
      <c r="T490" s="1046">
        <f ca="1">$A490*S490*$T$1</f>
        <v>94.631250000000009</v>
      </c>
    </row>
    <row r="491" spans="1:28" s="1039" customFormat="1">
      <c r="A491" s="1295">
        <f ca="1">$Q$486 *(936)</f>
        <v>3012.75</v>
      </c>
      <c r="B491" s="1039" t="s">
        <v>326</v>
      </c>
      <c r="D491" s="1039" t="s">
        <v>1228</v>
      </c>
      <c r="G491" s="1040" t="s">
        <v>1229</v>
      </c>
      <c r="H491" s="1041">
        <v>615</v>
      </c>
      <c r="I491" s="1039" t="s">
        <v>991</v>
      </c>
      <c r="K491" s="1039" t="s">
        <v>1230</v>
      </c>
      <c r="O491" s="1042">
        <v>2</v>
      </c>
      <c r="P491" s="1043">
        <v>38988</v>
      </c>
      <c r="Q491" s="1044">
        <v>0.43</v>
      </c>
      <c r="R491" s="1045">
        <f ca="1">$A491*Q491</f>
        <v>1295.4825000000001</v>
      </c>
      <c r="S491" s="1044">
        <v>0.02</v>
      </c>
      <c r="T491" s="1046">
        <f ca="1">$A491*S491*$T$1</f>
        <v>63.267750000000007</v>
      </c>
    </row>
    <row r="492" spans="1:28" s="504" customFormat="1">
      <c r="A492" s="882"/>
      <c r="B492" s="3"/>
      <c r="C492" s="882" t="s">
        <v>161</v>
      </c>
      <c r="D492" s="3"/>
      <c r="E492" s="882"/>
      <c r="F492" s="877"/>
      <c r="G492" s="882"/>
      <c r="H492" s="882"/>
      <c r="I492" s="503"/>
      <c r="J492" s="882"/>
      <c r="K492" s="882"/>
      <c r="L492" s="882"/>
      <c r="M492" s="882"/>
      <c r="N492" s="882"/>
      <c r="O492" s="882"/>
      <c r="P492" s="882"/>
      <c r="Q492" s="503"/>
      <c r="R492" s="1072">
        <f>$A492*Q492</f>
        <v>0</v>
      </c>
      <c r="S492" s="503"/>
      <c r="T492" s="884">
        <f>$A492*S492*$T$1</f>
        <v>0</v>
      </c>
    </row>
    <row r="493" spans="1:28" s="504" customFormat="1" ht="12.6" thickBot="1">
      <c r="A493" s="885" t="s">
        <v>142</v>
      </c>
      <c r="B493" s="886">
        <f>(R492+T492)</f>
        <v>0</v>
      </c>
      <c r="C493" s="887"/>
      <c r="D493" s="1092" t="s">
        <v>162</v>
      </c>
      <c r="E493" s="461">
        <f ca="1">IF($B486=0,0,ROUND(ROUND(($R493*$S$2+($T493*$T$2))/$B486, 2)*$C$2,2))</f>
        <v>67.3</v>
      </c>
      <c r="F493" s="462">
        <f ca="1">ROUND($B486*$E493,2)</f>
        <v>20795.7</v>
      </c>
      <c r="G493" s="887"/>
      <c r="H493" s="887"/>
      <c r="I493" s="889"/>
      <c r="J493" s="887"/>
      <c r="K493" s="1093" t="s">
        <v>140</v>
      </c>
      <c r="L493" s="890" t="s">
        <v>140</v>
      </c>
      <c r="M493" s="890"/>
      <c r="N493" s="890"/>
      <c r="O493" s="890"/>
      <c r="P493" s="890"/>
      <c r="Q493" s="1093"/>
      <c r="R493" s="1094">
        <f ca="1">SUM(R487:R492)</f>
        <v>4302.631875</v>
      </c>
      <c r="S493" s="1095"/>
      <c r="T493" s="1094">
        <f ca="1">SUM(T487:T492)</f>
        <v>441.99553125</v>
      </c>
      <c r="U493" s="514"/>
      <c r="V493" s="514"/>
      <c r="W493" s="514"/>
      <c r="X493" s="514"/>
      <c r="Y493" s="514"/>
      <c r="Z493" s="514"/>
      <c r="AA493" s="514"/>
      <c r="AB493" s="514"/>
    </row>
    <row r="494" spans="1:28" s="504" customFormat="1" ht="12" thickTop="1">
      <c r="A494" s="50"/>
      <c r="B494" s="50"/>
      <c r="C494" s="50"/>
      <c r="D494" s="50"/>
      <c r="E494" s="50"/>
      <c r="F494" s="50"/>
      <c r="G494" s="50"/>
      <c r="H494" s="50"/>
      <c r="I494" s="50"/>
      <c r="J494" s="50"/>
      <c r="K494" s="50"/>
      <c r="L494" s="50"/>
      <c r="M494" s="50"/>
      <c r="N494" s="50"/>
      <c r="O494" s="51"/>
      <c r="P494" s="50"/>
      <c r="Q494" s="41" t="s">
        <v>158</v>
      </c>
      <c r="R494" s="50"/>
      <c r="S494" s="13"/>
      <c r="T494" s="50"/>
    </row>
    <row r="495" spans="1:28" s="504" customFormat="1" ht="12" customHeight="1" thickBot="1">
      <c r="A495" s="1082">
        <v>95</v>
      </c>
      <c r="B495" s="1083">
        <f ca="1">Elec_Est!B5597</f>
        <v>15</v>
      </c>
      <c r="C495" s="1084"/>
      <c r="D495" s="1085" t="s">
        <v>1502</v>
      </c>
      <c r="E495" s="1086"/>
      <c r="F495" s="1086"/>
      <c r="G495" s="876"/>
      <c r="H495" s="876"/>
      <c r="I495" s="1087"/>
      <c r="J495" s="876"/>
      <c r="K495" s="1084" t="s">
        <v>159</v>
      </c>
      <c r="L495" s="1088" t="s">
        <v>159</v>
      </c>
      <c r="M495" s="1088"/>
      <c r="N495" s="1088"/>
      <c r="O495" s="1088"/>
      <c r="P495" s="1088"/>
      <c r="Q495" s="1089">
        <f ca="1">B495/A495</f>
        <v>0.15789473684210525</v>
      </c>
      <c r="R495" s="1090">
        <f ca="1">IF($B495=0,0,IF($S$1="R",ROUND(R504/$B495,2),R504/$B495))</f>
        <v>5.14</v>
      </c>
      <c r="S495" s="1091"/>
      <c r="T495" s="1090">
        <f ca="1">IF($B495=0,0,IF($S$1="R",ROUND(T504/$B495,2),T504/$B495))</f>
        <v>0.36</v>
      </c>
    </row>
    <row r="496" spans="1:28" s="504" customFormat="1" ht="13.8" thickTop="1">
      <c r="A496" s="872"/>
      <c r="B496" s="3"/>
      <c r="C496" s="3"/>
      <c r="D496" s="102" t="s">
        <v>160</v>
      </c>
      <c r="E496" s="3"/>
      <c r="F496" s="3"/>
      <c r="G496" s="3"/>
      <c r="H496" s="3"/>
      <c r="I496" s="3"/>
      <c r="J496" s="3"/>
      <c r="K496" s="3"/>
      <c r="L496" s="3"/>
      <c r="M496" s="3"/>
      <c r="N496" s="3"/>
      <c r="O496" s="103"/>
      <c r="P496" s="3"/>
      <c r="Q496" s="3"/>
      <c r="R496" s="3"/>
      <c r="S496" s="3"/>
      <c r="T496" s="3"/>
    </row>
    <row r="497" spans="1:28" s="1039" customFormat="1" ht="11.4">
      <c r="A497" s="1297">
        <f ca="1">$Q$495 *(95)</f>
        <v>15</v>
      </c>
      <c r="B497" s="1039" t="s">
        <v>326</v>
      </c>
      <c r="D497" s="1039" t="s">
        <v>1269</v>
      </c>
      <c r="G497" s="1040" t="s">
        <v>1270</v>
      </c>
      <c r="H497" s="1041">
        <v>675</v>
      </c>
      <c r="I497" s="1039" t="s">
        <v>1271</v>
      </c>
      <c r="O497" s="1042">
        <v>1</v>
      </c>
      <c r="P497" s="1043">
        <v>39111</v>
      </c>
      <c r="Q497" s="1044">
        <f>1.16 *(3.67)</f>
        <v>4.2571999999999992</v>
      </c>
      <c r="R497" s="1045">
        <f t="shared" ref="R497:R502" ca="1" si="28">$A497*Q497</f>
        <v>63.85799999999999</v>
      </c>
      <c r="S497" s="1044">
        <v>0.34</v>
      </c>
      <c r="T497" s="1046">
        <f t="shared" ref="T497:T502" ca="1" si="29">$A497*S497*$T$1</f>
        <v>5.3550000000000004</v>
      </c>
    </row>
    <row r="498" spans="1:28" s="1039" customFormat="1" ht="11.4">
      <c r="A498" s="1297">
        <f ca="1">$Q$495 *(31.6666666666667)</f>
        <v>5.0000000000000053</v>
      </c>
      <c r="B498" s="1039" t="s">
        <v>949</v>
      </c>
      <c r="D498" s="1039" t="s">
        <v>1272</v>
      </c>
      <c r="G498" s="1040" t="s">
        <v>1270</v>
      </c>
      <c r="H498" s="1041">
        <v>675</v>
      </c>
      <c r="I498" s="1039" t="s">
        <v>1271</v>
      </c>
      <c r="O498" s="1042">
        <v>1</v>
      </c>
      <c r="P498" s="1043">
        <v>39111</v>
      </c>
      <c r="Q498" s="1044">
        <f>1.16 *(0.14)</f>
        <v>0.16240000000000002</v>
      </c>
      <c r="R498" s="1045">
        <f t="shared" ca="1" si="28"/>
        <v>0.81200000000000094</v>
      </c>
      <c r="S498" s="1044"/>
      <c r="T498" s="1046">
        <f t="shared" ca="1" si="29"/>
        <v>0</v>
      </c>
    </row>
    <row r="499" spans="1:28" s="1039" customFormat="1" ht="11.4">
      <c r="A499" s="1297">
        <f ca="1">$Q$495 *(14.84375)</f>
        <v>2.34375</v>
      </c>
      <c r="B499" s="1039" t="s">
        <v>949</v>
      </c>
      <c r="D499" s="1039" t="s">
        <v>1273</v>
      </c>
      <c r="G499" s="1040" t="s">
        <v>1270</v>
      </c>
      <c r="H499" s="1041">
        <v>675</v>
      </c>
      <c r="I499" s="1039" t="s">
        <v>1271</v>
      </c>
      <c r="O499" s="1042">
        <v>1</v>
      </c>
      <c r="P499" s="1043">
        <v>39111</v>
      </c>
      <c r="Q499" s="1044">
        <f>1.16 *(1.91)</f>
        <v>2.2155999999999998</v>
      </c>
      <c r="R499" s="1045">
        <f t="shared" ca="1" si="28"/>
        <v>5.1928124999999996</v>
      </c>
      <c r="S499" s="1044"/>
      <c r="T499" s="1046">
        <f t="shared" ca="1" si="29"/>
        <v>0</v>
      </c>
    </row>
    <row r="500" spans="1:28" s="1039" customFormat="1" ht="11.4">
      <c r="A500" s="1297">
        <f ca="1">$Q$495 *(9.89583333333333)</f>
        <v>1.5624999999999996</v>
      </c>
      <c r="B500" s="1039" t="s">
        <v>949</v>
      </c>
      <c r="D500" s="1039" t="s">
        <v>1274</v>
      </c>
      <c r="G500" s="1040" t="s">
        <v>1270</v>
      </c>
      <c r="H500" s="1041">
        <v>675</v>
      </c>
      <c r="I500" s="1039" t="s">
        <v>1271</v>
      </c>
      <c r="O500" s="1042">
        <v>1</v>
      </c>
      <c r="P500" s="1043">
        <v>39111</v>
      </c>
      <c r="Q500" s="1044">
        <f>1.16 *(1.77)</f>
        <v>2.0531999999999999</v>
      </c>
      <c r="R500" s="1045">
        <f t="shared" ca="1" si="28"/>
        <v>3.208124999999999</v>
      </c>
      <c r="S500" s="1044"/>
      <c r="T500" s="1046">
        <f t="shared" ca="1" si="29"/>
        <v>0</v>
      </c>
    </row>
    <row r="501" spans="1:28" s="1039" customFormat="1" ht="11.4">
      <c r="A501" s="1297">
        <f ca="1">$Q$495 *(4.94791666666667)</f>
        <v>0.78125000000000044</v>
      </c>
      <c r="B501" s="1039" t="s">
        <v>949</v>
      </c>
      <c r="D501" s="1039" t="s">
        <v>1275</v>
      </c>
      <c r="G501" s="1040" t="s">
        <v>1270</v>
      </c>
      <c r="H501" s="1041">
        <v>675</v>
      </c>
      <c r="I501" s="1039" t="s">
        <v>1271</v>
      </c>
      <c r="O501" s="1042">
        <v>1</v>
      </c>
      <c r="P501" s="1043">
        <v>39111</v>
      </c>
      <c r="Q501" s="1044">
        <f>1.16 *(2.3)</f>
        <v>2.6679999999999997</v>
      </c>
      <c r="R501" s="1045">
        <f t="shared" ca="1" si="28"/>
        <v>2.084375000000001</v>
      </c>
      <c r="S501" s="1044"/>
      <c r="T501" s="1046">
        <f t="shared" ca="1" si="29"/>
        <v>0</v>
      </c>
    </row>
    <row r="502" spans="1:28" s="1039" customFormat="1" ht="11.4">
      <c r="A502" s="1297">
        <f ca="1">$Q$495 *(257.291666666667)</f>
        <v>40.625000000000057</v>
      </c>
      <c r="B502" s="1039" t="s">
        <v>949</v>
      </c>
      <c r="D502" s="1039" t="s">
        <v>1276</v>
      </c>
      <c r="G502" s="1040" t="s">
        <v>1270</v>
      </c>
      <c r="H502" s="1041">
        <v>675</v>
      </c>
      <c r="I502" s="1039" t="s">
        <v>1271</v>
      </c>
      <c r="O502" s="1042">
        <v>1</v>
      </c>
      <c r="P502" s="1043">
        <v>39111</v>
      </c>
      <c r="Q502" s="1044">
        <f>1.16 *(0.04)</f>
        <v>4.6399999999999997E-2</v>
      </c>
      <c r="R502" s="1045">
        <f t="shared" ca="1" si="28"/>
        <v>1.8850000000000025</v>
      </c>
      <c r="S502" s="1044"/>
      <c r="T502" s="1046">
        <f t="shared" ca="1" si="29"/>
        <v>0</v>
      </c>
    </row>
    <row r="503" spans="1:28" s="504" customFormat="1">
      <c r="A503" s="882"/>
      <c r="B503" s="3"/>
      <c r="C503" s="882" t="s">
        <v>161</v>
      </c>
      <c r="D503" s="3"/>
      <c r="E503" s="882"/>
      <c r="F503" s="877"/>
      <c r="G503" s="882"/>
      <c r="H503" s="882"/>
      <c r="I503" s="503"/>
      <c r="J503" s="882"/>
      <c r="K503" s="882"/>
      <c r="L503" s="882"/>
      <c r="M503" s="882"/>
      <c r="N503" s="882"/>
      <c r="O503" s="882"/>
      <c r="P503" s="882"/>
      <c r="Q503" s="503"/>
      <c r="R503" s="1072">
        <f>$A503*Q503</f>
        <v>0</v>
      </c>
      <c r="S503" s="503"/>
      <c r="T503" s="884">
        <f>$A503*S503*$T$1</f>
        <v>0</v>
      </c>
    </row>
    <row r="504" spans="1:28" s="504" customFormat="1" ht="12.6" thickBot="1">
      <c r="A504" s="885" t="s">
        <v>142</v>
      </c>
      <c r="B504" s="886">
        <f>(R503+T503)</f>
        <v>0</v>
      </c>
      <c r="C504" s="887"/>
      <c r="D504" s="1092" t="s">
        <v>162</v>
      </c>
      <c r="E504" s="461">
        <f ca="1">IF($B495=0,0,ROUND(ROUND(($R504*$S$2+($T504*$T$2))/$B495, 2)*$C$2,2))</f>
        <v>18.82</v>
      </c>
      <c r="F504" s="462">
        <f ca="1">ROUND($B495*$E504,2)</f>
        <v>282.3</v>
      </c>
      <c r="G504" s="887"/>
      <c r="H504" s="887"/>
      <c r="I504" s="889"/>
      <c r="J504" s="887"/>
      <c r="K504" s="1093" t="s">
        <v>140</v>
      </c>
      <c r="L504" s="890" t="s">
        <v>140</v>
      </c>
      <c r="M504" s="890"/>
      <c r="N504" s="890"/>
      <c r="O504" s="890"/>
      <c r="P504" s="890"/>
      <c r="Q504" s="1093"/>
      <c r="R504" s="1094">
        <f ca="1">SUM(R496:R503)</f>
        <v>77.040312499999985</v>
      </c>
      <c r="S504" s="1095"/>
      <c r="T504" s="1094">
        <f ca="1">SUM(T496:T503)</f>
        <v>5.3550000000000004</v>
      </c>
      <c r="U504" s="514"/>
      <c r="V504" s="514"/>
      <c r="W504" s="514"/>
      <c r="X504" s="514"/>
      <c r="Y504" s="514"/>
      <c r="Z504" s="514"/>
      <c r="AA504" s="514"/>
      <c r="AB504" s="514"/>
    </row>
    <row r="505" spans="1:28" s="504" customFormat="1" ht="12" thickTop="1">
      <c r="A505" s="50"/>
      <c r="B505" s="50"/>
      <c r="C505" s="50"/>
      <c r="D505" s="50"/>
      <c r="E505" s="50"/>
      <c r="F505" s="50"/>
      <c r="G505" s="50"/>
      <c r="H505" s="50"/>
      <c r="I505" s="50"/>
      <c r="J505" s="50"/>
      <c r="K505" s="50"/>
      <c r="L505" s="50"/>
      <c r="M505" s="50"/>
      <c r="N505" s="50"/>
      <c r="O505" s="51"/>
      <c r="P505" s="50"/>
      <c r="Q505" s="41" t="s">
        <v>158</v>
      </c>
      <c r="R505" s="50"/>
      <c r="S505" s="13"/>
      <c r="T505" s="50"/>
    </row>
    <row r="506" spans="1:28" s="504" customFormat="1" ht="12" customHeight="1" thickBot="1">
      <c r="A506" s="1082">
        <v>85</v>
      </c>
      <c r="B506" s="1083">
        <f ca="1">Elec_Est!B5598</f>
        <v>5</v>
      </c>
      <c r="C506" s="1084"/>
      <c r="D506" s="1085" t="s">
        <v>1503</v>
      </c>
      <c r="E506" s="1086"/>
      <c r="F506" s="1086"/>
      <c r="G506" s="876"/>
      <c r="H506" s="876"/>
      <c r="I506" s="1087"/>
      <c r="J506" s="876"/>
      <c r="K506" s="1084" t="s">
        <v>159</v>
      </c>
      <c r="L506" s="1088" t="s">
        <v>159</v>
      </c>
      <c r="M506" s="1088"/>
      <c r="N506" s="1088"/>
      <c r="O506" s="1088"/>
      <c r="P506" s="1088"/>
      <c r="Q506" s="1089">
        <f ca="1">B506/A506</f>
        <v>5.8823529411764705E-2</v>
      </c>
      <c r="R506" s="1090">
        <f ca="1">IF($B506=0,0,IF($S$1="R",ROUND(R515/$B506,2),R515/$B506))</f>
        <v>6.19</v>
      </c>
      <c r="S506" s="1091"/>
      <c r="T506" s="1090">
        <f ca="1">IF($B506=0,0,IF($S$1="R",ROUND(T515/$B506,2),T515/$B506))</f>
        <v>0.36</v>
      </c>
    </row>
    <row r="507" spans="1:28" s="504" customFormat="1" ht="13.8" thickTop="1">
      <c r="A507" s="872"/>
      <c r="B507" s="3"/>
      <c r="C507" s="3"/>
      <c r="D507" s="102" t="s">
        <v>160</v>
      </c>
      <c r="E507" s="3"/>
      <c r="F507" s="3"/>
      <c r="G507" s="3"/>
      <c r="H507" s="3"/>
      <c r="I507" s="3"/>
      <c r="J507" s="3"/>
      <c r="K507" s="3"/>
      <c r="L507" s="3"/>
      <c r="M507" s="3"/>
      <c r="N507" s="3"/>
      <c r="O507" s="103"/>
      <c r="P507" s="3"/>
      <c r="Q507" s="3"/>
      <c r="R507" s="3"/>
      <c r="S507" s="3"/>
      <c r="T507" s="3"/>
    </row>
    <row r="508" spans="1:28" s="1039" customFormat="1" ht="11.4">
      <c r="A508" s="1297">
        <f ca="1">$Q$506 *(85)</f>
        <v>5</v>
      </c>
      <c r="B508" s="1039" t="s">
        <v>326</v>
      </c>
      <c r="D508" s="1039" t="s">
        <v>1277</v>
      </c>
      <c r="G508" s="1040" t="s">
        <v>1270</v>
      </c>
      <c r="H508" s="1041">
        <v>675</v>
      </c>
      <c r="I508" s="1039" t="s">
        <v>1271</v>
      </c>
      <c r="O508" s="1042">
        <v>1</v>
      </c>
      <c r="P508" s="1043">
        <v>39111</v>
      </c>
      <c r="Q508" s="1044">
        <f>1.16 *(4.34)</f>
        <v>5.0343999999999998</v>
      </c>
      <c r="R508" s="1045">
        <f t="shared" ref="R508:R513" ca="1" si="30">$A508*Q508</f>
        <v>25.171999999999997</v>
      </c>
      <c r="S508" s="1044">
        <v>0.34</v>
      </c>
      <c r="T508" s="1046">
        <f t="shared" ref="T508:T513" ca="1" si="31">$A508*S508*$T$1</f>
        <v>1.7850000000000004</v>
      </c>
    </row>
    <row r="509" spans="1:28" s="1039" customFormat="1" ht="11.4">
      <c r="A509" s="1297">
        <f ca="1">$Q$506 *(29.3103448275862)</f>
        <v>1.7241379310344822</v>
      </c>
      <c r="B509" s="1039" t="s">
        <v>949</v>
      </c>
      <c r="D509" s="1039" t="s">
        <v>1278</v>
      </c>
      <c r="G509" s="1040" t="s">
        <v>1270</v>
      </c>
      <c r="H509" s="1041">
        <v>675</v>
      </c>
      <c r="I509" s="1039" t="s">
        <v>1271</v>
      </c>
      <c r="O509" s="1042">
        <v>1</v>
      </c>
      <c r="P509" s="1043">
        <v>39111</v>
      </c>
      <c r="Q509" s="1044">
        <f>1.16 *(0.2)</f>
        <v>0.23199999999999998</v>
      </c>
      <c r="R509" s="1045">
        <f t="shared" ca="1" si="30"/>
        <v>0.39999999999999986</v>
      </c>
      <c r="S509" s="1044"/>
      <c r="T509" s="1046">
        <f t="shared" ca="1" si="31"/>
        <v>0</v>
      </c>
    </row>
    <row r="510" spans="1:28" s="1039" customFormat="1" ht="11.4">
      <c r="A510" s="1297">
        <f ca="1">$Q$506 *(14.6551724137931)</f>
        <v>0.8620689655172411</v>
      </c>
      <c r="B510" s="1039" t="s">
        <v>949</v>
      </c>
      <c r="D510" s="1039" t="s">
        <v>1279</v>
      </c>
      <c r="G510" s="1040" t="s">
        <v>1270</v>
      </c>
      <c r="H510" s="1041">
        <v>675</v>
      </c>
      <c r="I510" s="1039" t="s">
        <v>1271</v>
      </c>
      <c r="O510" s="1042">
        <v>1</v>
      </c>
      <c r="P510" s="1043">
        <v>39111</v>
      </c>
      <c r="Q510" s="1044">
        <f>1.16 *(2.23)</f>
        <v>2.5867999999999998</v>
      </c>
      <c r="R510" s="1045">
        <f t="shared" ca="1" si="30"/>
        <v>2.2299999999999991</v>
      </c>
      <c r="S510" s="1044"/>
      <c r="T510" s="1046">
        <f t="shared" ca="1" si="31"/>
        <v>0</v>
      </c>
    </row>
    <row r="511" spans="1:28" s="1039" customFormat="1" ht="11.4">
      <c r="A511" s="1297">
        <f ca="1">$Q$506 *(9.77011494252874)</f>
        <v>0.57471264367816122</v>
      </c>
      <c r="B511" s="1039" t="s">
        <v>949</v>
      </c>
      <c r="D511" s="1039" t="s">
        <v>1280</v>
      </c>
      <c r="G511" s="1040" t="s">
        <v>1270</v>
      </c>
      <c r="H511" s="1041">
        <v>675</v>
      </c>
      <c r="I511" s="1039" t="s">
        <v>1271</v>
      </c>
      <c r="O511" s="1042">
        <v>1</v>
      </c>
      <c r="P511" s="1043">
        <v>39111</v>
      </c>
      <c r="Q511" s="1044">
        <f>1.16 *(2.48)</f>
        <v>2.8767999999999998</v>
      </c>
      <c r="R511" s="1045">
        <f t="shared" ca="1" si="30"/>
        <v>1.653333333333334</v>
      </c>
      <c r="S511" s="1044"/>
      <c r="T511" s="1046">
        <f t="shared" ca="1" si="31"/>
        <v>0</v>
      </c>
    </row>
    <row r="512" spans="1:28" s="1039" customFormat="1" ht="11.4">
      <c r="A512" s="1297">
        <f ca="1">$Q$506 *(4.88505747126437)</f>
        <v>0.28735632183908061</v>
      </c>
      <c r="B512" s="1039" t="s">
        <v>949</v>
      </c>
      <c r="D512" s="1039" t="s">
        <v>1281</v>
      </c>
      <c r="G512" s="1040" t="s">
        <v>1270</v>
      </c>
      <c r="H512" s="1041">
        <v>675</v>
      </c>
      <c r="I512" s="1039" t="s">
        <v>1271</v>
      </c>
      <c r="O512" s="1042">
        <v>1</v>
      </c>
      <c r="P512" s="1043">
        <v>39111</v>
      </c>
      <c r="Q512" s="1044">
        <f>1.16 *(2.47)</f>
        <v>2.8652000000000002</v>
      </c>
      <c r="R512" s="1045">
        <f t="shared" ca="1" si="30"/>
        <v>0.82333333333333381</v>
      </c>
      <c r="S512" s="1044"/>
      <c r="T512" s="1046">
        <f t="shared" ca="1" si="31"/>
        <v>0</v>
      </c>
    </row>
    <row r="513" spans="1:28" s="1039" customFormat="1" ht="11.4">
      <c r="A513" s="1297">
        <f ca="1">$Q$506 *(254.022988505747)</f>
        <v>14.942528735632177</v>
      </c>
      <c r="B513" s="1039" t="s">
        <v>949</v>
      </c>
      <c r="D513" s="1039" t="s">
        <v>1276</v>
      </c>
      <c r="G513" s="1040" t="s">
        <v>1270</v>
      </c>
      <c r="H513" s="1041">
        <v>675</v>
      </c>
      <c r="I513" s="1039" t="s">
        <v>1271</v>
      </c>
      <c r="O513" s="1042">
        <v>1</v>
      </c>
      <c r="P513" s="1043">
        <v>39111</v>
      </c>
      <c r="Q513" s="1044">
        <f>1.16 *(0.04)</f>
        <v>4.6399999999999997E-2</v>
      </c>
      <c r="R513" s="1045">
        <f t="shared" ca="1" si="30"/>
        <v>0.69333333333333291</v>
      </c>
      <c r="S513" s="1044"/>
      <c r="T513" s="1046">
        <f t="shared" ca="1" si="31"/>
        <v>0</v>
      </c>
    </row>
    <row r="514" spans="1:28" s="504" customFormat="1">
      <c r="A514" s="882"/>
      <c r="B514" s="3"/>
      <c r="C514" s="882" t="s">
        <v>161</v>
      </c>
      <c r="D514" s="3"/>
      <c r="E514" s="882"/>
      <c r="F514" s="877"/>
      <c r="G514" s="882"/>
      <c r="H514" s="882"/>
      <c r="I514" s="503"/>
      <c r="J514" s="882"/>
      <c r="K514" s="882"/>
      <c r="L514" s="882"/>
      <c r="M514" s="882"/>
      <c r="N514" s="882"/>
      <c r="O514" s="882"/>
      <c r="P514" s="882"/>
      <c r="Q514" s="503"/>
      <c r="R514" s="1072">
        <f>$A514*Q514</f>
        <v>0</v>
      </c>
      <c r="S514" s="503"/>
      <c r="T514" s="884">
        <f>$A514*S514*$T$1</f>
        <v>0</v>
      </c>
    </row>
    <row r="515" spans="1:28" s="504" customFormat="1" ht="12.6" thickBot="1">
      <c r="A515" s="885" t="s">
        <v>142</v>
      </c>
      <c r="B515" s="886">
        <f>(R514+T514)</f>
        <v>0</v>
      </c>
      <c r="C515" s="887"/>
      <c r="D515" s="1092" t="s">
        <v>162</v>
      </c>
      <c r="E515" s="461">
        <f ca="1">IF($B506=0,0,ROUND(ROUND(($R515*$S$2+($T515*$T$2))/$B506, 2)*$C$2,2))</f>
        <v>20.12</v>
      </c>
      <c r="F515" s="462">
        <f ca="1">ROUND($B506*$E515,2)</f>
        <v>100.6</v>
      </c>
      <c r="G515" s="887"/>
      <c r="H515" s="887"/>
      <c r="I515" s="889"/>
      <c r="J515" s="887"/>
      <c r="K515" s="1093" t="s">
        <v>140</v>
      </c>
      <c r="L515" s="890" t="s">
        <v>140</v>
      </c>
      <c r="M515" s="890"/>
      <c r="N515" s="890"/>
      <c r="O515" s="890"/>
      <c r="P515" s="890"/>
      <c r="Q515" s="1093"/>
      <c r="R515" s="1094">
        <f ca="1">SUM(R507:R514)</f>
        <v>30.971999999999994</v>
      </c>
      <c r="S515" s="1095"/>
      <c r="T515" s="1094">
        <f ca="1">SUM(T507:T514)</f>
        <v>1.7850000000000004</v>
      </c>
      <c r="U515" s="514"/>
      <c r="V515" s="514"/>
      <c r="W515" s="514"/>
      <c r="X515" s="514"/>
      <c r="Y515" s="514"/>
      <c r="Z515" s="514"/>
      <c r="AA515" s="514"/>
      <c r="AB515" s="514"/>
    </row>
    <row r="516" spans="1:28" s="504" customFormat="1" ht="12" thickTop="1">
      <c r="A516" s="50"/>
      <c r="B516" s="50"/>
      <c r="C516" s="50"/>
      <c r="D516" s="50"/>
      <c r="E516" s="50"/>
      <c r="F516" s="50"/>
      <c r="G516" s="50"/>
      <c r="H516" s="50"/>
      <c r="I516" s="50"/>
      <c r="J516" s="50"/>
      <c r="K516" s="50"/>
      <c r="L516" s="50"/>
      <c r="M516" s="50"/>
      <c r="N516" s="50"/>
      <c r="O516" s="51"/>
      <c r="P516" s="50"/>
      <c r="Q516" s="41" t="s">
        <v>158</v>
      </c>
      <c r="R516" s="50"/>
      <c r="S516" s="13"/>
      <c r="T516" s="50"/>
    </row>
    <row r="517" spans="1:28" s="504" customFormat="1" ht="12" customHeight="1" thickBot="1">
      <c r="A517" s="1082">
        <v>1</v>
      </c>
      <c r="B517" s="1083">
        <f ca="1">Elec_Est!B5599</f>
        <v>185</v>
      </c>
      <c r="C517" s="1084"/>
      <c r="D517" s="1085" t="s">
        <v>1504</v>
      </c>
      <c r="E517" s="1086"/>
      <c r="F517" s="1086"/>
      <c r="G517" s="876"/>
      <c r="H517" s="876"/>
      <c r="I517" s="1087"/>
      <c r="J517" s="876"/>
      <c r="K517" s="1084" t="s">
        <v>159</v>
      </c>
      <c r="L517" s="1088" t="s">
        <v>159</v>
      </c>
      <c r="M517" s="1088"/>
      <c r="N517" s="1088"/>
      <c r="O517" s="1088"/>
      <c r="P517" s="1088"/>
      <c r="Q517" s="1089">
        <f ca="1">B517/A517</f>
        <v>185</v>
      </c>
      <c r="R517" s="1090">
        <f ca="1">IF($B517=0,0,IF($S$1="R",ROUND(R522/$B517,2),R522/$B517))</f>
        <v>2.0699999999999998</v>
      </c>
      <c r="S517" s="1091"/>
      <c r="T517" s="1090">
        <f ca="1">IF($B517=0,0,IF($S$1="R",ROUND(T522/$B517,2),T522/$B517))</f>
        <v>0.19</v>
      </c>
    </row>
    <row r="518" spans="1:28" s="504" customFormat="1" ht="13.8" thickTop="1">
      <c r="A518" s="872"/>
      <c r="B518" s="3"/>
      <c r="C518" s="3"/>
      <c r="D518" s="102" t="s">
        <v>160</v>
      </c>
      <c r="E518" s="3"/>
      <c r="F518" s="3"/>
      <c r="G518" s="3"/>
      <c r="H518" s="3"/>
      <c r="I518" s="3"/>
      <c r="J518" s="3"/>
      <c r="K518" s="3"/>
      <c r="L518" s="3"/>
      <c r="M518" s="3"/>
      <c r="N518" s="3"/>
      <c r="O518" s="103"/>
      <c r="P518" s="3"/>
      <c r="Q518" s="3"/>
      <c r="R518" s="3"/>
      <c r="S518" s="3"/>
      <c r="T518" s="3"/>
    </row>
    <row r="519" spans="1:28" s="1039" customFormat="1" ht="11.4">
      <c r="A519" s="1297">
        <f ca="1">$Q$517 *(6)</f>
        <v>1110</v>
      </c>
      <c r="B519" s="1039" t="s">
        <v>326</v>
      </c>
      <c r="D519" s="1039" t="s">
        <v>1166</v>
      </c>
      <c r="F519" s="1039" t="s">
        <v>1282</v>
      </c>
      <c r="G519" s="1040" t="s">
        <v>1167</v>
      </c>
      <c r="H519" s="1041">
        <v>615</v>
      </c>
      <c r="I519" s="1039" t="s">
        <v>991</v>
      </c>
      <c r="K519" s="1039" t="s">
        <v>1168</v>
      </c>
      <c r="O519" s="1042">
        <v>2</v>
      </c>
      <c r="P519" s="1043">
        <v>38988</v>
      </c>
      <c r="Q519" s="1044">
        <v>0.17249999999999999</v>
      </c>
      <c r="R519" s="1045">
        <f ca="1">$A519*Q519</f>
        <v>191.47499999999999</v>
      </c>
      <c r="S519" s="1044">
        <v>1.4999999999999999E-2</v>
      </c>
      <c r="T519" s="1046">
        <f ca="1">$A519*S519*$T$1</f>
        <v>17.482499999999998</v>
      </c>
    </row>
    <row r="520" spans="1:28" s="1039" customFormat="1" ht="11.4">
      <c r="A520" s="1297">
        <f ca="1">$Q$517 *(6)</f>
        <v>1110</v>
      </c>
      <c r="B520" s="1039" t="s">
        <v>326</v>
      </c>
      <c r="D520" s="1039" t="s">
        <v>1166</v>
      </c>
      <c r="F520" s="1039" t="s">
        <v>1283</v>
      </c>
      <c r="G520" s="1040" t="s">
        <v>1167</v>
      </c>
      <c r="H520" s="1041">
        <v>615</v>
      </c>
      <c r="I520" s="1039" t="s">
        <v>991</v>
      </c>
      <c r="K520" s="1039" t="s">
        <v>1168</v>
      </c>
      <c r="O520" s="1042">
        <v>2</v>
      </c>
      <c r="P520" s="1043">
        <v>38988</v>
      </c>
      <c r="Q520" s="1044">
        <v>0.17249999999999999</v>
      </c>
      <c r="R520" s="1045">
        <f ca="1">$A520*Q520</f>
        <v>191.47499999999999</v>
      </c>
      <c r="S520" s="1044">
        <v>1.4999999999999999E-2</v>
      </c>
      <c r="T520" s="1046">
        <f ca="1">$A520*S520*$T$1</f>
        <v>17.482499999999998</v>
      </c>
    </row>
    <row r="521" spans="1:28" s="504" customFormat="1">
      <c r="A521" s="882"/>
      <c r="B521" s="3"/>
      <c r="C521" s="882" t="s">
        <v>161</v>
      </c>
      <c r="D521" s="3"/>
      <c r="E521" s="882"/>
      <c r="F521" s="877"/>
      <c r="G521" s="882"/>
      <c r="H521" s="882"/>
      <c r="I521" s="503"/>
      <c r="J521" s="882"/>
      <c r="K521" s="882"/>
      <c r="L521" s="882"/>
      <c r="M521" s="882"/>
      <c r="N521" s="882"/>
      <c r="O521" s="882"/>
      <c r="P521" s="882"/>
      <c r="Q521" s="503"/>
      <c r="R521" s="1072">
        <f>$A521*Q521</f>
        <v>0</v>
      </c>
      <c r="S521" s="503"/>
      <c r="T521" s="884">
        <f>$A521*S521*$T$1</f>
        <v>0</v>
      </c>
    </row>
    <row r="522" spans="1:28" s="504" customFormat="1" ht="12.6" thickBot="1">
      <c r="A522" s="885" t="s">
        <v>142</v>
      </c>
      <c r="B522" s="886">
        <f>(R521+T521)</f>
        <v>0</v>
      </c>
      <c r="C522" s="887"/>
      <c r="D522" s="1092" t="s">
        <v>162</v>
      </c>
      <c r="E522" s="461">
        <f ca="1">IF($B517=0,0,ROUND(ROUND(($R522*$S$2+($T522*$T$2))/$B517, 2)*$C$2,2))</f>
        <v>9.17</v>
      </c>
      <c r="F522" s="462">
        <f ca="1">ROUND($B517*$E522,2)</f>
        <v>1696.45</v>
      </c>
      <c r="G522" s="887"/>
      <c r="H522" s="887"/>
      <c r="I522" s="889"/>
      <c r="J522" s="887"/>
      <c r="K522" s="1093" t="s">
        <v>140</v>
      </c>
      <c r="L522" s="890" t="s">
        <v>140</v>
      </c>
      <c r="M522" s="890"/>
      <c r="N522" s="890"/>
      <c r="O522" s="890"/>
      <c r="P522" s="890"/>
      <c r="Q522" s="1093"/>
      <c r="R522" s="1094">
        <f ca="1">SUM(R518:R521)</f>
        <v>382.95</v>
      </c>
      <c r="S522" s="1095"/>
      <c r="T522" s="1094">
        <f ca="1">SUM(T518:T521)</f>
        <v>34.964999999999996</v>
      </c>
      <c r="U522" s="514"/>
      <c r="V522" s="514"/>
      <c r="W522" s="514"/>
      <c r="X522" s="514"/>
      <c r="Y522" s="514"/>
      <c r="Z522" s="514"/>
      <c r="AA522" s="514"/>
      <c r="AB522" s="514"/>
    </row>
    <row r="523" spans="1:28" s="504" customFormat="1" ht="12" thickTop="1">
      <c r="A523" s="50"/>
      <c r="B523" s="50"/>
      <c r="C523" s="50"/>
      <c r="D523" s="50"/>
      <c r="E523" s="50"/>
      <c r="F523" s="50"/>
      <c r="G523" s="50"/>
      <c r="H523" s="50"/>
      <c r="I523" s="50"/>
      <c r="J523" s="50"/>
      <c r="K523" s="50"/>
      <c r="L523" s="50"/>
      <c r="M523" s="50"/>
      <c r="N523" s="50"/>
      <c r="O523" s="51"/>
      <c r="P523" s="50"/>
      <c r="Q523" s="41" t="s">
        <v>158</v>
      </c>
      <c r="R523" s="50"/>
      <c r="S523" s="13"/>
      <c r="T523" s="50"/>
    </row>
    <row r="524" spans="1:28" s="504" customFormat="1" ht="12" customHeight="1" thickBot="1">
      <c r="A524" s="1082">
        <v>1</v>
      </c>
      <c r="B524" s="1083">
        <f ca="1">Elec_Est!B5600</f>
        <v>13</v>
      </c>
      <c r="C524" s="1084"/>
      <c r="D524" s="1085" t="s">
        <v>1505</v>
      </c>
      <c r="E524" s="1086"/>
      <c r="F524" s="1086"/>
      <c r="G524" s="876"/>
      <c r="H524" s="876"/>
      <c r="I524" s="1087"/>
      <c r="J524" s="876"/>
      <c r="K524" s="1084" t="s">
        <v>159</v>
      </c>
      <c r="L524" s="1088" t="s">
        <v>159</v>
      </c>
      <c r="M524" s="1088"/>
      <c r="N524" s="1088"/>
      <c r="O524" s="1088"/>
      <c r="P524" s="1088"/>
      <c r="Q524" s="1089">
        <f ca="1">B524/A524</f>
        <v>13</v>
      </c>
      <c r="R524" s="1090">
        <f ca="1">IF($B524=0,0,IF($S$1="R",ROUND(R528/$B524,2),R528/$B524))</f>
        <v>35</v>
      </c>
      <c r="S524" s="1091"/>
      <c r="T524" s="1090">
        <f ca="1">IF($B524=0,0,IF($S$1="R",ROUND(T528/$B524,2),T528/$B524))</f>
        <v>0.26</v>
      </c>
    </row>
    <row r="525" spans="1:28" s="504" customFormat="1" ht="13.8" thickTop="1">
      <c r="A525" s="872"/>
      <c r="B525" s="3"/>
      <c r="C525" s="3"/>
      <c r="D525" s="102" t="s">
        <v>160</v>
      </c>
      <c r="E525" s="3"/>
      <c r="F525" s="3"/>
      <c r="G525" s="3"/>
      <c r="H525" s="3"/>
      <c r="I525" s="3"/>
      <c r="J525" s="3"/>
      <c r="K525" s="3"/>
      <c r="L525" s="3"/>
      <c r="M525" s="3"/>
      <c r="N525" s="3"/>
      <c r="O525" s="103"/>
      <c r="P525" s="3"/>
      <c r="Q525" s="3"/>
      <c r="R525" s="3"/>
      <c r="S525" s="3"/>
      <c r="T525" s="3"/>
    </row>
    <row r="526" spans="1:28" s="1039" customFormat="1">
      <c r="A526" s="1295">
        <f ca="1">$Q$524 *(1)</f>
        <v>13</v>
      </c>
      <c r="B526" s="1039" t="s">
        <v>949</v>
      </c>
      <c r="D526" s="1039" t="s">
        <v>1301</v>
      </c>
      <c r="G526" s="1040" t="s">
        <v>1300</v>
      </c>
      <c r="H526" s="1041">
        <v>570</v>
      </c>
      <c r="I526" s="1039" t="s">
        <v>951</v>
      </c>
      <c r="O526" s="1042">
        <v>2</v>
      </c>
      <c r="P526" s="1043">
        <v>38087</v>
      </c>
      <c r="Q526" s="1044">
        <v>35</v>
      </c>
      <c r="R526" s="1045">
        <f ca="1">$A526*Q526</f>
        <v>455</v>
      </c>
      <c r="S526" s="1044">
        <v>0.25</v>
      </c>
      <c r="T526" s="1046">
        <f ca="1">$A526*S526*$T$1</f>
        <v>3.4125000000000001</v>
      </c>
    </row>
    <row r="527" spans="1:28" s="504" customFormat="1">
      <c r="A527" s="882"/>
      <c r="B527" s="3"/>
      <c r="C527" s="882" t="s">
        <v>161</v>
      </c>
      <c r="D527" s="3"/>
      <c r="E527" s="882"/>
      <c r="F527" s="877"/>
      <c r="G527" s="882"/>
      <c r="H527" s="882"/>
      <c r="I527" s="503"/>
      <c r="J527" s="882"/>
      <c r="K527" s="882"/>
      <c r="L527" s="882"/>
      <c r="M527" s="882"/>
      <c r="N527" s="882"/>
      <c r="O527" s="882"/>
      <c r="P527" s="882"/>
      <c r="Q527" s="503"/>
      <c r="R527" s="1072">
        <f>$A527*Q527</f>
        <v>0</v>
      </c>
      <c r="S527" s="503"/>
      <c r="T527" s="884">
        <f>$A527*S527*$T$1</f>
        <v>0</v>
      </c>
    </row>
    <row r="528" spans="1:28" s="504" customFormat="1" ht="12.6" thickBot="1">
      <c r="A528" s="885" t="s">
        <v>142</v>
      </c>
      <c r="B528" s="886">
        <f>(R527+T527)</f>
        <v>0</v>
      </c>
      <c r="C528" s="887"/>
      <c r="D528" s="1092" t="s">
        <v>162</v>
      </c>
      <c r="E528" s="461">
        <f ca="1">IF($B524=0,0,ROUND(ROUND(($R528*$S$2+($T528*$T$2))/$B524, 2)*$C$2,2))</f>
        <v>51.93</v>
      </c>
      <c r="F528" s="462">
        <f ca="1">ROUND($B524*$E528,2)</f>
        <v>675.09</v>
      </c>
      <c r="G528" s="887"/>
      <c r="H528" s="887"/>
      <c r="I528" s="889"/>
      <c r="J528" s="887"/>
      <c r="K528" s="1093" t="s">
        <v>140</v>
      </c>
      <c r="L528" s="890" t="s">
        <v>140</v>
      </c>
      <c r="M528" s="890"/>
      <c r="N528" s="890"/>
      <c r="O528" s="890"/>
      <c r="P528" s="890"/>
      <c r="Q528" s="1093"/>
      <c r="R528" s="1094">
        <f ca="1">SUM(R525:R527)</f>
        <v>455</v>
      </c>
      <c r="S528" s="1095"/>
      <c r="T528" s="1094">
        <f ca="1">SUM(T525:T527)</f>
        <v>3.4125000000000001</v>
      </c>
      <c r="U528" s="514"/>
      <c r="V528" s="514"/>
      <c r="W528" s="514"/>
      <c r="X528" s="514"/>
      <c r="Y528" s="514"/>
      <c r="Z528" s="514"/>
      <c r="AA528" s="514"/>
      <c r="AB528" s="514"/>
    </row>
    <row r="529" spans="1:28" ht="13.8" thickTop="1">
      <c r="A529" s="47" t="s">
        <v>146</v>
      </c>
      <c r="B529"/>
      <c r="C529"/>
      <c r="D529"/>
      <c r="E529"/>
      <c r="F529"/>
      <c r="G529"/>
      <c r="H529"/>
      <c r="I529"/>
      <c r="J529"/>
      <c r="K529"/>
      <c r="L529"/>
      <c r="M529"/>
      <c r="N529"/>
      <c r="O529" s="112"/>
      <c r="P529"/>
      <c r="Q529"/>
      <c r="R529"/>
      <c r="S529"/>
      <c r="T529"/>
    </row>
    <row r="530" spans="1:28" ht="14.4" thickBot="1">
      <c r="A530" s="47" t="s">
        <v>146</v>
      </c>
      <c r="B530" s="1"/>
      <c r="C530" s="33"/>
      <c r="D530" s="113" t="s">
        <v>163</v>
      </c>
      <c r="E530" s="1"/>
      <c r="F530" s="3"/>
      <c r="G530" s="3"/>
      <c r="H530" s="3"/>
      <c r="I530" s="3"/>
      <c r="J530" s="3"/>
      <c r="K530" s="3"/>
      <c r="L530" s="3"/>
      <c r="M530" s="3"/>
      <c r="N530" s="3"/>
      <c r="O530" s="103"/>
      <c r="P530" s="3"/>
      <c r="Q530" s="3"/>
      <c r="R530" s="114" t="s">
        <v>33</v>
      </c>
      <c r="S530" s="115"/>
      <c r="T530" s="114" t="s">
        <v>34</v>
      </c>
    </row>
    <row r="531" spans="1:28" ht="13.8" thickTop="1">
      <c r="A531" s="47" t="s">
        <v>146</v>
      </c>
      <c r="B531" s="3"/>
      <c r="C531" s="33"/>
      <c r="D531" s="1"/>
      <c r="E531" s="1"/>
      <c r="F531" s="33"/>
      <c r="G531" s="1"/>
      <c r="H531" s="1"/>
      <c r="I531" s="1"/>
      <c r="J531" s="1"/>
      <c r="K531" s="3"/>
      <c r="L531" s="1"/>
      <c r="M531" s="1"/>
      <c r="N531" s="1"/>
      <c r="O531" s="116"/>
      <c r="P531" s="1"/>
      <c r="Q531" s="1"/>
      <c r="R531" s="1"/>
      <c r="S531" s="1"/>
      <c r="T531" s="1"/>
    </row>
    <row r="532" spans="1:28" ht="13.8" thickBot="1">
      <c r="A532" s="47" t="s">
        <v>146</v>
      </c>
      <c r="B532" s="3"/>
      <c r="C532" s="33"/>
      <c r="D532" s="52" t="s">
        <v>164</v>
      </c>
      <c r="E532" s="1"/>
      <c r="F532" s="1"/>
      <c r="G532" s="33"/>
      <c r="H532" s="33"/>
      <c r="I532" s="33"/>
      <c r="J532" s="33"/>
      <c r="K532" s="3"/>
      <c r="L532" s="117" t="s">
        <v>165</v>
      </c>
      <c r="M532" s="117"/>
      <c r="N532" s="117"/>
      <c r="O532" s="118"/>
      <c r="P532" s="117"/>
      <c r="Q532" s="33"/>
      <c r="R532" s="119">
        <f ca="1">SUMIF($L$12:$L530,"",R$12:R530)</f>
        <v>33393.116370299475</v>
      </c>
      <c r="S532" s="120"/>
      <c r="T532" s="119">
        <f ca="1">SUMIF($L$12:$L530,"",T$12:T530)</f>
        <v>1922.6877378784779</v>
      </c>
    </row>
    <row r="533" spans="1:28" ht="13.8" thickBot="1">
      <c r="A533" s="47" t="s">
        <v>146</v>
      </c>
      <c r="B533" s="3"/>
      <c r="C533" s="33"/>
      <c r="D533" s="52" t="s">
        <v>166</v>
      </c>
      <c r="E533" s="1"/>
      <c r="F533" s="3"/>
      <c r="G533" s="3"/>
      <c r="H533" s="3"/>
      <c r="I533" s="3"/>
      <c r="J533" s="3"/>
      <c r="K533" s="3"/>
      <c r="L533" s="117" t="s">
        <v>167</v>
      </c>
      <c r="M533" s="117"/>
      <c r="N533" s="117"/>
      <c r="O533" s="118"/>
      <c r="P533" s="117"/>
      <c r="Q533" s="3"/>
      <c r="R533" s="121">
        <f ca="1">SUMIF($L$12:$L530,"ITEM",R$12:R530)</f>
        <v>33393.116370299467</v>
      </c>
      <c r="S533" s="122"/>
      <c r="T533" s="121">
        <f ca="1">SUMIF($L$12:$L530,"ITEM",T$12:T530)</f>
        <v>1922.6877378784779</v>
      </c>
    </row>
    <row r="534" spans="1:28" ht="13.8" thickBot="1">
      <c r="A534" s="53" t="s">
        <v>144</v>
      </c>
      <c r="B534" s="9"/>
      <c r="C534" s="49"/>
      <c r="D534" s="9"/>
      <c r="E534" s="9"/>
      <c r="F534" s="9"/>
      <c r="G534" s="9"/>
      <c r="H534" s="9"/>
      <c r="I534" s="9"/>
      <c r="J534" s="9"/>
      <c r="K534" s="9"/>
      <c r="L534" s="9"/>
      <c r="M534" s="9"/>
      <c r="N534" s="9"/>
      <c r="O534" s="123"/>
      <c r="P534" s="9"/>
      <c r="Q534" s="9"/>
      <c r="R534" s="9"/>
      <c r="S534" s="9"/>
      <c r="T534" s="9"/>
      <c r="U534" s="72"/>
      <c r="V534" s="72"/>
      <c r="W534" s="72"/>
      <c r="X534" s="72"/>
      <c r="Y534" s="72"/>
      <c r="Z534" s="72"/>
      <c r="AA534" s="72"/>
      <c r="AB534" s="72"/>
    </row>
    <row r="535" spans="1:28" ht="13.8" thickTop="1">
      <c r="A535" s="54"/>
      <c r="B535" s="458" t="s">
        <v>70</v>
      </c>
      <c r="C535" s="6"/>
      <c r="D535" s="55"/>
      <c r="E535" s="56" t="s">
        <v>147</v>
      </c>
      <c r="F535" s="57"/>
      <c r="G535" s="57"/>
      <c r="H535" s="57"/>
      <c r="I535" s="57"/>
      <c r="J535" s="57"/>
      <c r="K535" s="57"/>
      <c r="L535" s="57"/>
      <c r="M535" s="57"/>
      <c r="N535" s="57"/>
      <c r="O535" s="58"/>
      <c r="P535" s="57"/>
      <c r="Q535" s="59"/>
      <c r="R535" s="60">
        <f ca="1">SUM(R536:R591)</f>
        <v>33393.116370299475</v>
      </c>
      <c r="S535" s="61"/>
      <c r="T535" s="60">
        <f ca="1">SUM(T536:T591)</f>
        <v>1922.6877378784784</v>
      </c>
    </row>
    <row r="536" spans="1:28" hidden="1">
      <c r="A536" s="62"/>
      <c r="B536" s="464">
        <v>1</v>
      </c>
      <c r="C536" s="6" t="s">
        <v>72</v>
      </c>
      <c r="D536" s="36" t="s">
        <v>73</v>
      </c>
      <c r="F536" s="63">
        <v>501</v>
      </c>
      <c r="O536" s="64"/>
      <c r="P536" s="36">
        <v>1</v>
      </c>
      <c r="R536" s="65">
        <f t="shared" ref="R536:R567" ca="1" si="32">SUMIF($H$12:$H$529,$F536,R$12:R$529)</f>
        <v>772.91670549450566</v>
      </c>
      <c r="S536" s="66"/>
      <c r="T536" s="65">
        <f t="shared" ref="T536:T567" ca="1" si="33">SUMIF($H$12:$H$529,$F536,T$12:T$529)</f>
        <v>52.592307692307699</v>
      </c>
    </row>
    <row r="537" spans="1:28" hidden="1">
      <c r="A537" s="62"/>
      <c r="B537" s="464">
        <v>2</v>
      </c>
      <c r="C537" s="6" t="s">
        <v>72</v>
      </c>
      <c r="D537" s="36" t="s">
        <v>74</v>
      </c>
      <c r="F537" s="63">
        <v>505</v>
      </c>
      <c r="O537" s="64"/>
      <c r="P537" s="36">
        <v>1</v>
      </c>
      <c r="R537" s="65">
        <f t="shared" si="32"/>
        <v>0</v>
      </c>
      <c r="S537" s="66"/>
      <c r="T537" s="65">
        <f t="shared" si="33"/>
        <v>0</v>
      </c>
    </row>
    <row r="538" spans="1:28" hidden="1">
      <c r="A538" s="62"/>
      <c r="B538" s="464">
        <v>3</v>
      </c>
      <c r="C538" s="6" t="s">
        <v>72</v>
      </c>
      <c r="D538" s="36" t="s">
        <v>75</v>
      </c>
      <c r="F538" s="63">
        <v>510</v>
      </c>
      <c r="O538" s="64"/>
      <c r="P538" s="36">
        <v>2</v>
      </c>
      <c r="R538" s="65">
        <f t="shared" si="32"/>
        <v>0</v>
      </c>
      <c r="S538" s="66"/>
      <c r="T538" s="65">
        <f t="shared" si="33"/>
        <v>0</v>
      </c>
    </row>
    <row r="539" spans="1:28" hidden="1">
      <c r="A539" s="62"/>
      <c r="B539" s="464">
        <v>4</v>
      </c>
      <c r="C539" s="6" t="s">
        <v>72</v>
      </c>
      <c r="D539" s="36" t="s">
        <v>76</v>
      </c>
      <c r="F539" s="63">
        <v>511</v>
      </c>
      <c r="O539" s="64"/>
      <c r="P539" s="36">
        <v>2</v>
      </c>
      <c r="R539" s="65">
        <f t="shared" si="32"/>
        <v>0</v>
      </c>
      <c r="S539" s="66"/>
      <c r="T539" s="65">
        <f t="shared" si="33"/>
        <v>0</v>
      </c>
    </row>
    <row r="540" spans="1:28" hidden="1">
      <c r="A540" s="62"/>
      <c r="B540" s="464">
        <v>5</v>
      </c>
      <c r="C540" s="6" t="s">
        <v>72</v>
      </c>
      <c r="D540" s="36" t="s">
        <v>77</v>
      </c>
      <c r="F540" s="63">
        <v>512</v>
      </c>
      <c r="O540" s="64"/>
      <c r="P540" s="36">
        <v>2</v>
      </c>
      <c r="R540" s="65">
        <f t="shared" si="32"/>
        <v>0</v>
      </c>
      <c r="S540" s="66"/>
      <c r="T540" s="65">
        <f t="shared" si="33"/>
        <v>0</v>
      </c>
    </row>
    <row r="541" spans="1:28" hidden="1">
      <c r="A541" s="62"/>
      <c r="B541" s="464">
        <v>6</v>
      </c>
      <c r="C541" s="6" t="s">
        <v>72</v>
      </c>
      <c r="D541" s="36" t="s">
        <v>78</v>
      </c>
      <c r="F541" s="63">
        <v>520</v>
      </c>
      <c r="O541" s="64"/>
      <c r="P541" s="36">
        <v>1</v>
      </c>
      <c r="R541" s="65">
        <f t="shared" si="32"/>
        <v>0</v>
      </c>
      <c r="S541" s="66"/>
      <c r="T541" s="65">
        <f t="shared" si="33"/>
        <v>0</v>
      </c>
    </row>
    <row r="542" spans="1:28" hidden="1">
      <c r="A542" s="62"/>
      <c r="B542" s="464">
        <v>7</v>
      </c>
      <c r="C542" s="6" t="s">
        <v>72</v>
      </c>
      <c r="D542" s="36" t="s">
        <v>79</v>
      </c>
      <c r="F542" s="63">
        <v>530</v>
      </c>
      <c r="O542" s="64"/>
      <c r="P542" s="36">
        <v>2</v>
      </c>
      <c r="R542" s="65">
        <f t="shared" si="32"/>
        <v>0</v>
      </c>
      <c r="S542" s="66"/>
      <c r="T542" s="65">
        <f t="shared" si="33"/>
        <v>0</v>
      </c>
    </row>
    <row r="543" spans="1:28" hidden="1">
      <c r="A543" s="62"/>
      <c r="B543" s="464">
        <v>8</v>
      </c>
      <c r="C543" s="6" t="s">
        <v>72</v>
      </c>
      <c r="D543" s="36" t="s">
        <v>80</v>
      </c>
      <c r="F543" s="63">
        <v>550</v>
      </c>
      <c r="O543" s="64"/>
      <c r="P543" s="36">
        <v>2</v>
      </c>
      <c r="R543" s="65">
        <f t="shared" si="32"/>
        <v>0</v>
      </c>
      <c r="S543" s="66"/>
      <c r="T543" s="65">
        <f t="shared" si="33"/>
        <v>0</v>
      </c>
    </row>
    <row r="544" spans="1:28" hidden="1">
      <c r="A544" s="62"/>
      <c r="B544" s="464">
        <v>9</v>
      </c>
      <c r="C544" s="6" t="s">
        <v>72</v>
      </c>
      <c r="D544" s="36" t="s">
        <v>81</v>
      </c>
      <c r="F544" s="63">
        <v>570</v>
      </c>
      <c r="O544" s="64"/>
      <c r="P544" s="36">
        <v>2</v>
      </c>
      <c r="R544" s="65">
        <f t="shared" ca="1" si="32"/>
        <v>1358.4649999999999</v>
      </c>
      <c r="S544" s="66"/>
      <c r="T544" s="65">
        <f t="shared" ca="1" si="33"/>
        <v>16.8</v>
      </c>
    </row>
    <row r="545" spans="1:20" hidden="1">
      <c r="A545" s="62"/>
      <c r="B545" s="464">
        <v>10</v>
      </c>
      <c r="C545" s="6" t="s">
        <v>72</v>
      </c>
      <c r="D545" s="36" t="s">
        <v>82</v>
      </c>
      <c r="F545" s="63">
        <v>615</v>
      </c>
      <c r="O545" s="64"/>
      <c r="P545" s="36">
        <v>2</v>
      </c>
      <c r="R545" s="65">
        <f t="shared" ca="1" si="32"/>
        <v>6684.6575000000012</v>
      </c>
      <c r="S545" s="66"/>
      <c r="T545" s="65">
        <f t="shared" ca="1" si="33"/>
        <v>519.9652500000002</v>
      </c>
    </row>
    <row r="546" spans="1:20" hidden="1">
      <c r="A546" s="62"/>
      <c r="B546" s="464">
        <v>11</v>
      </c>
      <c r="C546" s="6" t="s">
        <v>72</v>
      </c>
      <c r="D546" s="36" t="s">
        <v>84</v>
      </c>
      <c r="F546" s="63">
        <v>616</v>
      </c>
      <c r="O546" s="64"/>
      <c r="P546" s="36">
        <v>2</v>
      </c>
      <c r="R546" s="65">
        <f t="shared" ca="1" si="32"/>
        <v>15341.309300000001</v>
      </c>
      <c r="S546" s="66"/>
      <c r="T546" s="65">
        <f t="shared" ca="1" si="33"/>
        <v>121.149</v>
      </c>
    </row>
    <row r="547" spans="1:20" hidden="1">
      <c r="A547" s="62"/>
      <c r="B547" s="464">
        <v>12</v>
      </c>
      <c r="C547" s="6" t="s">
        <v>72</v>
      </c>
      <c r="D547" s="36" t="s">
        <v>85</v>
      </c>
      <c r="F547" s="63">
        <v>617</v>
      </c>
      <c r="O547" s="64"/>
      <c r="P547" s="36">
        <v>2</v>
      </c>
      <c r="R547" s="65">
        <f t="shared" si="32"/>
        <v>0</v>
      </c>
      <c r="S547" s="66"/>
      <c r="T547" s="65">
        <f t="shared" si="33"/>
        <v>0</v>
      </c>
    </row>
    <row r="548" spans="1:20" hidden="1">
      <c r="A548" s="62"/>
      <c r="B548" s="464">
        <v>13</v>
      </c>
      <c r="C548" s="6" t="s">
        <v>72</v>
      </c>
      <c r="D548" s="36" t="s">
        <v>148</v>
      </c>
      <c r="F548" s="63">
        <v>620</v>
      </c>
      <c r="O548" s="64"/>
      <c r="P548" s="36">
        <v>2</v>
      </c>
      <c r="R548" s="65">
        <f t="shared" ca="1" si="32"/>
        <v>406.10000000000008</v>
      </c>
      <c r="S548" s="66"/>
      <c r="T548" s="65">
        <f t="shared" ca="1" si="33"/>
        <v>65.856000000000023</v>
      </c>
    </row>
    <row r="549" spans="1:20" hidden="1">
      <c r="A549" s="62"/>
      <c r="B549" s="464">
        <v>14</v>
      </c>
      <c r="C549" s="6" t="s">
        <v>72</v>
      </c>
      <c r="D549" s="36" t="s">
        <v>87</v>
      </c>
      <c r="F549" s="63">
        <v>650</v>
      </c>
      <c r="O549" s="64"/>
      <c r="P549" s="36">
        <v>1</v>
      </c>
      <c r="R549" s="65">
        <f t="shared" ca="1" si="32"/>
        <v>947.64266666666674</v>
      </c>
      <c r="S549" s="66"/>
      <c r="T549" s="65">
        <f t="shared" ca="1" si="33"/>
        <v>43.575000000000003</v>
      </c>
    </row>
    <row r="550" spans="1:20" hidden="1">
      <c r="A550" s="62"/>
      <c r="B550" s="464">
        <v>15</v>
      </c>
      <c r="C550" s="6" t="s">
        <v>72</v>
      </c>
      <c r="D550" s="36" t="s">
        <v>88</v>
      </c>
      <c r="F550" s="63">
        <v>651</v>
      </c>
      <c r="O550" s="64"/>
      <c r="P550" s="36">
        <v>1</v>
      </c>
      <c r="R550" s="65">
        <f t="shared" si="32"/>
        <v>0</v>
      </c>
      <c r="S550" s="66"/>
      <c r="T550" s="65">
        <f t="shared" si="33"/>
        <v>0</v>
      </c>
    </row>
    <row r="551" spans="1:20" hidden="1">
      <c r="A551" s="62"/>
      <c r="B551" s="464">
        <v>16</v>
      </c>
      <c r="C551" s="6" t="s">
        <v>72</v>
      </c>
      <c r="D551" s="36" t="s">
        <v>89</v>
      </c>
      <c r="F551" s="63">
        <v>652</v>
      </c>
      <c r="O551" s="64"/>
      <c r="P551" s="36">
        <v>1</v>
      </c>
      <c r="R551" s="65">
        <f t="shared" si="32"/>
        <v>0</v>
      </c>
      <c r="S551" s="66"/>
      <c r="T551" s="65">
        <f t="shared" si="33"/>
        <v>0</v>
      </c>
    </row>
    <row r="552" spans="1:20" hidden="1">
      <c r="A552" s="62"/>
      <c r="B552" s="464">
        <v>17</v>
      </c>
      <c r="C552" s="6" t="s">
        <v>72</v>
      </c>
      <c r="D552" s="36" t="s">
        <v>90</v>
      </c>
      <c r="F552" s="63">
        <v>654</v>
      </c>
      <c r="O552" s="64"/>
      <c r="P552" s="36">
        <v>1</v>
      </c>
      <c r="R552" s="65">
        <f t="shared" si="32"/>
        <v>0</v>
      </c>
      <c r="S552" s="66"/>
      <c r="T552" s="65">
        <f t="shared" si="33"/>
        <v>0</v>
      </c>
    </row>
    <row r="553" spans="1:20" hidden="1">
      <c r="A553" s="62"/>
      <c r="B553" s="464">
        <v>18</v>
      </c>
      <c r="C553" s="6" t="s">
        <v>72</v>
      </c>
      <c r="D553" s="36" t="s">
        <v>91</v>
      </c>
      <c r="F553" s="63">
        <v>675</v>
      </c>
      <c r="O553" s="64"/>
      <c r="P553" s="36">
        <v>1</v>
      </c>
      <c r="R553" s="65">
        <f t="shared" ca="1" si="32"/>
        <v>108.01231249999999</v>
      </c>
      <c r="S553" s="66"/>
      <c r="T553" s="65">
        <f t="shared" ca="1" si="33"/>
        <v>7.1400000000000006</v>
      </c>
    </row>
    <row r="554" spans="1:20" hidden="1">
      <c r="A554" s="62"/>
      <c r="B554" s="464">
        <v>19</v>
      </c>
      <c r="C554" s="6" t="s">
        <v>72</v>
      </c>
      <c r="D554" s="36" t="s">
        <v>92</v>
      </c>
      <c r="F554" s="63">
        <v>676</v>
      </c>
      <c r="O554" s="64"/>
      <c r="P554" s="36">
        <v>1</v>
      </c>
      <c r="R554" s="65">
        <f t="shared" si="32"/>
        <v>0</v>
      </c>
      <c r="S554" s="66"/>
      <c r="T554" s="65">
        <f t="shared" si="33"/>
        <v>0</v>
      </c>
    </row>
    <row r="555" spans="1:20" hidden="1">
      <c r="A555" s="62"/>
      <c r="B555" s="464">
        <v>20</v>
      </c>
      <c r="C555" s="6" t="s">
        <v>72</v>
      </c>
      <c r="D555" s="36" t="s">
        <v>93</v>
      </c>
      <c r="F555" s="63">
        <v>680</v>
      </c>
      <c r="O555" s="64"/>
      <c r="P555" s="36">
        <v>1</v>
      </c>
      <c r="R555" s="65">
        <f t="shared" si="32"/>
        <v>0</v>
      </c>
      <c r="S555" s="66"/>
      <c r="T555" s="65">
        <f t="shared" si="33"/>
        <v>0</v>
      </c>
    </row>
    <row r="556" spans="1:20" hidden="1">
      <c r="A556" s="62"/>
      <c r="B556" s="464">
        <v>21</v>
      </c>
      <c r="C556" s="6" t="s">
        <v>72</v>
      </c>
      <c r="D556" s="36" t="s">
        <v>95</v>
      </c>
      <c r="F556" s="63">
        <v>681</v>
      </c>
      <c r="O556" s="64"/>
      <c r="P556" s="36">
        <v>1</v>
      </c>
      <c r="R556" s="65">
        <f t="shared" si="32"/>
        <v>0</v>
      </c>
      <c r="S556" s="66"/>
      <c r="T556" s="65">
        <f t="shared" si="33"/>
        <v>0</v>
      </c>
    </row>
    <row r="557" spans="1:20" hidden="1">
      <c r="A557" s="62"/>
      <c r="B557" s="464">
        <v>22</v>
      </c>
      <c r="C557" s="6" t="s">
        <v>72</v>
      </c>
      <c r="D557" s="36" t="s">
        <v>96</v>
      </c>
      <c r="F557" s="63">
        <v>690</v>
      </c>
      <c r="O557" s="64"/>
      <c r="P557" s="36">
        <v>1</v>
      </c>
      <c r="R557" s="65">
        <f t="shared" si="32"/>
        <v>0</v>
      </c>
      <c r="S557" s="66"/>
      <c r="T557" s="65">
        <f t="shared" si="33"/>
        <v>0</v>
      </c>
    </row>
    <row r="558" spans="1:20" hidden="1">
      <c r="A558" s="62"/>
      <c r="B558" s="464">
        <v>23</v>
      </c>
      <c r="C558" s="6" t="s">
        <v>72</v>
      </c>
      <c r="D558" s="36" t="s">
        <v>97</v>
      </c>
      <c r="F558" s="63">
        <v>700</v>
      </c>
      <c r="O558" s="64"/>
      <c r="P558" s="36">
        <v>1</v>
      </c>
      <c r="R558" s="65">
        <f t="shared" ca="1" si="32"/>
        <v>4334.6043750000008</v>
      </c>
      <c r="S558" s="66"/>
      <c r="T558" s="65">
        <f t="shared" ca="1" si="33"/>
        <v>829.96003125000016</v>
      </c>
    </row>
    <row r="559" spans="1:20" hidden="1">
      <c r="A559" s="62"/>
      <c r="B559" s="464">
        <v>24</v>
      </c>
      <c r="C559" s="6" t="s">
        <v>72</v>
      </c>
      <c r="D559" s="36" t="s">
        <v>98</v>
      </c>
      <c r="F559" s="63">
        <v>705</v>
      </c>
      <c r="O559" s="64"/>
      <c r="P559" s="36">
        <v>3</v>
      </c>
      <c r="R559" s="65">
        <f t="shared" ca="1" si="32"/>
        <v>1503.6385106382982</v>
      </c>
      <c r="S559" s="66"/>
      <c r="T559" s="65">
        <f t="shared" ca="1" si="33"/>
        <v>28.875148936170216</v>
      </c>
    </row>
    <row r="560" spans="1:20" hidden="1">
      <c r="A560" s="62"/>
      <c r="B560" s="464">
        <v>25</v>
      </c>
      <c r="C560" s="6" t="s">
        <v>72</v>
      </c>
      <c r="D560" s="36" t="s">
        <v>99</v>
      </c>
      <c r="F560" s="63">
        <v>706</v>
      </c>
      <c r="O560" s="64"/>
      <c r="P560" s="36">
        <v>3</v>
      </c>
      <c r="R560" s="65">
        <f t="shared" si="32"/>
        <v>0</v>
      </c>
      <c r="S560" s="66"/>
      <c r="T560" s="65">
        <f t="shared" si="33"/>
        <v>0</v>
      </c>
    </row>
    <row r="561" spans="1:20" hidden="1">
      <c r="A561" s="62"/>
      <c r="B561" s="464">
        <v>26</v>
      </c>
      <c r="C561" s="6" t="s">
        <v>72</v>
      </c>
      <c r="D561" s="36" t="s">
        <v>100</v>
      </c>
      <c r="F561" s="63">
        <v>725</v>
      </c>
      <c r="O561" s="64"/>
      <c r="P561" s="36">
        <v>3</v>
      </c>
      <c r="R561" s="65">
        <f t="shared" si="32"/>
        <v>0</v>
      </c>
      <c r="S561" s="66"/>
      <c r="T561" s="65">
        <f t="shared" si="33"/>
        <v>0</v>
      </c>
    </row>
    <row r="562" spans="1:20" hidden="1">
      <c r="A562" s="62"/>
      <c r="B562" s="464">
        <v>27</v>
      </c>
      <c r="C562" s="6" t="s">
        <v>72</v>
      </c>
      <c r="D562" s="36" t="s">
        <v>101</v>
      </c>
      <c r="F562" s="63">
        <v>726</v>
      </c>
      <c r="O562" s="64"/>
      <c r="P562" s="36">
        <v>3</v>
      </c>
      <c r="R562" s="65">
        <f t="shared" si="32"/>
        <v>0</v>
      </c>
      <c r="S562" s="66"/>
      <c r="T562" s="65">
        <f t="shared" si="33"/>
        <v>0</v>
      </c>
    </row>
    <row r="563" spans="1:20" hidden="1">
      <c r="A563" s="62"/>
      <c r="B563" s="464">
        <v>28</v>
      </c>
      <c r="C563" s="6" t="s">
        <v>72</v>
      </c>
      <c r="D563" s="36" t="s">
        <v>102</v>
      </c>
      <c r="F563" s="63">
        <v>750</v>
      </c>
      <c r="O563" s="64"/>
      <c r="P563" s="36">
        <v>3</v>
      </c>
      <c r="R563" s="65">
        <f t="shared" si="32"/>
        <v>0</v>
      </c>
      <c r="S563" s="66"/>
      <c r="T563" s="65">
        <f t="shared" si="33"/>
        <v>0</v>
      </c>
    </row>
    <row r="564" spans="1:20" hidden="1">
      <c r="A564" s="62"/>
      <c r="B564" s="464">
        <v>29</v>
      </c>
      <c r="C564" s="6" t="s">
        <v>72</v>
      </c>
      <c r="D564" s="36" t="s">
        <v>103</v>
      </c>
      <c r="F564" s="63">
        <v>751</v>
      </c>
      <c r="O564" s="64"/>
      <c r="P564" s="36">
        <v>3</v>
      </c>
      <c r="R564" s="65">
        <f t="shared" si="32"/>
        <v>0</v>
      </c>
      <c r="S564" s="66"/>
      <c r="T564" s="65">
        <f t="shared" si="33"/>
        <v>0</v>
      </c>
    </row>
    <row r="565" spans="1:20" hidden="1">
      <c r="A565" s="62"/>
      <c r="B565" s="464">
        <v>30</v>
      </c>
      <c r="C565" s="6" t="s">
        <v>72</v>
      </c>
      <c r="D565" s="36" t="s">
        <v>104</v>
      </c>
      <c r="F565" s="63">
        <v>752</v>
      </c>
      <c r="O565" s="64"/>
      <c r="P565" s="36">
        <v>3</v>
      </c>
      <c r="R565" s="65">
        <f t="shared" si="32"/>
        <v>0</v>
      </c>
      <c r="S565" s="66"/>
      <c r="T565" s="65">
        <f t="shared" si="33"/>
        <v>0</v>
      </c>
    </row>
    <row r="566" spans="1:20" hidden="1">
      <c r="A566" s="62"/>
      <c r="B566" s="464">
        <v>31</v>
      </c>
      <c r="C566" s="6" t="s">
        <v>72</v>
      </c>
      <c r="D566" s="515" t="s">
        <v>257</v>
      </c>
      <c r="F566" s="63">
        <v>753</v>
      </c>
      <c r="O566" s="64"/>
      <c r="P566" s="36">
        <v>3</v>
      </c>
      <c r="R566" s="65">
        <f t="shared" si="32"/>
        <v>0</v>
      </c>
      <c r="S566" s="66"/>
      <c r="T566" s="65">
        <f t="shared" si="33"/>
        <v>0</v>
      </c>
    </row>
    <row r="567" spans="1:20" hidden="1">
      <c r="A567" s="62"/>
      <c r="B567" s="464">
        <v>32</v>
      </c>
      <c r="C567" s="6" t="s">
        <v>72</v>
      </c>
      <c r="D567" s="36" t="s">
        <v>106</v>
      </c>
      <c r="F567" s="63">
        <v>770</v>
      </c>
      <c r="O567" s="64"/>
      <c r="P567" s="36">
        <v>3</v>
      </c>
      <c r="R567" s="65">
        <f t="shared" si="32"/>
        <v>0</v>
      </c>
      <c r="S567" s="66"/>
      <c r="T567" s="65">
        <f t="shared" si="33"/>
        <v>0</v>
      </c>
    </row>
    <row r="568" spans="1:20" hidden="1">
      <c r="A568" s="62"/>
      <c r="B568" s="464">
        <v>33</v>
      </c>
      <c r="C568" s="6" t="s">
        <v>72</v>
      </c>
      <c r="D568" s="36" t="s">
        <v>107</v>
      </c>
      <c r="F568" s="63">
        <v>790</v>
      </c>
      <c r="O568" s="64"/>
      <c r="P568" s="36">
        <v>3</v>
      </c>
      <c r="R568" s="65">
        <f t="shared" ref="R568:R591" si="34">SUMIF($H$12:$H$529,$F568,R$12:R$529)</f>
        <v>0</v>
      </c>
      <c r="S568" s="66"/>
      <c r="T568" s="65">
        <f t="shared" ref="T568:T591" si="35">SUMIF($H$12:$H$529,$F568,T$12:T$529)</f>
        <v>0</v>
      </c>
    </row>
    <row r="569" spans="1:20" hidden="1">
      <c r="A569" s="62"/>
      <c r="B569" s="464">
        <v>34</v>
      </c>
      <c r="C569" s="6" t="s">
        <v>72</v>
      </c>
      <c r="D569" s="36" t="s">
        <v>108</v>
      </c>
      <c r="F569" s="63">
        <v>791</v>
      </c>
      <c r="O569" s="64"/>
      <c r="P569" s="36">
        <v>3</v>
      </c>
      <c r="R569" s="65">
        <f t="shared" si="34"/>
        <v>0</v>
      </c>
      <c r="S569" s="66"/>
      <c r="T569" s="65">
        <f t="shared" si="35"/>
        <v>0</v>
      </c>
    </row>
    <row r="570" spans="1:20" hidden="1">
      <c r="A570" s="62"/>
      <c r="B570" s="464">
        <v>35</v>
      </c>
      <c r="C570" s="6" t="s">
        <v>72</v>
      </c>
      <c r="D570" s="36" t="s">
        <v>109</v>
      </c>
      <c r="F570" s="63">
        <v>810</v>
      </c>
      <c r="O570" s="64"/>
      <c r="P570" s="36">
        <v>3</v>
      </c>
      <c r="R570" s="65">
        <f t="shared" si="34"/>
        <v>0</v>
      </c>
      <c r="S570" s="66"/>
      <c r="T570" s="65">
        <f t="shared" si="35"/>
        <v>0</v>
      </c>
    </row>
    <row r="571" spans="1:20" hidden="1">
      <c r="A571" s="62"/>
      <c r="B571" s="464">
        <v>36</v>
      </c>
      <c r="C571" s="6" t="s">
        <v>72</v>
      </c>
      <c r="D571" s="36" t="s">
        <v>110</v>
      </c>
      <c r="F571" s="63">
        <v>815</v>
      </c>
      <c r="O571" s="64"/>
      <c r="P571" s="36">
        <v>3</v>
      </c>
      <c r="R571" s="65">
        <f t="shared" si="34"/>
        <v>0</v>
      </c>
      <c r="S571" s="66"/>
      <c r="T571" s="65">
        <f t="shared" si="35"/>
        <v>0</v>
      </c>
    </row>
    <row r="572" spans="1:20" hidden="1">
      <c r="A572" s="62"/>
      <c r="B572" s="464">
        <v>37</v>
      </c>
      <c r="C572" s="6" t="s">
        <v>72</v>
      </c>
      <c r="D572" s="36" t="s">
        <v>111</v>
      </c>
      <c r="F572" s="63">
        <v>820</v>
      </c>
      <c r="O572" s="64"/>
      <c r="P572" s="36">
        <v>2</v>
      </c>
      <c r="R572" s="65">
        <f t="shared" si="34"/>
        <v>0</v>
      </c>
      <c r="S572" s="66"/>
      <c r="T572" s="65">
        <f t="shared" si="35"/>
        <v>0</v>
      </c>
    </row>
    <row r="573" spans="1:20" hidden="1">
      <c r="A573" s="62"/>
      <c r="B573" s="464">
        <v>38</v>
      </c>
      <c r="C573" s="6" t="s">
        <v>72</v>
      </c>
      <c r="D573" s="36" t="s">
        <v>112</v>
      </c>
      <c r="F573" s="63">
        <v>821</v>
      </c>
      <c r="O573" s="64"/>
      <c r="P573" s="36">
        <v>3</v>
      </c>
      <c r="R573" s="65">
        <f t="shared" si="34"/>
        <v>0</v>
      </c>
      <c r="S573" s="66"/>
      <c r="T573" s="65">
        <f t="shared" si="35"/>
        <v>0</v>
      </c>
    </row>
    <row r="574" spans="1:20" hidden="1">
      <c r="A574" s="62"/>
      <c r="B574" s="464">
        <v>39</v>
      </c>
      <c r="C574" s="6" t="s">
        <v>72</v>
      </c>
      <c r="D574" s="36" t="s">
        <v>113</v>
      </c>
      <c r="F574" s="63">
        <v>835</v>
      </c>
      <c r="O574" s="64"/>
      <c r="P574" s="36">
        <v>3</v>
      </c>
      <c r="R574" s="65">
        <f t="shared" ca="1" si="34"/>
        <v>1840.4</v>
      </c>
      <c r="S574" s="66"/>
      <c r="T574" s="65">
        <f t="shared" ca="1" si="35"/>
        <v>236.77500000000001</v>
      </c>
    </row>
    <row r="575" spans="1:20" hidden="1">
      <c r="A575" s="62"/>
      <c r="B575" s="464">
        <v>40</v>
      </c>
      <c r="C575" s="6" t="s">
        <v>72</v>
      </c>
      <c r="D575" s="36" t="s">
        <v>114</v>
      </c>
      <c r="F575" s="63">
        <v>845</v>
      </c>
      <c r="O575" s="64"/>
      <c r="P575" s="36">
        <v>2</v>
      </c>
      <c r="R575" s="65">
        <f t="shared" si="34"/>
        <v>0</v>
      </c>
      <c r="S575" s="66"/>
      <c r="T575" s="65">
        <f t="shared" si="35"/>
        <v>0</v>
      </c>
    </row>
    <row r="576" spans="1:20" hidden="1">
      <c r="A576" s="62"/>
      <c r="B576" s="464">
        <v>41</v>
      </c>
      <c r="C576" s="6" t="s">
        <v>72</v>
      </c>
      <c r="D576" s="36" t="s">
        <v>116</v>
      </c>
      <c r="F576" s="63">
        <v>855</v>
      </c>
      <c r="O576" s="64"/>
      <c r="P576" s="36">
        <v>3</v>
      </c>
      <c r="R576" s="65">
        <f t="shared" si="34"/>
        <v>0</v>
      </c>
      <c r="S576" s="66"/>
      <c r="T576" s="65">
        <f t="shared" si="35"/>
        <v>0</v>
      </c>
    </row>
    <row r="577" spans="1:28" hidden="1">
      <c r="A577" s="62"/>
      <c r="B577" s="464">
        <v>42</v>
      </c>
      <c r="C577" s="6" t="s">
        <v>72</v>
      </c>
      <c r="D577" s="36" t="s">
        <v>117</v>
      </c>
      <c r="F577" s="63">
        <v>856</v>
      </c>
      <c r="O577" s="64"/>
      <c r="P577" s="36">
        <v>3</v>
      </c>
      <c r="R577" s="65">
        <f t="shared" si="34"/>
        <v>0</v>
      </c>
      <c r="S577" s="66"/>
      <c r="T577" s="65">
        <f t="shared" si="35"/>
        <v>0</v>
      </c>
    </row>
    <row r="578" spans="1:28" hidden="1">
      <c r="A578" s="62"/>
      <c r="B578" s="464">
        <v>43</v>
      </c>
      <c r="C578" s="6" t="s">
        <v>72</v>
      </c>
      <c r="D578" s="36" t="s">
        <v>238</v>
      </c>
      <c r="F578" s="63">
        <v>857</v>
      </c>
      <c r="O578" s="64"/>
      <c r="P578" s="36">
        <v>3</v>
      </c>
      <c r="R578" s="65">
        <f t="shared" si="34"/>
        <v>0</v>
      </c>
      <c r="S578" s="66"/>
      <c r="T578" s="65">
        <f t="shared" si="35"/>
        <v>0</v>
      </c>
    </row>
    <row r="579" spans="1:28" hidden="1">
      <c r="A579" s="62"/>
      <c r="B579" s="464">
        <v>44</v>
      </c>
      <c r="C579" s="6" t="s">
        <v>72</v>
      </c>
      <c r="D579" s="36" t="s">
        <v>118</v>
      </c>
      <c r="F579" s="63">
        <v>858</v>
      </c>
      <c r="O579" s="64"/>
      <c r="P579" s="36">
        <v>3</v>
      </c>
      <c r="R579" s="65">
        <f t="shared" si="34"/>
        <v>0</v>
      </c>
      <c r="S579" s="66"/>
      <c r="T579" s="65">
        <f t="shared" si="35"/>
        <v>0</v>
      </c>
    </row>
    <row r="580" spans="1:28" hidden="1">
      <c r="A580" s="62"/>
      <c r="B580" s="464">
        <v>45</v>
      </c>
      <c r="C580" s="6" t="s">
        <v>72</v>
      </c>
      <c r="D580" s="36" t="s">
        <v>119</v>
      </c>
      <c r="F580" s="63">
        <v>865</v>
      </c>
      <c r="O580" s="64"/>
      <c r="P580" s="36">
        <v>3</v>
      </c>
      <c r="R580" s="65">
        <f t="shared" si="34"/>
        <v>0</v>
      </c>
      <c r="S580" s="66"/>
      <c r="T580" s="65">
        <f t="shared" si="35"/>
        <v>0</v>
      </c>
    </row>
    <row r="581" spans="1:28" hidden="1">
      <c r="A581" s="62"/>
      <c r="B581" s="464">
        <v>46</v>
      </c>
      <c r="C581" s="6" t="s">
        <v>72</v>
      </c>
      <c r="D581" s="36" t="s">
        <v>120</v>
      </c>
      <c r="F581" s="63">
        <v>870</v>
      </c>
      <c r="O581" s="64"/>
      <c r="P581" s="36">
        <v>4</v>
      </c>
      <c r="R581" s="65">
        <f t="shared" si="34"/>
        <v>0</v>
      </c>
      <c r="S581" s="66"/>
      <c r="T581" s="65">
        <f t="shared" si="35"/>
        <v>0</v>
      </c>
    </row>
    <row r="582" spans="1:28" hidden="1">
      <c r="A582" s="62"/>
      <c r="B582" s="464">
        <v>47</v>
      </c>
      <c r="C582" s="6" t="s">
        <v>72</v>
      </c>
      <c r="D582" s="36" t="s">
        <v>121</v>
      </c>
      <c r="F582" s="63">
        <v>875</v>
      </c>
      <c r="O582" s="64"/>
      <c r="P582" s="36">
        <v>1</v>
      </c>
      <c r="R582" s="65">
        <f t="shared" ca="1" si="34"/>
        <v>95.370000000000019</v>
      </c>
      <c r="S582" s="66"/>
      <c r="T582" s="65">
        <f t="shared" ca="1" si="35"/>
        <v>0</v>
      </c>
    </row>
    <row r="583" spans="1:28" hidden="1">
      <c r="A583" s="62"/>
      <c r="B583" s="464">
        <v>48</v>
      </c>
      <c r="C583" s="6" t="s">
        <v>72</v>
      </c>
      <c r="D583" s="36" t="s">
        <v>122</v>
      </c>
      <c r="F583" s="63">
        <v>880</v>
      </c>
      <c r="O583" s="64"/>
      <c r="P583" s="36">
        <v>3</v>
      </c>
      <c r="R583" s="65">
        <f t="shared" si="34"/>
        <v>0</v>
      </c>
      <c r="S583" s="66"/>
      <c r="T583" s="65">
        <f t="shared" si="35"/>
        <v>0</v>
      </c>
    </row>
    <row r="584" spans="1:28" hidden="1">
      <c r="A584" s="62"/>
      <c r="B584" s="464">
        <v>49</v>
      </c>
      <c r="C584" s="6" t="s">
        <v>72</v>
      </c>
      <c r="D584" s="36" t="s">
        <v>123</v>
      </c>
      <c r="F584" s="63">
        <v>885</v>
      </c>
      <c r="O584" s="64"/>
      <c r="P584" s="36">
        <v>4</v>
      </c>
      <c r="R584" s="65">
        <f t="shared" si="34"/>
        <v>0</v>
      </c>
      <c r="S584" s="66"/>
      <c r="T584" s="65">
        <f t="shared" si="35"/>
        <v>0</v>
      </c>
    </row>
    <row r="585" spans="1:28" hidden="1">
      <c r="A585" s="62"/>
      <c r="B585" s="464">
        <v>50</v>
      </c>
      <c r="C585" s="6" t="s">
        <v>72</v>
      </c>
      <c r="D585" s="36" t="s">
        <v>67</v>
      </c>
      <c r="F585" s="63">
        <v>900</v>
      </c>
      <c r="O585" s="64"/>
      <c r="P585" s="36">
        <v>3</v>
      </c>
      <c r="R585" s="65">
        <f t="shared" si="34"/>
        <v>0</v>
      </c>
      <c r="S585" s="66"/>
      <c r="T585" s="65">
        <f t="shared" si="35"/>
        <v>0</v>
      </c>
    </row>
    <row r="586" spans="1:28" hidden="1">
      <c r="A586" s="62"/>
      <c r="B586" s="464">
        <v>51</v>
      </c>
      <c r="C586" s="6" t="s">
        <v>72</v>
      </c>
      <c r="D586" s="36" t="s">
        <v>125</v>
      </c>
      <c r="F586" s="63">
        <v>901</v>
      </c>
      <c r="O586" s="64"/>
      <c r="P586" s="36">
        <v>1</v>
      </c>
      <c r="R586" s="65">
        <f t="shared" si="34"/>
        <v>0</v>
      </c>
      <c r="S586" s="66"/>
      <c r="T586" s="65">
        <f t="shared" si="35"/>
        <v>0</v>
      </c>
    </row>
    <row r="587" spans="1:28" hidden="1">
      <c r="A587" s="62"/>
      <c r="B587" s="464">
        <v>52</v>
      </c>
      <c r="C587" s="6" t="s">
        <v>72</v>
      </c>
      <c r="D587" s="36" t="s">
        <v>126</v>
      </c>
      <c r="F587" s="63">
        <v>902</v>
      </c>
      <c r="O587" s="64"/>
      <c r="P587" s="36">
        <v>3</v>
      </c>
      <c r="R587" s="65">
        <f t="shared" si="34"/>
        <v>0</v>
      </c>
      <c r="S587" s="66"/>
      <c r="T587" s="65">
        <f t="shared" si="35"/>
        <v>0</v>
      </c>
    </row>
    <row r="588" spans="1:28" hidden="1">
      <c r="A588" s="62"/>
      <c r="B588" s="464">
        <v>53</v>
      </c>
      <c r="C588" s="6" t="s">
        <v>72</v>
      </c>
      <c r="D588" s="67" t="s">
        <v>127</v>
      </c>
      <c r="F588" s="63">
        <v>960</v>
      </c>
      <c r="O588" s="64"/>
      <c r="P588" s="36">
        <v>4</v>
      </c>
      <c r="R588" s="65">
        <f t="shared" si="34"/>
        <v>0</v>
      </c>
      <c r="S588" s="66"/>
      <c r="T588" s="65">
        <f t="shared" si="35"/>
        <v>0</v>
      </c>
    </row>
    <row r="589" spans="1:28" hidden="1">
      <c r="A589" s="62"/>
      <c r="B589" s="464">
        <v>54</v>
      </c>
      <c r="C589" s="6" t="s">
        <v>72</v>
      </c>
      <c r="D589" s="67" t="s">
        <v>128</v>
      </c>
      <c r="F589" s="63">
        <v>961</v>
      </c>
      <c r="O589" s="64"/>
      <c r="P589" s="36">
        <v>3</v>
      </c>
      <c r="R589" s="65">
        <f t="shared" si="34"/>
        <v>0</v>
      </c>
      <c r="S589" s="66"/>
      <c r="T589" s="65">
        <f t="shared" si="35"/>
        <v>0</v>
      </c>
    </row>
    <row r="590" spans="1:28" hidden="1">
      <c r="A590" s="62"/>
      <c r="B590" s="464">
        <v>55</v>
      </c>
      <c r="C590" s="6" t="s">
        <v>72</v>
      </c>
      <c r="D590" s="67" t="s">
        <v>129</v>
      </c>
      <c r="F590" s="63">
        <v>962</v>
      </c>
      <c r="O590" s="64"/>
      <c r="P590" s="36">
        <v>1</v>
      </c>
      <c r="R590" s="65">
        <f t="shared" si="34"/>
        <v>0</v>
      </c>
      <c r="S590" s="66"/>
      <c r="T590" s="65">
        <f t="shared" si="35"/>
        <v>0</v>
      </c>
    </row>
    <row r="591" spans="1:28" hidden="1">
      <c r="A591" s="62"/>
      <c r="B591" s="464">
        <v>56</v>
      </c>
      <c r="C591" s="6" t="s">
        <v>72</v>
      </c>
      <c r="D591" s="67" t="s">
        <v>130</v>
      </c>
      <c r="F591" s="63">
        <v>970</v>
      </c>
      <c r="O591" s="64"/>
      <c r="P591" s="36">
        <v>4</v>
      </c>
      <c r="R591" s="65">
        <f t="shared" si="34"/>
        <v>0</v>
      </c>
      <c r="S591" s="66"/>
      <c r="T591" s="65">
        <f t="shared" si="35"/>
        <v>0</v>
      </c>
    </row>
    <row r="592" spans="1:28" ht="13.8" hidden="1" thickBot="1">
      <c r="A592" s="68"/>
      <c r="B592" s="69"/>
      <c r="C592" s="70"/>
      <c r="D592" s="71"/>
      <c r="E592" s="72"/>
      <c r="F592" s="73"/>
      <c r="G592" s="72"/>
      <c r="H592" s="72"/>
      <c r="I592" s="72"/>
      <c r="J592" s="72"/>
      <c r="K592" s="72"/>
      <c r="L592" s="72"/>
      <c r="M592" s="72"/>
      <c r="N592" s="72"/>
      <c r="O592" s="74"/>
      <c r="P592" s="72"/>
      <c r="Q592" s="72"/>
      <c r="R592" s="75"/>
      <c r="S592" s="76"/>
      <c r="T592" s="75"/>
      <c r="U592" s="72"/>
      <c r="V592" s="72"/>
      <c r="W592" s="72"/>
      <c r="X592" s="72"/>
      <c r="Y592" s="72"/>
      <c r="Z592" s="72"/>
      <c r="AA592" s="72"/>
      <c r="AB592" s="72"/>
    </row>
    <row r="593" spans="1:28" ht="13.8" hidden="1" thickTop="1">
      <c r="A593" s="62"/>
      <c r="B593" s="77"/>
      <c r="C593" s="6" t="s">
        <v>72</v>
      </c>
      <c r="D593" s="78"/>
      <c r="F593" s="79" t="s">
        <v>149</v>
      </c>
      <c r="G593" s="80"/>
      <c r="H593" s="36">
        <v>1</v>
      </c>
      <c r="O593" s="64"/>
      <c r="R593" s="65">
        <f ca="1">SUMIF($P536:$P591,1,R536:R591)</f>
        <v>6258.5460596611729</v>
      </c>
      <c r="T593" s="65">
        <f ca="1">SUMIF($P536:$P591,1,T536:T591)</f>
        <v>933.2673389423079</v>
      </c>
    </row>
    <row r="594" spans="1:28" hidden="1">
      <c r="A594" s="62"/>
      <c r="B594" s="77"/>
      <c r="C594" s="6" t="s">
        <v>72</v>
      </c>
      <c r="D594" s="78"/>
      <c r="F594" s="79" t="s">
        <v>150</v>
      </c>
      <c r="G594" s="80"/>
      <c r="H594" s="36">
        <v>2</v>
      </c>
      <c r="O594" s="64"/>
      <c r="R594" s="65">
        <f ca="1">SUMIF($P536:$P591,2,R536:R591)</f>
        <v>23790.531800000001</v>
      </c>
      <c r="T594" s="65">
        <f ca="1">SUMIF($P536:$P591,2,T536:T591)</f>
        <v>723.77025000000015</v>
      </c>
    </row>
    <row r="595" spans="1:28" hidden="1">
      <c r="A595" s="62"/>
      <c r="B595" s="77"/>
      <c r="C595" s="6" t="s">
        <v>72</v>
      </c>
      <c r="D595" s="78"/>
      <c r="F595" s="79" t="s">
        <v>151</v>
      </c>
      <c r="G595" s="80"/>
      <c r="H595" s="36">
        <v>2</v>
      </c>
      <c r="O595" s="64"/>
      <c r="R595" s="65">
        <f ca="1">SUMIF($P536:$P591,3,R536:R591)</f>
        <v>3344.0385106382982</v>
      </c>
      <c r="T595" s="65">
        <f ca="1">SUMIF($P536:$P591,3,T536:T591)</f>
        <v>265.65014893617024</v>
      </c>
    </row>
    <row r="596" spans="1:28" hidden="1">
      <c r="A596" s="62"/>
      <c r="B596" s="77"/>
      <c r="C596" s="6" t="s">
        <v>72</v>
      </c>
      <c r="D596" s="78"/>
      <c r="F596" s="79" t="s">
        <v>152</v>
      </c>
      <c r="G596" s="80"/>
      <c r="H596" s="36">
        <v>3</v>
      </c>
      <c r="O596" s="64"/>
      <c r="R596" s="65">
        <f>SUMIF($P536:$P591,4,R536:R591)</f>
        <v>0</v>
      </c>
      <c r="T596" s="65">
        <f>SUMIF($P536:$P591,4,T536:T591)</f>
        <v>0</v>
      </c>
    </row>
    <row r="597" spans="1:28" ht="13.8" hidden="1" thickBot="1">
      <c r="A597" s="68"/>
      <c r="B597" s="81"/>
      <c r="C597" s="70" t="s">
        <v>72</v>
      </c>
      <c r="D597" s="82"/>
      <c r="E597" s="72"/>
      <c r="F597" s="83" t="s">
        <v>153</v>
      </c>
      <c r="G597" s="84"/>
      <c r="H597" s="85"/>
      <c r="I597" s="85"/>
      <c r="J597" s="85"/>
      <c r="K597" s="85"/>
      <c r="L597" s="85"/>
      <c r="M597" s="85"/>
      <c r="N597" s="85"/>
      <c r="O597" s="86"/>
      <c r="P597" s="85"/>
      <c r="Q597" s="85"/>
      <c r="R597" s="87">
        <f ca="1">SUM(R593:R596)</f>
        <v>33393.116370299475</v>
      </c>
      <c r="S597" s="88"/>
      <c r="T597" s="87">
        <f ca="1">SUM(T593:T596)</f>
        <v>1922.6877378784784</v>
      </c>
      <c r="U597" s="72"/>
      <c r="V597" s="72"/>
      <c r="W597" s="72"/>
      <c r="X597" s="72"/>
      <c r="Y597" s="72"/>
      <c r="Z597" s="72"/>
      <c r="AA597" s="72"/>
      <c r="AB597" s="72"/>
    </row>
  </sheetData>
  <sheetProtection formatCells="0" formatColumns="0" formatRows="0" insertColumns="0" insertRows="0" insertHyperlinks="0" deleteColumns="0" deleteRows="0" sort="0" autoFilter="0" pivotTables="0"/>
  <autoFilter ref="H1:H597" xr:uid="{00000000-0001-0000-0100-000000000000}"/>
  <phoneticPr fontId="29" type="noConversion"/>
  <conditionalFormatting sqref="D6">
    <cfRule type="cellIs" dxfId="25" priority="1" stopIfTrue="1" operator="equal">
      <formula>"VAT INCLUDED"</formula>
    </cfRule>
    <cfRule type="cellIs" dxfId="24"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indexed="14"/>
  </sheetPr>
  <dimension ref="A1:AR5602"/>
  <sheetViews>
    <sheetView tabSelected="1" zoomScaleNormal="100" workbookViewId="0">
      <selection activeCell="A3600" sqref="A3600"/>
    </sheetView>
  </sheetViews>
  <sheetFormatPr defaultColWidth="9.109375" defaultRowHeight="13.8"/>
  <cols>
    <col min="1" max="1" width="5.88671875" style="36" customWidth="1"/>
    <col min="2" max="2" width="7.44140625" style="36" customWidth="1"/>
    <col min="3" max="3" width="3.88671875" style="36" hidden="1" customWidth="1"/>
    <col min="4" max="4" width="20.88671875" style="36" customWidth="1"/>
    <col min="5" max="5" width="13.44140625" style="36" customWidth="1"/>
    <col min="6" max="6" width="13.6640625" style="36" customWidth="1"/>
    <col min="7" max="7" width="9.6640625" style="36" hidden="1" customWidth="1"/>
    <col min="8" max="8" width="7.6640625" style="36" hidden="1" customWidth="1"/>
    <col min="9" max="9" width="8.6640625" style="36" hidden="1" customWidth="1"/>
    <col min="10" max="10" width="11.77734375" style="36" hidden="1" customWidth="1"/>
    <col min="11" max="11" width="8.6640625" style="36" hidden="1" customWidth="1"/>
    <col min="12" max="12" width="6.6640625" style="36" hidden="1" customWidth="1"/>
    <col min="13" max="16" width="8.6640625" style="36" hidden="1" customWidth="1"/>
    <col min="17" max="17" width="9.88671875" style="36" customWidth="1"/>
    <col min="18" max="18" width="10" style="36" customWidth="1"/>
    <col min="19" max="19" width="8.6640625" style="36" customWidth="1"/>
    <col min="20" max="20" width="9.33203125" style="36" customWidth="1"/>
    <col min="21" max="21" width="6.33203125" style="36" customWidth="1"/>
    <col min="22" max="22" width="4.6640625" style="311" customWidth="1"/>
    <col min="23" max="23" width="5" style="311" bestFit="1" customWidth="1"/>
    <col min="24" max="24" width="4.88671875" style="311" bestFit="1" customWidth="1"/>
    <col min="25" max="25" width="4.33203125" style="311" bestFit="1" customWidth="1"/>
    <col min="26" max="26" width="5.33203125" style="311" customWidth="1"/>
    <col min="27" max="27" width="4" style="311" customWidth="1"/>
    <col min="28" max="28" width="4.109375" style="311"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491"/>
      <c r="B1" s="468" t="s">
        <v>0</v>
      </c>
      <c r="C1" s="469">
        <f>ML_Sum!$C1</f>
        <v>1</v>
      </c>
      <c r="D1" s="470" t="str">
        <f>ML_Sum!$D1</f>
        <v>Battery Street Limited</v>
      </c>
      <c r="E1" s="471"/>
      <c r="F1" s="472">
        <f>ML_Sum!$F1</f>
        <v>0</v>
      </c>
      <c r="G1" s="499"/>
      <c r="H1"/>
      <c r="I1" s="266">
        <v>1</v>
      </c>
      <c r="J1" s="267">
        <f>ML_Sum!$J1</f>
        <v>1</v>
      </c>
      <c r="K1" s="267">
        <f>ML_Sum!$K1</f>
        <v>1</v>
      </c>
      <c r="L1" s="267">
        <f>ML_Sum!$L1</f>
        <v>1</v>
      </c>
      <c r="M1" s="267">
        <f>ML_Sum!$M1</f>
        <v>1</v>
      </c>
      <c r="N1" s="267">
        <f>ML_Sum!$N1</f>
        <v>1</v>
      </c>
      <c r="O1" s="267">
        <f>ML_Sum!$O1</f>
        <v>1</v>
      </c>
      <c r="P1"/>
      <c r="Q1" s="331" t="str">
        <f>ML_Sum!$Q1</f>
        <v>€</v>
      </c>
      <c r="R1" s="270" t="s">
        <v>1</v>
      </c>
      <c r="S1" s="330" t="str">
        <f>ML_Sum!$S1</f>
        <v>R</v>
      </c>
      <c r="T1" s="432">
        <f>ML_Sum!$T1</f>
        <v>1.05</v>
      </c>
      <c r="U1" s="433" t="str">
        <f>ML_Sum!W1</f>
        <v>BOQ</v>
      </c>
      <c r="V1" s="434" t="s">
        <v>184</v>
      </c>
      <c r="W1" s="492" t="s">
        <v>174</v>
      </c>
      <c r="X1" s="435" t="s">
        <v>175</v>
      </c>
      <c r="Y1" s="493" t="s">
        <v>176</v>
      </c>
      <c r="Z1" s="436" t="s">
        <v>172</v>
      </c>
      <c r="AA1" s="436" t="s">
        <v>177</v>
      </c>
      <c r="AB1" s="492" t="s">
        <v>178</v>
      </c>
      <c r="AG1" s="497"/>
      <c r="AH1" s="497"/>
      <c r="AI1" s="497"/>
      <c r="AJ1" s="497"/>
      <c r="AK1" s="498"/>
    </row>
    <row r="2" spans="1:42" s="32" customFormat="1">
      <c r="A2" s="467"/>
      <c r="B2" s="468" t="s">
        <v>2</v>
      </c>
      <c r="C2" s="469">
        <f>ML_Sum!$C2</f>
        <v>1</v>
      </c>
      <c r="D2" s="470" t="str">
        <f>ML_Sum!$D2</f>
        <v>MEP Works British Hotel</v>
      </c>
      <c r="E2" s="474"/>
      <c r="F2" s="472" t="str">
        <f>ML_Sum!$F2</f>
        <v>Electrical</v>
      </c>
      <c r="G2" s="473"/>
      <c r="H2"/>
      <c r="I2" s="266">
        <v>2</v>
      </c>
      <c r="J2" s="267">
        <f>ML_Sum!$J2</f>
        <v>1</v>
      </c>
      <c r="K2" s="267">
        <f>ML_Sum!$K2</f>
        <v>1</v>
      </c>
      <c r="L2" s="267">
        <f>ML_Sum!$L2</f>
        <v>1</v>
      </c>
      <c r="M2" s="267">
        <f>ML_Sum!$M2</f>
        <v>1</v>
      </c>
      <c r="N2" s="267">
        <f>ML_Sum!$N2</f>
        <v>1</v>
      </c>
      <c r="O2" s="267">
        <f>ML_Sum!$O2</f>
        <v>1</v>
      </c>
      <c r="P2"/>
      <c r="Q2" s="336">
        <f>ML_Sum!$Q2</f>
        <v>0</v>
      </c>
      <c r="R2" s="18" t="s">
        <v>3</v>
      </c>
      <c r="S2" s="337">
        <f>ML_Sum!$S2</f>
        <v>1.22</v>
      </c>
      <c r="T2" s="338">
        <f>ML_Sum!$T2</f>
        <v>35.176259999999999</v>
      </c>
      <c r="V2" s="311"/>
      <c r="W2" s="311"/>
      <c r="X2" s="311"/>
      <c r="Y2" s="311"/>
      <c r="Z2" s="311"/>
      <c r="AA2" s="311"/>
      <c r="AB2" s="311"/>
    </row>
    <row r="3" spans="1:42" s="32" customFormat="1">
      <c r="A3" s="475"/>
      <c r="B3" s="476" t="s">
        <v>4</v>
      </c>
      <c r="C3" s="469">
        <f>ML_Sum!$C3</f>
        <v>1</v>
      </c>
      <c r="D3" s="470" t="str">
        <f>ML_Sum!$D3</f>
        <v>Electrical and ELV Systems</v>
      </c>
      <c r="E3" s="475"/>
      <c r="F3" s="472" t="str">
        <f>ML_Sum!$F3</f>
        <v>Controls Section (DALI)</v>
      </c>
      <c r="G3" s="477"/>
      <c r="H3"/>
      <c r="I3" s="266">
        <v>3</v>
      </c>
      <c r="J3" s="267">
        <f>ML_Sum!$J3</f>
        <v>1</v>
      </c>
      <c r="K3" s="267">
        <f>ML_Sum!$K3</f>
        <v>1</v>
      </c>
      <c r="L3" s="267">
        <f>ML_Sum!$L3</f>
        <v>1</v>
      </c>
      <c r="M3" s="267">
        <f>ML_Sum!$M3</f>
        <v>1</v>
      </c>
      <c r="N3" s="267">
        <f>ML_Sum!$N3</f>
        <v>1</v>
      </c>
      <c r="O3" s="267">
        <f>ML_Sum!$O3</f>
        <v>1</v>
      </c>
      <c r="P3"/>
      <c r="Q3" s="336">
        <f>ML_Sum!$Q3</f>
        <v>0</v>
      </c>
      <c r="R3" s="19" t="s">
        <v>5</v>
      </c>
      <c r="S3" s="337">
        <f>ML_Sum!$S3</f>
        <v>1.22</v>
      </c>
      <c r="T3" s="338">
        <f>ML_Sum!$T3</f>
        <v>86.64</v>
      </c>
      <c r="V3" s="311"/>
      <c r="W3" s="311"/>
      <c r="X3" s="311"/>
      <c r="Y3" s="311"/>
      <c r="Z3" s="311"/>
      <c r="AA3" s="311"/>
      <c r="AB3" s="311"/>
    </row>
    <row r="4" spans="1:42" s="32" customFormat="1">
      <c r="A4" s="478"/>
      <c r="B4" s="468" t="s">
        <v>6</v>
      </c>
      <c r="C4" s="469">
        <f>ML_Sum!$C4</f>
        <v>1</v>
      </c>
      <c r="D4" s="470" t="str">
        <f>ML_Sum!$D4</f>
        <v>EL25-0662B</v>
      </c>
      <c r="E4" s="475"/>
      <c r="F4" s="472" t="str">
        <f>ML_Sum!$F4</f>
        <v>Controls Section Engineer (DALI)</v>
      </c>
      <c r="G4" s="477"/>
      <c r="H4"/>
      <c r="I4" s="266">
        <v>4</v>
      </c>
      <c r="J4" s="267">
        <f>ML_Sum!$J4</f>
        <v>1</v>
      </c>
      <c r="K4" s="267">
        <f>ML_Sum!$K4</f>
        <v>1</v>
      </c>
      <c r="L4" s="267">
        <f>ML_Sum!$L4</f>
        <v>1</v>
      </c>
      <c r="M4" s="267">
        <f>ML_Sum!$M4</f>
        <v>1</v>
      </c>
      <c r="N4" s="267">
        <f>ML_Sum!$N4</f>
        <v>1</v>
      </c>
      <c r="O4" s="267">
        <f>ML_Sum!$O4</f>
        <v>1</v>
      </c>
      <c r="P4"/>
      <c r="Q4" s="336">
        <f>ML_Sum!$Q4</f>
        <v>0</v>
      </c>
      <c r="R4" s="20" t="s">
        <v>7</v>
      </c>
      <c r="S4" s="337">
        <f>ML_Sum!$S4</f>
        <v>1.22</v>
      </c>
      <c r="T4" s="338">
        <f>ML_Sum!$T4</f>
        <v>51.41</v>
      </c>
      <c r="V4" s="311"/>
      <c r="W4" s="311"/>
      <c r="X4" s="311"/>
      <c r="Y4" s="311"/>
      <c r="Z4" s="311"/>
      <c r="AA4" s="311"/>
      <c r="AB4" s="311"/>
    </row>
    <row r="5" spans="1:42" s="32" customFormat="1">
      <c r="A5" s="478"/>
      <c r="B5" s="468" t="s">
        <v>186</v>
      </c>
      <c r="C5" s="469">
        <f>ML_Sum!$C5</f>
        <v>1</v>
      </c>
      <c r="D5" s="470" t="str">
        <f>ML_Sum!$D5</f>
        <v>MEP REVISED</v>
      </c>
      <c r="E5" s="475"/>
      <c r="F5" s="472" t="str">
        <f>ML_Sum!$F5</f>
        <v>ELV Sub-Contractor - APCO</v>
      </c>
      <c r="G5" s="479"/>
      <c r="H5"/>
      <c r="I5" s="266">
        <v>5</v>
      </c>
      <c r="J5" s="267">
        <f>ML_Sum!$J5</f>
        <v>1</v>
      </c>
      <c r="K5" s="267">
        <f>ML_Sum!$K5</f>
        <v>1</v>
      </c>
      <c r="L5" s="267">
        <f>ML_Sum!$L5</f>
        <v>1</v>
      </c>
      <c r="M5" s="267">
        <f>ML_Sum!$M5</f>
        <v>1</v>
      </c>
      <c r="N5" s="267">
        <f>ML_Sum!$N5</f>
        <v>1</v>
      </c>
      <c r="O5" s="267">
        <f>ML_Sum!$O5</f>
        <v>1</v>
      </c>
      <c r="P5"/>
      <c r="Q5" s="336">
        <f>ML_Sum!$Q5</f>
        <v>0</v>
      </c>
      <c r="R5" s="21" t="s">
        <v>9</v>
      </c>
      <c r="S5" s="337">
        <f>ML_Sum!$S5</f>
        <v>1.075</v>
      </c>
      <c r="T5" s="338">
        <f>ML_Sum!$T5</f>
        <v>30.995474999999995</v>
      </c>
      <c r="V5" s="311"/>
      <c r="W5" s="311"/>
      <c r="X5" s="311"/>
      <c r="Y5" s="311"/>
      <c r="Z5" s="311"/>
      <c r="AA5" s="311"/>
      <c r="AB5" s="311"/>
    </row>
    <row r="6" spans="1:42" s="32" customFormat="1">
      <c r="A6"/>
      <c r="B6" s="476" t="s">
        <v>8</v>
      </c>
      <c r="C6" s="469">
        <f>ML_Sum!$C6</f>
        <v>1</v>
      </c>
      <c r="D6" s="470" t="str">
        <f>ML_Sum!$D6</f>
        <v>VAT EXCL.</v>
      </c>
      <c r="E6"/>
      <c r="F6" s="472" t="str">
        <f>ML_Sum!$F6</f>
        <v>ELV Sub-Contractor - DATA</v>
      </c>
      <c r="G6" s="479"/>
      <c r="H6"/>
      <c r="I6" s="266">
        <v>6</v>
      </c>
      <c r="J6" s="267">
        <f>ML_Sum!$J6</f>
        <v>1</v>
      </c>
      <c r="K6" s="267">
        <f>ML_Sum!$K6</f>
        <v>1</v>
      </c>
      <c r="L6" s="267">
        <f>ML_Sum!$L6</f>
        <v>1</v>
      </c>
      <c r="M6" s="267">
        <f>ML_Sum!$M6</f>
        <v>1</v>
      </c>
      <c r="N6" s="267">
        <f>ML_Sum!$N6</f>
        <v>1</v>
      </c>
      <c r="O6" s="267">
        <f>ML_Sum!$O6</f>
        <v>1</v>
      </c>
      <c r="P6"/>
      <c r="Q6" s="336">
        <f>ML_Sum!$Q6</f>
        <v>0</v>
      </c>
      <c r="R6" s="22" t="s">
        <v>10</v>
      </c>
      <c r="S6" s="337">
        <f>ML_Sum!$S6</f>
        <v>1.1000000000000001</v>
      </c>
      <c r="T6" s="338">
        <f>ML_Sum!$T6</f>
        <v>31.7163</v>
      </c>
      <c r="V6" s="311"/>
      <c r="W6" s="311"/>
      <c r="X6" s="311"/>
      <c r="Y6" s="311"/>
      <c r="Z6" s="311"/>
      <c r="AA6" s="311"/>
      <c r="AB6" s="311"/>
    </row>
    <row r="7" spans="1:42" s="32" customFormat="1">
      <c r="A7" s="467"/>
      <c r="B7" s="476" t="s">
        <v>11</v>
      </c>
      <c r="C7" s="469">
        <f>ML_Sum!$C7</f>
        <v>1</v>
      </c>
      <c r="D7" s="480">
        <v>39364</v>
      </c>
      <c r="E7" s="481"/>
      <c r="F7" s="472">
        <f>ML_Sum!$F7</f>
        <v>0</v>
      </c>
      <c r="G7" s="482"/>
      <c r="H7"/>
      <c r="I7" s="266">
        <v>7</v>
      </c>
      <c r="J7" s="267">
        <f>ML_Sum!$J7</f>
        <v>1</v>
      </c>
      <c r="K7" s="267">
        <f>ML_Sum!$K7</f>
        <v>1</v>
      </c>
      <c r="L7" s="267">
        <f>ML_Sum!$L7</f>
        <v>1</v>
      </c>
      <c r="M7" s="267">
        <f>ML_Sum!$M7</f>
        <v>1</v>
      </c>
      <c r="N7" s="267">
        <f>ML_Sum!$N7</f>
        <v>1</v>
      </c>
      <c r="O7" s="267">
        <f>ML_Sum!$O7</f>
        <v>0</v>
      </c>
      <c r="P7"/>
      <c r="Q7" s="336">
        <f>ML_Sum!$Q7</f>
        <v>0</v>
      </c>
      <c r="R7" s="23" t="s">
        <v>12</v>
      </c>
      <c r="S7" s="337">
        <f>ML_Sum!$S7</f>
        <v>0</v>
      </c>
      <c r="T7" s="338">
        <f>ML_Sum!$T7</f>
        <v>0</v>
      </c>
      <c r="V7" s="311"/>
      <c r="W7" s="311"/>
      <c r="X7" s="311"/>
      <c r="Y7" s="311"/>
      <c r="Z7" s="311"/>
      <c r="AA7" s="311"/>
      <c r="AB7" s="311"/>
    </row>
    <row r="8" spans="1:42" s="32" customFormat="1">
      <c r="A8" s="478"/>
      <c r="B8" s="476" t="s">
        <v>13</v>
      </c>
      <c r="C8" s="469">
        <f>ML_Sum!$C8</f>
        <v>1</v>
      </c>
      <c r="D8" s="470" t="str">
        <f>ML_Sum!$D8</f>
        <v>R.Farrugia</v>
      </c>
      <c r="E8" s="475"/>
      <c r="F8" s="472">
        <f>ML_Sum!$F8</f>
        <v>0</v>
      </c>
      <c r="G8" s="483"/>
      <c r="H8"/>
      <c r="I8" s="266">
        <v>8</v>
      </c>
      <c r="J8" s="267">
        <f>ML_Sum!$J8</f>
        <v>1</v>
      </c>
      <c r="K8" s="267">
        <f>ML_Sum!$K8</f>
        <v>1</v>
      </c>
      <c r="L8" s="267">
        <f>ML_Sum!$L8</f>
        <v>1</v>
      </c>
      <c r="M8" s="267">
        <f>ML_Sum!$M8</f>
        <v>1</v>
      </c>
      <c r="N8" s="267">
        <f>ML_Sum!$N8</f>
        <v>1</v>
      </c>
      <c r="O8" s="267">
        <f>ML_Sum!$O8</f>
        <v>0</v>
      </c>
      <c r="P8"/>
      <c r="Q8" s="336">
        <f>ML_Sum!$Q8</f>
        <v>0</v>
      </c>
      <c r="R8" s="24" t="s">
        <v>14</v>
      </c>
      <c r="S8" s="337">
        <f>ML_Sum!$S8</f>
        <v>0</v>
      </c>
      <c r="T8" s="338">
        <f>ML_Sum!$T8</f>
        <v>0</v>
      </c>
      <c r="V8" s="311"/>
      <c r="W8" s="311"/>
      <c r="X8" s="311"/>
      <c r="Y8" s="311"/>
      <c r="Z8" s="311"/>
      <c r="AA8" s="311"/>
      <c r="AB8" s="311"/>
    </row>
    <row r="9" spans="1:42" s="32" customFormat="1">
      <c r="A9" s="478"/>
      <c r="B9" s="476" t="s">
        <v>256</v>
      </c>
      <c r="C9" s="469">
        <f>ML_Sum!$C9</f>
        <v>1</v>
      </c>
      <c r="D9" s="470">
        <f>ML_Sum!$D9</f>
        <v>28.832999999999998</v>
      </c>
      <c r="E9" s="475"/>
      <c r="F9" s="472">
        <f>ML_Sum!$F9</f>
        <v>0</v>
      </c>
      <c r="G9" s="483"/>
      <c r="H9"/>
      <c r="I9" s="266">
        <v>9</v>
      </c>
      <c r="J9" s="267">
        <f>ML_Sum!$J9</f>
        <v>1</v>
      </c>
      <c r="K9" s="267">
        <f>ML_Sum!$K9</f>
        <v>1</v>
      </c>
      <c r="L9" s="267">
        <f>ML_Sum!$L9</f>
        <v>1</v>
      </c>
      <c r="M9" s="267">
        <f>ML_Sum!$M9</f>
        <v>1</v>
      </c>
      <c r="N9" s="267">
        <f>ML_Sum!$N9</f>
        <v>1</v>
      </c>
      <c r="O9" s="267">
        <f>ML_Sum!$O9</f>
        <v>0</v>
      </c>
      <c r="P9"/>
      <c r="Q9" s="336">
        <f>ML_Sum!$Q9</f>
        <v>0</v>
      </c>
      <c r="R9" s="25" t="s">
        <v>15</v>
      </c>
      <c r="S9" s="337">
        <f>ML_Sum!$S9</f>
        <v>0</v>
      </c>
      <c r="T9" s="338">
        <f>ML_Sum!$T9</f>
        <v>0</v>
      </c>
      <c r="V9" s="311"/>
      <c r="W9" s="311"/>
      <c r="X9" s="311"/>
      <c r="Y9" s="311"/>
      <c r="Z9" s="311"/>
      <c r="AA9" s="311"/>
      <c r="AB9" s="311"/>
    </row>
    <row r="10" spans="1:42" s="32" customFormat="1">
      <c r="A10" s="478"/>
      <c r="B10" s="467"/>
      <c r="C10" s="469">
        <f>ML_Sum!$C10</f>
        <v>1</v>
      </c>
      <c r="D10" s="467"/>
      <c r="E10" s="475"/>
      <c r="F10" s="472" t="str">
        <f>ML_Sum!$F10</f>
        <v>Enemalta 3Ph Application</v>
      </c>
      <c r="G10" s="483"/>
      <c r="H10"/>
      <c r="I10" s="266">
        <v>10</v>
      </c>
      <c r="J10" s="267">
        <f>ML_Sum!$J10</f>
        <v>1</v>
      </c>
      <c r="K10" s="267">
        <f>ML_Sum!$K10</f>
        <v>1</v>
      </c>
      <c r="L10" s="267">
        <f>ML_Sum!$L10</f>
        <v>1</v>
      </c>
      <c r="M10" s="267">
        <f>ML_Sum!$M10</f>
        <v>1</v>
      </c>
      <c r="N10" s="267">
        <f>ML_Sum!$N10</f>
        <v>1</v>
      </c>
      <c r="O10" s="267">
        <f>ML_Sum!$O10</f>
        <v>1</v>
      </c>
      <c r="P10"/>
      <c r="Q10" s="336">
        <f>ML_Sum!$Q10</f>
        <v>0</v>
      </c>
      <c r="R10" s="26" t="s">
        <v>16</v>
      </c>
      <c r="S10" s="337">
        <f>ML_Sum!$S10</f>
        <v>1.1000000000000001</v>
      </c>
      <c r="T10" s="338">
        <f>ML_Sum!$T10</f>
        <v>31.7163</v>
      </c>
      <c r="V10" s="311"/>
      <c r="W10" s="311"/>
      <c r="X10" s="311"/>
      <c r="Y10" s="311"/>
      <c r="Z10" s="311"/>
      <c r="AA10" s="311"/>
      <c r="AB10" s="311"/>
    </row>
    <row r="11" spans="1:42" s="32" customFormat="1">
      <c r="A11" s="478"/>
      <c r="B11" s="467"/>
      <c r="C11" s="469">
        <f>ML_Sum!$C11</f>
        <v>1</v>
      </c>
      <c r="D11" s="467"/>
      <c r="E11" s="475"/>
      <c r="F11" s="472">
        <f>ML_Sum!$F11</f>
        <v>0</v>
      </c>
      <c r="G11" s="483"/>
      <c r="H11" s="483"/>
      <c r="I11" s="467"/>
      <c r="J11" s="467"/>
      <c r="K11" s="467"/>
      <c r="L11" s="467"/>
      <c r="M11" s="467"/>
      <c r="N11" s="467"/>
      <c r="O11" s="467"/>
      <c r="P11" s="483"/>
      <c r="Q11" s="336">
        <f>ML_Sum!$Q11</f>
        <v>0</v>
      </c>
      <c r="R11" s="27" t="s">
        <v>17</v>
      </c>
      <c r="S11" s="337">
        <f>ML_Sum!$S11</f>
        <v>0</v>
      </c>
      <c r="T11" s="338">
        <f>ML_Sum!$T11</f>
        <v>0</v>
      </c>
      <c r="V11" s="311"/>
      <c r="W11" s="311"/>
      <c r="X11" s="311"/>
      <c r="Y11" s="311"/>
      <c r="Z11" s="311"/>
      <c r="AA11" s="311"/>
      <c r="AB11" s="311"/>
    </row>
    <row r="12" spans="1:42" s="32" customFormat="1" ht="14.4" thickBot="1">
      <c r="A12" s="478"/>
      <c r="B12" s="467"/>
      <c r="C12" s="469">
        <f>ML_Sum!$C12</f>
        <v>1</v>
      </c>
      <c r="D12" s="467"/>
      <c r="E12" s="475"/>
      <c r="F12" s="472">
        <f>ML_Sum!$F12</f>
        <v>0</v>
      </c>
      <c r="G12" s="483"/>
      <c r="H12" s="483"/>
      <c r="I12" s="467"/>
      <c r="J12" s="467"/>
      <c r="K12" s="467"/>
      <c r="L12" s="467"/>
      <c r="M12" s="467"/>
      <c r="N12" s="467"/>
      <c r="O12" s="467"/>
      <c r="P12" s="483"/>
      <c r="Q12" s="336">
        <f>ML_Sum!$Q12</f>
        <v>0</v>
      </c>
      <c r="R12" s="386" t="s">
        <v>199</v>
      </c>
      <c r="S12" s="337" t="str">
        <f>ML_Sum!$S12</f>
        <v>MAT MU</v>
      </c>
      <c r="T12" s="338" t="str">
        <f>ML_Sum!$T12</f>
        <v>LAB RATE</v>
      </c>
      <c r="V12" s="311"/>
      <c r="W12" s="311"/>
      <c r="X12" s="311"/>
      <c r="Y12" s="311"/>
      <c r="Z12" s="311"/>
      <c r="AA12" s="311"/>
      <c r="AB12" s="311"/>
    </row>
    <row r="13" spans="1:42" s="32" customFormat="1" ht="14.4" thickBot="1">
      <c r="A13" s="484"/>
      <c r="B13" s="485"/>
      <c r="C13" s="486"/>
      <c r="D13" s="487"/>
      <c r="E13" s="488"/>
      <c r="F13" s="489"/>
      <c r="G13" s="490" t="s">
        <v>139</v>
      </c>
      <c r="H13" s="490" t="s">
        <v>19</v>
      </c>
      <c r="I13" s="490" t="s">
        <v>20</v>
      </c>
      <c r="J13" s="490" t="s">
        <v>21</v>
      </c>
      <c r="K13" s="490" t="s">
        <v>22</v>
      </c>
      <c r="L13" s="490" t="s">
        <v>23</v>
      </c>
      <c r="M13" s="490" t="s">
        <v>24</v>
      </c>
      <c r="N13" s="490" t="s">
        <v>25</v>
      </c>
      <c r="O13" s="490" t="s">
        <v>26</v>
      </c>
      <c r="P13" s="490" t="s">
        <v>27</v>
      </c>
      <c r="Q13" s="28" t="s">
        <v>194</v>
      </c>
      <c r="R13" s="29" t="s">
        <v>29</v>
      </c>
      <c r="S13" s="30" t="s">
        <v>30</v>
      </c>
      <c r="T13" s="31" t="s">
        <v>31</v>
      </c>
      <c r="V13" s="311"/>
      <c r="W13" s="311"/>
      <c r="X13" s="311"/>
      <c r="Y13" s="311"/>
      <c r="Z13" s="311"/>
      <c r="AA13" s="311"/>
      <c r="AB13" s="311"/>
      <c r="AG13"/>
      <c r="AH13"/>
      <c r="AI13"/>
      <c r="AJ13"/>
      <c r="AK13"/>
      <c r="AM13" s="500" t="s">
        <v>252</v>
      </c>
      <c r="AN13" s="502" t="s">
        <v>261</v>
      </c>
      <c r="AO13" s="502" t="s">
        <v>253</v>
      </c>
      <c r="AP13" s="501" t="s">
        <v>250</v>
      </c>
    </row>
    <row r="14" spans="1:42" s="504" customFormat="1" ht="13.2">
      <c r="A14" s="906"/>
      <c r="B14" s="906"/>
      <c r="C14" s="907"/>
      <c r="D14" s="907"/>
      <c r="E14" s="906"/>
      <c r="F14" s="906"/>
      <c r="G14" s="906"/>
      <c r="H14" s="906"/>
      <c r="I14" s="906"/>
      <c r="J14" s="906"/>
      <c r="K14" s="906" t="s">
        <v>133</v>
      </c>
      <c r="L14" s="906"/>
      <c r="M14" s="906"/>
      <c r="N14" s="906"/>
      <c r="O14" s="908"/>
      <c r="P14" s="906"/>
      <c r="Q14" s="906"/>
      <c r="R14" s="906"/>
      <c r="S14" s="906"/>
      <c r="T14" s="906"/>
    </row>
    <row r="15" spans="1:42" s="504" customFormat="1" ht="12">
      <c r="A15" s="906"/>
      <c r="B15" s="906"/>
      <c r="C15" s="906" t="s">
        <v>134</v>
      </c>
      <c r="D15" s="909"/>
      <c r="E15" s="906"/>
      <c r="F15" s="906"/>
      <c r="G15" s="906"/>
      <c r="H15" s="906"/>
      <c r="I15" s="906"/>
      <c r="J15" s="906"/>
      <c r="K15" s="906"/>
      <c r="L15" s="906"/>
      <c r="M15" s="906"/>
      <c r="N15" s="906"/>
      <c r="O15" s="908"/>
      <c r="P15" s="906"/>
      <c r="Q15" s="906"/>
      <c r="R15" s="906"/>
      <c r="S15" s="906"/>
      <c r="T15" s="906"/>
    </row>
    <row r="16" spans="1:42" s="504" customFormat="1" ht="13.2">
      <c r="A16" s="906"/>
      <c r="B16" s="906"/>
      <c r="C16" s="906"/>
      <c r="D16" s="905" t="s">
        <v>266</v>
      </c>
      <c r="E16" s="906"/>
      <c r="F16" s="906"/>
      <c r="G16" s="906"/>
      <c r="H16" s="906"/>
      <c r="I16" s="906"/>
      <c r="J16" s="906"/>
      <c r="K16" s="906"/>
      <c r="L16" s="906"/>
      <c r="M16" s="906"/>
      <c r="N16" s="906"/>
      <c r="O16" s="908"/>
      <c r="P16" s="906"/>
      <c r="Q16" s="906"/>
      <c r="R16" s="906"/>
      <c r="S16" s="910"/>
      <c r="T16" s="910"/>
    </row>
    <row r="17" spans="1:41" s="3" customFormat="1" thickBot="1">
      <c r="A17" s="911"/>
      <c r="B17" s="907"/>
      <c r="C17" s="907"/>
      <c r="D17" s="907"/>
      <c r="E17" s="907"/>
      <c r="F17" s="907"/>
      <c r="G17" s="907"/>
      <c r="H17" s="907"/>
      <c r="I17" s="907"/>
      <c r="J17" s="907"/>
      <c r="K17" s="907"/>
      <c r="L17" s="907"/>
      <c r="M17" s="907"/>
      <c r="N17" s="907"/>
      <c r="O17" s="912"/>
      <c r="P17" s="907"/>
      <c r="Q17" s="907"/>
      <c r="R17" s="907"/>
      <c r="S17" s="907"/>
      <c r="T17" s="907"/>
    </row>
    <row r="18" spans="1:41" s="504" customFormat="1" ht="12" thickTop="1">
      <c r="A18" s="50"/>
      <c r="B18" s="40"/>
      <c r="C18" s="50"/>
      <c r="E18" s="41" t="s">
        <v>136</v>
      </c>
      <c r="F18" s="41" t="s">
        <v>137</v>
      </c>
      <c r="G18" s="50"/>
      <c r="H18" s="50"/>
      <c r="I18" s="50"/>
      <c r="J18" s="50"/>
      <c r="K18" s="50" t="s">
        <v>138</v>
      </c>
      <c r="L18" s="50"/>
      <c r="M18" s="50"/>
      <c r="N18" s="50"/>
      <c r="O18" s="51"/>
      <c r="P18" s="50"/>
      <c r="Q18" s="50"/>
      <c r="R18" s="50"/>
      <c r="S18" s="50"/>
      <c r="T18" s="40"/>
      <c r="AG18" s="867" t="s">
        <v>241</v>
      </c>
      <c r="AH18" s="867" t="s">
        <v>242</v>
      </c>
      <c r="AI18" s="867" t="s">
        <v>243</v>
      </c>
      <c r="AJ18" s="867" t="s">
        <v>244</v>
      </c>
      <c r="AK18" s="867" t="s">
        <v>245</v>
      </c>
      <c r="AM18" s="868" t="s">
        <v>254</v>
      </c>
      <c r="AN18" s="869" t="s">
        <v>255</v>
      </c>
      <c r="AO18" s="505" t="s">
        <v>251</v>
      </c>
    </row>
    <row r="19" spans="1:41" s="504" customFormat="1" ht="12" customHeight="1">
      <c r="A19" s="870">
        <v>1</v>
      </c>
      <c r="B19" s="506" t="s">
        <v>272</v>
      </c>
      <c r="C19" s="872"/>
      <c r="D19" s="873" t="s">
        <v>803</v>
      </c>
      <c r="E19" s="874">
        <f>IF(AND($A19=0,$A$1="DIF"),0, ROUND(ROUND(($R23*$S$2+($T23*$T$2))/A19,2)*$C$2,2))</f>
        <v>610</v>
      </c>
      <c r="F19" s="875">
        <f>ROUND($A19*$E19,2)</f>
        <v>610</v>
      </c>
      <c r="G19" s="876" t="s">
        <v>139</v>
      </c>
      <c r="H19" s="877"/>
      <c r="I19" s="878"/>
      <c r="J19" s="877"/>
      <c r="K19" s="877" t="s">
        <v>3</v>
      </c>
      <c r="L19" s="879" t="s">
        <v>140</v>
      </c>
      <c r="M19" s="879"/>
      <c r="N19" s="879"/>
      <c r="O19" s="879"/>
      <c r="P19" s="879"/>
      <c r="Q19" s="50"/>
      <c r="T19" s="880" t="str">
        <f>IF(AND($R23=0,$T23=0),"0.00","mu :" &amp; ROUND($F19/$C$2/($R23+$T23*$D$9),2))</f>
        <v>mu :1.22</v>
      </c>
      <c r="W19" s="507"/>
      <c r="AG19" s="465">
        <f>IF($E19=0,0,ROUND($R23*$S$2*$C$2/$A19,2))</f>
        <v>610</v>
      </c>
      <c r="AH19" s="465">
        <f>$AG19*$A19</f>
        <v>610</v>
      </c>
      <c r="AI19" s="508">
        <f>$E19-$AG19</f>
        <v>0</v>
      </c>
      <c r="AJ19" s="508">
        <f>$A19*$AI19</f>
        <v>0</v>
      </c>
      <c r="AK19" s="509">
        <f>ROUND(($AG19+$AI19)*$A19,2)</f>
        <v>610</v>
      </c>
      <c r="AM19" s="510">
        <f>ROUND(R23,2)</f>
        <v>500</v>
      </c>
      <c r="AN19" s="511">
        <f>ROUND(T23,2)</f>
        <v>0</v>
      </c>
      <c r="AO19" s="512">
        <f>ROUND(AM19+AN19,2)*A19</f>
        <v>500</v>
      </c>
    </row>
    <row r="20" spans="1:41" s="504" customFormat="1" ht="13.2">
      <c r="A20" s="872"/>
      <c r="B20"/>
      <c r="C20" s="872"/>
      <c r="D20" s="916" t="s">
        <v>271</v>
      </c>
      <c r="E20" s="917"/>
      <c r="F20" s="918"/>
      <c r="G20" s="919"/>
      <c r="H20" s="918"/>
      <c r="I20" s="920"/>
      <c r="J20" s="918"/>
      <c r="K20" s="918"/>
      <c r="L20" s="918"/>
      <c r="M20" s="918"/>
      <c r="N20" s="918"/>
      <c r="O20" s="918"/>
      <c r="P20" s="918"/>
      <c r="Q20" s="921"/>
      <c r="R20" s="513"/>
      <c r="S20" s="881"/>
      <c r="T20" s="877"/>
    </row>
    <row r="21" spans="1:41" s="1039" customFormat="1" ht="13.2">
      <c r="A21" s="112">
        <v>1</v>
      </c>
      <c r="B21" s="1039" t="s">
        <v>949</v>
      </c>
      <c r="D21" s="1039" t="s">
        <v>1512</v>
      </c>
      <c r="G21" s="1040" t="s">
        <v>1511</v>
      </c>
      <c r="H21" s="1041">
        <v>875</v>
      </c>
      <c r="I21" s="1039" t="s">
        <v>951</v>
      </c>
      <c r="K21" s="1039" t="s">
        <v>952</v>
      </c>
      <c r="O21" s="1042">
        <v>1</v>
      </c>
      <c r="P21" s="1043"/>
      <c r="Q21" s="1044">
        <v>500</v>
      </c>
      <c r="R21" s="1045">
        <f>$A21*Q21</f>
        <v>500</v>
      </c>
      <c r="S21" s="1044"/>
      <c r="T21" s="1046">
        <f>$A21*S21*$T$1</f>
        <v>0</v>
      </c>
    </row>
    <row r="22" spans="1:41" s="504" customFormat="1" ht="12">
      <c r="A22" s="882"/>
      <c r="B22" s="882"/>
      <c r="C22" s="882"/>
      <c r="D22" s="882"/>
      <c r="E22" s="882"/>
      <c r="F22" s="877"/>
      <c r="G22" s="882"/>
      <c r="H22" s="882"/>
      <c r="I22" s="503"/>
      <c r="J22" s="882"/>
      <c r="K22" s="882"/>
      <c r="L22" s="882"/>
      <c r="M22" s="882"/>
      <c r="N22" s="882"/>
      <c r="O22" s="882"/>
      <c r="P22" s="882"/>
      <c r="Q22" s="503"/>
      <c r="R22" s="883">
        <f>$A22*Q22</f>
        <v>0</v>
      </c>
      <c r="S22" s="503"/>
      <c r="T22" s="884">
        <f>$A22*S22*$T$1</f>
        <v>0</v>
      </c>
    </row>
    <row r="23" spans="1:41" s="504" customFormat="1" ht="12.6" thickBot="1">
      <c r="A23" s="885" t="s">
        <v>142</v>
      </c>
      <c r="B23" s="886">
        <f>(R22+T22)</f>
        <v>0</v>
      </c>
      <c r="C23" s="887"/>
      <c r="D23" s="887"/>
      <c r="E23" s="887"/>
      <c r="F23" s="888"/>
      <c r="G23" s="887" t="s">
        <v>143</v>
      </c>
      <c r="H23" s="887"/>
      <c r="I23" s="889"/>
      <c r="J23" s="887"/>
      <c r="K23" s="887" t="s">
        <v>3</v>
      </c>
      <c r="L23" s="890" t="s">
        <v>140</v>
      </c>
      <c r="M23" s="890"/>
      <c r="N23" s="890"/>
      <c r="O23" s="890"/>
      <c r="P23" s="890"/>
      <c r="Q23" s="891"/>
      <c r="R23" s="892">
        <f>SUM(R20:R22)</f>
        <v>500</v>
      </c>
      <c r="S23" s="887"/>
      <c r="T23" s="892">
        <f>SUM(T20:T22)</f>
        <v>0</v>
      </c>
      <c r="U23" s="514"/>
      <c r="V23" s="514"/>
      <c r="W23" s="514"/>
      <c r="X23" s="514"/>
      <c r="Y23" s="514"/>
      <c r="Z23" s="514"/>
      <c r="AA23" s="514"/>
      <c r="AB23" s="514"/>
      <c r="AC23" s="514"/>
      <c r="AD23" s="514"/>
      <c r="AE23" s="514"/>
      <c r="AF23" s="514"/>
      <c r="AG23" s="514"/>
      <c r="AH23" s="514"/>
      <c r="AI23" s="514"/>
      <c r="AJ23" s="514"/>
      <c r="AK23" s="514"/>
      <c r="AL23" s="514"/>
      <c r="AM23" s="514"/>
      <c r="AN23" s="514"/>
      <c r="AO23" s="514"/>
    </row>
    <row r="24" spans="1:41" s="504" customFormat="1" ht="12" thickTop="1">
      <c r="A24" s="50"/>
      <c r="B24" s="40"/>
      <c r="C24" s="50"/>
      <c r="E24" s="41" t="s">
        <v>136</v>
      </c>
      <c r="F24" s="41" t="s">
        <v>137</v>
      </c>
      <c r="G24" s="50"/>
      <c r="H24" s="50"/>
      <c r="I24" s="50"/>
      <c r="J24" s="50"/>
      <c r="K24" s="50" t="s">
        <v>138</v>
      </c>
      <c r="L24" s="50"/>
      <c r="M24" s="50"/>
      <c r="N24" s="50"/>
      <c r="O24" s="51"/>
      <c r="P24" s="50"/>
      <c r="Q24" s="50"/>
      <c r="R24" s="50"/>
      <c r="S24" s="50"/>
      <c r="T24" s="40"/>
      <c r="AG24" s="867" t="s">
        <v>241</v>
      </c>
      <c r="AH24" s="867" t="s">
        <v>242</v>
      </c>
      <c r="AI24" s="867" t="s">
        <v>243</v>
      </c>
      <c r="AJ24" s="867" t="s">
        <v>244</v>
      </c>
      <c r="AK24" s="867" t="s">
        <v>245</v>
      </c>
      <c r="AM24" s="868" t="s">
        <v>254</v>
      </c>
      <c r="AN24" s="869" t="s">
        <v>255</v>
      </c>
      <c r="AO24" s="505" t="s">
        <v>251</v>
      </c>
    </row>
    <row r="25" spans="1:41" s="504" customFormat="1" ht="13.2">
      <c r="A25" s="870">
        <v>1</v>
      </c>
      <c r="B25" s="506" t="s">
        <v>272</v>
      </c>
      <c r="C25" s="872"/>
      <c r="D25" s="873" t="s">
        <v>814</v>
      </c>
      <c r="E25" s="874">
        <f>IF(AND($A25=0,$A$1="DIF"),0, ROUND(ROUND(($R30*$S$2+($T30*$T$2))/A25,2)*$C$2,2))</f>
        <v>0</v>
      </c>
      <c r="F25" s="875">
        <f>ROUND($A25*$E25,2)</f>
        <v>0</v>
      </c>
      <c r="G25" s="876" t="s">
        <v>139</v>
      </c>
      <c r="H25" s="877"/>
      <c r="I25" s="878"/>
      <c r="J25" s="877"/>
      <c r="K25" s="877" t="s">
        <v>3</v>
      </c>
      <c r="L25" s="879" t="s">
        <v>140</v>
      </c>
      <c r="M25" s="879"/>
      <c r="N25" s="879"/>
      <c r="O25" s="879"/>
      <c r="P25" s="879"/>
      <c r="Q25" s="50" t="s">
        <v>1407</v>
      </c>
      <c r="T25" s="880" t="str">
        <f>IF(AND($R30=0,$T30=0),"0.00","mu :" &amp; ROUND($F25/$C$2/($R30+$T30*$D$9),2))</f>
        <v>0.00</v>
      </c>
      <c r="W25" s="507"/>
      <c r="AG25" s="465">
        <f>IF($E25=0,0,ROUND($R30*$S$2*$C$2/$A25,2))</f>
        <v>0</v>
      </c>
      <c r="AH25" s="465">
        <f>$AG25*$A25</f>
        <v>0</v>
      </c>
      <c r="AI25" s="508">
        <f>$E25-$AG25</f>
        <v>0</v>
      </c>
      <c r="AJ25" s="508">
        <f>$A25*$AI25</f>
        <v>0</v>
      </c>
      <c r="AK25" s="509">
        <f>ROUND(($AG25+$AI25)*$A25,2)</f>
        <v>0</v>
      </c>
      <c r="AM25" s="510">
        <f>ROUND(R30,2)</f>
        <v>0</v>
      </c>
      <c r="AN25" s="511">
        <f>ROUND(T30,2)</f>
        <v>0</v>
      </c>
      <c r="AO25" s="512">
        <f>ROUND(AM25+AN25,2)*A25</f>
        <v>0</v>
      </c>
    </row>
    <row r="26" spans="1:41" s="504" customFormat="1" ht="13.2">
      <c r="A26" s="872"/>
      <c r="B26"/>
      <c r="C26" s="872"/>
      <c r="D26" s="916" t="s">
        <v>273</v>
      </c>
      <c r="E26" s="917"/>
      <c r="F26" s="918"/>
      <c r="G26" s="919"/>
      <c r="H26" s="918"/>
      <c r="I26" s="920"/>
      <c r="J26" s="918"/>
      <c r="K26" s="918" t="s">
        <v>141</v>
      </c>
      <c r="L26" s="918"/>
      <c r="M26" s="918"/>
      <c r="N26" s="918"/>
      <c r="O26" s="918"/>
      <c r="P26" s="918"/>
      <c r="Q26" s="921"/>
      <c r="R26" s="513"/>
      <c r="S26" s="881"/>
      <c r="T26" s="877"/>
    </row>
    <row r="27" spans="1:41" s="504" customFormat="1" ht="12">
      <c r="A27" s="50"/>
      <c r="B27" s="882"/>
      <c r="C27" s="882"/>
      <c r="D27" s="882"/>
      <c r="E27" s="882"/>
      <c r="F27" s="877"/>
      <c r="G27" s="882"/>
      <c r="H27" s="882"/>
      <c r="I27" s="503"/>
      <c r="J27" s="882"/>
      <c r="K27" s="882"/>
      <c r="L27" s="882"/>
      <c r="M27" s="882"/>
      <c r="N27" s="882"/>
      <c r="O27" s="882"/>
      <c r="P27" s="882"/>
      <c r="Q27" s="503"/>
      <c r="R27" s="883">
        <f>$A27*Q27</f>
        <v>0</v>
      </c>
      <c r="S27" s="503"/>
      <c r="T27" s="884">
        <f>$A27*S27*$T$1</f>
        <v>0</v>
      </c>
    </row>
    <row r="28" spans="1:41" s="504" customFormat="1" ht="12">
      <c r="A28" s="50"/>
      <c r="B28" s="882"/>
      <c r="C28" s="882"/>
      <c r="D28" s="50" t="s">
        <v>1407</v>
      </c>
      <c r="E28" s="882"/>
      <c r="F28" s="877"/>
      <c r="G28" s="882"/>
      <c r="H28" s="882"/>
      <c r="I28" s="503"/>
      <c r="J28" s="882"/>
      <c r="K28" s="882"/>
      <c r="L28" s="882"/>
      <c r="M28" s="882"/>
      <c r="N28" s="882"/>
      <c r="O28" s="882"/>
      <c r="P28" s="882"/>
      <c r="Q28" s="503"/>
      <c r="R28" s="883">
        <f>$A28*Q28</f>
        <v>0</v>
      </c>
      <c r="S28" s="503"/>
      <c r="T28" s="884">
        <f>$A28*S28*$T$1</f>
        <v>0</v>
      </c>
    </row>
    <row r="29" spans="1:41" s="504" customFormat="1" ht="12">
      <c r="A29" s="882"/>
      <c r="B29" s="882"/>
      <c r="C29" s="882"/>
      <c r="D29" s="882"/>
      <c r="E29" s="882"/>
      <c r="F29" s="877"/>
      <c r="G29" s="882"/>
      <c r="H29" s="882"/>
      <c r="I29" s="503"/>
      <c r="J29" s="882"/>
      <c r="K29" s="882"/>
      <c r="L29" s="882"/>
      <c r="M29" s="882"/>
      <c r="N29" s="882"/>
      <c r="O29" s="882"/>
      <c r="P29" s="882"/>
      <c r="Q29" s="503"/>
      <c r="R29" s="883">
        <f>$A29*Q29</f>
        <v>0</v>
      </c>
      <c r="S29" s="503"/>
      <c r="T29" s="884">
        <f>$A29*S29*$T$1</f>
        <v>0</v>
      </c>
    </row>
    <row r="30" spans="1:41" s="504" customFormat="1" ht="12.6" thickBot="1">
      <c r="A30" s="885" t="s">
        <v>142</v>
      </c>
      <c r="B30" s="886">
        <f>(R29+T29)</f>
        <v>0</v>
      </c>
      <c r="C30" s="887"/>
      <c r="D30" s="887"/>
      <c r="E30" s="887"/>
      <c r="F30" s="888"/>
      <c r="G30" s="887" t="s">
        <v>143</v>
      </c>
      <c r="H30" s="887"/>
      <c r="I30" s="889"/>
      <c r="J30" s="887"/>
      <c r="K30" s="887" t="s">
        <v>3</v>
      </c>
      <c r="L30" s="890" t="s">
        <v>140</v>
      </c>
      <c r="M30" s="890"/>
      <c r="N30" s="890"/>
      <c r="O30" s="890"/>
      <c r="P30" s="890"/>
      <c r="Q30" s="891"/>
      <c r="R30" s="892">
        <f>SUM(R26:R29)</f>
        <v>0</v>
      </c>
      <c r="S30" s="887"/>
      <c r="T30" s="892">
        <f>SUM(T26:T29)</f>
        <v>0</v>
      </c>
      <c r="U30" s="514"/>
      <c r="V30" s="514"/>
      <c r="W30" s="514"/>
      <c r="X30" s="514"/>
      <c r="Y30" s="514"/>
      <c r="Z30" s="514"/>
      <c r="AA30" s="514"/>
      <c r="AB30" s="514"/>
      <c r="AC30" s="514"/>
      <c r="AD30" s="514"/>
      <c r="AE30" s="514"/>
      <c r="AF30" s="514"/>
      <c r="AG30" s="514"/>
      <c r="AH30" s="514"/>
      <c r="AI30" s="514"/>
      <c r="AJ30" s="514"/>
      <c r="AK30" s="514"/>
      <c r="AL30" s="514"/>
      <c r="AM30" s="514"/>
      <c r="AN30" s="514"/>
      <c r="AO30" s="514"/>
    </row>
    <row r="31" spans="1:41" s="504" customFormat="1" ht="12" thickTop="1">
      <c r="A31" s="50"/>
      <c r="B31" s="40"/>
      <c r="C31" s="50"/>
      <c r="E31" s="41" t="s">
        <v>136</v>
      </c>
      <c r="F31" s="41" t="s">
        <v>137</v>
      </c>
      <c r="G31" s="50"/>
      <c r="H31" s="50"/>
      <c r="I31" s="50"/>
      <c r="J31" s="50"/>
      <c r="K31" s="50" t="s">
        <v>138</v>
      </c>
      <c r="L31" s="50"/>
      <c r="M31" s="50"/>
      <c r="N31" s="50"/>
      <c r="O31" s="51"/>
      <c r="P31" s="50"/>
      <c r="Q31" s="50"/>
      <c r="R31" s="50"/>
      <c r="S31" s="50"/>
      <c r="T31" s="40"/>
      <c r="AG31" s="867" t="s">
        <v>241</v>
      </c>
      <c r="AH31" s="867" t="s">
        <v>242</v>
      </c>
      <c r="AI31" s="867" t="s">
        <v>243</v>
      </c>
      <c r="AJ31" s="867" t="s">
        <v>244</v>
      </c>
      <c r="AK31" s="867" t="s">
        <v>245</v>
      </c>
      <c r="AM31" s="868" t="s">
        <v>254</v>
      </c>
      <c r="AN31" s="869" t="s">
        <v>255</v>
      </c>
      <c r="AO31" s="505" t="s">
        <v>251</v>
      </c>
    </row>
    <row r="32" spans="1:41" s="504" customFormat="1" ht="12" customHeight="1">
      <c r="A32" s="870">
        <v>1</v>
      </c>
      <c r="B32" s="506" t="s">
        <v>272</v>
      </c>
      <c r="C32" s="872"/>
      <c r="D32" s="873" t="s">
        <v>818</v>
      </c>
      <c r="E32" s="874">
        <f>IF(AND($A32=0,$A$1="DIF"),0, ROUND(ROUND(($R36*$S$2+($T36*$T$2))/A32,2)*$C$2,2))</f>
        <v>0</v>
      </c>
      <c r="F32" s="875">
        <f>ROUND($A32*$E32,2)</f>
        <v>0</v>
      </c>
      <c r="G32" s="876" t="s">
        <v>139</v>
      </c>
      <c r="H32" s="877"/>
      <c r="I32" s="878"/>
      <c r="J32" s="877"/>
      <c r="K32" s="877" t="s">
        <v>3</v>
      </c>
      <c r="L32" s="879" t="s">
        <v>140</v>
      </c>
      <c r="M32" s="879"/>
      <c r="N32" s="879"/>
      <c r="O32" s="879"/>
      <c r="P32" s="879"/>
      <c r="Q32" s="50" t="s">
        <v>1407</v>
      </c>
      <c r="T32" s="880" t="str">
        <f>IF(AND($R36=0,$T36=0),"0.00","mu :" &amp; ROUND($F32/$C$2/($R36+$T36*$D$9),2))</f>
        <v>0.00</v>
      </c>
      <c r="W32" s="507"/>
      <c r="AG32" s="465">
        <f>IF($E32=0,0,ROUND($R36*$S$2*$C$2/$A32,2))</f>
        <v>0</v>
      </c>
      <c r="AH32" s="465">
        <f>$AG32*$A32</f>
        <v>0</v>
      </c>
      <c r="AI32" s="508">
        <f>$E32-$AG32</f>
        <v>0</v>
      </c>
      <c r="AJ32" s="508">
        <f>$A32*$AI32</f>
        <v>0</v>
      </c>
      <c r="AK32" s="509">
        <f>ROUND(($AG32+$AI32)*$A32,2)</f>
        <v>0</v>
      </c>
      <c r="AM32" s="510">
        <f>ROUND(R36,2)</f>
        <v>0</v>
      </c>
      <c r="AN32" s="511">
        <f>ROUND(T36,2)</f>
        <v>0</v>
      </c>
      <c r="AO32" s="512">
        <f>ROUND(AM32+AN32,2)*A32</f>
        <v>0</v>
      </c>
    </row>
    <row r="33" spans="1:41" s="504" customFormat="1" ht="13.2">
      <c r="A33" s="872"/>
      <c r="B33"/>
      <c r="C33" s="872"/>
      <c r="D33" s="873" t="s">
        <v>274</v>
      </c>
      <c r="F33" s="877"/>
      <c r="G33" s="3"/>
      <c r="H33" s="877"/>
      <c r="I33" s="878"/>
      <c r="J33" s="877"/>
      <c r="K33" s="877" t="s">
        <v>141</v>
      </c>
      <c r="L33" s="877"/>
      <c r="M33" s="877"/>
      <c r="N33" s="877"/>
      <c r="O33" s="877"/>
      <c r="P33" s="877"/>
      <c r="Q33" s="50"/>
      <c r="R33" s="513"/>
      <c r="S33" s="881"/>
      <c r="T33" s="877"/>
    </row>
    <row r="34" spans="1:41" s="1039" customFormat="1" ht="13.2">
      <c r="A34" s="1357"/>
      <c r="B34" s="1039" t="s">
        <v>1422</v>
      </c>
      <c r="D34" s="1039" t="s">
        <v>1423</v>
      </c>
      <c r="G34" s="1040" t="s">
        <v>1424</v>
      </c>
      <c r="H34" s="1041">
        <v>970</v>
      </c>
      <c r="I34" s="1039" t="s">
        <v>984</v>
      </c>
      <c r="K34" s="882"/>
      <c r="O34" s="1042">
        <v>4</v>
      </c>
      <c r="P34" s="1043">
        <v>38129</v>
      </c>
      <c r="Q34" s="1044">
        <v>10</v>
      </c>
      <c r="R34" s="883">
        <f>$A34*Q34</f>
        <v>0</v>
      </c>
      <c r="S34" s="1044">
        <v>1</v>
      </c>
      <c r="T34" s="1046">
        <f>$A34*S34*$T$1</f>
        <v>0</v>
      </c>
      <c r="U34" s="1357">
        <v>20</v>
      </c>
    </row>
    <row r="35" spans="1:41" s="504" customFormat="1" ht="12">
      <c r="A35" s="882"/>
      <c r="B35" s="882"/>
      <c r="C35" s="882"/>
      <c r="D35" s="882"/>
      <c r="E35" s="882"/>
      <c r="F35" s="877"/>
      <c r="G35" s="882"/>
      <c r="H35" s="882"/>
      <c r="I35" s="503"/>
      <c r="J35" s="882"/>
      <c r="K35" s="882"/>
      <c r="L35" s="882"/>
      <c r="M35" s="882"/>
      <c r="N35" s="882"/>
      <c r="O35" s="882"/>
      <c r="P35" s="882"/>
      <c r="Q35" s="503"/>
      <c r="R35" s="883">
        <f>$A35*Q35</f>
        <v>0</v>
      </c>
      <c r="S35" s="503"/>
      <c r="T35" s="884">
        <f>$A35*S35*$T$1</f>
        <v>0</v>
      </c>
    </row>
    <row r="36" spans="1:41" s="504" customFormat="1" ht="12.6" thickBot="1">
      <c r="A36" s="885" t="s">
        <v>142</v>
      </c>
      <c r="B36" s="886">
        <f>(R35+T35)</f>
        <v>0</v>
      </c>
      <c r="C36" s="887"/>
      <c r="D36" s="887"/>
      <c r="E36" s="887"/>
      <c r="F36" s="888"/>
      <c r="G36" s="887" t="s">
        <v>143</v>
      </c>
      <c r="H36" s="887"/>
      <c r="I36" s="889"/>
      <c r="J36" s="887"/>
      <c r="K36" s="887" t="s">
        <v>3</v>
      </c>
      <c r="L36" s="890" t="s">
        <v>140</v>
      </c>
      <c r="M36" s="890"/>
      <c r="N36" s="890"/>
      <c r="O36" s="890"/>
      <c r="P36" s="890"/>
      <c r="Q36" s="891"/>
      <c r="R36" s="892">
        <f>SUM(R33:R35)</f>
        <v>0</v>
      </c>
      <c r="S36" s="887"/>
      <c r="T36" s="892">
        <f>SUM(T33:T35)</f>
        <v>0</v>
      </c>
      <c r="U36" s="514"/>
      <c r="V36" s="514"/>
      <c r="W36" s="514"/>
      <c r="X36" s="514"/>
      <c r="Y36" s="514"/>
      <c r="Z36" s="514"/>
      <c r="AA36" s="514"/>
      <c r="AB36" s="514"/>
      <c r="AC36" s="514"/>
      <c r="AD36" s="514"/>
      <c r="AE36" s="514"/>
      <c r="AF36" s="514"/>
      <c r="AG36" s="514"/>
      <c r="AH36" s="514"/>
      <c r="AI36" s="514"/>
      <c r="AJ36" s="514"/>
      <c r="AK36" s="514"/>
      <c r="AL36" s="514"/>
      <c r="AM36" s="514"/>
      <c r="AN36" s="514"/>
      <c r="AO36" s="514"/>
    </row>
    <row r="37" spans="1:41" s="504" customFormat="1" ht="12" thickTop="1">
      <c r="A37" s="50"/>
      <c r="B37" s="40"/>
      <c r="C37" s="50"/>
      <c r="E37" s="41" t="s">
        <v>136</v>
      </c>
      <c r="F37" s="41" t="s">
        <v>137</v>
      </c>
      <c r="G37" s="50"/>
      <c r="H37" s="50"/>
      <c r="I37" s="50"/>
      <c r="J37" s="50"/>
      <c r="K37" s="50" t="s">
        <v>138</v>
      </c>
      <c r="L37" s="50"/>
      <c r="M37" s="50"/>
      <c r="N37" s="50"/>
      <c r="O37" s="51"/>
      <c r="P37" s="50"/>
      <c r="Q37" s="50"/>
      <c r="R37" s="50"/>
      <c r="S37" s="50"/>
      <c r="T37" s="40"/>
      <c r="AG37" s="867" t="s">
        <v>241</v>
      </c>
      <c r="AH37" s="867" t="s">
        <v>242</v>
      </c>
      <c r="AI37" s="867" t="s">
        <v>243</v>
      </c>
      <c r="AJ37" s="867" t="s">
        <v>244</v>
      </c>
      <c r="AK37" s="867" t="s">
        <v>245</v>
      </c>
      <c r="AM37" s="868" t="s">
        <v>254</v>
      </c>
      <c r="AN37" s="869" t="s">
        <v>255</v>
      </c>
      <c r="AO37" s="505" t="s">
        <v>251</v>
      </c>
    </row>
    <row r="38" spans="1:41" s="504" customFormat="1" ht="12" customHeight="1">
      <c r="A38" s="870">
        <v>1</v>
      </c>
      <c r="B38" s="506" t="s">
        <v>272</v>
      </c>
      <c r="C38" s="872"/>
      <c r="D38" s="873" t="s">
        <v>836</v>
      </c>
      <c r="E38" s="874">
        <f>IF(AND($A38=0,$A$1="DIF"),0, ROUND(ROUND(($R43*$S$2+($T43*$T$2))/A38,2)*$C$2,2))</f>
        <v>0</v>
      </c>
      <c r="F38" s="875">
        <f>ROUND($A38*$E38,2)</f>
        <v>0</v>
      </c>
      <c r="G38" s="876" t="s">
        <v>139</v>
      </c>
      <c r="H38" s="877"/>
      <c r="I38" s="878"/>
      <c r="J38" s="877"/>
      <c r="K38" s="877" t="s">
        <v>3</v>
      </c>
      <c r="L38" s="879" t="s">
        <v>140</v>
      </c>
      <c r="M38" s="879"/>
      <c r="N38" s="879"/>
      <c r="O38" s="879"/>
      <c r="P38" s="879"/>
      <c r="Q38" s="50" t="s">
        <v>1407</v>
      </c>
      <c r="T38" s="880" t="str">
        <f>IF(AND($R43=0,$T43=0),"0.00","mu :" &amp; ROUND($F38/$C$2/($R43+$T43*$D$9),2))</f>
        <v>0.00</v>
      </c>
      <c r="W38" s="507"/>
      <c r="AG38" s="465">
        <f>IF($E38=0,0,ROUND($R43*$S$2*$C$2/$A38,2))</f>
        <v>0</v>
      </c>
      <c r="AH38" s="465">
        <f>$AG38*$A38</f>
        <v>0</v>
      </c>
      <c r="AI38" s="508">
        <f>$E38-$AG38</f>
        <v>0</v>
      </c>
      <c r="AJ38" s="508">
        <f>$A38*$AI38</f>
        <v>0</v>
      </c>
      <c r="AK38" s="509">
        <f>ROUND(($AG38+$AI38)*$A38,2)</f>
        <v>0</v>
      </c>
      <c r="AM38" s="510">
        <f>ROUND(R43,2)</f>
        <v>0</v>
      </c>
      <c r="AN38" s="511">
        <f>ROUND(T43,2)</f>
        <v>0</v>
      </c>
      <c r="AO38" s="512">
        <f>ROUND(AM38+AN38,2)*A38</f>
        <v>0</v>
      </c>
    </row>
    <row r="39" spans="1:41" s="504" customFormat="1" ht="13.2">
      <c r="A39" s="872"/>
      <c r="B39"/>
      <c r="C39" s="872"/>
      <c r="D39" s="916" t="s">
        <v>275</v>
      </c>
      <c r="E39" s="917"/>
      <c r="F39" s="918"/>
      <c r="G39" s="919"/>
      <c r="H39" s="918"/>
      <c r="I39" s="920"/>
      <c r="J39" s="918"/>
      <c r="K39" s="918"/>
      <c r="L39" s="918"/>
      <c r="M39" s="918"/>
      <c r="N39" s="918"/>
      <c r="O39" s="918"/>
      <c r="P39" s="918"/>
      <c r="Q39" s="921"/>
      <c r="R39" s="513"/>
      <c r="S39" s="881"/>
      <c r="T39" s="877"/>
    </row>
    <row r="40" spans="1:41" s="504" customFormat="1" ht="12">
      <c r="A40" s="50"/>
      <c r="B40" s="882"/>
      <c r="C40" s="882"/>
      <c r="D40" s="882"/>
      <c r="E40" s="882"/>
      <c r="F40" s="877"/>
      <c r="G40" s="882"/>
      <c r="H40" s="882"/>
      <c r="I40" s="503"/>
      <c r="J40" s="882"/>
      <c r="K40" s="882"/>
      <c r="L40" s="882"/>
      <c r="M40" s="882"/>
      <c r="N40" s="882"/>
      <c r="O40" s="882"/>
      <c r="P40" s="882"/>
      <c r="Q40" s="503"/>
      <c r="R40" s="883">
        <f>$A40*Q40</f>
        <v>0</v>
      </c>
      <c r="S40" s="503"/>
      <c r="T40" s="884">
        <f>$A40*S40*$T$1</f>
        <v>0</v>
      </c>
    </row>
    <row r="41" spans="1:41" s="504" customFormat="1" ht="12">
      <c r="A41" s="50"/>
      <c r="B41" s="882"/>
      <c r="C41" s="882"/>
      <c r="D41" s="50" t="s">
        <v>1407</v>
      </c>
      <c r="E41" s="882"/>
      <c r="F41" s="877"/>
      <c r="G41" s="882"/>
      <c r="H41" s="882"/>
      <c r="I41" s="503"/>
      <c r="J41" s="882"/>
      <c r="K41" s="882"/>
      <c r="L41" s="882"/>
      <c r="M41" s="882"/>
      <c r="N41" s="882"/>
      <c r="O41" s="882"/>
      <c r="P41" s="882"/>
      <c r="Q41" s="503"/>
      <c r="R41" s="883">
        <f>$A41*Q41</f>
        <v>0</v>
      </c>
      <c r="S41" s="503"/>
      <c r="T41" s="884">
        <f>$A41*S41*$T$1</f>
        <v>0</v>
      </c>
    </row>
    <row r="42" spans="1:41" s="504" customFormat="1" ht="12">
      <c r="A42" s="882"/>
      <c r="B42" s="882"/>
      <c r="C42" s="882"/>
      <c r="D42" s="882"/>
      <c r="E42" s="882"/>
      <c r="F42" s="877"/>
      <c r="G42" s="882"/>
      <c r="H42" s="882"/>
      <c r="I42" s="503"/>
      <c r="J42" s="882"/>
      <c r="K42" s="882"/>
      <c r="L42" s="882"/>
      <c r="M42" s="882"/>
      <c r="N42" s="882"/>
      <c r="O42" s="882"/>
      <c r="P42" s="882"/>
      <c r="Q42" s="503"/>
      <c r="R42" s="883">
        <f>$A42*Q42</f>
        <v>0</v>
      </c>
      <c r="S42" s="503"/>
      <c r="T42" s="884">
        <f>$A42*S42*$T$1</f>
        <v>0</v>
      </c>
    </row>
    <row r="43" spans="1:41" s="504" customFormat="1" ht="12.6" thickBot="1">
      <c r="A43" s="885" t="s">
        <v>142</v>
      </c>
      <c r="B43" s="886">
        <f>(R42+T42)</f>
        <v>0</v>
      </c>
      <c r="C43" s="887"/>
      <c r="D43" s="887"/>
      <c r="E43" s="887"/>
      <c r="F43" s="888"/>
      <c r="G43" s="887" t="s">
        <v>143</v>
      </c>
      <c r="H43" s="887"/>
      <c r="I43" s="889"/>
      <c r="J43" s="887"/>
      <c r="K43" s="887" t="s">
        <v>3</v>
      </c>
      <c r="L43" s="890" t="s">
        <v>140</v>
      </c>
      <c r="M43" s="890"/>
      <c r="N43" s="890"/>
      <c r="O43" s="890"/>
      <c r="P43" s="890"/>
      <c r="Q43" s="891"/>
      <c r="R43" s="892">
        <f>SUM(R39:R42)</f>
        <v>0</v>
      </c>
      <c r="S43" s="887"/>
      <c r="T43" s="892">
        <f>SUM(T39:T42)</f>
        <v>0</v>
      </c>
      <c r="U43" s="514"/>
      <c r="V43" s="514"/>
      <c r="W43" s="514"/>
      <c r="X43" s="514"/>
      <c r="Y43" s="514"/>
      <c r="Z43" s="514"/>
      <c r="AA43" s="514"/>
      <c r="AB43" s="514"/>
      <c r="AC43" s="514"/>
      <c r="AD43" s="514"/>
      <c r="AE43" s="514"/>
      <c r="AF43" s="514"/>
      <c r="AG43" s="514"/>
      <c r="AH43" s="514"/>
      <c r="AI43" s="514"/>
      <c r="AJ43" s="514"/>
      <c r="AK43" s="514"/>
      <c r="AL43" s="514"/>
      <c r="AM43" s="514"/>
      <c r="AN43" s="514"/>
      <c r="AO43" s="514"/>
    </row>
    <row r="44" spans="1:41" s="504" customFormat="1" ht="12" thickTop="1">
      <c r="A44" s="50"/>
      <c r="B44" s="40"/>
      <c r="C44" s="50"/>
      <c r="E44" s="41" t="s">
        <v>136</v>
      </c>
      <c r="F44" s="41" t="s">
        <v>137</v>
      </c>
      <c r="G44" s="50"/>
      <c r="H44" s="50"/>
      <c r="I44" s="50"/>
      <c r="J44" s="50"/>
      <c r="K44" s="50" t="s">
        <v>138</v>
      </c>
      <c r="L44" s="50"/>
      <c r="M44" s="50"/>
      <c r="N44" s="50"/>
      <c r="O44" s="51"/>
      <c r="P44" s="50"/>
      <c r="Q44" s="50"/>
      <c r="R44" s="50"/>
      <c r="S44" s="50"/>
      <c r="T44" s="40"/>
      <c r="AG44" s="867" t="s">
        <v>241</v>
      </c>
      <c r="AH44" s="867" t="s">
        <v>242</v>
      </c>
      <c r="AI44" s="867" t="s">
        <v>243</v>
      </c>
      <c r="AJ44" s="867" t="s">
        <v>244</v>
      </c>
      <c r="AK44" s="867" t="s">
        <v>245</v>
      </c>
      <c r="AM44" s="868" t="s">
        <v>254</v>
      </c>
      <c r="AN44" s="869" t="s">
        <v>255</v>
      </c>
      <c r="AO44" s="505" t="s">
        <v>251</v>
      </c>
    </row>
    <row r="45" spans="1:41" s="504" customFormat="1" ht="12" customHeight="1">
      <c r="A45" s="870">
        <v>1</v>
      </c>
      <c r="B45" s="506" t="s">
        <v>272</v>
      </c>
      <c r="C45" s="872"/>
      <c r="D45" s="873" t="s">
        <v>838</v>
      </c>
      <c r="E45" s="874">
        <f>IF(AND($A45=0,$A$1="DIF"),0, ROUND(ROUND(($R50*$S$2+($T50*$T$2))/A45,2)*$C$2,2))</f>
        <v>0</v>
      </c>
      <c r="F45" s="875">
        <f>ROUND($A45*$E45,2)</f>
        <v>0</v>
      </c>
      <c r="G45" s="876" t="s">
        <v>139</v>
      </c>
      <c r="H45" s="877"/>
      <c r="I45" s="878"/>
      <c r="J45" s="877"/>
      <c r="K45" s="877" t="s">
        <v>3</v>
      </c>
      <c r="L45" s="879" t="s">
        <v>140</v>
      </c>
      <c r="M45" s="879"/>
      <c r="N45" s="879"/>
      <c r="O45" s="879"/>
      <c r="P45" s="879"/>
      <c r="Q45" s="50" t="s">
        <v>1407</v>
      </c>
      <c r="T45" s="880" t="str">
        <f>IF(AND($R50=0,$T50=0),"0.00","mu :" &amp; ROUND($F45/$C$2/($R50+$T50*$D$9),2))</f>
        <v>0.00</v>
      </c>
      <c r="W45" s="507"/>
      <c r="AG45" s="465">
        <f>IF($E45=0,0,ROUND($R50*$S$2*$C$2/$A45,2))</f>
        <v>0</v>
      </c>
      <c r="AH45" s="465">
        <f>$AG45*$A45</f>
        <v>0</v>
      </c>
      <c r="AI45" s="508">
        <f>$E45-$AG45</f>
        <v>0</v>
      </c>
      <c r="AJ45" s="508">
        <f>$A45*$AI45</f>
        <v>0</v>
      </c>
      <c r="AK45" s="509">
        <f>ROUND(($AG45+$AI45)*$A45,2)</f>
        <v>0</v>
      </c>
      <c r="AM45" s="510">
        <f>ROUND(R50,2)</f>
        <v>0</v>
      </c>
      <c r="AN45" s="511">
        <f>ROUND(T50,2)</f>
        <v>0</v>
      </c>
      <c r="AO45" s="512">
        <f>ROUND(AM45+AN45,2)*A45</f>
        <v>0</v>
      </c>
    </row>
    <row r="46" spans="1:41" s="504" customFormat="1" ht="13.2">
      <c r="A46" s="872"/>
      <c r="B46"/>
      <c r="C46" s="872"/>
      <c r="D46" s="916" t="s">
        <v>276</v>
      </c>
      <c r="E46" s="917"/>
      <c r="F46" s="918"/>
      <c r="G46" s="919"/>
      <c r="H46" s="918"/>
      <c r="I46" s="920"/>
      <c r="J46" s="918"/>
      <c r="K46" s="918"/>
      <c r="L46" s="918"/>
      <c r="M46" s="918"/>
      <c r="N46" s="918"/>
      <c r="O46" s="918"/>
      <c r="P46" s="918"/>
      <c r="Q46" s="921"/>
      <c r="R46" s="513"/>
      <c r="S46" s="881"/>
      <c r="T46" s="877"/>
    </row>
    <row r="47" spans="1:41" s="504" customFormat="1" ht="12">
      <c r="A47" s="50"/>
      <c r="B47" s="882"/>
      <c r="C47" s="882"/>
      <c r="D47" s="882"/>
      <c r="E47" s="882"/>
      <c r="F47" s="877"/>
      <c r="G47" s="882"/>
      <c r="H47" s="882"/>
      <c r="I47" s="503"/>
      <c r="J47" s="882"/>
      <c r="K47" s="882"/>
      <c r="L47" s="882"/>
      <c r="M47" s="882"/>
      <c r="N47" s="882"/>
      <c r="O47" s="882"/>
      <c r="P47" s="882"/>
      <c r="Q47" s="503"/>
      <c r="R47" s="883">
        <f>$A47*Q47</f>
        <v>0</v>
      </c>
      <c r="S47" s="503"/>
      <c r="T47" s="884">
        <f>$A47*S47*$T$1</f>
        <v>0</v>
      </c>
    </row>
    <row r="48" spans="1:41" s="504" customFormat="1" ht="12">
      <c r="A48" s="50"/>
      <c r="B48" s="882"/>
      <c r="C48" s="882"/>
      <c r="D48" s="50" t="s">
        <v>1407</v>
      </c>
      <c r="E48" s="882"/>
      <c r="F48" s="877"/>
      <c r="G48" s="882"/>
      <c r="H48" s="882"/>
      <c r="I48" s="503"/>
      <c r="J48" s="882"/>
      <c r="K48" s="882"/>
      <c r="L48" s="882"/>
      <c r="M48" s="882"/>
      <c r="N48" s="882"/>
      <c r="O48" s="882"/>
      <c r="P48" s="882"/>
      <c r="Q48" s="503"/>
      <c r="R48" s="883">
        <f>$A48*Q48</f>
        <v>0</v>
      </c>
      <c r="S48" s="503"/>
      <c r="T48" s="884">
        <f>$A48*S48*$T$1</f>
        <v>0</v>
      </c>
    </row>
    <row r="49" spans="1:41" s="504" customFormat="1" ht="12">
      <c r="A49" s="882"/>
      <c r="B49" s="882"/>
      <c r="C49" s="882"/>
      <c r="D49" s="882"/>
      <c r="E49" s="882"/>
      <c r="F49" s="877"/>
      <c r="G49" s="882"/>
      <c r="H49" s="882"/>
      <c r="I49" s="503"/>
      <c r="J49" s="882"/>
      <c r="K49" s="882"/>
      <c r="L49" s="882"/>
      <c r="M49" s="882"/>
      <c r="N49" s="882"/>
      <c r="O49" s="882"/>
      <c r="P49" s="882"/>
      <c r="Q49" s="503"/>
      <c r="R49" s="883">
        <f>$A49*Q49</f>
        <v>0</v>
      </c>
      <c r="S49" s="503"/>
      <c r="T49" s="884">
        <f>$A49*S49*$T$1</f>
        <v>0</v>
      </c>
    </row>
    <row r="50" spans="1:41" s="504" customFormat="1" ht="12.6" thickBot="1">
      <c r="A50" s="885" t="s">
        <v>142</v>
      </c>
      <c r="B50" s="886">
        <f>(R49+T49)</f>
        <v>0</v>
      </c>
      <c r="C50" s="887"/>
      <c r="D50" s="887"/>
      <c r="E50" s="887"/>
      <c r="F50" s="888"/>
      <c r="G50" s="887" t="s">
        <v>143</v>
      </c>
      <c r="H50" s="887"/>
      <c r="I50" s="889"/>
      <c r="J50" s="887"/>
      <c r="K50" s="887" t="s">
        <v>3</v>
      </c>
      <c r="L50" s="890" t="s">
        <v>140</v>
      </c>
      <c r="M50" s="890"/>
      <c r="N50" s="890"/>
      <c r="O50" s="890"/>
      <c r="P50" s="890"/>
      <c r="Q50" s="891"/>
      <c r="R50" s="892">
        <f>SUM(R46:R49)</f>
        <v>0</v>
      </c>
      <c r="S50" s="887"/>
      <c r="T50" s="892">
        <f>SUM(T46:T49)</f>
        <v>0</v>
      </c>
      <c r="U50" s="514"/>
      <c r="V50" s="514"/>
      <c r="W50" s="514"/>
      <c r="X50" s="514"/>
      <c r="Y50" s="514"/>
      <c r="Z50" s="514"/>
      <c r="AA50" s="514"/>
      <c r="AB50" s="514"/>
      <c r="AC50" s="514"/>
      <c r="AD50" s="514"/>
      <c r="AE50" s="514"/>
      <c r="AF50" s="514"/>
      <c r="AG50" s="514"/>
      <c r="AH50" s="514"/>
      <c r="AI50" s="514"/>
      <c r="AJ50" s="514"/>
      <c r="AK50" s="514"/>
      <c r="AL50" s="514"/>
      <c r="AM50" s="514"/>
      <c r="AN50" s="514"/>
      <c r="AO50" s="514"/>
    </row>
    <row r="51" spans="1:41" s="504" customFormat="1" ht="12" thickTop="1">
      <c r="A51" s="50"/>
      <c r="B51" s="40"/>
      <c r="C51" s="50"/>
      <c r="E51" s="41" t="s">
        <v>136</v>
      </c>
      <c r="F51" s="41" t="s">
        <v>137</v>
      </c>
      <c r="G51" s="50"/>
      <c r="H51" s="50"/>
      <c r="I51" s="50"/>
      <c r="J51" s="50"/>
      <c r="K51" s="50" t="s">
        <v>138</v>
      </c>
      <c r="L51" s="50"/>
      <c r="M51" s="50"/>
      <c r="N51" s="50"/>
      <c r="O51" s="51"/>
      <c r="P51" s="50"/>
      <c r="Q51" s="50"/>
      <c r="R51" s="50"/>
      <c r="S51" s="50"/>
      <c r="T51" s="40"/>
      <c r="AG51" s="867" t="s">
        <v>241</v>
      </c>
      <c r="AH51" s="867" t="s">
        <v>242</v>
      </c>
      <c r="AI51" s="867" t="s">
        <v>243</v>
      </c>
      <c r="AJ51" s="867" t="s">
        <v>244</v>
      </c>
      <c r="AK51" s="867" t="s">
        <v>245</v>
      </c>
      <c r="AM51" s="868" t="s">
        <v>254</v>
      </c>
      <c r="AN51" s="869" t="s">
        <v>255</v>
      </c>
      <c r="AO51" s="505" t="s">
        <v>251</v>
      </c>
    </row>
    <row r="52" spans="1:41" s="504" customFormat="1" ht="12" customHeight="1">
      <c r="A52" s="870">
        <v>1</v>
      </c>
      <c r="B52" s="506" t="s">
        <v>272</v>
      </c>
      <c r="C52" s="872"/>
      <c r="D52" s="873" t="s">
        <v>840</v>
      </c>
      <c r="E52" s="874">
        <f>IF(AND($A52=0,$A$1="DIF"),0, ROUND(ROUND(($R57*$S$2+($T57*$T$2))/A52,2)*$C$2,2))</f>
        <v>0</v>
      </c>
      <c r="F52" s="875">
        <f>ROUND($A52*$E52,2)</f>
        <v>0</v>
      </c>
      <c r="G52" s="876" t="s">
        <v>139</v>
      </c>
      <c r="H52" s="877"/>
      <c r="I52" s="878"/>
      <c r="J52" s="877"/>
      <c r="K52" s="877" t="s">
        <v>3</v>
      </c>
      <c r="L52" s="879" t="s">
        <v>140</v>
      </c>
      <c r="M52" s="879"/>
      <c r="N52" s="879"/>
      <c r="O52" s="879"/>
      <c r="P52" s="879"/>
      <c r="Q52" s="50" t="s">
        <v>1407</v>
      </c>
      <c r="T52" s="880" t="str">
        <f>IF(AND($R57=0,$T57=0),"0.00","mu :" &amp; ROUND($F52/$C$2/($R57+$T57*$D$9),2))</f>
        <v>0.00</v>
      </c>
      <c r="W52" s="507"/>
      <c r="AG52" s="465">
        <f>IF($E52=0,0,ROUND($R57*$S$2*$C$2/$A52,2))</f>
        <v>0</v>
      </c>
      <c r="AH52" s="465">
        <f>$AG52*$A52</f>
        <v>0</v>
      </c>
      <c r="AI52" s="508">
        <f>$E52-$AG52</f>
        <v>0</v>
      </c>
      <c r="AJ52" s="508">
        <f>$A52*$AI52</f>
        <v>0</v>
      </c>
      <c r="AK52" s="509">
        <f>ROUND(($AG52+$AI52)*$A52,2)</f>
        <v>0</v>
      </c>
      <c r="AM52" s="510">
        <f>ROUND(R57,2)</f>
        <v>0</v>
      </c>
      <c r="AN52" s="511">
        <f>ROUND(T57,2)</f>
        <v>0</v>
      </c>
      <c r="AO52" s="512">
        <f>ROUND(AM52+AN52,2)*A52</f>
        <v>0</v>
      </c>
    </row>
    <row r="53" spans="1:41" s="504" customFormat="1" ht="13.2">
      <c r="A53" s="872"/>
      <c r="B53"/>
      <c r="C53" s="872"/>
      <c r="D53" s="916" t="s">
        <v>277</v>
      </c>
      <c r="E53" s="917"/>
      <c r="F53" s="918"/>
      <c r="G53" s="919"/>
      <c r="H53" s="918"/>
      <c r="I53" s="920"/>
      <c r="J53" s="918"/>
      <c r="K53" s="918"/>
      <c r="L53" s="918"/>
      <c r="M53" s="918"/>
      <c r="N53" s="918"/>
      <c r="O53" s="918"/>
      <c r="P53" s="918"/>
      <c r="Q53" s="921"/>
      <c r="R53" s="513"/>
      <c r="S53" s="881"/>
      <c r="T53" s="877"/>
    </row>
    <row r="54" spans="1:41" s="504" customFormat="1" ht="12">
      <c r="A54" s="50"/>
      <c r="B54" s="882"/>
      <c r="C54" s="882"/>
      <c r="D54" s="882"/>
      <c r="E54" s="882"/>
      <c r="F54" s="877"/>
      <c r="G54" s="882"/>
      <c r="H54" s="882"/>
      <c r="I54" s="503"/>
      <c r="J54" s="882"/>
      <c r="K54" s="882"/>
      <c r="L54" s="882"/>
      <c r="M54" s="882"/>
      <c r="N54" s="882"/>
      <c r="O54" s="882"/>
      <c r="P54" s="882"/>
      <c r="Q54" s="503"/>
      <c r="R54" s="883">
        <f t="shared" ref="R54:R56" si="0">$A54*Q54</f>
        <v>0</v>
      </c>
      <c r="S54" s="503"/>
      <c r="T54" s="884">
        <f t="shared" ref="T54:T56" si="1">$A54*S54*$T$1</f>
        <v>0</v>
      </c>
    </row>
    <row r="55" spans="1:41" s="504" customFormat="1" ht="12">
      <c r="A55" s="50"/>
      <c r="B55" s="882"/>
      <c r="C55" s="882"/>
      <c r="D55" s="50" t="s">
        <v>1407</v>
      </c>
      <c r="E55" s="882"/>
      <c r="F55" s="877"/>
      <c r="G55" s="882"/>
      <c r="H55" s="882"/>
      <c r="I55" s="503"/>
      <c r="J55" s="882"/>
      <c r="K55" s="882"/>
      <c r="L55" s="882"/>
      <c r="M55" s="882"/>
      <c r="N55" s="882"/>
      <c r="O55" s="882"/>
      <c r="P55" s="882"/>
      <c r="Q55" s="503"/>
      <c r="R55" s="883">
        <f t="shared" si="0"/>
        <v>0</v>
      </c>
      <c r="S55" s="503"/>
      <c r="T55" s="884">
        <f t="shared" si="1"/>
        <v>0</v>
      </c>
    </row>
    <row r="56" spans="1:41" s="504" customFormat="1" ht="12">
      <c r="A56" s="882"/>
      <c r="B56" s="882"/>
      <c r="C56" s="882"/>
      <c r="D56" s="882"/>
      <c r="E56" s="882"/>
      <c r="F56" s="877"/>
      <c r="G56" s="882"/>
      <c r="H56" s="882"/>
      <c r="I56" s="503"/>
      <c r="J56" s="882"/>
      <c r="K56" s="882"/>
      <c r="L56" s="882"/>
      <c r="M56" s="882"/>
      <c r="N56" s="882"/>
      <c r="O56" s="882"/>
      <c r="P56" s="882"/>
      <c r="Q56" s="503"/>
      <c r="R56" s="883">
        <f t="shared" si="0"/>
        <v>0</v>
      </c>
      <c r="S56" s="503"/>
      <c r="T56" s="884">
        <f t="shared" si="1"/>
        <v>0</v>
      </c>
    </row>
    <row r="57" spans="1:41" s="504" customFormat="1" ht="12.6" thickBot="1">
      <c r="A57" s="885" t="s">
        <v>142</v>
      </c>
      <c r="B57" s="886">
        <f>(R56+T56)</f>
        <v>0</v>
      </c>
      <c r="C57" s="887"/>
      <c r="D57" s="887"/>
      <c r="E57" s="887"/>
      <c r="F57" s="888"/>
      <c r="G57" s="887" t="s">
        <v>143</v>
      </c>
      <c r="H57" s="887"/>
      <c r="I57" s="889"/>
      <c r="J57" s="887"/>
      <c r="K57" s="887" t="s">
        <v>3</v>
      </c>
      <c r="L57" s="890" t="s">
        <v>140</v>
      </c>
      <c r="M57" s="890"/>
      <c r="N57" s="890"/>
      <c r="O57" s="890"/>
      <c r="P57" s="890"/>
      <c r="Q57" s="891"/>
      <c r="R57" s="892">
        <f>SUM(R53:R56)</f>
        <v>0</v>
      </c>
      <c r="S57" s="887"/>
      <c r="T57" s="892">
        <f>SUM(T53:T56)</f>
        <v>0</v>
      </c>
      <c r="U57" s="514"/>
      <c r="V57" s="514"/>
      <c r="W57" s="514"/>
      <c r="X57" s="514"/>
      <c r="Y57" s="514"/>
      <c r="Z57" s="514"/>
      <c r="AA57" s="514"/>
      <c r="AB57" s="514"/>
      <c r="AC57" s="514"/>
      <c r="AD57" s="514"/>
      <c r="AE57" s="514"/>
      <c r="AF57" s="514"/>
      <c r="AG57" s="514"/>
      <c r="AH57" s="514"/>
      <c r="AI57" s="514"/>
      <c r="AJ57" s="514"/>
      <c r="AK57" s="514"/>
      <c r="AL57" s="514"/>
      <c r="AM57" s="514"/>
      <c r="AN57" s="514"/>
      <c r="AO57" s="514"/>
    </row>
    <row r="58" spans="1:41" s="504" customFormat="1" ht="12" thickTop="1">
      <c r="A58" s="50"/>
      <c r="B58" s="40"/>
      <c r="C58" s="50"/>
      <c r="E58" s="41" t="s">
        <v>136</v>
      </c>
      <c r="F58" s="41" t="s">
        <v>137</v>
      </c>
      <c r="G58" s="50"/>
      <c r="H58" s="50"/>
      <c r="I58" s="50"/>
      <c r="J58" s="50"/>
      <c r="K58" s="50" t="s">
        <v>138</v>
      </c>
      <c r="L58" s="50"/>
      <c r="M58" s="50"/>
      <c r="N58" s="50"/>
      <c r="O58" s="51"/>
      <c r="P58" s="50"/>
      <c r="Q58" s="50"/>
      <c r="R58" s="50"/>
      <c r="S58" s="50"/>
      <c r="T58" s="40"/>
      <c r="AG58" s="867" t="s">
        <v>241</v>
      </c>
      <c r="AH58" s="867" t="s">
        <v>242</v>
      </c>
      <c r="AI58" s="867" t="s">
        <v>243</v>
      </c>
      <c r="AJ58" s="867" t="s">
        <v>244</v>
      </c>
      <c r="AK58" s="867" t="s">
        <v>245</v>
      </c>
      <c r="AM58" s="868" t="s">
        <v>254</v>
      </c>
      <c r="AN58" s="869" t="s">
        <v>255</v>
      </c>
      <c r="AO58" s="505" t="s">
        <v>251</v>
      </c>
    </row>
    <row r="59" spans="1:41" s="504" customFormat="1" ht="12" customHeight="1">
      <c r="A59" s="870">
        <v>1</v>
      </c>
      <c r="B59" s="506" t="s">
        <v>272</v>
      </c>
      <c r="C59" s="872"/>
      <c r="D59" s="1326" t="s">
        <v>842</v>
      </c>
      <c r="E59" s="874">
        <f>IF(AND($A59=0,$A$1="DIF"),0, ROUND(ROUND(($R63*$S$2+($T63*$T$2))/A59,2)*$C$2,2))</f>
        <v>0</v>
      </c>
      <c r="F59" s="875">
        <f>ROUND($A59*$E59,2)</f>
        <v>0</v>
      </c>
      <c r="G59" s="876" t="s">
        <v>139</v>
      </c>
      <c r="H59" s="877"/>
      <c r="I59" s="878"/>
      <c r="J59" s="877"/>
      <c r="K59" s="877" t="s">
        <v>3</v>
      </c>
      <c r="L59" s="879" t="s">
        <v>140</v>
      </c>
      <c r="M59" s="879"/>
      <c r="N59" s="879"/>
      <c r="O59" s="879"/>
      <c r="P59" s="879"/>
      <c r="Q59" s="50" t="s">
        <v>1407</v>
      </c>
      <c r="T59" s="880" t="str">
        <f>IF(AND($R63=0,$T63=0),"0.00","mu :" &amp; ROUND($F59/$C$2/($R63+$T63*$D$9),2))</f>
        <v>0.00</v>
      </c>
      <c r="W59" s="507"/>
      <c r="AG59" s="465">
        <f>IF($E59=0,0,ROUND($R63*$S$2*$C$2/$A59,2))</f>
        <v>0</v>
      </c>
      <c r="AH59" s="465">
        <f>$AG59*$A59</f>
        <v>0</v>
      </c>
      <c r="AI59" s="508">
        <f>$E59-$AG59</f>
        <v>0</v>
      </c>
      <c r="AJ59" s="508">
        <f>$A59*$AI59</f>
        <v>0</v>
      </c>
      <c r="AK59" s="509">
        <f>ROUND(($AG59+$AI59)*$A59,2)</f>
        <v>0</v>
      </c>
      <c r="AM59" s="510">
        <f>ROUND(R63,2)</f>
        <v>0</v>
      </c>
      <c r="AN59" s="511">
        <f>ROUND(T63,2)</f>
        <v>0</v>
      </c>
      <c r="AO59" s="512">
        <f>ROUND(AM59+AN59,2)*A59</f>
        <v>0</v>
      </c>
    </row>
    <row r="60" spans="1:41" s="504" customFormat="1" ht="24">
      <c r="A60" s="872"/>
      <c r="B60"/>
      <c r="C60" s="872"/>
      <c r="D60" s="916" t="s">
        <v>278</v>
      </c>
      <c r="E60" s="917"/>
      <c r="F60" s="918"/>
      <c r="G60" s="919"/>
      <c r="H60" s="918"/>
      <c r="I60" s="920"/>
      <c r="J60" s="918"/>
      <c r="K60" s="918"/>
      <c r="L60" s="918"/>
      <c r="M60" s="918"/>
      <c r="N60" s="918"/>
      <c r="O60" s="918"/>
      <c r="P60" s="918"/>
      <c r="Q60" s="921"/>
      <c r="R60" s="513"/>
      <c r="S60" s="881"/>
      <c r="T60" s="877"/>
    </row>
    <row r="61" spans="1:41" s="1039" customFormat="1" ht="13.2">
      <c r="A61" s="1357"/>
      <c r="B61" s="1039" t="s">
        <v>272</v>
      </c>
      <c r="D61" s="1039" t="s">
        <v>1514</v>
      </c>
      <c r="G61" s="1040" t="s">
        <v>1513</v>
      </c>
      <c r="H61" s="1041">
        <v>902</v>
      </c>
      <c r="I61" s="1039" t="s">
        <v>984</v>
      </c>
      <c r="O61" s="1042">
        <v>3</v>
      </c>
      <c r="P61" s="1043">
        <v>38317</v>
      </c>
      <c r="Q61" s="1044">
        <v>1050</v>
      </c>
      <c r="R61" s="1045">
        <f>$A61*Q61</f>
        <v>0</v>
      </c>
      <c r="S61" s="1044"/>
      <c r="T61" s="1046">
        <f>$A61*S61*$T$1</f>
        <v>0</v>
      </c>
      <c r="U61" s="1357">
        <v>1</v>
      </c>
    </row>
    <row r="62" spans="1:41" s="504" customFormat="1" ht="12">
      <c r="A62" s="882"/>
      <c r="B62" s="882"/>
      <c r="C62" s="882"/>
      <c r="D62" s="882"/>
      <c r="E62" s="882"/>
      <c r="F62" s="877"/>
      <c r="G62" s="882"/>
      <c r="H62" s="882"/>
      <c r="I62" s="503"/>
      <c r="J62" s="882"/>
      <c r="K62" s="882"/>
      <c r="L62" s="882"/>
      <c r="M62" s="882"/>
      <c r="N62" s="882"/>
      <c r="O62" s="882"/>
      <c r="P62" s="882"/>
      <c r="Q62" s="503"/>
      <c r="R62" s="883">
        <f t="shared" ref="R62" si="2">$A62*Q62</f>
        <v>0</v>
      </c>
      <c r="S62" s="503"/>
      <c r="T62" s="884">
        <f t="shared" ref="T62" si="3">$A62*S62*$T$1</f>
        <v>0</v>
      </c>
    </row>
    <row r="63" spans="1:41" s="504" customFormat="1" ht="12.6" thickBot="1">
      <c r="A63" s="885" t="s">
        <v>142</v>
      </c>
      <c r="B63" s="886">
        <f>(R62+T62)</f>
        <v>0</v>
      </c>
      <c r="C63" s="887"/>
      <c r="D63" s="887"/>
      <c r="E63" s="887"/>
      <c r="F63" s="888"/>
      <c r="G63" s="887" t="s">
        <v>143</v>
      </c>
      <c r="H63" s="887"/>
      <c r="I63" s="889"/>
      <c r="J63" s="887"/>
      <c r="K63" s="887" t="s">
        <v>3</v>
      </c>
      <c r="L63" s="890" t="s">
        <v>140</v>
      </c>
      <c r="M63" s="890"/>
      <c r="N63" s="890"/>
      <c r="O63" s="890"/>
      <c r="P63" s="890"/>
      <c r="Q63" s="891"/>
      <c r="R63" s="892">
        <f>SUM(R60:R62)</f>
        <v>0</v>
      </c>
      <c r="S63" s="887"/>
      <c r="T63" s="892">
        <f>SUM(T60:T62)</f>
        <v>0</v>
      </c>
      <c r="U63" s="514"/>
      <c r="V63" s="514"/>
      <c r="W63" s="514"/>
      <c r="X63" s="514"/>
      <c r="Y63" s="514"/>
      <c r="Z63" s="514"/>
      <c r="AA63" s="514"/>
      <c r="AB63" s="514"/>
      <c r="AC63" s="514"/>
      <c r="AD63" s="514"/>
      <c r="AE63" s="514"/>
      <c r="AF63" s="514"/>
      <c r="AG63" s="514"/>
      <c r="AH63" s="514"/>
      <c r="AI63" s="514"/>
      <c r="AJ63" s="514"/>
      <c r="AK63" s="514"/>
      <c r="AL63" s="514"/>
      <c r="AM63" s="514"/>
      <c r="AN63" s="514"/>
      <c r="AO63" s="514"/>
    </row>
    <row r="64" spans="1:41" s="504" customFormat="1" ht="12" thickTop="1">
      <c r="A64" s="50"/>
      <c r="B64" s="40"/>
      <c r="C64" s="50"/>
      <c r="E64" s="41" t="s">
        <v>136</v>
      </c>
      <c r="F64" s="41" t="s">
        <v>137</v>
      </c>
      <c r="G64" s="50"/>
      <c r="H64" s="50"/>
      <c r="I64" s="50"/>
      <c r="J64" s="50"/>
      <c r="K64" s="50" t="s">
        <v>138</v>
      </c>
      <c r="L64" s="50"/>
      <c r="M64" s="50"/>
      <c r="N64" s="50"/>
      <c r="O64" s="51"/>
      <c r="P64" s="50"/>
      <c r="Q64" s="50"/>
      <c r="R64" s="50"/>
      <c r="S64" s="50"/>
      <c r="T64" s="40"/>
      <c r="AG64" s="867" t="s">
        <v>241</v>
      </c>
      <c r="AH64" s="867" t="s">
        <v>242</v>
      </c>
      <c r="AI64" s="867" t="s">
        <v>243</v>
      </c>
      <c r="AJ64" s="867" t="s">
        <v>244</v>
      </c>
      <c r="AK64" s="867" t="s">
        <v>245</v>
      </c>
      <c r="AM64" s="868" t="s">
        <v>254</v>
      </c>
      <c r="AN64" s="869" t="s">
        <v>255</v>
      </c>
      <c r="AO64" s="505" t="s">
        <v>251</v>
      </c>
    </row>
    <row r="65" spans="1:41" s="504" customFormat="1" ht="12" customHeight="1">
      <c r="A65" s="870">
        <v>1</v>
      </c>
      <c r="B65" s="506" t="s">
        <v>272</v>
      </c>
      <c r="C65" s="872"/>
      <c r="D65" s="873" t="s">
        <v>843</v>
      </c>
      <c r="E65" s="874">
        <f>IF(AND($A65=0,$A$1="DIF"),0, ROUND(ROUND(($R70*$S$2+($T70*$T$2))/A65,2)*$C$2,2))</f>
        <v>0</v>
      </c>
      <c r="F65" s="875">
        <f>ROUND($A65*$E65,2)</f>
        <v>0</v>
      </c>
      <c r="G65" s="876" t="s">
        <v>139</v>
      </c>
      <c r="H65" s="877"/>
      <c r="I65" s="878"/>
      <c r="J65" s="877"/>
      <c r="K65" s="877" t="s">
        <v>3</v>
      </c>
      <c r="L65" s="879" t="s">
        <v>140</v>
      </c>
      <c r="M65" s="879"/>
      <c r="N65" s="879"/>
      <c r="O65" s="879"/>
      <c r="P65" s="879"/>
      <c r="Q65" s="50" t="s">
        <v>1407</v>
      </c>
      <c r="T65" s="880" t="str">
        <f>IF(AND($R70=0,$T70=0),"0.00","mu :" &amp; ROUND($F65/$C$2/($R70+$T70*$D$9),2))</f>
        <v>0.00</v>
      </c>
      <c r="W65" s="507"/>
      <c r="AG65" s="465">
        <f>IF($E65=0,0,ROUND($R70*$S$2*$C$2/$A65,2))</f>
        <v>0</v>
      </c>
      <c r="AH65" s="465">
        <f>$AG65*$A65</f>
        <v>0</v>
      </c>
      <c r="AI65" s="508">
        <f>$E65-$AG65</f>
        <v>0</v>
      </c>
      <c r="AJ65" s="508">
        <f>$A65*$AI65</f>
        <v>0</v>
      </c>
      <c r="AK65" s="509">
        <f>ROUND(($AG65+$AI65)*$A65,2)</f>
        <v>0</v>
      </c>
      <c r="AM65" s="510">
        <f>ROUND(R70,2)</f>
        <v>0</v>
      </c>
      <c r="AN65" s="511">
        <f>ROUND(T70,2)</f>
        <v>0</v>
      </c>
      <c r="AO65" s="512">
        <f>ROUND(AM65+AN65,2)*A65</f>
        <v>0</v>
      </c>
    </row>
    <row r="66" spans="1:41" s="504" customFormat="1" ht="13.2">
      <c r="A66" s="872"/>
      <c r="B66"/>
      <c r="C66" s="872"/>
      <c r="D66" s="916" t="s">
        <v>279</v>
      </c>
      <c r="E66" s="917"/>
      <c r="F66" s="918"/>
      <c r="G66" s="919"/>
      <c r="H66" s="918"/>
      <c r="I66" s="920"/>
      <c r="J66" s="918"/>
      <c r="K66" s="918"/>
      <c r="L66" s="918"/>
      <c r="M66" s="918"/>
      <c r="N66" s="918"/>
      <c r="O66" s="918"/>
      <c r="P66" s="918"/>
      <c r="Q66" s="921"/>
      <c r="R66" s="513"/>
      <c r="S66" s="881"/>
      <c r="T66" s="877"/>
    </row>
    <row r="67" spans="1:41" s="504" customFormat="1" ht="12">
      <c r="A67" s="50"/>
      <c r="B67" s="882"/>
      <c r="C67" s="882"/>
      <c r="D67" s="882"/>
      <c r="E67" s="882"/>
      <c r="F67" s="877"/>
      <c r="G67" s="882"/>
      <c r="H67" s="882"/>
      <c r="I67" s="503"/>
      <c r="J67" s="882"/>
      <c r="K67" s="882"/>
      <c r="L67" s="882"/>
      <c r="M67" s="882"/>
      <c r="N67" s="882"/>
      <c r="O67" s="882"/>
      <c r="P67" s="882"/>
      <c r="Q67" s="503"/>
      <c r="R67" s="883">
        <f t="shared" ref="R67:R69" si="4">$A67*Q67</f>
        <v>0</v>
      </c>
      <c r="S67" s="503"/>
      <c r="T67" s="884">
        <f t="shared" ref="T67:T69" si="5">$A67*S67*$T$1</f>
        <v>0</v>
      </c>
    </row>
    <row r="68" spans="1:41" s="504" customFormat="1" ht="12">
      <c r="A68" s="50"/>
      <c r="B68" s="882"/>
      <c r="C68" s="882"/>
      <c r="D68" s="50" t="s">
        <v>1407</v>
      </c>
      <c r="E68" s="882"/>
      <c r="F68" s="877"/>
      <c r="G68" s="882"/>
      <c r="H68" s="882"/>
      <c r="I68" s="503"/>
      <c r="J68" s="882"/>
      <c r="K68" s="882"/>
      <c r="L68" s="882"/>
      <c r="M68" s="882"/>
      <c r="N68" s="882"/>
      <c r="O68" s="882"/>
      <c r="P68" s="882"/>
      <c r="Q68" s="503"/>
      <c r="R68" s="883">
        <f t="shared" si="4"/>
        <v>0</v>
      </c>
      <c r="S68" s="503"/>
      <c r="T68" s="884">
        <f t="shared" si="5"/>
        <v>0</v>
      </c>
    </row>
    <row r="69" spans="1:41" s="504" customFormat="1" ht="12">
      <c r="A69" s="882"/>
      <c r="B69" s="882"/>
      <c r="C69" s="882"/>
      <c r="D69" s="882"/>
      <c r="E69" s="882"/>
      <c r="F69" s="877"/>
      <c r="G69" s="882"/>
      <c r="H69" s="882"/>
      <c r="I69" s="503"/>
      <c r="J69" s="882"/>
      <c r="K69" s="882"/>
      <c r="L69" s="882"/>
      <c r="M69" s="882"/>
      <c r="N69" s="882"/>
      <c r="O69" s="882"/>
      <c r="P69" s="882"/>
      <c r="Q69" s="503"/>
      <c r="R69" s="883">
        <f t="shared" si="4"/>
        <v>0</v>
      </c>
      <c r="S69" s="503"/>
      <c r="T69" s="884">
        <f t="shared" si="5"/>
        <v>0</v>
      </c>
    </row>
    <row r="70" spans="1:41" s="504" customFormat="1" ht="12.6" thickBot="1">
      <c r="A70" s="885" t="s">
        <v>142</v>
      </c>
      <c r="B70" s="886">
        <f>(R69+T69)</f>
        <v>0</v>
      </c>
      <c r="C70" s="887"/>
      <c r="D70" s="887"/>
      <c r="E70" s="887"/>
      <c r="F70" s="888"/>
      <c r="G70" s="887" t="s">
        <v>143</v>
      </c>
      <c r="H70" s="887"/>
      <c r="I70" s="889"/>
      <c r="J70" s="887"/>
      <c r="K70" s="887" t="s">
        <v>3</v>
      </c>
      <c r="L70" s="890" t="s">
        <v>140</v>
      </c>
      <c r="M70" s="890"/>
      <c r="N70" s="890"/>
      <c r="O70" s="890"/>
      <c r="P70" s="890"/>
      <c r="Q70" s="891"/>
      <c r="R70" s="892">
        <f>SUM(R66:R69)</f>
        <v>0</v>
      </c>
      <c r="S70" s="887"/>
      <c r="T70" s="892">
        <f>SUM(T66:T69)</f>
        <v>0</v>
      </c>
      <c r="U70" s="514"/>
      <c r="V70" s="514"/>
      <c r="W70" s="514"/>
      <c r="X70" s="514"/>
      <c r="Y70" s="514"/>
      <c r="Z70" s="514"/>
      <c r="AA70" s="514"/>
      <c r="AB70" s="514"/>
      <c r="AC70" s="514"/>
      <c r="AD70" s="514"/>
      <c r="AE70" s="514"/>
      <c r="AF70" s="514"/>
      <c r="AG70" s="514"/>
      <c r="AH70" s="514"/>
      <c r="AI70" s="514"/>
      <c r="AJ70" s="514"/>
      <c r="AK70" s="514"/>
      <c r="AL70" s="514"/>
      <c r="AM70" s="514"/>
      <c r="AN70" s="514"/>
      <c r="AO70" s="514"/>
    </row>
    <row r="71" spans="1:41" s="504" customFormat="1" ht="12" thickTop="1">
      <c r="A71" s="50"/>
      <c r="B71" s="40"/>
      <c r="C71" s="50"/>
      <c r="E71" s="41" t="s">
        <v>136</v>
      </c>
      <c r="F71" s="41" t="s">
        <v>137</v>
      </c>
      <c r="G71" s="50"/>
      <c r="H71" s="50"/>
      <c r="I71" s="50"/>
      <c r="J71" s="50"/>
      <c r="K71" s="50" t="s">
        <v>138</v>
      </c>
      <c r="L71" s="50"/>
      <c r="M71" s="50"/>
      <c r="N71" s="50"/>
      <c r="O71" s="51"/>
      <c r="P71" s="50"/>
      <c r="Q71" s="50"/>
      <c r="R71" s="50"/>
      <c r="S71" s="50"/>
      <c r="T71" s="40"/>
      <c r="AG71" s="867" t="s">
        <v>241</v>
      </c>
      <c r="AH71" s="867" t="s">
        <v>242</v>
      </c>
      <c r="AI71" s="867" t="s">
        <v>243</v>
      </c>
      <c r="AJ71" s="867" t="s">
        <v>244</v>
      </c>
      <c r="AK71" s="867" t="s">
        <v>245</v>
      </c>
      <c r="AM71" s="868" t="s">
        <v>254</v>
      </c>
      <c r="AN71" s="869" t="s">
        <v>255</v>
      </c>
      <c r="AO71" s="505" t="s">
        <v>251</v>
      </c>
    </row>
    <row r="72" spans="1:41" s="504" customFormat="1" ht="12" customHeight="1">
      <c r="A72" s="870">
        <v>1</v>
      </c>
      <c r="B72" s="506" t="s">
        <v>272</v>
      </c>
      <c r="C72" s="872"/>
      <c r="D72" s="873" t="s">
        <v>844</v>
      </c>
      <c r="E72" s="874">
        <f>IF(AND($A72=0,$A$1="DIF"),0, ROUND(ROUND(($R76*$S$2+($T76*$T$2))/A72,2)*$C$2,2))</f>
        <v>1049.2</v>
      </c>
      <c r="F72" s="875">
        <f>ROUND($A72*$E72,2)</f>
        <v>1049.2</v>
      </c>
      <c r="G72" s="876" t="s">
        <v>139</v>
      </c>
      <c r="H72" s="877"/>
      <c r="I72" s="878"/>
      <c r="J72" s="877"/>
      <c r="K72" s="877" t="s">
        <v>3</v>
      </c>
      <c r="L72" s="879" t="s">
        <v>140</v>
      </c>
      <c r="M72" s="879"/>
      <c r="N72" s="879"/>
      <c r="O72" s="879"/>
      <c r="P72" s="879"/>
      <c r="Q72" s="50"/>
      <c r="T72" s="880" t="str">
        <f>IF(AND($R76=0,$T76=0),"0.00","mu :" &amp; ROUND($F72/$C$2/($R76+$T76*$D$9),2))</f>
        <v>mu :1.22</v>
      </c>
      <c r="W72" s="507"/>
      <c r="AG72" s="465">
        <f>IF($E72=0,0,ROUND($R76*$S$2*$C$2/$A72,2))</f>
        <v>1049.2</v>
      </c>
      <c r="AH72" s="465">
        <f>$AG72*$A72</f>
        <v>1049.2</v>
      </c>
      <c r="AI72" s="508">
        <f>$E72-$AG72</f>
        <v>0</v>
      </c>
      <c r="AJ72" s="508">
        <f>$A72*$AI72</f>
        <v>0</v>
      </c>
      <c r="AK72" s="509">
        <f>ROUND(($AG72+$AI72)*$A72,2)</f>
        <v>1049.2</v>
      </c>
      <c r="AM72" s="510">
        <f>ROUND(R76,2)</f>
        <v>860</v>
      </c>
      <c r="AN72" s="511">
        <f>ROUND(T76,2)</f>
        <v>0</v>
      </c>
      <c r="AO72" s="512">
        <f>ROUND(AM72+AN72,2)*A72</f>
        <v>860</v>
      </c>
    </row>
    <row r="73" spans="1:41" s="504" customFormat="1" ht="13.2">
      <c r="A73" s="872"/>
      <c r="B73"/>
      <c r="C73" s="872"/>
      <c r="D73" s="916" t="s">
        <v>280</v>
      </c>
      <c r="E73" s="917"/>
      <c r="F73" s="918"/>
      <c r="G73" s="919"/>
      <c r="H73" s="918"/>
      <c r="I73" s="920"/>
      <c r="J73" s="918"/>
      <c r="K73" s="918" t="s">
        <v>141</v>
      </c>
      <c r="L73" s="918"/>
      <c r="M73" s="918"/>
      <c r="N73" s="918"/>
      <c r="O73" s="918"/>
      <c r="P73" s="918"/>
      <c r="Q73" s="921"/>
      <c r="R73" s="513"/>
      <c r="S73" s="881"/>
      <c r="T73" s="877"/>
    </row>
    <row r="74" spans="1:41" s="1039" customFormat="1" ht="13.2">
      <c r="A74" s="112">
        <v>1</v>
      </c>
      <c r="B74" s="1039" t="s">
        <v>272</v>
      </c>
      <c r="D74" s="1039" t="s">
        <v>1515</v>
      </c>
      <c r="G74" s="1040" t="s">
        <v>1513</v>
      </c>
      <c r="H74" s="1041">
        <v>902</v>
      </c>
      <c r="I74" s="1039" t="s">
        <v>984</v>
      </c>
      <c r="O74" s="1042">
        <v>3</v>
      </c>
      <c r="P74" s="1043">
        <v>38317</v>
      </c>
      <c r="Q74" s="1044">
        <v>860</v>
      </c>
      <c r="R74" s="1045">
        <f>$A74*Q74</f>
        <v>860</v>
      </c>
      <c r="S74" s="1044"/>
      <c r="T74" s="1046">
        <f>$A74*S74*$T$1</f>
        <v>0</v>
      </c>
    </row>
    <row r="75" spans="1:41" s="504" customFormat="1" ht="12">
      <c r="A75" s="882"/>
      <c r="B75" s="882"/>
      <c r="C75" s="882"/>
      <c r="D75" s="882"/>
      <c r="E75" s="882"/>
      <c r="F75" s="877"/>
      <c r="G75" s="882"/>
      <c r="H75" s="882"/>
      <c r="I75" s="503"/>
      <c r="J75" s="882"/>
      <c r="K75" s="882"/>
      <c r="L75" s="882"/>
      <c r="M75" s="882"/>
      <c r="N75" s="882"/>
      <c r="O75" s="882"/>
      <c r="P75" s="882"/>
      <c r="Q75" s="503"/>
      <c r="R75" s="883">
        <f t="shared" ref="R75" si="6">$A75*Q75</f>
        <v>0</v>
      </c>
      <c r="S75" s="503"/>
      <c r="T75" s="884">
        <f t="shared" ref="T75" si="7">$A75*S75*$T$1</f>
        <v>0</v>
      </c>
    </row>
    <row r="76" spans="1:41" s="504" customFormat="1" ht="12.6" thickBot="1">
      <c r="A76" s="885" t="s">
        <v>142</v>
      </c>
      <c r="B76" s="886">
        <f>(R75+T75)</f>
        <v>0</v>
      </c>
      <c r="C76" s="887"/>
      <c r="D76" s="887"/>
      <c r="E76" s="887"/>
      <c r="F76" s="888"/>
      <c r="G76" s="887" t="s">
        <v>143</v>
      </c>
      <c r="H76" s="887"/>
      <c r="I76" s="889"/>
      <c r="J76" s="887"/>
      <c r="K76" s="887" t="s">
        <v>3</v>
      </c>
      <c r="L76" s="890" t="s">
        <v>140</v>
      </c>
      <c r="M76" s="890"/>
      <c r="N76" s="890"/>
      <c r="O76" s="890"/>
      <c r="P76" s="890"/>
      <c r="Q76" s="891"/>
      <c r="R76" s="892">
        <f>SUM(R73:R75)</f>
        <v>860</v>
      </c>
      <c r="S76" s="887"/>
      <c r="T76" s="892">
        <f>SUM(T73:T75)</f>
        <v>0</v>
      </c>
      <c r="U76" s="514"/>
      <c r="V76" s="514"/>
      <c r="W76" s="514"/>
      <c r="X76" s="514"/>
      <c r="Y76" s="514"/>
      <c r="Z76" s="514"/>
      <c r="AA76" s="514"/>
      <c r="AB76" s="514"/>
      <c r="AC76" s="514"/>
      <c r="AD76" s="514"/>
      <c r="AE76" s="514"/>
      <c r="AF76" s="514"/>
      <c r="AG76" s="514"/>
      <c r="AH76" s="514"/>
      <c r="AI76" s="514"/>
      <c r="AJ76" s="514"/>
      <c r="AK76" s="514"/>
      <c r="AL76" s="514"/>
      <c r="AM76" s="514"/>
      <c r="AN76" s="514"/>
      <c r="AO76" s="514"/>
    </row>
    <row r="77" spans="1:41" s="504" customFormat="1" ht="12" thickTop="1">
      <c r="A77" s="50"/>
      <c r="B77" s="40"/>
      <c r="C77" s="50"/>
      <c r="E77" s="41" t="s">
        <v>136</v>
      </c>
      <c r="F77" s="41" t="s">
        <v>137</v>
      </c>
      <c r="G77" s="50"/>
      <c r="H77" s="50"/>
      <c r="I77" s="50"/>
      <c r="J77" s="50"/>
      <c r="K77" s="50" t="s">
        <v>138</v>
      </c>
      <c r="L77" s="50"/>
      <c r="M77" s="50"/>
      <c r="N77" s="50"/>
      <c r="O77" s="51"/>
      <c r="P77" s="50"/>
      <c r="Q77" s="50"/>
      <c r="R77" s="50"/>
      <c r="S77" s="50"/>
      <c r="T77" s="40"/>
      <c r="AG77" s="867" t="s">
        <v>241</v>
      </c>
      <c r="AH77" s="867" t="s">
        <v>242</v>
      </c>
      <c r="AI77" s="867" t="s">
        <v>243</v>
      </c>
      <c r="AJ77" s="867" t="s">
        <v>244</v>
      </c>
      <c r="AK77" s="867" t="s">
        <v>245</v>
      </c>
      <c r="AM77" s="868" t="s">
        <v>254</v>
      </c>
      <c r="AN77" s="869" t="s">
        <v>255</v>
      </c>
      <c r="AO77" s="505" t="s">
        <v>251</v>
      </c>
    </row>
    <row r="78" spans="1:41" s="504" customFormat="1" ht="12" customHeight="1">
      <c r="A78" s="870">
        <v>1</v>
      </c>
      <c r="B78" s="506" t="s">
        <v>272</v>
      </c>
      <c r="C78" s="872"/>
      <c r="D78" s="873" t="s">
        <v>845</v>
      </c>
      <c r="E78" s="874">
        <f>IF(AND($A78=0,$A$1="DIF"),0, ROUND(ROUND(($R82*$S$2+($T82*$T$2))/A78,2)*$C$2,2))</f>
        <v>585.6</v>
      </c>
      <c r="F78" s="875">
        <f>ROUND($A78*$E78,2)</f>
        <v>585.6</v>
      </c>
      <c r="G78" s="876" t="s">
        <v>139</v>
      </c>
      <c r="H78" s="877"/>
      <c r="I78" s="878"/>
      <c r="J78" s="877"/>
      <c r="K78" s="877" t="s">
        <v>3</v>
      </c>
      <c r="L78" s="879" t="s">
        <v>140</v>
      </c>
      <c r="M78" s="879"/>
      <c r="N78" s="879"/>
      <c r="O78" s="879"/>
      <c r="P78" s="879"/>
      <c r="Q78" s="50"/>
      <c r="T78" s="880" t="str">
        <f>IF(AND($R82=0,$T82=0),"0.00","mu :" &amp; ROUND($F78/$C$2/($R82+$T82*$D$9),2))</f>
        <v>mu :1.22</v>
      </c>
      <c r="W78" s="507"/>
      <c r="AG78" s="465">
        <f>IF($E78=0,0,ROUND($R82*$S$2*$C$2/$A78,2))</f>
        <v>585.6</v>
      </c>
      <c r="AH78" s="465">
        <f>$AG78*$A78</f>
        <v>585.6</v>
      </c>
      <c r="AI78" s="508">
        <f>$E78-$AG78</f>
        <v>0</v>
      </c>
      <c r="AJ78" s="508">
        <f>$A78*$AI78</f>
        <v>0</v>
      </c>
      <c r="AK78" s="509">
        <f>ROUND(($AG78+$AI78)*$A78,2)</f>
        <v>585.6</v>
      </c>
      <c r="AM78" s="510">
        <f>ROUND(R82,2)</f>
        <v>480</v>
      </c>
      <c r="AN78" s="511">
        <f>ROUND(T82,2)</f>
        <v>0</v>
      </c>
      <c r="AO78" s="512">
        <f>ROUND(AM78+AN78,2)*A78</f>
        <v>480</v>
      </c>
    </row>
    <row r="79" spans="1:41" s="504" customFormat="1" ht="13.2">
      <c r="A79" s="872"/>
      <c r="B79"/>
      <c r="C79" s="872"/>
      <c r="D79" s="873" t="s">
        <v>281</v>
      </c>
      <c r="F79" s="877"/>
      <c r="G79" s="3"/>
      <c r="H79" s="877"/>
      <c r="I79" s="878"/>
      <c r="J79" s="877"/>
      <c r="K79" s="877" t="s">
        <v>141</v>
      </c>
      <c r="L79" s="877"/>
      <c r="M79" s="877"/>
      <c r="N79" s="877"/>
      <c r="O79" s="877"/>
      <c r="P79" s="877"/>
      <c r="Q79" s="50"/>
      <c r="R79" s="513"/>
      <c r="S79" s="881"/>
      <c r="T79" s="877"/>
    </row>
    <row r="80" spans="1:41" s="1039" customFormat="1" ht="13.2">
      <c r="A80" s="112">
        <v>1</v>
      </c>
      <c r="B80" s="1039" t="s">
        <v>272</v>
      </c>
      <c r="D80" s="1039" t="s">
        <v>1516</v>
      </c>
      <c r="G80" s="1040" t="s">
        <v>1513</v>
      </c>
      <c r="H80" s="1041">
        <v>902</v>
      </c>
      <c r="I80" s="1039" t="s">
        <v>984</v>
      </c>
      <c r="O80" s="1042">
        <v>3</v>
      </c>
      <c r="P80" s="1043">
        <v>38317</v>
      </c>
      <c r="Q80" s="1044">
        <v>480</v>
      </c>
      <c r="R80" s="1045">
        <f>$A80*Q80</f>
        <v>480</v>
      </c>
      <c r="S80" s="1044"/>
      <c r="T80" s="1046">
        <f>$A80*S80*$T$1</f>
        <v>0</v>
      </c>
    </row>
    <row r="81" spans="1:41" s="504" customFormat="1" ht="12">
      <c r="A81" s="882"/>
      <c r="B81" s="882"/>
      <c r="C81" s="882"/>
      <c r="D81" s="882"/>
      <c r="E81" s="882"/>
      <c r="F81" s="877"/>
      <c r="G81" s="882"/>
      <c r="H81" s="882"/>
      <c r="I81" s="503"/>
      <c r="J81" s="882"/>
      <c r="K81" s="882"/>
      <c r="L81" s="882"/>
      <c r="M81" s="882"/>
      <c r="N81" s="882"/>
      <c r="O81" s="882"/>
      <c r="P81" s="882"/>
      <c r="Q81" s="503"/>
      <c r="R81" s="883">
        <f t="shared" ref="R81" si="8">$A81*Q81</f>
        <v>0</v>
      </c>
      <c r="S81" s="503"/>
      <c r="T81" s="884">
        <f t="shared" ref="T81" si="9">$A81*S81*$T$1</f>
        <v>0</v>
      </c>
    </row>
    <row r="82" spans="1:41" s="504" customFormat="1" ht="12.6" thickBot="1">
      <c r="A82" s="885" t="s">
        <v>142</v>
      </c>
      <c r="B82" s="886">
        <f>(R81+T81)</f>
        <v>0</v>
      </c>
      <c r="C82" s="887"/>
      <c r="D82" s="887"/>
      <c r="E82" s="887"/>
      <c r="F82" s="888"/>
      <c r="G82" s="887" t="s">
        <v>143</v>
      </c>
      <c r="H82" s="887"/>
      <c r="I82" s="889"/>
      <c r="J82" s="887"/>
      <c r="K82" s="887" t="s">
        <v>3</v>
      </c>
      <c r="L82" s="890" t="s">
        <v>140</v>
      </c>
      <c r="M82" s="890"/>
      <c r="N82" s="890"/>
      <c r="O82" s="890"/>
      <c r="P82" s="890"/>
      <c r="Q82" s="891"/>
      <c r="R82" s="892">
        <f>SUM(R79:R81)</f>
        <v>480</v>
      </c>
      <c r="S82" s="887"/>
      <c r="T82" s="892">
        <f>SUM(T79:T81)</f>
        <v>0</v>
      </c>
      <c r="U82" s="514"/>
      <c r="V82" s="514"/>
      <c r="W82" s="514"/>
      <c r="X82" s="514"/>
      <c r="Y82" s="514"/>
      <c r="Z82" s="514"/>
      <c r="AA82" s="514"/>
      <c r="AB82" s="514"/>
      <c r="AC82" s="514"/>
      <c r="AD82" s="514"/>
      <c r="AE82" s="514"/>
      <c r="AF82" s="514"/>
      <c r="AG82" s="514"/>
      <c r="AH82" s="514"/>
      <c r="AI82" s="514"/>
      <c r="AJ82" s="514"/>
      <c r="AK82" s="514"/>
      <c r="AL82" s="514"/>
      <c r="AM82" s="514"/>
      <c r="AN82" s="514"/>
      <c r="AO82" s="514"/>
    </row>
    <row r="83" spans="1:41" s="504" customFormat="1" ht="12" thickTop="1">
      <c r="A83" s="47" t="s">
        <v>145</v>
      </c>
      <c r="D83" s="13"/>
      <c r="E83" s="41"/>
      <c r="O83" s="893"/>
    </row>
    <row r="84" spans="1:41" s="504" customFormat="1" ht="13.2">
      <c r="B84" s="3"/>
      <c r="O84" s="893"/>
    </row>
    <row r="85" spans="1:41" s="504" customFormat="1" ht="12">
      <c r="B85" s="894">
        <f>$F85/$C$2-($R85*$S$2+$T85*$T$2)</f>
        <v>0</v>
      </c>
      <c r="D85" s="895" t="s">
        <v>817</v>
      </c>
      <c r="E85" s="896"/>
      <c r="F85" s="897">
        <f>SUMIF($L14:$L83,"ITEM",F14:F83)</f>
        <v>2244.8000000000002</v>
      </c>
      <c r="G85" s="882"/>
      <c r="H85" s="882"/>
      <c r="I85" s="503"/>
      <c r="J85" s="882"/>
      <c r="K85" s="882"/>
      <c r="L85" s="879" t="s">
        <v>154</v>
      </c>
      <c r="M85" s="879"/>
      <c r="N85" s="879"/>
      <c r="O85" s="879"/>
      <c r="P85" s="879"/>
      <c r="R85" s="897">
        <f>SUMIF($L14:$L83,"ITEM",R14:R83)</f>
        <v>1840</v>
      </c>
      <c r="S85" s="898"/>
      <c r="T85" s="897">
        <f>SUMIF($L14:$L83,"ITEM",T14:T83)</f>
        <v>0</v>
      </c>
    </row>
    <row r="86" spans="1:41" s="504" customFormat="1" ht="13.2">
      <c r="A86" s="50"/>
      <c r="B86" s="48" t="s">
        <v>816</v>
      </c>
      <c r="C86" s="50"/>
      <c r="D86" s="3"/>
      <c r="F86" s="899" t="s">
        <v>155</v>
      </c>
      <c r="G86" s="882"/>
      <c r="H86" s="882"/>
      <c r="I86" s="503"/>
      <c r="J86" s="882"/>
      <c r="K86" s="882"/>
      <c r="L86" s="882"/>
      <c r="M86" s="882"/>
      <c r="N86" s="882"/>
      <c r="O86" s="882"/>
      <c r="P86" s="882"/>
      <c r="Q86" s="900"/>
      <c r="R86" s="899" t="s">
        <v>156</v>
      </c>
      <c r="S86" s="38"/>
      <c r="T86" s="899" t="s">
        <v>157</v>
      </c>
    </row>
    <row r="87" spans="1:41" s="504" customFormat="1" ht="13.2">
      <c r="A87" s="882"/>
      <c r="B87" s="3"/>
      <c r="C87" s="882"/>
      <c r="D87" s="3"/>
      <c r="E87" s="3"/>
      <c r="G87" s="3"/>
      <c r="H87" s="3"/>
      <c r="I87" s="3"/>
      <c r="J87" s="3"/>
      <c r="K87" s="3"/>
      <c r="L87" s="3"/>
      <c r="M87" s="3"/>
      <c r="N87" s="3"/>
      <c r="O87" s="103"/>
      <c r="P87" s="3"/>
      <c r="Q87" s="3"/>
      <c r="R87" s="3"/>
      <c r="S87" s="3"/>
      <c r="T87" s="3"/>
    </row>
    <row r="88" spans="1:41" s="504" customFormat="1" ht="12" thickBot="1">
      <c r="A88" s="514"/>
      <c r="B88" s="887"/>
      <c r="C88" s="887"/>
      <c r="D88" s="514"/>
      <c r="E88" s="39"/>
      <c r="F88" s="901"/>
      <c r="G88" s="887"/>
      <c r="H88" s="887"/>
      <c r="I88" s="889"/>
      <c r="J88" s="887"/>
      <c r="K88" s="887"/>
      <c r="L88" s="890"/>
      <c r="M88" s="890"/>
      <c r="N88" s="890"/>
      <c r="O88" s="890"/>
      <c r="P88" s="890"/>
      <c r="Q88" s="891"/>
      <c r="R88" s="901"/>
      <c r="S88" s="902"/>
      <c r="T88" s="901"/>
      <c r="U88" s="514"/>
      <c r="V88" s="514"/>
      <c r="W88" s="514"/>
      <c r="X88" s="514"/>
      <c r="Y88" s="514"/>
      <c r="Z88" s="514"/>
      <c r="AA88" s="514"/>
      <c r="AB88" s="514"/>
      <c r="AC88" s="514"/>
      <c r="AD88" s="514"/>
      <c r="AE88" s="514"/>
      <c r="AF88" s="514"/>
      <c r="AG88" s="514"/>
      <c r="AH88" s="514"/>
      <c r="AI88" s="514"/>
      <c r="AJ88" s="514"/>
      <c r="AK88" s="514"/>
    </row>
    <row r="89" spans="1:41" s="504" customFormat="1" ht="12" thickTop="1">
      <c r="A89" s="50"/>
      <c r="B89" s="40"/>
      <c r="C89" s="50"/>
      <c r="E89" s="41" t="s">
        <v>136</v>
      </c>
      <c r="F89" s="41" t="s">
        <v>137</v>
      </c>
      <c r="G89" s="50"/>
      <c r="H89" s="50"/>
      <c r="I89" s="50"/>
      <c r="J89" s="50"/>
      <c r="K89" s="50" t="s">
        <v>138</v>
      </c>
      <c r="L89" s="50"/>
      <c r="M89" s="50"/>
      <c r="N89" s="50"/>
      <c r="O89" s="51"/>
      <c r="P89" s="50"/>
      <c r="Q89" s="50"/>
      <c r="R89" s="50"/>
      <c r="S89" s="50"/>
      <c r="T89" s="40"/>
      <c r="AG89" s="867" t="s">
        <v>241</v>
      </c>
      <c r="AH89" s="867" t="s">
        <v>242</v>
      </c>
      <c r="AI89" s="867" t="s">
        <v>243</v>
      </c>
      <c r="AJ89" s="867" t="s">
        <v>244</v>
      </c>
      <c r="AK89" s="867" t="s">
        <v>245</v>
      </c>
      <c r="AM89" s="868" t="s">
        <v>254</v>
      </c>
      <c r="AN89" s="869" t="s">
        <v>255</v>
      </c>
      <c r="AO89" s="505" t="s">
        <v>251</v>
      </c>
    </row>
    <row r="90" spans="1:41" s="504" customFormat="1" ht="12" customHeight="1">
      <c r="A90" s="870">
        <v>1</v>
      </c>
      <c r="B90" s="506" t="s">
        <v>272</v>
      </c>
      <c r="C90" s="872"/>
      <c r="D90" s="873" t="s">
        <v>846</v>
      </c>
      <c r="E90" s="874">
        <f>IF(AND($A90=0,$A$1="DIF"),0, ROUND(ROUND(($R95*$S$2+($T95*$T$2))/A90,2)*$C$2,2))</f>
        <v>0</v>
      </c>
      <c r="F90" s="875">
        <f>ROUND($A90*$E90,2)</f>
        <v>0</v>
      </c>
      <c r="G90" s="876" t="s">
        <v>139</v>
      </c>
      <c r="H90" s="877"/>
      <c r="I90" s="878"/>
      <c r="J90" s="877"/>
      <c r="K90" s="877" t="s">
        <v>3</v>
      </c>
      <c r="L90" s="879" t="s">
        <v>140</v>
      </c>
      <c r="M90" s="879"/>
      <c r="N90" s="879"/>
      <c r="O90" s="879"/>
      <c r="P90" s="879"/>
      <c r="Q90" s="50" t="s">
        <v>1509</v>
      </c>
      <c r="T90" s="880" t="str">
        <f>IF(AND($R95=0,$T95=0),"0.00","mu :" &amp; ROUND($F90/$C$2/($R95+$T95*$D$9),2))</f>
        <v>0.00</v>
      </c>
      <c r="W90" s="507"/>
      <c r="AG90" s="465">
        <f>IF($E90=0,0,ROUND($R95*$S$2*$C$2/$A90,2))</f>
        <v>0</v>
      </c>
      <c r="AH90" s="465">
        <f>$AG90*$A90</f>
        <v>0</v>
      </c>
      <c r="AI90" s="508">
        <f>$E90-$AG90</f>
        <v>0</v>
      </c>
      <c r="AJ90" s="508">
        <f>$A90*$AI90</f>
        <v>0</v>
      </c>
      <c r="AK90" s="509">
        <f>ROUND(($AG90+$AI90)*$A90,2)</f>
        <v>0</v>
      </c>
      <c r="AM90" s="510">
        <f>ROUND(R95,2)</f>
        <v>0</v>
      </c>
      <c r="AN90" s="511">
        <f>ROUND(T95,2)</f>
        <v>0</v>
      </c>
      <c r="AO90" s="512">
        <f>ROUND(AM90+AN90,2)*A90</f>
        <v>0</v>
      </c>
    </row>
    <row r="91" spans="1:41" s="504" customFormat="1" ht="13.2">
      <c r="A91" s="872"/>
      <c r="B91"/>
      <c r="C91" s="872"/>
      <c r="D91" s="916" t="s">
        <v>283</v>
      </c>
      <c r="E91" s="917"/>
      <c r="F91" s="918"/>
      <c r="G91" s="919"/>
      <c r="H91" s="918"/>
      <c r="I91" s="920"/>
      <c r="J91" s="918"/>
      <c r="K91" s="918"/>
      <c r="L91" s="918"/>
      <c r="M91" s="918"/>
      <c r="N91" s="918"/>
      <c r="O91" s="918"/>
      <c r="P91" s="918"/>
      <c r="Q91" s="921"/>
      <c r="R91" s="513"/>
      <c r="S91" s="881"/>
      <c r="T91" s="877"/>
    </row>
    <row r="92" spans="1:41" s="504" customFormat="1" ht="12">
      <c r="A92" s="50"/>
      <c r="B92" s="882"/>
      <c r="C92" s="882"/>
      <c r="D92" s="882"/>
      <c r="E92" s="882"/>
      <c r="F92" s="877"/>
      <c r="G92" s="882"/>
      <c r="H92" s="882"/>
      <c r="I92" s="503"/>
      <c r="J92" s="882"/>
      <c r="K92" s="882"/>
      <c r="L92" s="882"/>
      <c r="M92" s="882"/>
      <c r="N92" s="882"/>
      <c r="O92" s="882"/>
      <c r="P92" s="882"/>
      <c r="Q92" s="503"/>
      <c r="R92" s="883">
        <f>$A92*Q92</f>
        <v>0</v>
      </c>
      <c r="S92" s="503"/>
      <c r="T92" s="884">
        <f>$A92*S92*$T$1</f>
        <v>0</v>
      </c>
    </row>
    <row r="93" spans="1:41" s="504" customFormat="1" ht="12">
      <c r="A93" s="50"/>
      <c r="B93" s="882"/>
      <c r="C93" s="882"/>
      <c r="D93" s="50" t="s">
        <v>1509</v>
      </c>
      <c r="E93" s="882"/>
      <c r="F93" s="877"/>
      <c r="G93" s="882"/>
      <c r="H93" s="882"/>
      <c r="I93" s="503"/>
      <c r="J93" s="882"/>
      <c r="K93" s="882"/>
      <c r="L93" s="882"/>
      <c r="M93" s="882"/>
      <c r="N93" s="882"/>
      <c r="O93" s="882"/>
      <c r="P93" s="882"/>
      <c r="Q93" s="503"/>
      <c r="R93" s="883">
        <f>$A93*Q93</f>
        <v>0</v>
      </c>
      <c r="S93" s="503"/>
      <c r="T93" s="884">
        <f>$A93*S93*$T$1</f>
        <v>0</v>
      </c>
    </row>
    <row r="94" spans="1:41" s="504" customFormat="1" ht="12">
      <c r="A94" s="882"/>
      <c r="B94" s="882"/>
      <c r="C94" s="882"/>
      <c r="D94" s="882"/>
      <c r="E94" s="882"/>
      <c r="F94" s="877"/>
      <c r="G94" s="882"/>
      <c r="H94" s="882"/>
      <c r="I94" s="503"/>
      <c r="J94" s="882"/>
      <c r="K94" s="882"/>
      <c r="L94" s="882"/>
      <c r="M94" s="882"/>
      <c r="N94" s="882"/>
      <c r="O94" s="882"/>
      <c r="P94" s="882"/>
      <c r="Q94" s="503"/>
      <c r="R94" s="883">
        <f>$A94*Q94</f>
        <v>0</v>
      </c>
      <c r="S94" s="503"/>
      <c r="T94" s="884">
        <f>$A94*S94*$T$1</f>
        <v>0</v>
      </c>
    </row>
    <row r="95" spans="1:41" s="504" customFormat="1" ht="12.6" thickBot="1">
      <c r="A95" s="885" t="s">
        <v>142</v>
      </c>
      <c r="B95" s="886">
        <f>(R94+T94)</f>
        <v>0</v>
      </c>
      <c r="C95" s="887"/>
      <c r="D95" s="887"/>
      <c r="E95" s="887"/>
      <c r="F95" s="888"/>
      <c r="G95" s="887" t="s">
        <v>143</v>
      </c>
      <c r="H95" s="887"/>
      <c r="I95" s="889"/>
      <c r="J95" s="887"/>
      <c r="K95" s="887" t="s">
        <v>3</v>
      </c>
      <c r="L95" s="890" t="s">
        <v>140</v>
      </c>
      <c r="M95" s="890"/>
      <c r="N95" s="890"/>
      <c r="O95" s="890"/>
      <c r="P95" s="890"/>
      <c r="Q95" s="891"/>
      <c r="R95" s="892">
        <f>SUM(R91:R94)</f>
        <v>0</v>
      </c>
      <c r="S95" s="887"/>
      <c r="T95" s="892">
        <f>SUM(T91:T94)</f>
        <v>0</v>
      </c>
      <c r="U95" s="514"/>
      <c r="V95" s="514"/>
      <c r="W95" s="514"/>
      <c r="X95" s="514"/>
      <c r="Y95" s="514"/>
      <c r="Z95" s="514"/>
      <c r="AA95" s="514"/>
      <c r="AB95" s="514"/>
      <c r="AC95" s="514"/>
      <c r="AD95" s="514"/>
      <c r="AE95" s="514"/>
      <c r="AF95" s="514"/>
      <c r="AG95" s="514"/>
      <c r="AH95" s="514"/>
      <c r="AI95" s="514"/>
      <c r="AJ95" s="514"/>
      <c r="AK95" s="514"/>
      <c r="AL95" s="514"/>
      <c r="AM95" s="514"/>
      <c r="AN95" s="514"/>
      <c r="AO95" s="514"/>
    </row>
    <row r="96" spans="1:41" s="504" customFormat="1" ht="12" thickTop="1">
      <c r="A96" s="50"/>
      <c r="B96" s="40"/>
      <c r="C96" s="50"/>
      <c r="E96" s="41" t="s">
        <v>136</v>
      </c>
      <c r="F96" s="41" t="s">
        <v>137</v>
      </c>
      <c r="G96" s="50"/>
      <c r="H96" s="50"/>
      <c r="I96" s="50"/>
      <c r="J96" s="50"/>
      <c r="K96" s="50" t="s">
        <v>138</v>
      </c>
      <c r="L96" s="50"/>
      <c r="M96" s="50"/>
      <c r="N96" s="50"/>
      <c r="O96" s="51"/>
      <c r="P96" s="50"/>
      <c r="Q96" s="50"/>
      <c r="R96" s="50"/>
      <c r="S96" s="50"/>
      <c r="T96" s="40"/>
      <c r="AG96" s="867" t="s">
        <v>241</v>
      </c>
      <c r="AH96" s="867" t="s">
        <v>242</v>
      </c>
      <c r="AI96" s="867" t="s">
        <v>243</v>
      </c>
      <c r="AJ96" s="867" t="s">
        <v>244</v>
      </c>
      <c r="AK96" s="867" t="s">
        <v>245</v>
      </c>
      <c r="AM96" s="868" t="s">
        <v>254</v>
      </c>
      <c r="AN96" s="869" t="s">
        <v>255</v>
      </c>
      <c r="AO96" s="505" t="s">
        <v>251</v>
      </c>
    </row>
    <row r="97" spans="1:41" s="504" customFormat="1" ht="12" customHeight="1">
      <c r="A97" s="870">
        <v>1</v>
      </c>
      <c r="B97" s="506" t="s">
        <v>272</v>
      </c>
      <c r="C97" s="872"/>
      <c r="D97" s="873" t="s">
        <v>847</v>
      </c>
      <c r="E97" s="874">
        <f>IF(AND($A97=0,$A$1="DIF"),0, ROUND(ROUND(($R102*$S$2+($T102*$T$2))/A97,2)*$C$2,2))</f>
        <v>0</v>
      </c>
      <c r="F97" s="875">
        <f>ROUND($A97*$E97,2)</f>
        <v>0</v>
      </c>
      <c r="G97" s="876" t="s">
        <v>139</v>
      </c>
      <c r="H97" s="877"/>
      <c r="I97" s="878"/>
      <c r="J97" s="877"/>
      <c r="K97" s="877" t="s">
        <v>3</v>
      </c>
      <c r="L97" s="879" t="s">
        <v>140</v>
      </c>
      <c r="M97" s="879"/>
      <c r="N97" s="879"/>
      <c r="O97" s="879"/>
      <c r="P97" s="879"/>
      <c r="Q97" s="50" t="s">
        <v>1407</v>
      </c>
      <c r="T97" s="880" t="str">
        <f>IF(AND($R102=0,$T102=0),"0.00","mu :" &amp; ROUND($F97/$C$2/($R102+$T102*$D$9),2))</f>
        <v>0.00</v>
      </c>
      <c r="W97" s="507"/>
      <c r="AG97" s="465">
        <f>IF($E97=0,0,ROUND($R102*$S$2*$C$2/$A97,2))</f>
        <v>0</v>
      </c>
      <c r="AH97" s="465">
        <f>$AG97*$A97</f>
        <v>0</v>
      </c>
      <c r="AI97" s="508">
        <f>$E97-$AG97</f>
        <v>0</v>
      </c>
      <c r="AJ97" s="508">
        <f>$A97*$AI97</f>
        <v>0</v>
      </c>
      <c r="AK97" s="509">
        <f>ROUND(($AG97+$AI97)*$A97,2)</f>
        <v>0</v>
      </c>
      <c r="AM97" s="510">
        <f>ROUND(R102,2)</f>
        <v>0</v>
      </c>
      <c r="AN97" s="511">
        <f>ROUND(T102,2)</f>
        <v>0</v>
      </c>
      <c r="AO97" s="512">
        <f>ROUND(AM97+AN97,2)*A97</f>
        <v>0</v>
      </c>
    </row>
    <row r="98" spans="1:41" s="504" customFormat="1" ht="13.2">
      <c r="A98" s="872"/>
      <c r="B98"/>
      <c r="C98" s="872"/>
      <c r="D98" s="873" t="s">
        <v>284</v>
      </c>
      <c r="F98" s="877"/>
      <c r="G98" s="3"/>
      <c r="H98" s="877"/>
      <c r="I98" s="878"/>
      <c r="J98" s="877"/>
      <c r="K98" s="877" t="s">
        <v>141</v>
      </c>
      <c r="L98" s="877"/>
      <c r="M98" s="877"/>
      <c r="N98" s="877"/>
      <c r="O98" s="877"/>
      <c r="P98" s="877"/>
      <c r="Q98" s="50"/>
      <c r="R98" s="513"/>
      <c r="S98" s="881"/>
      <c r="T98" s="877"/>
    </row>
    <row r="99" spans="1:41" s="504" customFormat="1" ht="12">
      <c r="A99" s="50"/>
      <c r="B99" s="882"/>
      <c r="C99" s="882"/>
      <c r="D99" s="882"/>
      <c r="E99" s="882"/>
      <c r="F99" s="877"/>
      <c r="G99" s="882"/>
      <c r="H99" s="882"/>
      <c r="I99" s="503"/>
      <c r="J99" s="882"/>
      <c r="K99" s="882"/>
      <c r="L99" s="882"/>
      <c r="M99" s="882"/>
      <c r="N99" s="882"/>
      <c r="O99" s="882"/>
      <c r="P99" s="882"/>
      <c r="Q99" s="503"/>
      <c r="R99" s="883">
        <f t="shared" ref="R99:R101" si="10">$A99*Q99</f>
        <v>0</v>
      </c>
      <c r="S99" s="503"/>
      <c r="T99" s="884">
        <f t="shared" ref="T99:T101" si="11">$A99*S99*$T$1</f>
        <v>0</v>
      </c>
    </row>
    <row r="100" spans="1:41" s="504" customFormat="1" ht="12">
      <c r="A100" s="50"/>
      <c r="B100" s="882"/>
      <c r="C100" s="882"/>
      <c r="D100" s="50" t="s">
        <v>1407</v>
      </c>
      <c r="E100" s="882"/>
      <c r="F100" s="877"/>
      <c r="G100" s="882"/>
      <c r="H100" s="882"/>
      <c r="I100" s="503"/>
      <c r="J100" s="882"/>
      <c r="K100" s="882"/>
      <c r="L100" s="882"/>
      <c r="M100" s="882"/>
      <c r="N100" s="882"/>
      <c r="O100" s="882"/>
      <c r="P100" s="882"/>
      <c r="Q100" s="503"/>
      <c r="R100" s="883">
        <f t="shared" si="10"/>
        <v>0</v>
      </c>
      <c r="S100" s="503"/>
      <c r="T100" s="884">
        <f t="shared" si="11"/>
        <v>0</v>
      </c>
    </row>
    <row r="101" spans="1:41" s="504" customFormat="1" ht="12">
      <c r="A101" s="882"/>
      <c r="B101" s="882"/>
      <c r="C101" s="882"/>
      <c r="D101" s="882"/>
      <c r="E101" s="882"/>
      <c r="F101" s="877"/>
      <c r="G101" s="882"/>
      <c r="H101" s="882"/>
      <c r="I101" s="503"/>
      <c r="J101" s="882"/>
      <c r="K101" s="882"/>
      <c r="L101" s="882"/>
      <c r="M101" s="882"/>
      <c r="N101" s="882"/>
      <c r="O101" s="882"/>
      <c r="P101" s="882"/>
      <c r="Q101" s="503"/>
      <c r="R101" s="883">
        <f t="shared" si="10"/>
        <v>0</v>
      </c>
      <c r="S101" s="503"/>
      <c r="T101" s="884">
        <f t="shared" si="11"/>
        <v>0</v>
      </c>
    </row>
    <row r="102" spans="1:41" s="504" customFormat="1" ht="12.6" thickBot="1">
      <c r="A102" s="885" t="s">
        <v>142</v>
      </c>
      <c r="B102" s="886">
        <f>(R101+T101)</f>
        <v>0</v>
      </c>
      <c r="C102" s="887"/>
      <c r="D102" s="887"/>
      <c r="E102" s="887"/>
      <c r="F102" s="888"/>
      <c r="G102" s="887" t="s">
        <v>143</v>
      </c>
      <c r="H102" s="887"/>
      <c r="I102" s="889"/>
      <c r="J102" s="887"/>
      <c r="K102" s="887" t="s">
        <v>3</v>
      </c>
      <c r="L102" s="890" t="s">
        <v>140</v>
      </c>
      <c r="M102" s="890"/>
      <c r="N102" s="890"/>
      <c r="O102" s="890"/>
      <c r="P102" s="890"/>
      <c r="Q102" s="891"/>
      <c r="R102" s="892">
        <f>SUM(R98:R101)</f>
        <v>0</v>
      </c>
      <c r="S102" s="887"/>
      <c r="T102" s="892">
        <f>SUM(T98:T101)</f>
        <v>0</v>
      </c>
      <c r="U102" s="514"/>
      <c r="V102" s="514"/>
      <c r="W102" s="514"/>
      <c r="X102" s="514"/>
      <c r="Y102" s="514"/>
      <c r="Z102" s="514"/>
      <c r="AA102" s="514"/>
      <c r="AB102" s="514"/>
      <c r="AC102" s="514"/>
      <c r="AD102" s="514"/>
      <c r="AE102" s="514"/>
      <c r="AF102" s="514"/>
      <c r="AG102" s="514"/>
      <c r="AH102" s="514"/>
      <c r="AI102" s="514"/>
      <c r="AJ102" s="514"/>
      <c r="AK102" s="514"/>
      <c r="AL102" s="514"/>
      <c r="AM102" s="514"/>
      <c r="AN102" s="514"/>
      <c r="AO102" s="514"/>
    </row>
    <row r="103" spans="1:41" s="504" customFormat="1" ht="12" thickTop="1">
      <c r="A103" s="50"/>
      <c r="B103" s="40"/>
      <c r="C103" s="50"/>
      <c r="E103" s="41" t="s">
        <v>136</v>
      </c>
      <c r="F103" s="41" t="s">
        <v>137</v>
      </c>
      <c r="G103" s="50"/>
      <c r="H103" s="50"/>
      <c r="I103" s="50"/>
      <c r="J103" s="50"/>
      <c r="K103" s="50" t="s">
        <v>138</v>
      </c>
      <c r="L103" s="50"/>
      <c r="M103" s="50"/>
      <c r="N103" s="50"/>
      <c r="O103" s="51"/>
      <c r="P103" s="50"/>
      <c r="Q103" s="50"/>
      <c r="R103" s="50"/>
      <c r="S103" s="50"/>
      <c r="T103" s="40"/>
      <c r="AG103" s="867" t="s">
        <v>241</v>
      </c>
      <c r="AH103" s="867" t="s">
        <v>242</v>
      </c>
      <c r="AI103" s="867" t="s">
        <v>243</v>
      </c>
      <c r="AJ103" s="867" t="s">
        <v>244</v>
      </c>
      <c r="AK103" s="867" t="s">
        <v>245</v>
      </c>
      <c r="AM103" s="868" t="s">
        <v>254</v>
      </c>
      <c r="AN103" s="869" t="s">
        <v>255</v>
      </c>
      <c r="AO103" s="505" t="s">
        <v>251</v>
      </c>
    </row>
    <row r="104" spans="1:41" s="504" customFormat="1" ht="12" customHeight="1">
      <c r="A104" s="870">
        <v>1</v>
      </c>
      <c r="B104" s="506" t="s">
        <v>272</v>
      </c>
      <c r="C104" s="872"/>
      <c r="D104" s="1326" t="s">
        <v>848</v>
      </c>
      <c r="E104" s="874">
        <f>IF(AND($A104=0,$A$1="DIF"),0, ROUND(ROUND(($R109*$S$2+($T109*$T$2))/A104,2)*$C$2,2))</f>
        <v>2623</v>
      </c>
      <c r="F104" s="875">
        <f>ROUND($A104*$E104,2)</f>
        <v>2623</v>
      </c>
      <c r="G104" s="876" t="s">
        <v>139</v>
      </c>
      <c r="H104" s="877"/>
      <c r="I104" s="878"/>
      <c r="J104" s="877"/>
      <c r="K104" s="877" t="s">
        <v>3</v>
      </c>
      <c r="L104" s="879" t="s">
        <v>140</v>
      </c>
      <c r="M104" s="879"/>
      <c r="N104" s="879"/>
      <c r="O104" s="879"/>
      <c r="P104" s="879"/>
      <c r="Q104" s="50"/>
      <c r="T104" s="880" t="str">
        <f>IF(AND($R109=0,$T109=0),"0.00","mu :" &amp; ROUND($F104/$C$2/($R109+$T109*$D$9),2))</f>
        <v>mu :1.22</v>
      </c>
      <c r="W104" s="507"/>
      <c r="AG104" s="465">
        <f>IF($E104=0,0,ROUND($R109*$S$2*$C$2/$A104,2))</f>
        <v>2623</v>
      </c>
      <c r="AH104" s="465">
        <f>$AG104*$A104</f>
        <v>2623</v>
      </c>
      <c r="AI104" s="508">
        <f>$E104-$AG104</f>
        <v>0</v>
      </c>
      <c r="AJ104" s="508">
        <f>$A104*$AI104</f>
        <v>0</v>
      </c>
      <c r="AK104" s="509">
        <f>ROUND(($AG104+$AI104)*$A104,2)</f>
        <v>2623</v>
      </c>
      <c r="AM104" s="510">
        <f>ROUND(R109,2)</f>
        <v>2150</v>
      </c>
      <c r="AN104" s="511">
        <f>ROUND(T109,2)</f>
        <v>0</v>
      </c>
      <c r="AO104" s="512">
        <f>ROUND(AM104+AN104,2)*A104</f>
        <v>2150</v>
      </c>
    </row>
    <row r="105" spans="1:41" s="504" customFormat="1" ht="13.2">
      <c r="A105" s="872"/>
      <c r="B105"/>
      <c r="C105" s="872"/>
      <c r="D105" s="916" t="s">
        <v>285</v>
      </c>
      <c r="E105" s="917"/>
      <c r="F105" s="918"/>
      <c r="G105" s="919"/>
      <c r="H105" s="918"/>
      <c r="I105" s="920"/>
      <c r="J105" s="918"/>
      <c r="K105" s="918" t="s">
        <v>141</v>
      </c>
      <c r="L105" s="918"/>
      <c r="M105" s="918"/>
      <c r="N105" s="918"/>
      <c r="O105" s="918"/>
      <c r="P105" s="918"/>
      <c r="Q105" s="921"/>
      <c r="R105" s="513"/>
      <c r="S105" s="881"/>
      <c r="T105" s="877"/>
    </row>
    <row r="106" spans="1:41" s="504" customFormat="1" ht="13.2">
      <c r="A106">
        <v>5</v>
      </c>
      <c r="B106" s="882" t="s">
        <v>949</v>
      </c>
      <c r="C106" s="882"/>
      <c r="D106" s="1215" t="s">
        <v>1431</v>
      </c>
      <c r="E106" s="882"/>
      <c r="F106" s="877"/>
      <c r="G106" s="882"/>
      <c r="H106" s="1041">
        <v>960</v>
      </c>
      <c r="I106" s="503"/>
      <c r="J106" s="882"/>
      <c r="K106" s="1214">
        <f>$O$5</f>
        <v>1</v>
      </c>
      <c r="L106" s="882"/>
      <c r="M106" s="882"/>
      <c r="N106" s="882"/>
      <c r="O106" s="882"/>
      <c r="P106" s="882"/>
      <c r="Q106" s="1216">
        <v>250</v>
      </c>
      <c r="R106" s="883">
        <f>$A106*Q106</f>
        <v>1250</v>
      </c>
      <c r="S106" s="503"/>
      <c r="T106" s="884">
        <f>$A106*S106*$T$1</f>
        <v>0</v>
      </c>
    </row>
    <row r="107" spans="1:41" s="504" customFormat="1" ht="13.2">
      <c r="A107" s="1355">
        <f>12/2</f>
        <v>6</v>
      </c>
      <c r="B107" s="882" t="s">
        <v>949</v>
      </c>
      <c r="C107" s="882"/>
      <c r="D107" s="1356" t="s">
        <v>1561</v>
      </c>
      <c r="E107" s="882"/>
      <c r="F107" s="877"/>
      <c r="G107" s="882"/>
      <c r="H107" s="1041">
        <v>960</v>
      </c>
      <c r="I107" s="503"/>
      <c r="J107" s="882"/>
      <c r="K107" s="1214">
        <f>$O$5</f>
        <v>1</v>
      </c>
      <c r="L107" s="882"/>
      <c r="M107" s="882"/>
      <c r="N107" s="882"/>
      <c r="O107" s="882"/>
      <c r="P107" s="882"/>
      <c r="Q107" s="1216">
        <v>150</v>
      </c>
      <c r="R107" s="883">
        <f>$A107*Q107</f>
        <v>900</v>
      </c>
      <c r="S107" s="503"/>
      <c r="T107" s="884">
        <f>$A107*S107*$T$1</f>
        <v>0</v>
      </c>
      <c r="W107" s="504">
        <v>12</v>
      </c>
    </row>
    <row r="108" spans="1:41" s="504" customFormat="1" ht="12">
      <c r="A108" s="882"/>
      <c r="B108" s="882"/>
      <c r="C108" s="882"/>
      <c r="D108" s="882"/>
      <c r="E108" s="882"/>
      <c r="F108" s="877"/>
      <c r="G108" s="882"/>
      <c r="H108" s="882"/>
      <c r="I108" s="503"/>
      <c r="J108" s="882"/>
      <c r="K108" s="882"/>
      <c r="L108" s="882"/>
      <c r="M108" s="882"/>
      <c r="N108" s="882"/>
      <c r="O108" s="882"/>
      <c r="P108" s="882"/>
      <c r="Q108" s="503"/>
      <c r="R108" s="883">
        <f>$A108*Q108</f>
        <v>0</v>
      </c>
      <c r="S108" s="503"/>
      <c r="T108" s="884">
        <f>$A108*S108*$T$1</f>
        <v>0</v>
      </c>
    </row>
    <row r="109" spans="1:41" s="504" customFormat="1" ht="12.6" thickBot="1">
      <c r="A109" s="885" t="s">
        <v>142</v>
      </c>
      <c r="B109" s="886">
        <f>(R108+T108)</f>
        <v>0</v>
      </c>
      <c r="C109" s="887"/>
      <c r="D109" s="887"/>
      <c r="E109" s="887"/>
      <c r="F109" s="888"/>
      <c r="G109" s="887" t="s">
        <v>143</v>
      </c>
      <c r="H109" s="887"/>
      <c r="I109" s="889"/>
      <c r="J109" s="887"/>
      <c r="K109" s="887" t="s">
        <v>3</v>
      </c>
      <c r="L109" s="890" t="s">
        <v>140</v>
      </c>
      <c r="M109" s="890"/>
      <c r="N109" s="890"/>
      <c r="O109" s="890"/>
      <c r="P109" s="890"/>
      <c r="Q109" s="891"/>
      <c r="R109" s="892">
        <f>SUM(R105:R108)</f>
        <v>2150</v>
      </c>
      <c r="S109" s="887"/>
      <c r="T109" s="892">
        <f>SUM(T105:T108)</f>
        <v>0</v>
      </c>
      <c r="U109" s="514"/>
      <c r="V109" s="514"/>
      <c r="W109" s="514"/>
      <c r="X109" s="514"/>
      <c r="Y109" s="514"/>
      <c r="Z109" s="514"/>
      <c r="AA109" s="514"/>
      <c r="AB109" s="514"/>
      <c r="AC109" s="514"/>
      <c r="AD109" s="514"/>
      <c r="AE109" s="514"/>
      <c r="AF109" s="514"/>
      <c r="AG109" s="514"/>
      <c r="AH109" s="514"/>
      <c r="AI109" s="514"/>
      <c r="AJ109" s="514"/>
      <c r="AK109" s="514"/>
      <c r="AL109" s="514"/>
      <c r="AM109" s="514"/>
      <c r="AN109" s="514"/>
      <c r="AO109" s="514"/>
    </row>
    <row r="110" spans="1:41" s="504" customFormat="1" ht="12" thickTop="1">
      <c r="A110" s="50"/>
      <c r="B110" s="40"/>
      <c r="C110" s="50"/>
      <c r="E110" s="41" t="s">
        <v>136</v>
      </c>
      <c r="F110" s="41" t="s">
        <v>137</v>
      </c>
      <c r="G110" s="50"/>
      <c r="H110" s="50"/>
      <c r="I110" s="50"/>
      <c r="J110" s="50"/>
      <c r="K110" s="50" t="s">
        <v>138</v>
      </c>
      <c r="L110" s="50"/>
      <c r="M110" s="50"/>
      <c r="N110" s="50"/>
      <c r="O110" s="51"/>
      <c r="P110" s="50"/>
      <c r="Q110" s="50"/>
      <c r="R110" s="50"/>
      <c r="S110" s="50"/>
      <c r="T110" s="40"/>
      <c r="AG110" s="867" t="s">
        <v>241</v>
      </c>
      <c r="AH110" s="867" t="s">
        <v>242</v>
      </c>
      <c r="AI110" s="867" t="s">
        <v>243</v>
      </c>
      <c r="AJ110" s="867" t="s">
        <v>244</v>
      </c>
      <c r="AK110" s="867" t="s">
        <v>245</v>
      </c>
      <c r="AM110" s="868" t="s">
        <v>254</v>
      </c>
      <c r="AN110" s="869" t="s">
        <v>255</v>
      </c>
      <c r="AO110" s="505" t="s">
        <v>251</v>
      </c>
    </row>
    <row r="111" spans="1:41" s="504" customFormat="1" ht="12" customHeight="1">
      <c r="A111" s="870">
        <v>1</v>
      </c>
      <c r="B111" s="506" t="s">
        <v>272</v>
      </c>
      <c r="C111" s="872"/>
      <c r="D111" s="873" t="s">
        <v>849</v>
      </c>
      <c r="E111" s="874">
        <f>IF(AND($A111=0,$A$1="DIF"),0, ROUND(ROUND(($R116*$S$2+($T116*$T$2))/A111,2)*$C$2,2))</f>
        <v>0</v>
      </c>
      <c r="F111" s="875">
        <f>ROUND($A111*$E111,2)</f>
        <v>0</v>
      </c>
      <c r="G111" s="876" t="s">
        <v>139</v>
      </c>
      <c r="H111" s="877"/>
      <c r="I111" s="878"/>
      <c r="J111" s="877"/>
      <c r="K111" s="877" t="s">
        <v>3</v>
      </c>
      <c r="L111" s="879" t="s">
        <v>140</v>
      </c>
      <c r="M111" s="879"/>
      <c r="N111" s="879"/>
      <c r="O111" s="879"/>
      <c r="P111" s="879"/>
      <c r="Q111" s="50" t="s">
        <v>1407</v>
      </c>
      <c r="T111" s="880" t="str">
        <f>IF(AND($R116=0,$T116=0),"0.00","mu :" &amp; ROUND($F111/$C$2/($R116+$T116*$D$9),2))</f>
        <v>0.00</v>
      </c>
      <c r="W111" s="507"/>
      <c r="AG111" s="465">
        <f>IF($E111=0,0,ROUND($R116*$S$2*$C$2/$A111,2))</f>
        <v>0</v>
      </c>
      <c r="AH111" s="465">
        <f>$AG111*$A111</f>
        <v>0</v>
      </c>
      <c r="AI111" s="508">
        <f>$E111-$AG111</f>
        <v>0</v>
      </c>
      <c r="AJ111" s="508">
        <f>$A111*$AI111</f>
        <v>0</v>
      </c>
      <c r="AK111" s="509">
        <f>ROUND(($AG111+$AI111)*$A111,2)</f>
        <v>0</v>
      </c>
      <c r="AM111" s="510">
        <f>ROUND(R116,2)</f>
        <v>0</v>
      </c>
      <c r="AN111" s="511">
        <f>ROUND(T116,2)</f>
        <v>0</v>
      </c>
      <c r="AO111" s="512">
        <f>ROUND(AM111+AN111,2)*A111</f>
        <v>0</v>
      </c>
    </row>
    <row r="112" spans="1:41" s="504" customFormat="1" ht="13.2">
      <c r="A112" s="872"/>
      <c r="B112"/>
      <c r="C112" s="872"/>
      <c r="D112" s="873" t="s">
        <v>286</v>
      </c>
      <c r="F112" s="877"/>
      <c r="G112" s="3"/>
      <c r="H112" s="877"/>
      <c r="I112" s="878"/>
      <c r="J112" s="877"/>
      <c r="K112" s="877" t="s">
        <v>141</v>
      </c>
      <c r="L112" s="877"/>
      <c r="M112" s="877"/>
      <c r="N112" s="877"/>
      <c r="O112" s="877"/>
      <c r="P112" s="877"/>
      <c r="Q112" s="50"/>
      <c r="R112" s="513"/>
      <c r="S112" s="881"/>
      <c r="T112" s="877"/>
    </row>
    <row r="113" spans="1:41" s="504" customFormat="1" ht="12">
      <c r="A113" s="50"/>
      <c r="B113" s="882"/>
      <c r="C113" s="882"/>
      <c r="D113" s="882"/>
      <c r="E113" s="882"/>
      <c r="F113" s="877"/>
      <c r="G113" s="882"/>
      <c r="H113" s="882"/>
      <c r="I113" s="503"/>
      <c r="J113" s="882"/>
      <c r="K113" s="882"/>
      <c r="L113" s="882"/>
      <c r="M113" s="882"/>
      <c r="N113" s="882"/>
      <c r="O113" s="882"/>
      <c r="P113" s="882"/>
      <c r="Q113" s="503"/>
      <c r="R113" s="883">
        <f>$A113*Q113</f>
        <v>0</v>
      </c>
      <c r="S113" s="503"/>
      <c r="T113" s="884">
        <f>$A113*S113*$T$1</f>
        <v>0</v>
      </c>
    </row>
    <row r="114" spans="1:41" s="504" customFormat="1" ht="12">
      <c r="A114" s="50"/>
      <c r="B114" s="882"/>
      <c r="C114" s="882"/>
      <c r="D114" s="50" t="s">
        <v>1407</v>
      </c>
      <c r="E114" s="882"/>
      <c r="F114" s="877"/>
      <c r="G114" s="882"/>
      <c r="H114" s="882"/>
      <c r="I114" s="503"/>
      <c r="J114" s="882"/>
      <c r="K114" s="882"/>
      <c r="L114" s="882"/>
      <c r="M114" s="882"/>
      <c r="N114" s="882"/>
      <c r="O114" s="882"/>
      <c r="P114" s="882"/>
      <c r="Q114" s="503"/>
      <c r="R114" s="883">
        <f>$A114*Q114</f>
        <v>0</v>
      </c>
      <c r="S114" s="503"/>
      <c r="T114" s="884">
        <f>$A114*S114*$T$1</f>
        <v>0</v>
      </c>
    </row>
    <row r="115" spans="1:41" s="504" customFormat="1" ht="12">
      <c r="A115" s="882"/>
      <c r="B115" s="882"/>
      <c r="C115" s="882"/>
      <c r="D115" s="882"/>
      <c r="E115" s="882"/>
      <c r="F115" s="877"/>
      <c r="G115" s="882"/>
      <c r="H115" s="882"/>
      <c r="I115" s="503"/>
      <c r="J115" s="882"/>
      <c r="K115" s="882"/>
      <c r="L115" s="882"/>
      <c r="M115" s="882"/>
      <c r="N115" s="882"/>
      <c r="O115" s="882"/>
      <c r="P115" s="882"/>
      <c r="Q115" s="503"/>
      <c r="R115" s="883">
        <f>$A115*Q115</f>
        <v>0</v>
      </c>
      <c r="S115" s="503"/>
      <c r="T115" s="884">
        <f>$A115*S115*$T$1</f>
        <v>0</v>
      </c>
    </row>
    <row r="116" spans="1:41" s="504" customFormat="1" ht="12.6" thickBot="1">
      <c r="A116" s="885" t="s">
        <v>142</v>
      </c>
      <c r="B116" s="886">
        <f>(R115+T115)</f>
        <v>0</v>
      </c>
      <c r="C116" s="887"/>
      <c r="D116" s="887"/>
      <c r="E116" s="887"/>
      <c r="F116" s="888"/>
      <c r="G116" s="887" t="s">
        <v>143</v>
      </c>
      <c r="H116" s="887"/>
      <c r="I116" s="889"/>
      <c r="J116" s="887"/>
      <c r="K116" s="887" t="s">
        <v>3</v>
      </c>
      <c r="L116" s="890" t="s">
        <v>140</v>
      </c>
      <c r="M116" s="890"/>
      <c r="N116" s="890"/>
      <c r="O116" s="890"/>
      <c r="P116" s="890"/>
      <c r="Q116" s="891"/>
      <c r="R116" s="892">
        <f>SUM(R112:R115)</f>
        <v>0</v>
      </c>
      <c r="S116" s="887"/>
      <c r="T116" s="892">
        <f>SUM(T112:T115)</f>
        <v>0</v>
      </c>
      <c r="U116" s="514"/>
      <c r="V116" s="514"/>
      <c r="W116" s="514"/>
      <c r="X116" s="514"/>
      <c r="Y116" s="514"/>
      <c r="Z116" s="514"/>
      <c r="AA116" s="514"/>
      <c r="AB116" s="514"/>
      <c r="AC116" s="514"/>
      <c r="AD116" s="514"/>
      <c r="AE116" s="514"/>
      <c r="AF116" s="514"/>
      <c r="AG116" s="514"/>
      <c r="AH116" s="514"/>
      <c r="AI116" s="514"/>
      <c r="AJ116" s="514"/>
      <c r="AK116" s="514"/>
      <c r="AL116" s="514"/>
      <c r="AM116" s="514"/>
      <c r="AN116" s="514"/>
      <c r="AO116" s="514"/>
    </row>
    <row r="117" spans="1:41" s="504" customFormat="1" ht="12" thickTop="1">
      <c r="A117" s="50"/>
      <c r="B117" s="40"/>
      <c r="C117" s="50"/>
      <c r="E117" s="41" t="s">
        <v>136</v>
      </c>
      <c r="F117" s="41" t="s">
        <v>137</v>
      </c>
      <c r="G117" s="50"/>
      <c r="H117" s="50"/>
      <c r="I117" s="50"/>
      <c r="J117" s="50"/>
      <c r="K117" s="50" t="s">
        <v>138</v>
      </c>
      <c r="L117" s="50"/>
      <c r="M117" s="50"/>
      <c r="N117" s="50"/>
      <c r="O117" s="51"/>
      <c r="P117" s="50"/>
      <c r="Q117" s="50"/>
      <c r="R117" s="50"/>
      <c r="S117" s="50"/>
      <c r="T117" s="40"/>
      <c r="AG117" s="867" t="s">
        <v>241</v>
      </c>
      <c r="AH117" s="867" t="s">
        <v>242</v>
      </c>
      <c r="AI117" s="867" t="s">
        <v>243</v>
      </c>
      <c r="AJ117" s="867" t="s">
        <v>244</v>
      </c>
      <c r="AK117" s="867" t="s">
        <v>245</v>
      </c>
      <c r="AM117" s="868" t="s">
        <v>254</v>
      </c>
      <c r="AN117" s="869" t="s">
        <v>255</v>
      </c>
      <c r="AO117" s="505" t="s">
        <v>251</v>
      </c>
    </row>
    <row r="118" spans="1:41" s="504" customFormat="1" ht="12" customHeight="1">
      <c r="A118" s="870">
        <v>1</v>
      </c>
      <c r="B118" s="506" t="s">
        <v>272</v>
      </c>
      <c r="C118" s="872"/>
      <c r="D118" s="873" t="s">
        <v>851</v>
      </c>
      <c r="E118" s="874">
        <f>IF(AND($A118=0,$A$1="DIF"),0, ROUND(ROUND(($R123*$S$2+($T123*$T$2))/A118,2)*$C$2,2))</f>
        <v>0</v>
      </c>
      <c r="F118" s="875">
        <f>ROUND($A118*$E118,2)</f>
        <v>0</v>
      </c>
      <c r="G118" s="876" t="s">
        <v>139</v>
      </c>
      <c r="H118" s="877"/>
      <c r="I118" s="878"/>
      <c r="J118" s="877"/>
      <c r="K118" s="877" t="s">
        <v>3</v>
      </c>
      <c r="L118" s="879" t="s">
        <v>140</v>
      </c>
      <c r="M118" s="879"/>
      <c r="N118" s="879"/>
      <c r="O118" s="879"/>
      <c r="P118" s="879"/>
      <c r="Q118" s="50" t="s">
        <v>1509</v>
      </c>
      <c r="T118" s="880" t="str">
        <f>IF(AND($R123=0,$T123=0),"0.00","mu :" &amp; ROUND($F118/$C$2/($R123+$T123*$D$9),2))</f>
        <v>0.00</v>
      </c>
      <c r="W118" s="507"/>
      <c r="AG118" s="465">
        <f>IF($E118=0,0,ROUND($R123*$S$2*$C$2/$A118,2))</f>
        <v>0</v>
      </c>
      <c r="AH118" s="465">
        <f>$AG118*$A118</f>
        <v>0</v>
      </c>
      <c r="AI118" s="508">
        <f>$E118-$AG118</f>
        <v>0</v>
      </c>
      <c r="AJ118" s="508">
        <f>$A118*$AI118</f>
        <v>0</v>
      </c>
      <c r="AK118" s="509">
        <f>ROUND(($AG118+$AI118)*$A118,2)</f>
        <v>0</v>
      </c>
      <c r="AM118" s="510">
        <f>ROUND(R123,2)</f>
        <v>0</v>
      </c>
      <c r="AN118" s="511">
        <f>ROUND(T123,2)</f>
        <v>0</v>
      </c>
      <c r="AO118" s="512">
        <f>ROUND(AM118+AN118,2)*A118</f>
        <v>0</v>
      </c>
    </row>
    <row r="119" spans="1:41" s="504" customFormat="1" ht="13.2">
      <c r="A119" s="872"/>
      <c r="B119"/>
      <c r="C119" s="872"/>
      <c r="D119" s="873" t="s">
        <v>287</v>
      </c>
      <c r="F119" s="877"/>
      <c r="G119" s="3"/>
      <c r="H119" s="877"/>
      <c r="I119" s="878"/>
      <c r="J119" s="877"/>
      <c r="K119" s="877" t="s">
        <v>141</v>
      </c>
      <c r="L119" s="877"/>
      <c r="M119" s="877"/>
      <c r="N119" s="877"/>
      <c r="O119" s="877"/>
      <c r="P119" s="877"/>
      <c r="Q119" s="50"/>
      <c r="R119" s="513"/>
      <c r="S119" s="881"/>
      <c r="T119" s="877"/>
    </row>
    <row r="120" spans="1:41" s="504" customFormat="1" ht="12">
      <c r="A120" s="50"/>
      <c r="B120" s="882"/>
      <c r="C120" s="882"/>
      <c r="D120" s="882"/>
      <c r="E120" s="882"/>
      <c r="F120" s="877"/>
      <c r="G120" s="882"/>
      <c r="H120" s="882"/>
      <c r="I120" s="503"/>
      <c r="J120" s="882"/>
      <c r="K120" s="882"/>
      <c r="L120" s="882"/>
      <c r="M120" s="882"/>
      <c r="N120" s="882"/>
      <c r="O120" s="882"/>
      <c r="P120" s="882"/>
      <c r="Q120" s="503"/>
      <c r="R120" s="883">
        <f>$A120*Q120</f>
        <v>0</v>
      </c>
      <c r="S120" s="503"/>
      <c r="T120" s="884">
        <f>$A120*S120*$T$1</f>
        <v>0</v>
      </c>
    </row>
    <row r="121" spans="1:41" s="504" customFormat="1" ht="24.75" customHeight="1">
      <c r="A121" s="50"/>
      <c r="B121" s="882"/>
      <c r="C121" s="882"/>
      <c r="D121" s="1376" t="s">
        <v>1510</v>
      </c>
      <c r="E121" s="1376"/>
      <c r="F121" s="1376"/>
      <c r="G121" s="1299"/>
      <c r="H121" s="1299"/>
      <c r="I121" s="1299"/>
      <c r="J121" s="1299"/>
      <c r="K121" s="1299"/>
      <c r="L121" s="1299"/>
      <c r="M121" s="1299"/>
      <c r="N121" s="1299"/>
      <c r="O121" s="1299"/>
      <c r="P121" s="1299"/>
      <c r="Q121" s="1300"/>
      <c r="R121" s="883">
        <f>$A121*Q121</f>
        <v>0</v>
      </c>
      <c r="S121" s="503"/>
      <c r="T121" s="884">
        <f>$A121*S121*$T$1</f>
        <v>0</v>
      </c>
    </row>
    <row r="122" spans="1:41" s="504" customFormat="1" ht="12">
      <c r="A122" s="882"/>
      <c r="B122" s="882"/>
      <c r="C122" s="882"/>
      <c r="D122" s="882"/>
      <c r="E122" s="882"/>
      <c r="F122" s="877"/>
      <c r="G122" s="882"/>
      <c r="H122" s="882"/>
      <c r="I122" s="503"/>
      <c r="J122" s="882"/>
      <c r="K122" s="882"/>
      <c r="L122" s="882"/>
      <c r="M122" s="882"/>
      <c r="N122" s="882"/>
      <c r="O122" s="882"/>
      <c r="P122" s="882"/>
      <c r="Q122" s="503"/>
      <c r="R122" s="883">
        <f>$A122*Q122</f>
        <v>0</v>
      </c>
      <c r="S122" s="503"/>
      <c r="T122" s="884">
        <f>$A122*S122*$T$1</f>
        <v>0</v>
      </c>
    </row>
    <row r="123" spans="1:41" s="504" customFormat="1" ht="12.6" thickBot="1">
      <c r="A123" s="885" t="s">
        <v>142</v>
      </c>
      <c r="B123" s="886">
        <f>(R122+T122)</f>
        <v>0</v>
      </c>
      <c r="C123" s="887"/>
      <c r="D123" s="887"/>
      <c r="E123" s="887"/>
      <c r="F123" s="888"/>
      <c r="G123" s="887" t="s">
        <v>143</v>
      </c>
      <c r="H123" s="887"/>
      <c r="I123" s="889"/>
      <c r="J123" s="887"/>
      <c r="K123" s="887" t="s">
        <v>3</v>
      </c>
      <c r="L123" s="890" t="s">
        <v>140</v>
      </c>
      <c r="M123" s="890"/>
      <c r="N123" s="890"/>
      <c r="O123" s="890"/>
      <c r="P123" s="890"/>
      <c r="Q123" s="891"/>
      <c r="R123" s="892">
        <f>SUM(R119:R122)</f>
        <v>0</v>
      </c>
      <c r="S123" s="887"/>
      <c r="T123" s="892">
        <f>SUM(T119:T122)</f>
        <v>0</v>
      </c>
      <c r="U123" s="514"/>
      <c r="V123" s="514"/>
      <c r="W123" s="514"/>
      <c r="X123" s="514"/>
      <c r="Y123" s="514"/>
      <c r="Z123" s="514"/>
      <c r="AA123" s="514"/>
      <c r="AB123" s="514"/>
      <c r="AC123" s="514"/>
      <c r="AD123" s="514"/>
      <c r="AE123" s="514"/>
      <c r="AF123" s="514"/>
      <c r="AG123" s="514"/>
      <c r="AH123" s="514"/>
      <c r="AI123" s="514"/>
      <c r="AJ123" s="514"/>
      <c r="AK123" s="514"/>
      <c r="AL123" s="514"/>
      <c r="AM123" s="514"/>
      <c r="AN123" s="514"/>
      <c r="AO123" s="514"/>
    </row>
    <row r="124" spans="1:41" s="504" customFormat="1" ht="12" thickTop="1">
      <c r="A124" s="50"/>
      <c r="B124" s="40"/>
      <c r="C124" s="50"/>
      <c r="E124" s="41" t="s">
        <v>136</v>
      </c>
      <c r="F124" s="41" t="s">
        <v>137</v>
      </c>
      <c r="G124" s="50"/>
      <c r="H124" s="50"/>
      <c r="I124" s="50"/>
      <c r="J124" s="50"/>
      <c r="K124" s="50" t="s">
        <v>138</v>
      </c>
      <c r="L124" s="50"/>
      <c r="M124" s="50"/>
      <c r="N124" s="50"/>
      <c r="O124" s="51"/>
      <c r="P124" s="50"/>
      <c r="Q124" s="50"/>
      <c r="R124" s="50"/>
      <c r="S124" s="50"/>
      <c r="T124" s="40"/>
      <c r="AG124" s="867" t="s">
        <v>241</v>
      </c>
      <c r="AH124" s="867" t="s">
        <v>242</v>
      </c>
      <c r="AI124" s="867" t="s">
        <v>243</v>
      </c>
      <c r="AJ124" s="867" t="s">
        <v>244</v>
      </c>
      <c r="AK124" s="867" t="s">
        <v>245</v>
      </c>
      <c r="AM124" s="868" t="s">
        <v>254</v>
      </c>
      <c r="AN124" s="869" t="s">
        <v>255</v>
      </c>
      <c r="AO124" s="505" t="s">
        <v>251</v>
      </c>
    </row>
    <row r="125" spans="1:41" s="504" customFormat="1" ht="12" customHeight="1">
      <c r="A125" s="870">
        <v>1</v>
      </c>
      <c r="B125" s="506" t="s">
        <v>272</v>
      </c>
      <c r="C125" s="872"/>
      <c r="D125" s="1326" t="s">
        <v>853</v>
      </c>
      <c r="E125" s="874">
        <f>IF(AND($A125=0,$A$1="DIF"),0, ROUND(ROUND(($R130*$S$2+($T130*$T$2))/A125,2)*$C$2,2))</f>
        <v>2913.72</v>
      </c>
      <c r="F125" s="875">
        <f>ROUND($A125*$E125,2)</f>
        <v>2913.72</v>
      </c>
      <c r="G125" s="876" t="s">
        <v>139</v>
      </c>
      <c r="H125" s="877"/>
      <c r="I125" s="878"/>
      <c r="J125" s="877"/>
      <c r="K125" s="877" t="s">
        <v>3</v>
      </c>
      <c r="L125" s="879" t="s">
        <v>140</v>
      </c>
      <c r="M125" s="879"/>
      <c r="N125" s="879"/>
      <c r="O125" s="879"/>
      <c r="P125" s="879"/>
      <c r="Q125" s="50"/>
      <c r="T125" s="880" t="str">
        <f>IF(AND($R130=0,$T130=0),"0.00","mu :" &amp; ROUND($F125/$C$2/($R130+$T130*$D$9),2))</f>
        <v>mu :1.22</v>
      </c>
      <c r="W125" s="507"/>
      <c r="AG125" s="465">
        <f>IF($E125=0,0,ROUND($R130*$S$2*$C$2/$A125,2))</f>
        <v>2470.5</v>
      </c>
      <c r="AH125" s="465">
        <f>$AG125*$A125</f>
        <v>2470.5</v>
      </c>
      <c r="AI125" s="508">
        <f>$E125-$AG125</f>
        <v>443.2199999999998</v>
      </c>
      <c r="AJ125" s="508">
        <f>$A125*$AI125</f>
        <v>443.2199999999998</v>
      </c>
      <c r="AK125" s="509">
        <f>ROUND(($AG125+$AI125)*$A125,2)</f>
        <v>2913.72</v>
      </c>
      <c r="AM125" s="510">
        <f>ROUND(R130,2)</f>
        <v>2025</v>
      </c>
      <c r="AN125" s="511">
        <f>ROUND(T130,2)</f>
        <v>12.6</v>
      </c>
      <c r="AO125" s="512">
        <f>ROUND(AM125+AN125,2)*A125</f>
        <v>2037.6</v>
      </c>
    </row>
    <row r="126" spans="1:41" s="504" customFormat="1" ht="13.2">
      <c r="A126" s="872"/>
      <c r="B126"/>
      <c r="C126" s="872"/>
      <c r="D126" s="873" t="s">
        <v>288</v>
      </c>
      <c r="F126" s="877"/>
      <c r="G126" s="3"/>
      <c r="H126" s="877"/>
      <c r="I126" s="878"/>
      <c r="J126" s="877"/>
      <c r="K126" s="877" t="s">
        <v>141</v>
      </c>
      <c r="L126" s="877"/>
      <c r="M126" s="877"/>
      <c r="N126" s="877"/>
      <c r="O126" s="877"/>
      <c r="P126" s="877"/>
      <c r="Q126" s="50"/>
      <c r="R126" s="513"/>
      <c r="S126" s="881"/>
      <c r="T126" s="877"/>
    </row>
    <row r="127" spans="1:41" s="1039" customFormat="1" ht="13.2">
      <c r="A127" s="1355">
        <f>2/2</f>
        <v>1</v>
      </c>
      <c r="B127" s="882" t="s">
        <v>1432</v>
      </c>
      <c r="D127" s="1039" t="s">
        <v>1433</v>
      </c>
      <c r="G127" s="1040" t="s">
        <v>1424</v>
      </c>
      <c r="H127" s="1041">
        <v>970</v>
      </c>
      <c r="I127" s="1039" t="s">
        <v>984</v>
      </c>
      <c r="K127" s="1214">
        <f>$O$5</f>
        <v>1</v>
      </c>
      <c r="O127" s="1042">
        <v>4</v>
      </c>
      <c r="P127" s="1043">
        <v>38129</v>
      </c>
      <c r="Q127" s="1044">
        <f>15*7*5</f>
        <v>525</v>
      </c>
      <c r="R127" s="883">
        <f>$A127*Q127</f>
        <v>525</v>
      </c>
      <c r="S127" s="1044"/>
      <c r="T127" s="1046">
        <f>$A127*S127*$T$1</f>
        <v>0</v>
      </c>
      <c r="W127" s="1039">
        <v>2</v>
      </c>
    </row>
    <row r="128" spans="1:41" s="1039" customFormat="1" ht="13.2">
      <c r="A128">
        <v>6</v>
      </c>
      <c r="B128" s="1039" t="s">
        <v>949</v>
      </c>
      <c r="D128" s="1039" t="s">
        <v>1434</v>
      </c>
      <c r="G128" s="1040" t="s">
        <v>1424</v>
      </c>
      <c r="H128" s="1041">
        <v>970</v>
      </c>
      <c r="I128" s="1039" t="s">
        <v>984</v>
      </c>
      <c r="K128" s="1214">
        <f>$O$5</f>
        <v>1</v>
      </c>
      <c r="O128" s="1042">
        <v>4</v>
      </c>
      <c r="P128" s="1043">
        <v>38129</v>
      </c>
      <c r="Q128" s="1044">
        <v>250</v>
      </c>
      <c r="R128" s="883">
        <f>$A128*Q128</f>
        <v>1500</v>
      </c>
      <c r="S128" s="1044">
        <v>2</v>
      </c>
      <c r="T128" s="1046">
        <f>$A128*S128*$T$1</f>
        <v>12.600000000000001</v>
      </c>
    </row>
    <row r="129" spans="1:41" s="504" customFormat="1" ht="12">
      <c r="A129" s="882"/>
      <c r="B129" s="882"/>
      <c r="C129" s="882"/>
      <c r="D129" s="882"/>
      <c r="E129" s="882"/>
      <c r="F129" s="877"/>
      <c r="G129" s="882"/>
      <c r="H129" s="882"/>
      <c r="I129" s="503"/>
      <c r="J129" s="882"/>
      <c r="K129" s="882"/>
      <c r="L129" s="882"/>
      <c r="M129" s="882"/>
      <c r="N129" s="882"/>
      <c r="O129" s="882"/>
      <c r="P129" s="882"/>
      <c r="Q129" s="503"/>
      <c r="R129" s="883">
        <f>$A129*Q129</f>
        <v>0</v>
      </c>
      <c r="S129" s="503"/>
      <c r="T129" s="884">
        <f>$A129*S129*$T$1</f>
        <v>0</v>
      </c>
    </row>
    <row r="130" spans="1:41" s="504" customFormat="1" ht="12.6" thickBot="1">
      <c r="A130" s="885" t="s">
        <v>142</v>
      </c>
      <c r="B130" s="886">
        <f>(R129+T129)</f>
        <v>0</v>
      </c>
      <c r="C130" s="887"/>
      <c r="D130" s="887"/>
      <c r="E130" s="887"/>
      <c r="F130" s="888"/>
      <c r="G130" s="887" t="s">
        <v>143</v>
      </c>
      <c r="H130" s="887"/>
      <c r="I130" s="889"/>
      <c r="J130" s="887"/>
      <c r="K130" s="887" t="s">
        <v>3</v>
      </c>
      <c r="L130" s="890" t="s">
        <v>140</v>
      </c>
      <c r="M130" s="890"/>
      <c r="N130" s="890"/>
      <c r="O130" s="890"/>
      <c r="P130" s="890"/>
      <c r="Q130" s="891"/>
      <c r="R130" s="892">
        <f>SUM(R126:R129)</f>
        <v>2025</v>
      </c>
      <c r="S130" s="887"/>
      <c r="T130" s="892">
        <f>SUM(T126:T129)</f>
        <v>12.600000000000001</v>
      </c>
      <c r="U130" s="514"/>
      <c r="V130" s="514"/>
      <c r="W130" s="514"/>
      <c r="X130" s="514"/>
      <c r="Y130" s="514"/>
      <c r="Z130" s="514"/>
      <c r="AA130" s="514"/>
      <c r="AB130" s="514"/>
      <c r="AC130" s="514"/>
      <c r="AD130" s="514"/>
      <c r="AE130" s="514"/>
      <c r="AF130" s="514"/>
      <c r="AG130" s="514"/>
      <c r="AH130" s="514"/>
      <c r="AI130" s="514"/>
      <c r="AJ130" s="514"/>
      <c r="AK130" s="514"/>
      <c r="AL130" s="514"/>
      <c r="AM130" s="514"/>
      <c r="AN130" s="514"/>
      <c r="AO130" s="514"/>
    </row>
    <row r="131" spans="1:41" s="504" customFormat="1" ht="12" thickTop="1">
      <c r="A131" s="50"/>
      <c r="B131" s="40"/>
      <c r="C131" s="50"/>
      <c r="E131" s="41" t="s">
        <v>136</v>
      </c>
      <c r="F131" s="41" t="s">
        <v>137</v>
      </c>
      <c r="G131" s="50"/>
      <c r="H131" s="50"/>
      <c r="I131" s="50"/>
      <c r="J131" s="50"/>
      <c r="K131" s="50" t="s">
        <v>138</v>
      </c>
      <c r="L131" s="50"/>
      <c r="M131" s="50"/>
      <c r="N131" s="50"/>
      <c r="O131" s="51"/>
      <c r="P131" s="50"/>
      <c r="Q131" s="50"/>
      <c r="R131" s="50"/>
      <c r="S131" s="50"/>
      <c r="T131" s="40"/>
      <c r="AG131" s="867" t="s">
        <v>241</v>
      </c>
      <c r="AH131" s="867" t="s">
        <v>242</v>
      </c>
      <c r="AI131" s="867" t="s">
        <v>243</v>
      </c>
      <c r="AJ131" s="867" t="s">
        <v>244</v>
      </c>
      <c r="AK131" s="867" t="s">
        <v>245</v>
      </c>
      <c r="AM131" s="868" t="s">
        <v>254</v>
      </c>
      <c r="AN131" s="869" t="s">
        <v>255</v>
      </c>
      <c r="AO131" s="505" t="s">
        <v>251</v>
      </c>
    </row>
    <row r="132" spans="1:41" s="504" customFormat="1" ht="12" customHeight="1">
      <c r="A132" s="870">
        <v>1</v>
      </c>
      <c r="B132" s="506" t="s">
        <v>272</v>
      </c>
      <c r="C132" s="872"/>
      <c r="D132" s="873" t="s">
        <v>854</v>
      </c>
      <c r="E132" s="874">
        <f>IF(AND($A132=0,$A$1="DIF"),0, ROUND(ROUND(($R138*$S$2+($T138*$T$2))/A132,2)*$C$2,2))</f>
        <v>0</v>
      </c>
      <c r="F132" s="875">
        <f>ROUND($A132*$E132,2)</f>
        <v>0</v>
      </c>
      <c r="G132" s="876" t="s">
        <v>139</v>
      </c>
      <c r="H132" s="877"/>
      <c r="I132" s="878"/>
      <c r="J132" s="877"/>
      <c r="K132" s="877" t="s">
        <v>3</v>
      </c>
      <c r="L132" s="879" t="s">
        <v>140</v>
      </c>
      <c r="M132" s="879"/>
      <c r="N132" s="879"/>
      <c r="O132" s="879"/>
      <c r="P132" s="879"/>
      <c r="Q132" s="50" t="s">
        <v>1509</v>
      </c>
      <c r="T132" s="880" t="str">
        <f>IF(AND($R138=0,$T138=0),"0.00","mu :" &amp; ROUND($F132/$C$2/($R138+$T138*$D$9),2))</f>
        <v>0.00</v>
      </c>
      <c r="W132" s="507"/>
      <c r="AG132" s="465">
        <f>IF($E132=0,0,ROUND($R138*$S$2*$C$2/$A132,2))</f>
        <v>0</v>
      </c>
      <c r="AH132" s="465">
        <f>$AG132*$A132</f>
        <v>0</v>
      </c>
      <c r="AI132" s="508">
        <f>$E132-$AG132</f>
        <v>0</v>
      </c>
      <c r="AJ132" s="508">
        <f>$A132*$AI132</f>
        <v>0</v>
      </c>
      <c r="AK132" s="509">
        <f>ROUND(($AG132+$AI132)*$A132,2)</f>
        <v>0</v>
      </c>
      <c r="AM132" s="510">
        <f>ROUND(R138,2)</f>
        <v>0</v>
      </c>
      <c r="AN132" s="511">
        <f>ROUND(T138,2)</f>
        <v>0</v>
      </c>
      <c r="AO132" s="512">
        <f>ROUND(AM132+AN132,2)*A132</f>
        <v>0</v>
      </c>
    </row>
    <row r="133" spans="1:41" s="504" customFormat="1" ht="13.2">
      <c r="A133" s="872"/>
      <c r="B133"/>
      <c r="C133" s="872"/>
      <c r="D133" s="873" t="s">
        <v>289</v>
      </c>
      <c r="F133" s="877"/>
      <c r="G133" s="3"/>
      <c r="H133" s="877"/>
      <c r="I133" s="878"/>
      <c r="J133" s="877"/>
      <c r="K133" s="877" t="s">
        <v>141</v>
      </c>
      <c r="L133" s="877"/>
      <c r="M133" s="877"/>
      <c r="N133" s="877"/>
      <c r="O133" s="877"/>
      <c r="P133" s="877"/>
      <c r="Q133" s="50"/>
      <c r="R133" s="513"/>
      <c r="S133" s="881"/>
      <c r="T133" s="877"/>
    </row>
    <row r="134" spans="1:41" s="504" customFormat="1" ht="12">
      <c r="A134" s="882"/>
      <c r="B134" s="882"/>
      <c r="C134" s="882"/>
      <c r="D134" s="882"/>
      <c r="E134" s="882"/>
      <c r="F134" s="877"/>
      <c r="G134" s="882"/>
      <c r="H134" s="882"/>
      <c r="I134" s="503"/>
      <c r="J134" s="882"/>
      <c r="K134" s="882"/>
      <c r="L134" s="882"/>
      <c r="M134" s="882"/>
      <c r="N134" s="882"/>
      <c r="O134" s="882"/>
      <c r="P134" s="882"/>
      <c r="Q134" s="503"/>
      <c r="R134" s="883">
        <f>$A134*Q134</f>
        <v>0</v>
      </c>
      <c r="S134" s="503"/>
      <c r="T134" s="884">
        <f>$A134*S134*$T$1</f>
        <v>0</v>
      </c>
    </row>
    <row r="135" spans="1:41" s="504" customFormat="1" ht="24.75" customHeight="1">
      <c r="A135" s="50"/>
      <c r="B135" s="882"/>
      <c r="C135" s="882"/>
      <c r="D135" s="1376" t="s">
        <v>1517</v>
      </c>
      <c r="E135" s="1376"/>
      <c r="F135" s="1376"/>
      <c r="G135" s="1299"/>
      <c r="H135" s="1299"/>
      <c r="I135" s="1299"/>
      <c r="J135" s="1299"/>
      <c r="K135" s="1299"/>
      <c r="L135" s="1299"/>
      <c r="M135" s="1299"/>
      <c r="N135" s="1299"/>
      <c r="O135" s="1299"/>
      <c r="P135" s="1299"/>
      <c r="Q135" s="1300"/>
      <c r="R135" s="883">
        <f>$A135*Q135</f>
        <v>0</v>
      </c>
      <c r="S135" s="503"/>
      <c r="T135" s="884">
        <f>$A135*S135*$T$1</f>
        <v>0</v>
      </c>
    </row>
    <row r="136" spans="1:41" s="504" customFormat="1" ht="12">
      <c r="A136" s="882"/>
      <c r="B136" s="882"/>
      <c r="C136" s="882"/>
      <c r="D136" s="882"/>
      <c r="E136" s="882"/>
      <c r="F136" s="877"/>
      <c r="G136" s="882"/>
      <c r="H136" s="882"/>
      <c r="I136" s="503"/>
      <c r="J136" s="882"/>
      <c r="K136" s="882"/>
      <c r="L136" s="882"/>
      <c r="M136" s="882"/>
      <c r="N136" s="882"/>
      <c r="O136" s="882"/>
      <c r="P136" s="882"/>
      <c r="Q136" s="503"/>
      <c r="R136" s="883">
        <f>$A136*Q136</f>
        <v>0</v>
      </c>
      <c r="S136" s="503"/>
      <c r="T136" s="884">
        <f>$A136*S136*$T$1</f>
        <v>0</v>
      </c>
    </row>
    <row r="137" spans="1:41" s="504" customFormat="1" ht="12">
      <c r="A137" s="882"/>
      <c r="B137" s="882"/>
      <c r="C137" s="882"/>
      <c r="D137" s="882"/>
      <c r="E137" s="882"/>
      <c r="F137" s="877"/>
      <c r="G137" s="882"/>
      <c r="H137" s="882"/>
      <c r="I137" s="503"/>
      <c r="J137" s="882"/>
      <c r="K137" s="882"/>
      <c r="L137" s="882"/>
      <c r="M137" s="882"/>
      <c r="N137" s="882"/>
      <c r="O137" s="882"/>
      <c r="P137" s="882"/>
      <c r="Q137" s="503"/>
      <c r="R137" s="883">
        <f>$A137*Q137</f>
        <v>0</v>
      </c>
      <c r="S137" s="503"/>
      <c r="T137" s="884">
        <f>$A137*S137*$T$1</f>
        <v>0</v>
      </c>
    </row>
    <row r="138" spans="1:41" s="504" customFormat="1" ht="12.6" thickBot="1">
      <c r="A138" s="885" t="s">
        <v>142</v>
      </c>
      <c r="B138" s="886">
        <f>(R137+T137)</f>
        <v>0</v>
      </c>
      <c r="C138" s="887"/>
      <c r="D138" s="887"/>
      <c r="E138" s="887"/>
      <c r="F138" s="888"/>
      <c r="G138" s="887" t="s">
        <v>143</v>
      </c>
      <c r="H138" s="887"/>
      <c r="I138" s="889"/>
      <c r="J138" s="887"/>
      <c r="K138" s="887" t="s">
        <v>3</v>
      </c>
      <c r="L138" s="890" t="s">
        <v>140</v>
      </c>
      <c r="M138" s="890"/>
      <c r="N138" s="890"/>
      <c r="O138" s="890"/>
      <c r="P138" s="890"/>
      <c r="Q138" s="891"/>
      <c r="R138" s="892">
        <f>SUM(R133:R137)</f>
        <v>0</v>
      </c>
      <c r="S138" s="887"/>
      <c r="T138" s="892">
        <f>SUM(T133:T137)</f>
        <v>0</v>
      </c>
      <c r="U138" s="514"/>
      <c r="V138" s="514"/>
      <c r="W138" s="514"/>
      <c r="X138" s="514"/>
      <c r="Y138" s="514"/>
      <c r="Z138" s="514"/>
      <c r="AA138" s="514"/>
      <c r="AB138" s="514"/>
      <c r="AC138" s="514"/>
      <c r="AD138" s="514"/>
      <c r="AE138" s="514"/>
      <c r="AF138" s="514"/>
      <c r="AG138" s="514"/>
      <c r="AH138" s="514"/>
      <c r="AI138" s="514"/>
      <c r="AJ138" s="514"/>
      <c r="AK138" s="514"/>
      <c r="AL138" s="514"/>
      <c r="AM138" s="514"/>
      <c r="AN138" s="514"/>
      <c r="AO138" s="514"/>
    </row>
    <row r="139" spans="1:41" s="504" customFormat="1" ht="12" thickTop="1">
      <c r="A139" s="47" t="s">
        <v>145</v>
      </c>
      <c r="D139" s="13"/>
      <c r="E139" s="41"/>
      <c r="O139" s="893"/>
    </row>
    <row r="140" spans="1:41" s="504" customFormat="1" ht="13.2">
      <c r="B140" s="3"/>
      <c r="O140" s="893"/>
    </row>
    <row r="141" spans="1:41" s="504" customFormat="1" ht="12">
      <c r="B141" s="894">
        <f>$F141/$C$2-($R141*$S$2+$T141*$T$2)</f>
        <v>-8.7600000097154407E-4</v>
      </c>
      <c r="D141" s="895" t="s">
        <v>817</v>
      </c>
      <c r="E141" s="896"/>
      <c r="F141" s="897">
        <f>SUMIF($L89:$L139,"ITEM",F89:F139)</f>
        <v>5536.7199999999993</v>
      </c>
      <c r="G141" s="882"/>
      <c r="H141" s="882"/>
      <c r="I141" s="503"/>
      <c r="J141" s="882"/>
      <c r="K141" s="882"/>
      <c r="L141" s="879" t="s">
        <v>154</v>
      </c>
      <c r="M141" s="879"/>
      <c r="N141" s="879"/>
      <c r="O141" s="879"/>
      <c r="P141" s="879"/>
      <c r="R141" s="897">
        <f>SUMIF($L89:$L139,"ITEM",R89:R139)</f>
        <v>4175</v>
      </c>
      <c r="S141" s="898"/>
      <c r="T141" s="897">
        <f>SUMIF($L89:$L139,"ITEM",T89:T139)</f>
        <v>12.600000000000001</v>
      </c>
    </row>
    <row r="142" spans="1:41" s="504" customFormat="1" ht="13.2">
      <c r="A142" s="50"/>
      <c r="B142" s="48" t="s">
        <v>816</v>
      </c>
      <c r="C142" s="50"/>
      <c r="D142" s="3"/>
      <c r="F142" s="899" t="s">
        <v>155</v>
      </c>
      <c r="G142" s="882"/>
      <c r="H142" s="882"/>
      <c r="I142" s="503"/>
      <c r="J142" s="882"/>
      <c r="K142" s="882"/>
      <c r="L142" s="882"/>
      <c r="M142" s="882"/>
      <c r="N142" s="882"/>
      <c r="O142" s="882"/>
      <c r="P142" s="882"/>
      <c r="Q142" s="900"/>
      <c r="R142" s="899" t="s">
        <v>156</v>
      </c>
      <c r="S142" s="38"/>
      <c r="T142" s="899" t="s">
        <v>157</v>
      </c>
    </row>
    <row r="143" spans="1:41" s="504" customFormat="1" ht="13.2">
      <c r="A143" s="882"/>
      <c r="B143" s="3"/>
      <c r="C143" s="882"/>
      <c r="D143" s="3"/>
      <c r="E143" s="3"/>
      <c r="G143" s="3"/>
      <c r="H143" s="3"/>
      <c r="I143" s="3"/>
      <c r="J143" s="3"/>
      <c r="K143" s="3"/>
      <c r="L143" s="3"/>
      <c r="M143" s="3"/>
      <c r="N143" s="3"/>
      <c r="O143" s="103"/>
      <c r="P143" s="3"/>
      <c r="Q143" s="3"/>
      <c r="R143" s="3"/>
      <c r="S143" s="3"/>
      <c r="T143" s="3"/>
    </row>
    <row r="144" spans="1:41" s="504" customFormat="1" ht="12" thickBot="1">
      <c r="A144" s="514"/>
      <c r="B144" s="887"/>
      <c r="C144" s="887"/>
      <c r="D144" s="514"/>
      <c r="E144" s="39"/>
      <c r="F144" s="901"/>
      <c r="G144" s="887"/>
      <c r="H144" s="887"/>
      <c r="I144" s="889"/>
      <c r="J144" s="887"/>
      <c r="K144" s="887"/>
      <c r="L144" s="890"/>
      <c r="M144" s="890"/>
      <c r="N144" s="890"/>
      <c r="O144" s="890"/>
      <c r="P144" s="890"/>
      <c r="Q144" s="891"/>
      <c r="R144" s="901"/>
      <c r="S144" s="902"/>
      <c r="T144" s="901"/>
      <c r="U144" s="514"/>
      <c r="V144" s="514"/>
      <c r="W144" s="514"/>
      <c r="X144" s="514"/>
      <c r="Y144" s="514"/>
      <c r="Z144" s="514"/>
      <c r="AA144" s="514"/>
      <c r="AB144" s="514"/>
      <c r="AC144" s="514"/>
      <c r="AD144" s="514"/>
      <c r="AE144" s="514"/>
      <c r="AF144" s="514"/>
      <c r="AG144" s="514"/>
      <c r="AH144" s="514"/>
      <c r="AI144" s="514"/>
      <c r="AJ144" s="514"/>
      <c r="AK144" s="514"/>
    </row>
    <row r="145" spans="1:37" s="504" customFormat="1" thickTop="1">
      <c r="A145" s="47" t="s">
        <v>145</v>
      </c>
      <c r="B145" s="3"/>
      <c r="C145" s="50"/>
      <c r="D145" s="50"/>
      <c r="E145" s="50"/>
      <c r="F145" s="50"/>
      <c r="G145" s="50"/>
      <c r="H145" s="50"/>
      <c r="I145" s="50"/>
      <c r="J145" s="50"/>
      <c r="K145" s="50"/>
      <c r="L145" s="50"/>
      <c r="M145" s="50"/>
      <c r="N145" s="50"/>
      <c r="O145" s="51"/>
      <c r="P145" s="50"/>
      <c r="Q145" s="50"/>
      <c r="R145" s="50"/>
      <c r="S145" s="50"/>
      <c r="T145" s="50"/>
    </row>
    <row r="146" spans="1:37" s="504" customFormat="1" ht="13.2">
      <c r="A146" s="50"/>
      <c r="B146" s="3"/>
      <c r="C146" s="3"/>
      <c r="E146" s="3"/>
      <c r="F146" s="3"/>
      <c r="G146" s="3"/>
      <c r="H146" s="3"/>
      <c r="I146" s="3"/>
      <c r="J146" s="3"/>
      <c r="K146" s="3"/>
      <c r="L146" s="3"/>
      <c r="M146" s="3"/>
      <c r="N146" s="3"/>
      <c r="O146" s="103"/>
      <c r="P146" s="3"/>
      <c r="Q146" s="3"/>
      <c r="R146" s="3"/>
      <c r="S146" s="3"/>
      <c r="T146" s="3"/>
    </row>
    <row r="147" spans="1:37" s="504" customFormat="1" ht="12">
      <c r="A147" s="50"/>
      <c r="B147" s="894">
        <f>$F147/$C$2-($R147*$S$2+$T147*$T$2)</f>
        <v>-8.7600000097154407E-4</v>
      </c>
      <c r="C147" s="50"/>
      <c r="D147" s="913" t="s">
        <v>925</v>
      </c>
      <c r="E147" s="896"/>
      <c r="F147" s="914">
        <f>SUMIF($L14:$L145,"PAGE",F14:F145)</f>
        <v>7781.5199999999995</v>
      </c>
      <c r="G147" s="882"/>
      <c r="H147" s="882"/>
      <c r="I147" s="503"/>
      <c r="J147" s="882"/>
      <c r="K147" s="882"/>
      <c r="L147" s="117" t="s">
        <v>918</v>
      </c>
      <c r="M147" s="117"/>
      <c r="N147" s="117"/>
      <c r="O147" s="118"/>
      <c r="P147" s="117"/>
      <c r="Q147" s="50"/>
      <c r="R147" s="914">
        <f>SUMIF($L14:$L145,"PAGE",R14:R145)</f>
        <v>6015</v>
      </c>
      <c r="S147" s="50"/>
      <c r="T147" s="914">
        <f>SUMIF($L14:$L145,"PAGE",T14:T145)</f>
        <v>12.600000000000001</v>
      </c>
    </row>
    <row r="148" spans="1:37" s="504" customFormat="1" ht="12">
      <c r="A148" s="50"/>
      <c r="B148" s="48" t="s">
        <v>816</v>
      </c>
      <c r="C148" s="50"/>
      <c r="D148" s="913"/>
      <c r="F148" s="915" t="s">
        <v>919</v>
      </c>
      <c r="G148" s="882"/>
      <c r="H148" s="882"/>
      <c r="I148" s="503"/>
      <c r="J148" s="882"/>
      <c r="K148" s="882"/>
      <c r="L148" s="50"/>
      <c r="M148" s="50"/>
      <c r="N148" s="50"/>
      <c r="O148" s="51"/>
      <c r="P148" s="50"/>
      <c r="Q148" s="50"/>
      <c r="R148" s="915" t="s">
        <v>920</v>
      </c>
      <c r="S148" s="38"/>
      <c r="T148" s="915" t="s">
        <v>921</v>
      </c>
    </row>
    <row r="149" spans="1:37" s="504" customFormat="1" ht="11.4">
      <c r="O149" s="893"/>
    </row>
    <row r="150" spans="1:37" s="504" customFormat="1" ht="12" thickBot="1">
      <c r="A150" s="887"/>
      <c r="B150" s="887"/>
      <c r="C150" s="887"/>
      <c r="D150" s="887"/>
      <c r="E150" s="887"/>
      <c r="F150" s="39"/>
      <c r="G150" s="514"/>
      <c r="H150" s="514"/>
      <c r="I150" s="514"/>
      <c r="J150" s="514"/>
      <c r="K150" s="514"/>
      <c r="L150" s="887"/>
      <c r="M150" s="887"/>
      <c r="N150" s="887"/>
      <c r="O150" s="887"/>
      <c r="P150" s="887"/>
      <c r="Q150" s="891"/>
      <c r="R150" s="39"/>
      <c r="S150" s="39"/>
      <c r="T150" s="39"/>
      <c r="U150" s="514"/>
      <c r="V150" s="514"/>
      <c r="W150" s="514"/>
      <c r="X150" s="514"/>
      <c r="Y150" s="514"/>
      <c r="Z150" s="514"/>
      <c r="AA150" s="514"/>
      <c r="AB150" s="514"/>
      <c r="AC150" s="514"/>
      <c r="AD150" s="514"/>
      <c r="AE150" s="514"/>
      <c r="AF150" s="514"/>
      <c r="AG150" s="514"/>
      <c r="AH150" s="514"/>
      <c r="AI150" s="514"/>
      <c r="AJ150" s="514"/>
      <c r="AK150" s="514"/>
    </row>
    <row r="151" spans="1:37" s="504" customFormat="1" thickTop="1">
      <c r="A151" s="906"/>
      <c r="B151" s="906"/>
      <c r="C151" s="907"/>
      <c r="D151" s="907"/>
      <c r="E151" s="906"/>
      <c r="F151" s="906"/>
      <c r="G151" s="906"/>
      <c r="H151" s="906"/>
      <c r="I151" s="906"/>
      <c r="J151" s="906"/>
      <c r="K151" s="906" t="s">
        <v>133</v>
      </c>
      <c r="L151" s="906"/>
      <c r="M151" s="906"/>
      <c r="N151" s="906"/>
      <c r="O151" s="908"/>
      <c r="P151" s="906"/>
      <c r="Q151" s="906"/>
      <c r="R151" s="906"/>
      <c r="S151" s="906"/>
      <c r="T151" s="906"/>
    </row>
    <row r="152" spans="1:37" s="504" customFormat="1" ht="12">
      <c r="A152" s="906"/>
      <c r="B152" s="906"/>
      <c r="C152" s="906" t="s">
        <v>134</v>
      </c>
      <c r="D152" s="909"/>
      <c r="E152" s="906"/>
      <c r="F152" s="906"/>
      <c r="G152" s="906"/>
      <c r="H152" s="906"/>
      <c r="I152" s="906"/>
      <c r="J152" s="906"/>
      <c r="K152" s="906"/>
      <c r="L152" s="906"/>
      <c r="M152" s="906"/>
      <c r="N152" s="906"/>
      <c r="O152" s="908"/>
      <c r="P152" s="906"/>
      <c r="Q152" s="906"/>
      <c r="R152" s="906"/>
      <c r="S152" s="906"/>
      <c r="T152" s="906"/>
    </row>
    <row r="153" spans="1:37" s="504" customFormat="1" ht="12">
      <c r="A153" s="906"/>
      <c r="B153" s="906"/>
      <c r="C153" s="906"/>
      <c r="D153" s="909" t="s">
        <v>290</v>
      </c>
      <c r="E153" s="906"/>
      <c r="F153" s="906"/>
      <c r="G153" s="906"/>
      <c r="H153" s="906"/>
      <c r="I153" s="906"/>
      <c r="J153" s="906"/>
      <c r="K153" s="906"/>
      <c r="L153" s="906"/>
      <c r="M153" s="906"/>
      <c r="N153" s="906"/>
      <c r="O153" s="908"/>
      <c r="P153" s="906"/>
      <c r="Q153" s="906"/>
      <c r="R153" s="906"/>
      <c r="S153" s="910"/>
      <c r="T153" s="910"/>
    </row>
    <row r="154" spans="1:37" s="3" customFormat="1" thickBot="1">
      <c r="A154" s="911"/>
      <c r="B154" s="907"/>
      <c r="C154" s="907"/>
      <c r="D154" s="907"/>
      <c r="E154" s="907"/>
      <c r="F154" s="907"/>
      <c r="G154" s="907"/>
      <c r="H154" s="907"/>
      <c r="I154" s="907"/>
      <c r="J154" s="907"/>
      <c r="K154" s="907"/>
      <c r="L154" s="907"/>
      <c r="M154" s="907"/>
      <c r="N154" s="907"/>
      <c r="O154" s="912"/>
      <c r="P154" s="907"/>
      <c r="Q154" s="907"/>
      <c r="R154" s="907"/>
      <c r="S154" s="907"/>
      <c r="T154" s="907"/>
    </row>
    <row r="155" spans="1:37" s="504" customFormat="1" thickTop="1">
      <c r="A155" s="50"/>
      <c r="B155" s="50"/>
      <c r="C155" s="3"/>
      <c r="D155" s="3"/>
      <c r="E155" s="50"/>
      <c r="F155" s="50"/>
      <c r="G155" s="50"/>
      <c r="H155" s="50"/>
      <c r="I155" s="50"/>
      <c r="J155" s="50"/>
      <c r="K155" s="50" t="s">
        <v>133</v>
      </c>
      <c r="L155" s="50"/>
      <c r="M155" s="50"/>
      <c r="N155" s="50"/>
      <c r="O155" s="51"/>
      <c r="P155" s="50"/>
      <c r="Q155" s="50"/>
      <c r="R155" s="50"/>
      <c r="S155" s="50"/>
      <c r="T155" s="50"/>
    </row>
    <row r="156" spans="1:37" s="504" customFormat="1" ht="12">
      <c r="A156" s="50"/>
      <c r="B156" s="50"/>
      <c r="C156" s="50" t="s">
        <v>134</v>
      </c>
      <c r="D156" s="37"/>
      <c r="E156" s="50"/>
      <c r="F156" s="50"/>
      <c r="G156" s="50"/>
      <c r="H156" s="50"/>
      <c r="I156" s="50"/>
      <c r="J156" s="50"/>
      <c r="K156" s="50"/>
      <c r="L156" s="50"/>
      <c r="M156" s="50"/>
      <c r="N156" s="50"/>
      <c r="O156" s="51"/>
      <c r="P156" s="50"/>
      <c r="Q156" s="50"/>
      <c r="R156" s="50"/>
      <c r="S156" s="50"/>
      <c r="T156" s="50"/>
    </row>
    <row r="157" spans="1:37" s="504" customFormat="1" ht="12">
      <c r="A157" s="50"/>
      <c r="B157" s="50"/>
      <c r="C157" s="50"/>
      <c r="D157" s="37" t="s">
        <v>291</v>
      </c>
      <c r="E157" s="50"/>
      <c r="F157" s="50"/>
      <c r="G157" s="50"/>
      <c r="H157" s="50"/>
      <c r="I157" s="50"/>
      <c r="J157" s="50"/>
      <c r="K157" s="50"/>
      <c r="L157" s="50"/>
      <c r="M157" s="50"/>
      <c r="N157" s="50"/>
      <c r="O157" s="51"/>
      <c r="P157" s="50"/>
      <c r="Q157" s="50"/>
      <c r="R157" s="50"/>
      <c r="S157" s="38"/>
      <c r="T157" s="38"/>
    </row>
    <row r="158" spans="1:37" s="3" customFormat="1" thickBot="1">
      <c r="A158" s="514"/>
      <c r="O158" s="103"/>
    </row>
    <row r="159" spans="1:37" s="504" customFormat="1" thickTop="1">
      <c r="A159" s="50"/>
      <c r="B159" s="50"/>
      <c r="C159" s="3"/>
      <c r="D159" s="3"/>
      <c r="E159" s="50"/>
      <c r="F159" s="50"/>
      <c r="G159" s="50"/>
      <c r="H159" s="50"/>
      <c r="I159" s="50"/>
      <c r="J159" s="50"/>
      <c r="K159" s="50" t="s">
        <v>133</v>
      </c>
      <c r="L159" s="50"/>
      <c r="M159" s="50"/>
      <c r="N159" s="50"/>
      <c r="O159" s="51"/>
      <c r="P159" s="50"/>
      <c r="Q159" s="50"/>
      <c r="R159" s="50"/>
      <c r="S159" s="50"/>
      <c r="T159" s="50"/>
    </row>
    <row r="160" spans="1:37" s="504" customFormat="1" ht="12">
      <c r="A160" s="50"/>
      <c r="B160" s="50"/>
      <c r="C160" s="50" t="s">
        <v>134</v>
      </c>
      <c r="D160" s="37"/>
      <c r="E160" s="50"/>
      <c r="F160" s="50"/>
      <c r="G160" s="50"/>
      <c r="H160" s="50"/>
      <c r="I160" s="50"/>
      <c r="J160" s="50"/>
      <c r="K160" s="50"/>
      <c r="L160" s="50"/>
      <c r="M160" s="50"/>
      <c r="N160" s="50"/>
      <c r="O160" s="51"/>
      <c r="P160" s="50"/>
      <c r="Q160" s="50"/>
      <c r="R160" s="50"/>
      <c r="S160" s="50"/>
      <c r="T160" s="50"/>
    </row>
    <row r="161" spans="1:41" s="504" customFormat="1" ht="12">
      <c r="A161" s="50"/>
      <c r="B161" s="50"/>
      <c r="C161" s="50"/>
      <c r="D161" s="37" t="s">
        <v>802</v>
      </c>
      <c r="E161" s="50"/>
      <c r="F161" s="50"/>
      <c r="G161" s="50"/>
      <c r="H161" s="50"/>
      <c r="I161" s="50"/>
      <c r="J161" s="50"/>
      <c r="K161" s="50"/>
      <c r="L161" s="50"/>
      <c r="M161" s="50"/>
      <c r="N161" s="50"/>
      <c r="O161" s="51"/>
      <c r="P161" s="50"/>
      <c r="Q161" s="50"/>
      <c r="R161" s="50"/>
      <c r="S161" s="38"/>
      <c r="T161" s="38"/>
    </row>
    <row r="162" spans="1:41" s="3" customFormat="1" thickBot="1">
      <c r="A162" s="514"/>
      <c r="O162" s="103"/>
    </row>
    <row r="163" spans="1:41" s="504" customFormat="1" thickTop="1">
      <c r="A163" s="50"/>
      <c r="B163" s="50"/>
      <c r="C163" s="3"/>
      <c r="D163" s="3"/>
      <c r="E163" s="50"/>
      <c r="F163" s="50"/>
      <c r="G163" s="50"/>
      <c r="H163" s="50"/>
      <c r="I163" s="50"/>
      <c r="J163" s="50"/>
      <c r="K163" s="50" t="s">
        <v>133</v>
      </c>
      <c r="L163" s="50"/>
      <c r="M163" s="50"/>
      <c r="N163" s="50"/>
      <c r="O163" s="51"/>
      <c r="P163" s="50"/>
      <c r="Q163" s="50"/>
      <c r="R163" s="50"/>
      <c r="S163" s="50"/>
      <c r="T163" s="50"/>
    </row>
    <row r="164" spans="1:41" s="504" customFormat="1" ht="12">
      <c r="A164" s="50"/>
      <c r="B164" s="50"/>
      <c r="C164" s="50" t="s">
        <v>134</v>
      </c>
      <c r="D164" s="37" t="s">
        <v>803</v>
      </c>
      <c r="E164" s="50"/>
      <c r="F164" s="50"/>
      <c r="G164" s="50"/>
      <c r="H164" s="50"/>
      <c r="I164" s="50"/>
      <c r="J164" s="50"/>
      <c r="K164" s="50"/>
      <c r="L164" s="50"/>
      <c r="M164" s="50"/>
      <c r="N164" s="50"/>
      <c r="O164" s="51"/>
      <c r="P164" s="50"/>
      <c r="Q164" s="50"/>
      <c r="R164" s="50"/>
      <c r="S164" s="50"/>
      <c r="T164" s="50"/>
    </row>
    <row r="165" spans="1:41" s="504" customFormat="1" ht="12">
      <c r="A165" s="50"/>
      <c r="B165" s="50"/>
      <c r="C165" s="50"/>
      <c r="D165" s="37" t="s">
        <v>293</v>
      </c>
      <c r="E165" s="50"/>
      <c r="F165" s="50"/>
      <c r="G165" s="50"/>
      <c r="H165" s="50"/>
      <c r="I165" s="50"/>
      <c r="J165" s="50"/>
      <c r="K165" s="50"/>
      <c r="L165" s="50"/>
      <c r="M165" s="50"/>
      <c r="N165" s="50"/>
      <c r="O165" s="51"/>
      <c r="P165" s="50"/>
      <c r="Q165" s="50"/>
      <c r="R165" s="50"/>
      <c r="S165" s="38"/>
      <c r="T165" s="38"/>
    </row>
    <row r="166" spans="1:41" s="3" customFormat="1" thickBot="1">
      <c r="A166" s="514"/>
      <c r="O166" s="103"/>
    </row>
    <row r="167" spans="1:41" s="504" customFormat="1" ht="12" thickTop="1">
      <c r="A167" s="50"/>
      <c r="B167" s="40"/>
      <c r="C167" s="50"/>
      <c r="E167" s="41" t="s">
        <v>136</v>
      </c>
      <c r="F167" s="41" t="s">
        <v>137</v>
      </c>
      <c r="G167" s="50"/>
      <c r="H167" s="50"/>
      <c r="I167" s="50"/>
      <c r="J167" s="50"/>
      <c r="K167" s="50" t="s">
        <v>138</v>
      </c>
      <c r="L167" s="50"/>
      <c r="M167" s="50"/>
      <c r="N167" s="50"/>
      <c r="O167" s="51"/>
      <c r="P167" s="50"/>
      <c r="Q167" s="50"/>
      <c r="R167" s="50"/>
      <c r="S167" s="50"/>
      <c r="T167" s="40"/>
      <c r="AG167" s="867" t="s">
        <v>241</v>
      </c>
      <c r="AH167" s="867" t="s">
        <v>242</v>
      </c>
      <c r="AI167" s="867" t="s">
        <v>243</v>
      </c>
      <c r="AJ167" s="867" t="s">
        <v>244</v>
      </c>
      <c r="AK167" s="867" t="s">
        <v>245</v>
      </c>
      <c r="AM167" s="868" t="s">
        <v>254</v>
      </c>
      <c r="AN167" s="869" t="s">
        <v>255</v>
      </c>
      <c r="AO167" s="505" t="s">
        <v>251</v>
      </c>
    </row>
    <row r="168" spans="1:41" s="504" customFormat="1" ht="12" customHeight="1">
      <c r="A168" s="870">
        <v>1</v>
      </c>
      <c r="B168" s="871" t="s">
        <v>272</v>
      </c>
      <c r="C168" s="872"/>
      <c r="D168" s="873" t="s">
        <v>804</v>
      </c>
      <c r="E168" s="874">
        <f>IF(AND($A168=0,$A$1="DIF"),0, ROUND(ROUND(($R172*$S$2+($T172*$T$2))/A168,2)*$C$2,2))</f>
        <v>1256.56</v>
      </c>
      <c r="F168" s="875">
        <f>ROUND($A168*$E168,2)</f>
        <v>1256.56</v>
      </c>
      <c r="G168" s="876" t="s">
        <v>139</v>
      </c>
      <c r="H168" s="877"/>
      <c r="I168" s="878"/>
      <c r="J168" s="877"/>
      <c r="K168" s="877" t="s">
        <v>3</v>
      </c>
      <c r="L168" s="879" t="s">
        <v>140</v>
      </c>
      <c r="M168" s="879"/>
      <c r="N168" s="879"/>
      <c r="O168" s="879"/>
      <c r="P168" s="879"/>
      <c r="Q168" s="50"/>
      <c r="T168" s="880" t="str">
        <f>IF(AND($R172=0,$T172=0),"0.00","mu :" &amp; ROUND($F168/$C$2/($R172+$T172*$D$9),2))</f>
        <v>mu :1.22</v>
      </c>
      <c r="W168" s="507"/>
      <c r="AG168" s="465">
        <f>IF($E168=0,0,ROUND($R172*$S$2*$C$2/$A168,2))</f>
        <v>1256.56</v>
      </c>
      <c r="AH168" s="465">
        <f>$AG168*$A168</f>
        <v>1256.56</v>
      </c>
      <c r="AI168" s="508">
        <f>$E168-$AG168</f>
        <v>0</v>
      </c>
      <c r="AJ168" s="508">
        <f>$A168*$AI168</f>
        <v>0</v>
      </c>
      <c r="AK168" s="509">
        <f>ROUND(($AG168+$AI168)*$A168,2)</f>
        <v>1256.56</v>
      </c>
      <c r="AM168" s="510">
        <f>ROUND(R172,2)</f>
        <v>1029.97</v>
      </c>
      <c r="AN168" s="511">
        <f>ROUND(T172,2)</f>
        <v>0</v>
      </c>
      <c r="AO168" s="512">
        <f>ROUND(AM168+AN168,2)*A168</f>
        <v>1029.97</v>
      </c>
    </row>
    <row r="169" spans="1:41" s="504" customFormat="1" ht="13.2">
      <c r="A169" s="872"/>
      <c r="B169"/>
      <c r="C169" s="872"/>
      <c r="D169" s="916" t="s">
        <v>805</v>
      </c>
      <c r="E169" s="917"/>
      <c r="F169" s="918"/>
      <c r="G169" s="919"/>
      <c r="H169" s="918"/>
      <c r="I169" s="920"/>
      <c r="J169" s="918"/>
      <c r="K169" s="918" t="s">
        <v>141</v>
      </c>
      <c r="L169" s="918"/>
      <c r="M169" s="918"/>
      <c r="N169" s="918"/>
      <c r="O169" s="918"/>
      <c r="P169" s="918"/>
      <c r="Q169" s="921"/>
      <c r="R169" s="513"/>
      <c r="S169" s="881"/>
      <c r="T169" s="877"/>
    </row>
    <row r="170" spans="1:41" s="1039" customFormat="1" ht="21">
      <c r="A170">
        <v>1</v>
      </c>
      <c r="B170" s="1039" t="s">
        <v>949</v>
      </c>
      <c r="D170" s="1047" t="s">
        <v>953</v>
      </c>
      <c r="E170" s="1047"/>
      <c r="F170" s="1047"/>
      <c r="G170" s="1040" t="s">
        <v>950</v>
      </c>
      <c r="H170" s="1041">
        <v>510</v>
      </c>
      <c r="I170" s="1039" t="s">
        <v>951</v>
      </c>
      <c r="K170" s="1039" t="s">
        <v>952</v>
      </c>
      <c r="O170" s="1042">
        <v>2</v>
      </c>
      <c r="P170" s="1043"/>
      <c r="Q170" s="1044">
        <v>1029.97</v>
      </c>
      <c r="R170" s="1045">
        <f>$A170*Q170</f>
        <v>1029.97</v>
      </c>
      <c r="S170" s="1044"/>
      <c r="T170" s="1046">
        <f>$A170*S170*$T$1</f>
        <v>0</v>
      </c>
    </row>
    <row r="171" spans="1:41" s="504" customFormat="1" ht="12">
      <c r="A171" s="882"/>
      <c r="B171" s="882"/>
      <c r="C171" s="882"/>
      <c r="D171" s="882"/>
      <c r="E171" s="882"/>
      <c r="F171" s="877"/>
      <c r="G171" s="882"/>
      <c r="H171" s="882"/>
      <c r="I171" s="503"/>
      <c r="J171" s="882"/>
      <c r="K171" s="882"/>
      <c r="L171" s="882"/>
      <c r="M171" s="882"/>
      <c r="N171" s="882"/>
      <c r="O171" s="882"/>
      <c r="P171" s="882"/>
      <c r="Q171" s="503"/>
      <c r="R171" s="883">
        <f>$A171*Q171</f>
        <v>0</v>
      </c>
      <c r="S171" s="503"/>
      <c r="T171" s="884">
        <f>$A171*S171*$T$1</f>
        <v>0</v>
      </c>
    </row>
    <row r="172" spans="1:41" s="504" customFormat="1" ht="12.6" thickBot="1">
      <c r="A172" s="885" t="s">
        <v>142</v>
      </c>
      <c r="B172" s="886">
        <f>(R171+T171)</f>
        <v>0</v>
      </c>
      <c r="C172" s="887"/>
      <c r="D172" s="887"/>
      <c r="E172" s="887"/>
      <c r="F172" s="888"/>
      <c r="G172" s="887" t="s">
        <v>143</v>
      </c>
      <c r="H172" s="887"/>
      <c r="I172" s="889"/>
      <c r="J172" s="887"/>
      <c r="K172" s="887" t="s">
        <v>3</v>
      </c>
      <c r="L172" s="890" t="s">
        <v>140</v>
      </c>
      <c r="M172" s="890"/>
      <c r="N172" s="890"/>
      <c r="O172" s="890"/>
      <c r="P172" s="890"/>
      <c r="Q172" s="891"/>
      <c r="R172" s="892">
        <f>SUM(R169:R171)</f>
        <v>1029.97</v>
      </c>
      <c r="S172" s="887"/>
      <c r="T172" s="892">
        <f>SUM(T169:T171)</f>
        <v>0</v>
      </c>
      <c r="U172" s="514"/>
      <c r="V172" s="514"/>
      <c r="W172" s="514"/>
      <c r="X172" s="514"/>
      <c r="Y172" s="514"/>
      <c r="Z172" s="514"/>
      <c r="AA172" s="514"/>
      <c r="AB172" s="514"/>
      <c r="AC172" s="514"/>
      <c r="AD172" s="514"/>
      <c r="AE172" s="514"/>
      <c r="AF172" s="514"/>
      <c r="AG172" s="514"/>
      <c r="AH172" s="514"/>
      <c r="AI172" s="514"/>
      <c r="AJ172" s="514"/>
      <c r="AK172" s="514"/>
      <c r="AL172" s="514"/>
      <c r="AM172" s="514"/>
      <c r="AN172" s="514"/>
      <c r="AO172" s="514"/>
    </row>
    <row r="173" spans="1:41" s="504" customFormat="1" ht="12" thickTop="1">
      <c r="A173" s="50"/>
      <c r="B173" s="40"/>
      <c r="C173" s="50"/>
      <c r="E173" s="41" t="s">
        <v>136</v>
      </c>
      <c r="F173" s="41" t="s">
        <v>137</v>
      </c>
      <c r="G173" s="50"/>
      <c r="H173" s="50"/>
      <c r="I173" s="50"/>
      <c r="J173" s="50"/>
      <c r="K173" s="50" t="s">
        <v>138</v>
      </c>
      <c r="L173" s="50"/>
      <c r="M173" s="50"/>
      <c r="N173" s="50"/>
      <c r="O173" s="51"/>
      <c r="P173" s="50"/>
      <c r="Q173" s="50"/>
      <c r="R173" s="50"/>
      <c r="S173" s="50"/>
      <c r="T173" s="40"/>
      <c r="AG173" s="867" t="s">
        <v>241</v>
      </c>
      <c r="AH173" s="867" t="s">
        <v>242</v>
      </c>
      <c r="AI173" s="867" t="s">
        <v>243</v>
      </c>
      <c r="AJ173" s="867" t="s">
        <v>244</v>
      </c>
      <c r="AK173" s="867" t="s">
        <v>245</v>
      </c>
      <c r="AM173" s="868" t="s">
        <v>254</v>
      </c>
      <c r="AN173" s="869" t="s">
        <v>255</v>
      </c>
      <c r="AO173" s="505" t="s">
        <v>251</v>
      </c>
    </row>
    <row r="174" spans="1:41" s="504" customFormat="1" ht="12" customHeight="1">
      <c r="A174" s="870">
        <v>1</v>
      </c>
      <c r="B174" s="871" t="s">
        <v>272</v>
      </c>
      <c r="C174" s="872"/>
      <c r="D174" s="873" t="s">
        <v>806</v>
      </c>
      <c r="E174" s="874">
        <f>IF(AND($A174=0,$A$1="DIF"),0, ROUND(ROUND(($R179*$S$2+($T179*$T$2))/A174,2)*$C$2,2))</f>
        <v>8432.7099999999991</v>
      </c>
      <c r="F174" s="875">
        <f>ROUND($A174*$E174,2)</f>
        <v>8432.7099999999991</v>
      </c>
      <c r="G174" s="876" t="s">
        <v>139</v>
      </c>
      <c r="H174" s="877"/>
      <c r="I174" s="878"/>
      <c r="J174" s="877"/>
      <c r="K174" s="877" t="s">
        <v>3</v>
      </c>
      <c r="L174" s="879" t="s">
        <v>140</v>
      </c>
      <c r="M174" s="879"/>
      <c r="N174" s="879"/>
      <c r="O174" s="879"/>
      <c r="P174" s="879"/>
      <c r="Q174" s="50"/>
      <c r="T174" s="880" t="str">
        <f>IF(AND($R179=0,$T179=0),"0.00","mu :" &amp; ROUND($F174/$C$2/($R179+$T179*$D$9),2))</f>
        <v>mu :1.22</v>
      </c>
      <c r="W174" s="507"/>
      <c r="AG174" s="465">
        <f>IF($E174=0,0,ROUND($R179*$S$2*$C$2/$A174,2))</f>
        <v>8432.7099999999991</v>
      </c>
      <c r="AH174" s="465">
        <f>$AG174*$A174</f>
        <v>8432.7099999999991</v>
      </c>
      <c r="AI174" s="508">
        <f>$E174-$AG174</f>
        <v>0</v>
      </c>
      <c r="AJ174" s="508">
        <f>$A174*$AI174</f>
        <v>0</v>
      </c>
      <c r="AK174" s="509">
        <f>ROUND(($AG174+$AI174)*$A174,2)</f>
        <v>8432.7099999999991</v>
      </c>
      <c r="AM174" s="510">
        <f>ROUND(R179,2)</f>
        <v>6912.06</v>
      </c>
      <c r="AN174" s="511">
        <f>ROUND(T179,2)</f>
        <v>0</v>
      </c>
      <c r="AO174" s="512">
        <f>ROUND(AM174+AN174,2)*A174</f>
        <v>6912.06</v>
      </c>
    </row>
    <row r="175" spans="1:41" s="504" customFormat="1" ht="13.2">
      <c r="A175" s="872"/>
      <c r="B175"/>
      <c r="C175" s="872"/>
      <c r="D175" s="873" t="s">
        <v>807</v>
      </c>
      <c r="F175" s="877"/>
      <c r="G175" s="3"/>
      <c r="H175" s="877"/>
      <c r="I175" s="878"/>
      <c r="J175" s="877"/>
      <c r="K175" s="877" t="s">
        <v>141</v>
      </c>
      <c r="L175" s="877"/>
      <c r="M175" s="877"/>
      <c r="N175" s="877"/>
      <c r="O175" s="877"/>
      <c r="P175" s="877"/>
      <c r="Q175" s="50"/>
      <c r="R175" s="513"/>
      <c r="S175" s="881"/>
      <c r="T175" s="877"/>
    </row>
    <row r="176" spans="1:41" s="1039" customFormat="1" ht="13.2">
      <c r="A176">
        <v>1</v>
      </c>
      <c r="B176" s="1039" t="s">
        <v>949</v>
      </c>
      <c r="D176" s="1039" t="s">
        <v>960</v>
      </c>
      <c r="E176" s="1047"/>
      <c r="F176" s="1047"/>
      <c r="G176" s="1040" t="s">
        <v>950</v>
      </c>
      <c r="H176" s="1041">
        <v>510</v>
      </c>
      <c r="I176" s="1039" t="s">
        <v>951</v>
      </c>
      <c r="K176" s="1039" t="s">
        <v>952</v>
      </c>
      <c r="O176" s="1042">
        <v>2</v>
      </c>
      <c r="P176" s="1043"/>
      <c r="Q176" s="1044">
        <v>6912.06</v>
      </c>
      <c r="R176" s="1045">
        <f>$A176*Q176</f>
        <v>6912.06</v>
      </c>
      <c r="S176" s="1044"/>
      <c r="T176" s="1046">
        <f>$A176*S176*$T$1</f>
        <v>0</v>
      </c>
    </row>
    <row r="177" spans="1:41" s="1039" customFormat="1" ht="13.2">
      <c r="A177">
        <v>1</v>
      </c>
      <c r="B177" s="1039" t="s">
        <v>949</v>
      </c>
      <c r="D177" s="1039" t="s">
        <v>964</v>
      </c>
      <c r="E177" s="1047"/>
      <c r="F177" s="1047"/>
      <c r="G177" s="1040" t="s">
        <v>950</v>
      </c>
      <c r="H177" s="1041">
        <v>510</v>
      </c>
      <c r="I177" s="1039" t="s">
        <v>951</v>
      </c>
      <c r="K177" s="1039" t="s">
        <v>952</v>
      </c>
      <c r="O177" s="1042">
        <v>2</v>
      </c>
      <c r="P177" s="1043"/>
      <c r="Q177" s="1044">
        <v>0</v>
      </c>
      <c r="R177" s="1045">
        <f>$A177*Q177</f>
        <v>0</v>
      </c>
      <c r="S177" s="1044"/>
      <c r="T177" s="1046">
        <f>$A177*S177*$T$1</f>
        <v>0</v>
      </c>
    </row>
    <row r="178" spans="1:41" s="504" customFormat="1" ht="12">
      <c r="A178" s="882"/>
      <c r="B178" s="882"/>
      <c r="C178" s="882"/>
      <c r="D178" s="882"/>
      <c r="E178" s="882"/>
      <c r="F178" s="877"/>
      <c r="G178" s="882"/>
      <c r="H178" s="882"/>
      <c r="I178" s="503"/>
      <c r="J178" s="882"/>
      <c r="K178" s="882"/>
      <c r="L178" s="882"/>
      <c r="M178" s="882"/>
      <c r="N178" s="882"/>
      <c r="O178" s="882"/>
      <c r="P178" s="882"/>
      <c r="Q178" s="503"/>
      <c r="R178" s="883">
        <f>$A178*Q178</f>
        <v>0</v>
      </c>
      <c r="S178" s="503"/>
      <c r="T178" s="884">
        <f>$A178*S178*$T$1</f>
        <v>0</v>
      </c>
    </row>
    <row r="179" spans="1:41" s="504" customFormat="1" ht="12.6" thickBot="1">
      <c r="A179" s="885" t="s">
        <v>142</v>
      </c>
      <c r="B179" s="886">
        <f>(R178+T178)</f>
        <v>0</v>
      </c>
      <c r="C179" s="887"/>
      <c r="D179" s="887"/>
      <c r="E179" s="887"/>
      <c r="F179" s="888"/>
      <c r="G179" s="887" t="s">
        <v>143</v>
      </c>
      <c r="H179" s="887"/>
      <c r="I179" s="889"/>
      <c r="J179" s="887"/>
      <c r="K179" s="887" t="s">
        <v>3</v>
      </c>
      <c r="L179" s="890" t="s">
        <v>140</v>
      </c>
      <c r="M179" s="890"/>
      <c r="N179" s="890"/>
      <c r="O179" s="890"/>
      <c r="P179" s="890"/>
      <c r="Q179" s="891"/>
      <c r="R179" s="892">
        <f>SUM(R175:R178)</f>
        <v>6912.06</v>
      </c>
      <c r="S179" s="887"/>
      <c r="T179" s="892">
        <f>SUM(T175:T178)</f>
        <v>0</v>
      </c>
      <c r="U179" s="514"/>
      <c r="V179" s="514"/>
      <c r="W179" s="514"/>
      <c r="X179" s="514"/>
      <c r="Y179" s="514"/>
      <c r="Z179" s="514"/>
      <c r="AA179" s="514"/>
      <c r="AB179" s="514"/>
      <c r="AC179" s="514"/>
      <c r="AD179" s="514"/>
      <c r="AE179" s="514"/>
      <c r="AF179" s="514"/>
      <c r="AG179" s="514"/>
      <c r="AH179" s="514"/>
      <c r="AI179" s="514"/>
      <c r="AJ179" s="514"/>
      <c r="AK179" s="514"/>
      <c r="AL179" s="514"/>
      <c r="AM179" s="514"/>
      <c r="AN179" s="514"/>
      <c r="AO179" s="514"/>
    </row>
    <row r="180" spans="1:41" s="504" customFormat="1" ht="12" thickTop="1">
      <c r="A180" s="50"/>
      <c r="B180" s="40"/>
      <c r="C180" s="50"/>
      <c r="E180" s="41" t="s">
        <v>136</v>
      </c>
      <c r="F180" s="41" t="s">
        <v>137</v>
      </c>
      <c r="G180" s="50"/>
      <c r="H180" s="50"/>
      <c r="I180" s="50"/>
      <c r="J180" s="50"/>
      <c r="K180" s="50" t="s">
        <v>138</v>
      </c>
      <c r="L180" s="50"/>
      <c r="M180" s="50"/>
      <c r="N180" s="50"/>
      <c r="O180" s="51"/>
      <c r="P180" s="50"/>
      <c r="Q180" s="50"/>
      <c r="R180" s="50"/>
      <c r="S180" s="50"/>
      <c r="T180" s="40"/>
      <c r="AG180" s="867" t="s">
        <v>241</v>
      </c>
      <c r="AH180" s="867" t="s">
        <v>242</v>
      </c>
      <c r="AI180" s="867" t="s">
        <v>243</v>
      </c>
      <c r="AJ180" s="867" t="s">
        <v>244</v>
      </c>
      <c r="AK180" s="867" t="s">
        <v>245</v>
      </c>
      <c r="AM180" s="868" t="s">
        <v>254</v>
      </c>
      <c r="AN180" s="869" t="s">
        <v>255</v>
      </c>
      <c r="AO180" s="505" t="s">
        <v>251</v>
      </c>
    </row>
    <row r="181" spans="1:41" s="504" customFormat="1" ht="12" customHeight="1">
      <c r="A181" s="870">
        <v>1</v>
      </c>
      <c r="B181" s="871" t="s">
        <v>272</v>
      </c>
      <c r="C181" s="872"/>
      <c r="D181" s="873" t="s">
        <v>808</v>
      </c>
      <c r="E181" s="874">
        <f>IF(AND($A181=0,$A$1="DIF"),0, ROUND(ROUND(($R186*$S$2+($T186*$T$2))/A181,2)*$C$2,2))</f>
        <v>15258.49</v>
      </c>
      <c r="F181" s="875">
        <f>ROUND($A181*$E181,2)</f>
        <v>15258.49</v>
      </c>
      <c r="G181" s="876" t="s">
        <v>139</v>
      </c>
      <c r="H181" s="877"/>
      <c r="I181" s="878"/>
      <c r="J181" s="877"/>
      <c r="K181" s="877" t="s">
        <v>3</v>
      </c>
      <c r="L181" s="879" t="s">
        <v>140</v>
      </c>
      <c r="M181" s="879"/>
      <c r="N181" s="879"/>
      <c r="O181" s="879"/>
      <c r="P181" s="879"/>
      <c r="Q181" s="50"/>
      <c r="T181" s="880" t="str">
        <f>IF(AND($R186=0,$T186=0),"0.00","mu :" &amp; ROUND($F181/$C$2/($R186+$T186*$D$9),2))</f>
        <v>mu :1.22</v>
      </c>
      <c r="W181" s="507"/>
      <c r="AG181" s="465">
        <f>IF($E181=0,0,ROUND($R186*$S$2*$C$2/$A181,2))</f>
        <v>15258.49</v>
      </c>
      <c r="AH181" s="465">
        <f>$AG181*$A181</f>
        <v>15258.49</v>
      </c>
      <c r="AI181" s="508">
        <f>$E181-$AG181</f>
        <v>0</v>
      </c>
      <c r="AJ181" s="508">
        <f>$A181*$AI181</f>
        <v>0</v>
      </c>
      <c r="AK181" s="509">
        <f>ROUND(($AG181+$AI181)*$A181,2)</f>
        <v>15258.49</v>
      </c>
      <c r="AM181" s="510">
        <f>ROUND(R186,2)</f>
        <v>12506.96</v>
      </c>
      <c r="AN181" s="511">
        <f>ROUND(T186,2)</f>
        <v>0</v>
      </c>
      <c r="AO181" s="512">
        <f>ROUND(AM181+AN181,2)*A181</f>
        <v>12506.96</v>
      </c>
    </row>
    <row r="182" spans="1:41" s="504" customFormat="1" ht="13.2">
      <c r="A182" s="872"/>
      <c r="B182"/>
      <c r="C182" s="872"/>
      <c r="D182" s="873" t="s">
        <v>809</v>
      </c>
      <c r="F182" s="877"/>
      <c r="G182" s="3"/>
      <c r="H182" s="877"/>
      <c r="I182" s="878"/>
      <c r="J182" s="877"/>
      <c r="K182" s="877" t="s">
        <v>141</v>
      </c>
      <c r="L182" s="877"/>
      <c r="M182" s="877"/>
      <c r="N182" s="877"/>
      <c r="O182" s="877"/>
      <c r="P182" s="877"/>
      <c r="Q182" s="50"/>
      <c r="R182" s="513"/>
      <c r="S182" s="881"/>
      <c r="T182" s="877"/>
    </row>
    <row r="183" spans="1:41" s="1039" customFormat="1" ht="13.2">
      <c r="A183">
        <v>1</v>
      </c>
      <c r="B183" s="1039" t="s">
        <v>949</v>
      </c>
      <c r="D183" s="1039" t="s">
        <v>974</v>
      </c>
      <c r="E183" s="1047"/>
      <c r="F183" s="1047"/>
      <c r="G183" s="1040" t="s">
        <v>950</v>
      </c>
      <c r="H183" s="1041">
        <v>510</v>
      </c>
      <c r="I183" s="1039" t="s">
        <v>951</v>
      </c>
      <c r="K183" s="1039" t="s">
        <v>952</v>
      </c>
      <c r="O183" s="1042">
        <v>2</v>
      </c>
      <c r="P183" s="1043"/>
      <c r="Q183" s="1044">
        <v>12506.96</v>
      </c>
      <c r="R183" s="1045">
        <f>$A183*Q183</f>
        <v>12506.96</v>
      </c>
      <c r="S183" s="1044"/>
      <c r="T183" s="1046">
        <f>$A183*S183*$T$1</f>
        <v>0</v>
      </c>
    </row>
    <row r="184" spans="1:41" s="1039" customFormat="1" ht="13.2">
      <c r="A184">
        <v>1</v>
      </c>
      <c r="B184" s="1039" t="s">
        <v>949</v>
      </c>
      <c r="D184" s="1039" t="s">
        <v>975</v>
      </c>
      <c r="E184" s="1047"/>
      <c r="F184" s="1047"/>
      <c r="G184" s="1040" t="s">
        <v>950</v>
      </c>
      <c r="H184" s="1041">
        <v>510</v>
      </c>
      <c r="I184" s="1039" t="s">
        <v>951</v>
      </c>
      <c r="K184" s="1039" t="s">
        <v>952</v>
      </c>
      <c r="O184" s="1042">
        <v>2</v>
      </c>
      <c r="P184" s="1043"/>
      <c r="Q184" s="1044">
        <v>0</v>
      </c>
      <c r="R184" s="1045">
        <f>$A184*Q184</f>
        <v>0</v>
      </c>
      <c r="S184" s="1044"/>
      <c r="T184" s="1046">
        <f>$A184*S184*$T$1</f>
        <v>0</v>
      </c>
    </row>
    <row r="185" spans="1:41" s="504" customFormat="1" ht="12">
      <c r="A185" s="882"/>
      <c r="B185" s="882"/>
      <c r="C185" s="882"/>
      <c r="D185" s="882"/>
      <c r="E185" s="882"/>
      <c r="F185" s="877"/>
      <c r="G185" s="882"/>
      <c r="H185" s="882"/>
      <c r="I185" s="503"/>
      <c r="J185" s="882"/>
      <c r="K185" s="882"/>
      <c r="L185" s="882"/>
      <c r="M185" s="882"/>
      <c r="N185" s="882"/>
      <c r="O185" s="882"/>
      <c r="P185" s="882"/>
      <c r="Q185" s="503"/>
      <c r="R185" s="883">
        <f>$A185*Q185</f>
        <v>0</v>
      </c>
      <c r="S185" s="503"/>
      <c r="T185" s="884">
        <f>$A185*S185*$T$1</f>
        <v>0</v>
      </c>
    </row>
    <row r="186" spans="1:41" s="504" customFormat="1" ht="12.6" thickBot="1">
      <c r="A186" s="885" t="s">
        <v>142</v>
      </c>
      <c r="B186" s="886">
        <f>(R185+T185)</f>
        <v>0</v>
      </c>
      <c r="C186" s="887"/>
      <c r="D186" s="887"/>
      <c r="E186" s="887"/>
      <c r="F186" s="888"/>
      <c r="G186" s="887" t="s">
        <v>143</v>
      </c>
      <c r="H186" s="887"/>
      <c r="I186" s="889"/>
      <c r="J186" s="887"/>
      <c r="K186" s="887" t="s">
        <v>3</v>
      </c>
      <c r="L186" s="890" t="s">
        <v>140</v>
      </c>
      <c r="M186" s="890"/>
      <c r="N186" s="890"/>
      <c r="O186" s="890"/>
      <c r="P186" s="890"/>
      <c r="Q186" s="891"/>
      <c r="R186" s="892">
        <f>SUM(R182:R185)</f>
        <v>12506.96</v>
      </c>
      <c r="S186" s="887"/>
      <c r="T186" s="892">
        <f>SUM(T182:T185)</f>
        <v>0</v>
      </c>
      <c r="U186" s="514"/>
      <c r="V186" s="514"/>
      <c r="W186" s="514"/>
      <c r="X186" s="514"/>
      <c r="Y186" s="514"/>
      <c r="Z186" s="514"/>
      <c r="AA186" s="514"/>
      <c r="AB186" s="514"/>
      <c r="AC186" s="514"/>
      <c r="AD186" s="514"/>
      <c r="AE186" s="514"/>
      <c r="AF186" s="514"/>
      <c r="AG186" s="514"/>
      <c r="AH186" s="514"/>
      <c r="AI186" s="514"/>
      <c r="AJ186" s="514"/>
      <c r="AK186" s="514"/>
      <c r="AL186" s="514"/>
      <c r="AM186" s="514"/>
      <c r="AN186" s="514"/>
      <c r="AO186" s="514"/>
    </row>
    <row r="187" spans="1:41" s="504" customFormat="1" ht="12" thickTop="1">
      <c r="A187" s="50"/>
      <c r="B187" s="40"/>
      <c r="C187" s="50"/>
      <c r="E187" s="41" t="s">
        <v>136</v>
      </c>
      <c r="F187" s="41" t="s">
        <v>137</v>
      </c>
      <c r="G187" s="50"/>
      <c r="H187" s="50"/>
      <c r="I187" s="50"/>
      <c r="J187" s="50"/>
      <c r="K187" s="50" t="s">
        <v>138</v>
      </c>
      <c r="L187" s="50"/>
      <c r="M187" s="50"/>
      <c r="N187" s="50"/>
      <c r="O187" s="51"/>
      <c r="P187" s="50"/>
      <c r="Q187" s="50"/>
      <c r="R187" s="50"/>
      <c r="S187" s="50"/>
      <c r="T187" s="40"/>
      <c r="AG187" s="867" t="s">
        <v>241</v>
      </c>
      <c r="AH187" s="867" t="s">
        <v>242</v>
      </c>
      <c r="AI187" s="867" t="s">
        <v>243</v>
      </c>
      <c r="AJ187" s="867" t="s">
        <v>244</v>
      </c>
      <c r="AK187" s="867" t="s">
        <v>245</v>
      </c>
      <c r="AM187" s="868" t="s">
        <v>254</v>
      </c>
      <c r="AN187" s="869" t="s">
        <v>255</v>
      </c>
      <c r="AO187" s="505" t="s">
        <v>251</v>
      </c>
    </row>
    <row r="188" spans="1:41" s="504" customFormat="1" ht="12" customHeight="1">
      <c r="A188" s="870">
        <v>1</v>
      </c>
      <c r="B188" s="871" t="s">
        <v>272</v>
      </c>
      <c r="C188" s="872"/>
      <c r="D188" s="873" t="s">
        <v>810</v>
      </c>
      <c r="E188" s="874">
        <f>IF(AND($A188=0,$A$1="DIF"),0, ROUND(ROUND(($R192*$S$2+($T192*$T$2))/A188,2)*$C$2,2))</f>
        <v>4016.24</v>
      </c>
      <c r="F188" s="875">
        <f>ROUND($A188*$E188,2)</f>
        <v>4016.24</v>
      </c>
      <c r="G188" s="876" t="s">
        <v>139</v>
      </c>
      <c r="H188" s="877"/>
      <c r="I188" s="878"/>
      <c r="J188" s="877"/>
      <c r="K188" s="877" t="s">
        <v>3</v>
      </c>
      <c r="L188" s="879" t="s">
        <v>140</v>
      </c>
      <c r="M188" s="879"/>
      <c r="N188" s="879"/>
      <c r="O188" s="879"/>
      <c r="P188" s="879"/>
      <c r="Q188" s="50"/>
      <c r="T188" s="880" t="str">
        <f>IF(AND($R192=0,$T192=0),"0.00","mu :" &amp; ROUND($F188/$C$2/($R192+$T192*$D$9),2))</f>
        <v>mu :1.22</v>
      </c>
      <c r="W188" s="507"/>
      <c r="AG188" s="465">
        <f>IF($E188=0,0,ROUND($R192*$S$2*$C$2/$A188,2))</f>
        <v>4016.24</v>
      </c>
      <c r="AH188" s="465">
        <f>$AG188*$A188</f>
        <v>4016.24</v>
      </c>
      <c r="AI188" s="508">
        <f>$E188-$AG188</f>
        <v>0</v>
      </c>
      <c r="AJ188" s="508">
        <f>$A188*$AI188</f>
        <v>0</v>
      </c>
      <c r="AK188" s="509">
        <f>ROUND(($AG188+$AI188)*$A188,2)</f>
        <v>4016.24</v>
      </c>
      <c r="AM188" s="510">
        <f>ROUND(R192,2)</f>
        <v>3292</v>
      </c>
      <c r="AN188" s="511">
        <f>ROUND(T192,2)</f>
        <v>0</v>
      </c>
      <c r="AO188" s="512">
        <f>ROUND(AM188+AN188,2)*A188</f>
        <v>3292</v>
      </c>
    </row>
    <row r="189" spans="1:41" s="504" customFormat="1" ht="13.2">
      <c r="A189" s="872"/>
      <c r="B189"/>
      <c r="C189" s="872"/>
      <c r="D189" s="873" t="s">
        <v>811</v>
      </c>
      <c r="F189" s="877"/>
      <c r="G189" s="3"/>
      <c r="H189" s="877"/>
      <c r="I189" s="878"/>
      <c r="J189" s="877"/>
      <c r="K189" s="877" t="s">
        <v>141</v>
      </c>
      <c r="L189" s="877"/>
      <c r="M189" s="877"/>
      <c r="N189" s="877"/>
      <c r="O189" s="877"/>
      <c r="P189" s="877"/>
      <c r="Q189" s="50"/>
      <c r="R189" s="513"/>
      <c r="S189" s="881"/>
      <c r="T189" s="877"/>
    </row>
    <row r="190" spans="1:41" s="1039" customFormat="1" ht="13.2">
      <c r="A190">
        <v>1</v>
      </c>
      <c r="B190" s="1039" t="s">
        <v>949</v>
      </c>
      <c r="D190" s="1039" t="s">
        <v>811</v>
      </c>
      <c r="G190" s="1040" t="s">
        <v>981</v>
      </c>
      <c r="H190" s="1041">
        <v>510</v>
      </c>
      <c r="I190" s="1039" t="s">
        <v>951</v>
      </c>
      <c r="K190" s="1039" t="s">
        <v>982</v>
      </c>
      <c r="O190" s="1042">
        <v>2</v>
      </c>
      <c r="P190" s="1043"/>
      <c r="Q190" s="1044">
        <v>3292</v>
      </c>
      <c r="R190" s="1045">
        <f>$A190*Q190</f>
        <v>3292</v>
      </c>
      <c r="S190" s="1044"/>
      <c r="T190" s="1046">
        <f>$A190*S190*$T$1</f>
        <v>0</v>
      </c>
    </row>
    <row r="191" spans="1:41" s="504" customFormat="1" ht="12">
      <c r="A191" s="882"/>
      <c r="B191" s="882"/>
      <c r="C191" s="882"/>
      <c r="D191" s="882"/>
      <c r="E191" s="882"/>
      <c r="F191" s="877"/>
      <c r="G191" s="882"/>
      <c r="H191" s="882"/>
      <c r="I191" s="503"/>
      <c r="J191" s="882"/>
      <c r="K191" s="882"/>
      <c r="L191" s="882"/>
      <c r="M191" s="882"/>
      <c r="N191" s="882"/>
      <c r="O191" s="882"/>
      <c r="P191" s="882"/>
      <c r="Q191" s="503"/>
      <c r="R191" s="883">
        <f>$A191*Q191</f>
        <v>0</v>
      </c>
      <c r="S191" s="503"/>
      <c r="T191" s="884">
        <f>$A191*S191*$T$1</f>
        <v>0</v>
      </c>
    </row>
    <row r="192" spans="1:41" s="504" customFormat="1" ht="12.6" thickBot="1">
      <c r="A192" s="885" t="s">
        <v>142</v>
      </c>
      <c r="B192" s="886">
        <f>(R191+T191)</f>
        <v>0</v>
      </c>
      <c r="C192" s="887"/>
      <c r="D192" s="887"/>
      <c r="E192" s="887"/>
      <c r="F192" s="888"/>
      <c r="G192" s="887" t="s">
        <v>143</v>
      </c>
      <c r="H192" s="887"/>
      <c r="I192" s="889"/>
      <c r="J192" s="887"/>
      <c r="K192" s="887" t="s">
        <v>3</v>
      </c>
      <c r="L192" s="890" t="s">
        <v>140</v>
      </c>
      <c r="M192" s="890"/>
      <c r="N192" s="890"/>
      <c r="O192" s="890"/>
      <c r="P192" s="890"/>
      <c r="Q192" s="891"/>
      <c r="R192" s="892">
        <f>SUM(R189:R191)</f>
        <v>3292</v>
      </c>
      <c r="S192" s="887"/>
      <c r="T192" s="892">
        <f>SUM(T189:T191)</f>
        <v>0</v>
      </c>
      <c r="U192" s="514"/>
      <c r="V192" s="514"/>
      <c r="W192" s="514"/>
      <c r="X192" s="514"/>
      <c r="Y192" s="514"/>
      <c r="Z192" s="514"/>
      <c r="AA192" s="514"/>
      <c r="AB192" s="514"/>
      <c r="AC192" s="514"/>
      <c r="AD192" s="514"/>
      <c r="AE192" s="514"/>
      <c r="AF192" s="514"/>
      <c r="AG192" s="514"/>
      <c r="AH192" s="514"/>
      <c r="AI192" s="514"/>
      <c r="AJ192" s="514"/>
      <c r="AK192" s="514"/>
      <c r="AL192" s="514"/>
      <c r="AM192" s="514"/>
      <c r="AN192" s="514"/>
      <c r="AO192" s="514"/>
    </row>
    <row r="193" spans="1:41" s="504" customFormat="1" ht="12" thickTop="1">
      <c r="A193" s="50"/>
      <c r="B193" s="40"/>
      <c r="C193" s="50"/>
      <c r="E193" s="41" t="s">
        <v>136</v>
      </c>
      <c r="F193" s="41" t="s">
        <v>137</v>
      </c>
      <c r="G193" s="50"/>
      <c r="H193" s="50"/>
      <c r="I193" s="50"/>
      <c r="J193" s="50"/>
      <c r="K193" s="50" t="s">
        <v>138</v>
      </c>
      <c r="L193" s="50"/>
      <c r="M193" s="50"/>
      <c r="N193" s="50"/>
      <c r="O193" s="51"/>
      <c r="P193" s="50"/>
      <c r="Q193" s="50"/>
      <c r="R193" s="50"/>
      <c r="S193" s="50"/>
      <c r="T193" s="40"/>
      <c r="AG193" s="867" t="s">
        <v>241</v>
      </c>
      <c r="AH193" s="867" t="s">
        <v>242</v>
      </c>
      <c r="AI193" s="867" t="s">
        <v>243</v>
      </c>
      <c r="AJ193" s="867" t="s">
        <v>244</v>
      </c>
      <c r="AK193" s="867" t="s">
        <v>245</v>
      </c>
      <c r="AM193" s="868" t="s">
        <v>254</v>
      </c>
      <c r="AN193" s="869" t="s">
        <v>255</v>
      </c>
      <c r="AO193" s="505" t="s">
        <v>251</v>
      </c>
    </row>
    <row r="194" spans="1:41" s="504" customFormat="1" ht="12" customHeight="1">
      <c r="A194" s="870">
        <v>1</v>
      </c>
      <c r="B194" s="871" t="s">
        <v>272</v>
      </c>
      <c r="C194" s="872"/>
      <c r="D194" s="873" t="s">
        <v>812</v>
      </c>
      <c r="E194" s="874">
        <f>IF(AND($A194=0,$A$1="DIF"),0, ROUND(ROUND(($R198*$S$2+($T198*$T$2))/A194,2)*$C$2,2))</f>
        <v>7182.43</v>
      </c>
      <c r="F194" s="875">
        <f>ROUND($A194*$E194,2)</f>
        <v>7182.43</v>
      </c>
      <c r="G194" s="876" t="s">
        <v>139</v>
      </c>
      <c r="H194" s="877"/>
      <c r="I194" s="878"/>
      <c r="J194" s="877"/>
      <c r="K194" s="877" t="s">
        <v>3</v>
      </c>
      <c r="L194" s="879" t="s">
        <v>140</v>
      </c>
      <c r="M194" s="879"/>
      <c r="N194" s="879"/>
      <c r="O194" s="879"/>
      <c r="P194" s="879"/>
      <c r="Q194" s="50"/>
      <c r="T194" s="880" t="str">
        <f>IF(AND($R198=0,$T198=0),"0.00","mu :" &amp; ROUND($F194/$C$2/($R198+$T198*$D$9),2))</f>
        <v>mu :1.22</v>
      </c>
      <c r="W194" s="507"/>
      <c r="AG194" s="465">
        <f>IF($E194=0,0,ROUND($R198*$S$2*$C$2/$A194,2))</f>
        <v>7182.43</v>
      </c>
      <c r="AH194" s="465">
        <f>$AG194*$A194</f>
        <v>7182.43</v>
      </c>
      <c r="AI194" s="508">
        <f>$E194-$AG194</f>
        <v>0</v>
      </c>
      <c r="AJ194" s="508">
        <f>$A194*$AI194</f>
        <v>0</v>
      </c>
      <c r="AK194" s="509">
        <f>ROUND(($AG194+$AI194)*$A194,2)</f>
        <v>7182.43</v>
      </c>
      <c r="AM194" s="510">
        <f>ROUND(R198,2)</f>
        <v>5887.24</v>
      </c>
      <c r="AN194" s="511">
        <f>ROUND(T198,2)</f>
        <v>0</v>
      </c>
      <c r="AO194" s="512">
        <f>ROUND(AM194+AN194,2)*A194</f>
        <v>5887.24</v>
      </c>
    </row>
    <row r="195" spans="1:41" s="504" customFormat="1" ht="13.2">
      <c r="A195" s="872"/>
      <c r="B195"/>
      <c r="C195" s="872"/>
      <c r="D195" s="873" t="s">
        <v>813</v>
      </c>
      <c r="F195" s="877"/>
      <c r="G195" s="3"/>
      <c r="H195" s="877"/>
      <c r="I195" s="878"/>
      <c r="J195" s="877"/>
      <c r="K195" s="877" t="s">
        <v>141</v>
      </c>
      <c r="L195" s="877"/>
      <c r="M195" s="877"/>
      <c r="N195" s="877"/>
      <c r="O195" s="877"/>
      <c r="P195" s="877"/>
      <c r="Q195" s="50"/>
      <c r="R195" s="513"/>
      <c r="S195" s="881"/>
      <c r="T195" s="877"/>
    </row>
    <row r="196" spans="1:41" s="1039" customFormat="1" ht="13.2">
      <c r="A196">
        <v>1</v>
      </c>
      <c r="B196" s="1039" t="s">
        <v>949</v>
      </c>
      <c r="D196" s="1064" t="s">
        <v>813</v>
      </c>
      <c r="E196" s="1047"/>
      <c r="F196" s="1047"/>
      <c r="G196" s="1040" t="s">
        <v>950</v>
      </c>
      <c r="H196" s="1041">
        <v>510</v>
      </c>
      <c r="I196" s="1039" t="s">
        <v>951</v>
      </c>
      <c r="K196" s="1039" t="s">
        <v>952</v>
      </c>
      <c r="O196" s="1042">
        <v>2</v>
      </c>
      <c r="P196" s="1043"/>
      <c r="Q196" s="1044">
        <v>5887.24</v>
      </c>
      <c r="R196" s="1045">
        <f>$A196*Q196</f>
        <v>5887.24</v>
      </c>
      <c r="S196" s="1044"/>
      <c r="T196" s="1046">
        <f>$A196*S196*$T$1</f>
        <v>0</v>
      </c>
    </row>
    <row r="197" spans="1:41" s="504" customFormat="1" ht="12">
      <c r="A197" s="882"/>
      <c r="B197" s="882"/>
      <c r="C197" s="882"/>
      <c r="D197" s="882"/>
      <c r="E197" s="882"/>
      <c r="F197" s="877"/>
      <c r="G197" s="882"/>
      <c r="H197" s="882"/>
      <c r="I197" s="503"/>
      <c r="J197" s="882"/>
      <c r="K197" s="882"/>
      <c r="L197" s="882"/>
      <c r="M197" s="882"/>
      <c r="N197" s="882"/>
      <c r="O197" s="882"/>
      <c r="P197" s="882"/>
      <c r="Q197" s="503"/>
      <c r="R197" s="883">
        <f>$A197*Q197</f>
        <v>0</v>
      </c>
      <c r="S197" s="503"/>
      <c r="T197" s="884">
        <f>$A197*S197*$T$1</f>
        <v>0</v>
      </c>
    </row>
    <row r="198" spans="1:41" s="504" customFormat="1" ht="12.6" thickBot="1">
      <c r="A198" s="885" t="s">
        <v>142</v>
      </c>
      <c r="B198" s="886">
        <f>(R197+T197)</f>
        <v>0</v>
      </c>
      <c r="C198" s="887"/>
      <c r="D198" s="887"/>
      <c r="E198" s="887"/>
      <c r="F198" s="888"/>
      <c r="G198" s="887" t="s">
        <v>143</v>
      </c>
      <c r="H198" s="887"/>
      <c r="I198" s="889"/>
      <c r="J198" s="887"/>
      <c r="K198" s="887" t="s">
        <v>3</v>
      </c>
      <c r="L198" s="890" t="s">
        <v>140</v>
      </c>
      <c r="M198" s="890"/>
      <c r="N198" s="890"/>
      <c r="O198" s="890"/>
      <c r="P198" s="890"/>
      <c r="Q198" s="891"/>
      <c r="R198" s="892">
        <f>SUM(R195:R197)</f>
        <v>5887.24</v>
      </c>
      <c r="S198" s="887"/>
      <c r="T198" s="892">
        <f>SUM(T195:T197)</f>
        <v>0</v>
      </c>
      <c r="U198" s="514"/>
      <c r="V198" s="514"/>
      <c r="W198" s="514"/>
      <c r="X198" s="514"/>
      <c r="Y198" s="514"/>
      <c r="Z198" s="514"/>
      <c r="AA198" s="514"/>
      <c r="AB198" s="514"/>
      <c r="AC198" s="514"/>
      <c r="AD198" s="514"/>
      <c r="AE198" s="514"/>
      <c r="AF198" s="514"/>
      <c r="AG198" s="514"/>
      <c r="AH198" s="514"/>
      <c r="AI198" s="514"/>
      <c r="AJ198" s="514"/>
      <c r="AK198" s="514"/>
      <c r="AL198" s="514"/>
      <c r="AM198" s="514"/>
      <c r="AN198" s="514"/>
      <c r="AO198" s="514"/>
    </row>
    <row r="199" spans="1:41" s="504" customFormat="1" thickTop="1">
      <c r="A199" s="50"/>
      <c r="B199" s="50"/>
      <c r="C199" s="3"/>
      <c r="D199" s="3"/>
      <c r="E199" s="50"/>
      <c r="F199" s="50"/>
      <c r="G199" s="50"/>
      <c r="H199" s="50"/>
      <c r="I199" s="50"/>
      <c r="J199" s="50"/>
      <c r="K199" s="50" t="s">
        <v>133</v>
      </c>
      <c r="L199" s="50"/>
      <c r="M199" s="50"/>
      <c r="N199" s="50"/>
      <c r="O199" s="51"/>
      <c r="P199" s="50"/>
      <c r="Q199" s="50"/>
      <c r="R199" s="50"/>
      <c r="S199" s="50"/>
      <c r="T199" s="50"/>
    </row>
    <row r="200" spans="1:41" s="504" customFormat="1" ht="12">
      <c r="A200" s="50"/>
      <c r="B200" s="50"/>
      <c r="C200" s="50" t="s">
        <v>134</v>
      </c>
      <c r="D200" s="37" t="s">
        <v>814</v>
      </c>
      <c r="E200" s="50"/>
      <c r="F200" s="50"/>
      <c r="G200" s="50"/>
      <c r="H200" s="50"/>
      <c r="I200" s="50"/>
      <c r="J200" s="50"/>
      <c r="K200" s="50"/>
      <c r="L200" s="50"/>
      <c r="M200" s="50"/>
      <c r="N200" s="50"/>
      <c r="O200" s="51"/>
      <c r="P200" s="50"/>
      <c r="Q200" s="50"/>
      <c r="R200" s="50"/>
      <c r="S200" s="50"/>
      <c r="T200" s="50"/>
    </row>
    <row r="201" spans="1:41" s="504" customFormat="1" ht="12">
      <c r="A201" s="50"/>
      <c r="B201" s="50"/>
      <c r="C201" s="50"/>
      <c r="D201" s="37" t="s">
        <v>304</v>
      </c>
      <c r="E201" s="50"/>
      <c r="F201" s="50"/>
      <c r="G201" s="50"/>
      <c r="H201" s="50"/>
      <c r="I201" s="50"/>
      <c r="J201" s="50"/>
      <c r="K201" s="50"/>
      <c r="L201" s="50"/>
      <c r="M201" s="50"/>
      <c r="N201" s="50"/>
      <c r="O201" s="51"/>
      <c r="P201" s="50"/>
      <c r="Q201" s="50"/>
      <c r="R201" s="50"/>
      <c r="S201" s="38"/>
      <c r="T201" s="38"/>
    </row>
    <row r="202" spans="1:41" s="3" customFormat="1" thickBot="1">
      <c r="A202" s="514"/>
      <c r="O202" s="103"/>
    </row>
    <row r="203" spans="1:41" s="504" customFormat="1" ht="12" thickTop="1">
      <c r="A203" s="50"/>
      <c r="B203" s="40"/>
      <c r="C203" s="50"/>
      <c r="E203" s="41" t="s">
        <v>136</v>
      </c>
      <c r="F203" s="41" t="s">
        <v>137</v>
      </c>
      <c r="G203" s="50"/>
      <c r="H203" s="50"/>
      <c r="I203" s="50"/>
      <c r="J203" s="50"/>
      <c r="K203" s="50" t="s">
        <v>138</v>
      </c>
      <c r="L203" s="50"/>
      <c r="M203" s="50"/>
      <c r="N203" s="50"/>
      <c r="O203" s="51"/>
      <c r="P203" s="50"/>
      <c r="Q203" s="50"/>
      <c r="R203" s="50"/>
      <c r="S203" s="50"/>
      <c r="T203" s="40"/>
      <c r="AG203" s="867" t="s">
        <v>241</v>
      </c>
      <c r="AH203" s="867" t="s">
        <v>242</v>
      </c>
      <c r="AI203" s="867" t="s">
        <v>243</v>
      </c>
      <c r="AJ203" s="867" t="s">
        <v>244</v>
      </c>
      <c r="AK203" s="867" t="s">
        <v>245</v>
      </c>
      <c r="AM203" s="868" t="s">
        <v>254</v>
      </c>
      <c r="AN203" s="869" t="s">
        <v>255</v>
      </c>
      <c r="AO203" s="505" t="s">
        <v>251</v>
      </c>
    </row>
    <row r="204" spans="1:41" s="504" customFormat="1" ht="12" customHeight="1">
      <c r="A204" s="870">
        <v>1</v>
      </c>
      <c r="B204" s="871" t="s">
        <v>272</v>
      </c>
      <c r="C204" s="872"/>
      <c r="D204" s="873" t="s">
        <v>804</v>
      </c>
      <c r="E204" s="874">
        <f>IF(AND($A204=0,$A$1="DIF"),0, ROUND(ROUND(($R211*$S$2+($T211*$T$2))/A204,2)*$C$2,2))</f>
        <v>204.92</v>
      </c>
      <c r="F204" s="875">
        <f>ROUND($A204*$E204,2)</f>
        <v>204.92</v>
      </c>
      <c r="G204" s="876" t="s">
        <v>139</v>
      </c>
      <c r="H204" s="877"/>
      <c r="I204" s="878"/>
      <c r="J204" s="877"/>
      <c r="K204" s="877" t="s">
        <v>3</v>
      </c>
      <c r="L204" s="879" t="s">
        <v>140</v>
      </c>
      <c r="M204" s="879"/>
      <c r="N204" s="879"/>
      <c r="O204" s="879"/>
      <c r="P204" s="879"/>
      <c r="Q204" s="50"/>
      <c r="T204" s="880" t="str">
        <f>IF(AND($R211=0,$T211=0),"0.00","mu :" &amp; ROUND($F204/$C$2/($R211+$T211*$D$9),2))</f>
        <v>mu :1.22</v>
      </c>
      <c r="W204" s="507"/>
      <c r="AG204" s="465">
        <f>IF($E204=0,0,ROUND($R211*$S$2*$C$2/$A204,2))</f>
        <v>131.05000000000001</v>
      </c>
      <c r="AH204" s="465">
        <f>$AG204*$A204</f>
        <v>131.05000000000001</v>
      </c>
      <c r="AI204" s="508">
        <f>$E204-$AG204</f>
        <v>73.869999999999976</v>
      </c>
      <c r="AJ204" s="508">
        <f>$A204*$AI204</f>
        <v>73.869999999999976</v>
      </c>
      <c r="AK204" s="509">
        <f>ROUND(($AG204+$AI204)*$A204,2)</f>
        <v>204.92</v>
      </c>
      <c r="AM204" s="510">
        <f>ROUND(R211,2)</f>
        <v>107.42</v>
      </c>
      <c r="AN204" s="511">
        <f>ROUND(T211,2)</f>
        <v>2.1</v>
      </c>
      <c r="AO204" s="512">
        <f>ROUND(AM204+AN204,2)*A204</f>
        <v>109.52</v>
      </c>
    </row>
    <row r="205" spans="1:41" s="504" customFormat="1" ht="13.2">
      <c r="A205" s="872"/>
      <c r="B205"/>
      <c r="C205" s="872"/>
      <c r="D205" s="916" t="s">
        <v>805</v>
      </c>
      <c r="E205" s="917"/>
      <c r="F205" s="918"/>
      <c r="G205" s="919"/>
      <c r="H205" s="918"/>
      <c r="I205" s="920"/>
      <c r="J205" s="918"/>
      <c r="K205" s="918" t="s">
        <v>141</v>
      </c>
      <c r="L205" s="918"/>
      <c r="M205" s="918"/>
      <c r="N205" s="918"/>
      <c r="O205" s="918"/>
      <c r="P205" s="918"/>
      <c r="Q205" s="921"/>
      <c r="R205" s="513"/>
      <c r="S205" s="881"/>
      <c r="T205" s="877"/>
    </row>
    <row r="206" spans="1:41" s="1039" customFormat="1" ht="21">
      <c r="A206">
        <v>1</v>
      </c>
      <c r="B206" s="1039" t="s">
        <v>949</v>
      </c>
      <c r="D206" s="1047" t="s">
        <v>976</v>
      </c>
      <c r="E206" s="1047"/>
      <c r="F206" s="1047"/>
      <c r="G206" s="1040" t="s">
        <v>950</v>
      </c>
      <c r="H206" s="1041">
        <v>510</v>
      </c>
      <c r="I206" s="1039" t="s">
        <v>951</v>
      </c>
      <c r="K206" s="1039" t="s">
        <v>952</v>
      </c>
      <c r="O206" s="1042">
        <v>2</v>
      </c>
      <c r="P206" s="1043"/>
      <c r="Q206" s="1044">
        <v>0</v>
      </c>
      <c r="R206" s="1045">
        <f>$A206*Q206</f>
        <v>0</v>
      </c>
      <c r="S206" s="1044">
        <v>2</v>
      </c>
      <c r="T206" s="1046">
        <f>$A206*S206*$T$1</f>
        <v>2.1</v>
      </c>
    </row>
    <row r="207" spans="1:41" s="1039" customFormat="1" ht="13.2">
      <c r="A207">
        <v>1</v>
      </c>
      <c r="B207" s="1039" t="s">
        <v>272</v>
      </c>
      <c r="D207" s="1039" t="s">
        <v>985</v>
      </c>
      <c r="G207" s="1040" t="s">
        <v>983</v>
      </c>
      <c r="H207" s="1041">
        <v>962</v>
      </c>
      <c r="I207" s="1039" t="s">
        <v>984</v>
      </c>
      <c r="O207" s="1042">
        <v>2</v>
      </c>
      <c r="P207" s="1043">
        <v>38129</v>
      </c>
      <c r="Q207" s="1044">
        <v>100</v>
      </c>
      <c r="R207" s="1045">
        <f>$A207*Q207</f>
        <v>100</v>
      </c>
      <c r="S207" s="1044"/>
      <c r="T207" s="1046">
        <f>$A207*S207*$T$1</f>
        <v>0</v>
      </c>
    </row>
    <row r="208" spans="1:41" s="1039" customFormat="1" ht="13.2">
      <c r="A208" s="112">
        <v>4</v>
      </c>
      <c r="B208" s="1039" t="s">
        <v>949</v>
      </c>
      <c r="D208" s="1039" t="s">
        <v>954</v>
      </c>
      <c r="G208" s="1040" t="s">
        <v>955</v>
      </c>
      <c r="H208" s="1041">
        <v>875</v>
      </c>
      <c r="I208" s="1039" t="s">
        <v>951</v>
      </c>
      <c r="K208" s="1039" t="s">
        <v>956</v>
      </c>
      <c r="O208" s="1042">
        <v>1</v>
      </c>
      <c r="P208" s="1043">
        <v>34669</v>
      </c>
      <c r="Q208" s="1044">
        <v>0.4</v>
      </c>
      <c r="R208" s="1045">
        <f>$A208*Q208</f>
        <v>1.6</v>
      </c>
      <c r="S208" s="1044"/>
      <c r="T208" s="1046">
        <f>$A208*S208*$T$1</f>
        <v>0</v>
      </c>
    </row>
    <row r="209" spans="1:41" s="1039" customFormat="1" ht="13.2">
      <c r="A209">
        <v>1</v>
      </c>
      <c r="B209" s="1039" t="s">
        <v>949</v>
      </c>
      <c r="D209" s="1039" t="s">
        <v>957</v>
      </c>
      <c r="G209" s="1040" t="s">
        <v>958</v>
      </c>
      <c r="H209" s="1041">
        <v>875</v>
      </c>
      <c r="I209" s="1039" t="s">
        <v>951</v>
      </c>
      <c r="K209" s="1039" t="s">
        <v>959</v>
      </c>
      <c r="O209" s="1042">
        <v>3</v>
      </c>
      <c r="P209" s="1043">
        <v>34820</v>
      </c>
      <c r="Q209" s="1044">
        <v>5.82</v>
      </c>
      <c r="R209" s="1045">
        <f>$A209*Q209</f>
        <v>5.82</v>
      </c>
      <c r="S209" s="1044"/>
      <c r="T209" s="1046">
        <f>$A209*S209*$T$1</f>
        <v>0</v>
      </c>
    </row>
    <row r="210" spans="1:41" s="504" customFormat="1" ht="12">
      <c r="A210" s="882"/>
      <c r="B210" s="882"/>
      <c r="C210" s="882"/>
      <c r="D210" s="882"/>
      <c r="E210" s="882"/>
      <c r="F210" s="877"/>
      <c r="G210" s="882"/>
      <c r="H210" s="882"/>
      <c r="I210" s="503"/>
      <c r="J210" s="882"/>
      <c r="K210" s="882"/>
      <c r="L210" s="882"/>
      <c r="M210" s="882"/>
      <c r="N210" s="882"/>
      <c r="O210" s="882"/>
      <c r="P210" s="882"/>
      <c r="Q210" s="503"/>
      <c r="R210" s="883">
        <f>$A210*Q210</f>
        <v>0</v>
      </c>
      <c r="S210" s="503"/>
      <c r="T210" s="884">
        <f>$A210*S210*$T$1</f>
        <v>0</v>
      </c>
    </row>
    <row r="211" spans="1:41" s="504" customFormat="1" ht="12.6" thickBot="1">
      <c r="A211" s="885" t="s">
        <v>142</v>
      </c>
      <c r="B211" s="886">
        <f>(R210+T210)</f>
        <v>0</v>
      </c>
      <c r="C211" s="887"/>
      <c r="D211" s="887"/>
      <c r="E211" s="887"/>
      <c r="F211" s="888"/>
      <c r="G211" s="887" t="s">
        <v>143</v>
      </c>
      <c r="H211" s="887"/>
      <c r="I211" s="889"/>
      <c r="J211" s="887"/>
      <c r="K211" s="887" t="s">
        <v>3</v>
      </c>
      <c r="L211" s="890" t="s">
        <v>140</v>
      </c>
      <c r="M211" s="890"/>
      <c r="N211" s="890"/>
      <c r="O211" s="890"/>
      <c r="P211" s="890"/>
      <c r="Q211" s="891"/>
      <c r="R211" s="892">
        <f>SUM(R205:R210)</f>
        <v>107.41999999999999</v>
      </c>
      <c r="S211" s="887"/>
      <c r="T211" s="892">
        <f>SUM(T205:T210)</f>
        <v>2.1</v>
      </c>
      <c r="U211" s="514"/>
      <c r="V211" s="514"/>
      <c r="W211" s="514"/>
      <c r="X211" s="514"/>
      <c r="Y211" s="514"/>
      <c r="Z211" s="514"/>
      <c r="AA211" s="514"/>
      <c r="AB211" s="514"/>
      <c r="AC211" s="514"/>
      <c r="AD211" s="514"/>
      <c r="AE211" s="514"/>
      <c r="AF211" s="514"/>
      <c r="AG211" s="514"/>
      <c r="AH211" s="514"/>
      <c r="AI211" s="514"/>
      <c r="AJ211" s="514"/>
      <c r="AK211" s="514"/>
      <c r="AL211" s="514"/>
      <c r="AM211" s="514"/>
      <c r="AN211" s="514"/>
      <c r="AO211" s="514"/>
    </row>
    <row r="212" spans="1:41" s="504" customFormat="1" ht="12" thickTop="1">
      <c r="A212" s="50"/>
      <c r="B212" s="40"/>
      <c r="C212" s="50"/>
      <c r="E212" s="41" t="s">
        <v>136</v>
      </c>
      <c r="F212" s="41" t="s">
        <v>137</v>
      </c>
      <c r="G212" s="50"/>
      <c r="H212" s="50"/>
      <c r="I212" s="50"/>
      <c r="J212" s="50"/>
      <c r="K212" s="50" t="s">
        <v>138</v>
      </c>
      <c r="L212" s="50"/>
      <c r="M212" s="50"/>
      <c r="N212" s="50"/>
      <c r="O212" s="51"/>
      <c r="P212" s="50"/>
      <c r="Q212" s="50"/>
      <c r="R212" s="50"/>
      <c r="S212" s="50"/>
      <c r="T212" s="40"/>
      <c r="AG212" s="867" t="s">
        <v>241</v>
      </c>
      <c r="AH212" s="867" t="s">
        <v>242</v>
      </c>
      <c r="AI212" s="867" t="s">
        <v>243</v>
      </c>
      <c r="AJ212" s="867" t="s">
        <v>244</v>
      </c>
      <c r="AK212" s="867" t="s">
        <v>245</v>
      </c>
      <c r="AM212" s="868" t="s">
        <v>254</v>
      </c>
      <c r="AN212" s="869" t="s">
        <v>255</v>
      </c>
      <c r="AO212" s="505" t="s">
        <v>251</v>
      </c>
    </row>
    <row r="213" spans="1:41" s="504" customFormat="1" ht="12" customHeight="1">
      <c r="A213" s="870">
        <v>1</v>
      </c>
      <c r="B213" s="871" t="s">
        <v>272</v>
      </c>
      <c r="C213" s="872"/>
      <c r="D213" s="873" t="s">
        <v>806</v>
      </c>
      <c r="E213" s="874">
        <f>IF(AND($A213=0,$A$1="DIF"),0, ROUND(ROUND(($R224*$S$2+($T224*$T$2))/A213,2)*$C$2,2))</f>
        <v>940.25</v>
      </c>
      <c r="F213" s="875">
        <f>ROUND($A213*$E213,2)</f>
        <v>940.25</v>
      </c>
      <c r="G213" s="876" t="s">
        <v>139</v>
      </c>
      <c r="H213" s="877"/>
      <c r="I213" s="878"/>
      <c r="J213" s="877"/>
      <c r="K213" s="877" t="s">
        <v>3</v>
      </c>
      <c r="L213" s="879" t="s">
        <v>140</v>
      </c>
      <c r="M213" s="879"/>
      <c r="N213" s="879"/>
      <c r="O213" s="879"/>
      <c r="P213" s="879"/>
      <c r="Q213" s="50"/>
      <c r="T213" s="880" t="str">
        <f>IF(AND($R224=0,$T224=0),"0.00","mu :" &amp; ROUND($F213/$C$2/($R224+$T224*$D$9),2))</f>
        <v>mu :1.22</v>
      </c>
      <c r="W213" s="507"/>
      <c r="AG213" s="465">
        <f>IF($E213=0,0,ROUND($R224*$S$2*$C$2/$A213,2))</f>
        <v>349.29</v>
      </c>
      <c r="AH213" s="465">
        <f>$AG213*$A213</f>
        <v>349.29</v>
      </c>
      <c r="AI213" s="508">
        <f>$E213-$AG213</f>
        <v>590.96</v>
      </c>
      <c r="AJ213" s="508">
        <f>$A213*$AI213</f>
        <v>590.96</v>
      </c>
      <c r="AK213" s="509">
        <f>ROUND(($AG213+$AI213)*$A213,2)</f>
        <v>940.25</v>
      </c>
      <c r="AM213" s="510">
        <f>ROUND(R224,2)</f>
        <v>286.3</v>
      </c>
      <c r="AN213" s="511">
        <f>ROUND(T224,2)</f>
        <v>16.8</v>
      </c>
      <c r="AO213" s="512">
        <f>ROUND(AM213+AN213,2)*A213</f>
        <v>303.10000000000002</v>
      </c>
    </row>
    <row r="214" spans="1:41" s="504" customFormat="1" ht="13.2">
      <c r="A214" s="872"/>
      <c r="B214"/>
      <c r="C214" s="872"/>
      <c r="D214" s="873" t="s">
        <v>807</v>
      </c>
      <c r="F214" s="877"/>
      <c r="G214" s="3"/>
      <c r="H214" s="877"/>
      <c r="I214" s="878"/>
      <c r="J214" s="877"/>
      <c r="K214" s="877" t="s">
        <v>141</v>
      </c>
      <c r="L214" s="877"/>
      <c r="M214" s="877"/>
      <c r="N214" s="877"/>
      <c r="O214" s="877"/>
      <c r="P214" s="877"/>
      <c r="Q214" s="50"/>
      <c r="R214" s="513"/>
      <c r="S214" s="881"/>
      <c r="T214" s="877"/>
    </row>
    <row r="215" spans="1:41" s="1039" customFormat="1" ht="13.2">
      <c r="A215">
        <v>1</v>
      </c>
      <c r="B215" s="1039" t="s">
        <v>949</v>
      </c>
      <c r="D215" s="1039" t="s">
        <v>977</v>
      </c>
      <c r="E215" s="1047"/>
      <c r="F215" s="1047"/>
      <c r="G215" s="1040" t="s">
        <v>950</v>
      </c>
      <c r="H215" s="1041">
        <v>510</v>
      </c>
      <c r="I215" s="1039" t="s">
        <v>951</v>
      </c>
      <c r="K215" s="1039" t="s">
        <v>952</v>
      </c>
      <c r="O215" s="1042">
        <v>2</v>
      </c>
      <c r="P215" s="1043"/>
      <c r="Q215" s="1044">
        <v>0</v>
      </c>
      <c r="R215" s="1045">
        <f t="shared" ref="R215:R222" si="12">$A215*Q215</f>
        <v>0</v>
      </c>
      <c r="S215" s="1044">
        <f>4+8</f>
        <v>12</v>
      </c>
      <c r="T215" s="1046">
        <f t="shared" ref="T215:T222" si="13">$A215*S215*$T$1</f>
        <v>12.600000000000001</v>
      </c>
    </row>
    <row r="216" spans="1:41" s="1039" customFormat="1" ht="13.2">
      <c r="A216">
        <v>1</v>
      </c>
      <c r="B216" s="1039" t="s">
        <v>949</v>
      </c>
      <c r="D216" s="1039" t="s">
        <v>978</v>
      </c>
      <c r="E216" s="1047"/>
      <c r="F216" s="1047"/>
      <c r="G216" s="1040" t="s">
        <v>950</v>
      </c>
      <c r="H216" s="1041">
        <v>510</v>
      </c>
      <c r="I216" s="1039" t="s">
        <v>951</v>
      </c>
      <c r="K216" s="1039" t="s">
        <v>952</v>
      </c>
      <c r="O216" s="1042">
        <v>2</v>
      </c>
      <c r="P216" s="1043"/>
      <c r="Q216" s="1044">
        <v>0</v>
      </c>
      <c r="R216" s="1045">
        <f t="shared" si="12"/>
        <v>0</v>
      </c>
      <c r="S216" s="1044">
        <v>4</v>
      </c>
      <c r="T216" s="1046">
        <f t="shared" si="13"/>
        <v>4.2</v>
      </c>
    </row>
    <row r="217" spans="1:41" s="1039" customFormat="1" ht="13.2">
      <c r="A217">
        <v>1</v>
      </c>
      <c r="B217" s="1039" t="s">
        <v>272</v>
      </c>
      <c r="D217" s="1039" t="s">
        <v>985</v>
      </c>
      <c r="G217" s="1040" t="s">
        <v>983</v>
      </c>
      <c r="H217" s="1041">
        <v>962</v>
      </c>
      <c r="I217" s="1039" t="s">
        <v>984</v>
      </c>
      <c r="O217" s="1042">
        <v>2</v>
      </c>
      <c r="P217" s="1043">
        <v>38129</v>
      </c>
      <c r="Q217" s="1044">
        <v>250</v>
      </c>
      <c r="R217" s="1045">
        <f t="shared" si="12"/>
        <v>250</v>
      </c>
      <c r="S217" s="1044"/>
      <c r="T217" s="1046">
        <f t="shared" si="13"/>
        <v>0</v>
      </c>
    </row>
    <row r="218" spans="1:41" s="1039" customFormat="1" ht="13.2">
      <c r="A218">
        <v>1</v>
      </c>
      <c r="B218" s="1039" t="s">
        <v>949</v>
      </c>
      <c r="D218" s="1039" t="s">
        <v>957</v>
      </c>
      <c r="G218" s="1040" t="s">
        <v>958</v>
      </c>
      <c r="H218" s="1041">
        <v>875</v>
      </c>
      <c r="I218" s="1039" t="s">
        <v>951</v>
      </c>
      <c r="K218" s="1039" t="s">
        <v>959</v>
      </c>
      <c r="O218" s="1042">
        <v>3</v>
      </c>
      <c r="P218" s="1043">
        <v>34820</v>
      </c>
      <c r="Q218" s="1044">
        <v>5.82</v>
      </c>
      <c r="R218" s="1045">
        <f t="shared" si="12"/>
        <v>5.82</v>
      </c>
      <c r="S218" s="1044"/>
      <c r="T218" s="1046">
        <f t="shared" si="13"/>
        <v>0</v>
      </c>
    </row>
    <row r="219" spans="1:41" s="1039" customFormat="1" ht="13.2">
      <c r="A219" s="112">
        <v>8</v>
      </c>
      <c r="B219" s="1039" t="s">
        <v>949</v>
      </c>
      <c r="D219" s="1039" t="s">
        <v>961</v>
      </c>
      <c r="G219" s="1040" t="s">
        <v>962</v>
      </c>
      <c r="H219" s="1041">
        <v>875</v>
      </c>
      <c r="I219" s="1039" t="s">
        <v>951</v>
      </c>
      <c r="K219" s="1039" t="s">
        <v>963</v>
      </c>
      <c r="O219" s="1042">
        <v>3</v>
      </c>
      <c r="P219" s="1043">
        <v>34820</v>
      </c>
      <c r="Q219" s="1044">
        <v>3.49</v>
      </c>
      <c r="R219" s="1045">
        <f t="shared" si="12"/>
        <v>27.92</v>
      </c>
      <c r="S219" s="1044"/>
      <c r="T219" s="1046">
        <f t="shared" si="13"/>
        <v>0</v>
      </c>
    </row>
    <row r="220" spans="1:41" s="1039" customFormat="1" ht="13.2">
      <c r="A220" s="112">
        <v>6</v>
      </c>
      <c r="B220" s="1039" t="s">
        <v>949</v>
      </c>
      <c r="D220" s="1039" t="s">
        <v>965</v>
      </c>
      <c r="G220" s="1040" t="s">
        <v>966</v>
      </c>
      <c r="H220" s="1041">
        <v>875</v>
      </c>
      <c r="I220" s="1039" t="s">
        <v>951</v>
      </c>
      <c r="K220" s="1039" t="s">
        <v>967</v>
      </c>
      <c r="O220" s="1042">
        <v>1</v>
      </c>
      <c r="P220" s="1043">
        <v>34669</v>
      </c>
      <c r="Q220" s="1044">
        <v>0.02</v>
      </c>
      <c r="R220" s="1045">
        <f t="shared" si="12"/>
        <v>0.12</v>
      </c>
      <c r="S220" s="1044"/>
      <c r="T220" s="1046">
        <f t="shared" si="13"/>
        <v>0</v>
      </c>
    </row>
    <row r="221" spans="1:41" s="1039" customFormat="1" ht="13.2">
      <c r="A221">
        <v>6</v>
      </c>
      <c r="B221" s="1039" t="s">
        <v>949</v>
      </c>
      <c r="D221" s="1039" t="s">
        <v>968</v>
      </c>
      <c r="G221" s="1040" t="s">
        <v>969</v>
      </c>
      <c r="H221" s="1041">
        <v>875</v>
      </c>
      <c r="I221" s="1039" t="s">
        <v>951</v>
      </c>
      <c r="K221" s="1039" t="s">
        <v>970</v>
      </c>
      <c r="O221" s="1042">
        <v>1</v>
      </c>
      <c r="P221" s="1043">
        <v>34669</v>
      </c>
      <c r="Q221" s="1044">
        <v>0.02</v>
      </c>
      <c r="R221" s="1045">
        <f t="shared" si="12"/>
        <v>0.12</v>
      </c>
      <c r="S221" s="1044"/>
      <c r="T221" s="1046">
        <f t="shared" si="13"/>
        <v>0</v>
      </c>
    </row>
    <row r="222" spans="1:41" s="1039" customFormat="1" ht="13.2">
      <c r="A222" s="112">
        <v>4</v>
      </c>
      <c r="B222" s="1039" t="s">
        <v>949</v>
      </c>
      <c r="D222" s="1039" t="s">
        <v>971</v>
      </c>
      <c r="G222" s="1040" t="s">
        <v>972</v>
      </c>
      <c r="H222" s="1041">
        <v>875</v>
      </c>
      <c r="I222" s="1039" t="s">
        <v>951</v>
      </c>
      <c r="K222" s="1039" t="s">
        <v>973</v>
      </c>
      <c r="O222" s="1042">
        <v>1</v>
      </c>
      <c r="P222" s="1043">
        <v>34669</v>
      </c>
      <c r="Q222" s="1044">
        <v>0.57999999999999996</v>
      </c>
      <c r="R222" s="1045">
        <f t="shared" si="12"/>
        <v>2.3199999999999998</v>
      </c>
      <c r="S222" s="1044"/>
      <c r="T222" s="1046">
        <f t="shared" si="13"/>
        <v>0</v>
      </c>
    </row>
    <row r="223" spans="1:41" s="504" customFormat="1" ht="12">
      <c r="A223" s="882"/>
      <c r="B223" s="882"/>
      <c r="C223" s="882"/>
      <c r="D223" s="882"/>
      <c r="E223" s="882"/>
      <c r="F223" s="877"/>
      <c r="G223" s="882"/>
      <c r="H223" s="882"/>
      <c r="I223" s="503"/>
      <c r="J223" s="882"/>
      <c r="K223" s="882"/>
      <c r="L223" s="882"/>
      <c r="M223" s="882"/>
      <c r="N223" s="882"/>
      <c r="O223" s="882"/>
      <c r="P223" s="882"/>
      <c r="Q223" s="503"/>
      <c r="R223" s="883">
        <f>$A223*Q223</f>
        <v>0</v>
      </c>
      <c r="S223" s="503"/>
      <c r="T223" s="884">
        <f>$A223*S223*$T$1</f>
        <v>0</v>
      </c>
    </row>
    <row r="224" spans="1:41" s="504" customFormat="1" ht="12.6" thickBot="1">
      <c r="A224" s="885" t="s">
        <v>142</v>
      </c>
      <c r="B224" s="886">
        <f>(R223+T223)</f>
        <v>0</v>
      </c>
      <c r="C224" s="887"/>
      <c r="D224" s="887"/>
      <c r="E224" s="887"/>
      <c r="F224" s="888"/>
      <c r="G224" s="887" t="s">
        <v>143</v>
      </c>
      <c r="H224" s="887"/>
      <c r="I224" s="889"/>
      <c r="J224" s="887"/>
      <c r="K224" s="887" t="s">
        <v>3</v>
      </c>
      <c r="L224" s="890" t="s">
        <v>140</v>
      </c>
      <c r="M224" s="890"/>
      <c r="N224" s="890"/>
      <c r="O224" s="890"/>
      <c r="P224" s="890"/>
      <c r="Q224" s="891"/>
      <c r="R224" s="892">
        <f>SUM(R214:R223)</f>
        <v>286.3</v>
      </c>
      <c r="S224" s="887"/>
      <c r="T224" s="892">
        <f>SUM(T214:T223)</f>
        <v>16.8</v>
      </c>
      <c r="U224" s="514"/>
      <c r="V224" s="514"/>
      <c r="W224" s="514"/>
      <c r="X224" s="514"/>
      <c r="Y224" s="514"/>
      <c r="Z224" s="514"/>
      <c r="AA224" s="514"/>
      <c r="AB224" s="514"/>
      <c r="AC224" s="514"/>
      <c r="AD224" s="514"/>
      <c r="AE224" s="514"/>
      <c r="AF224" s="514"/>
      <c r="AG224" s="514"/>
      <c r="AH224" s="514"/>
      <c r="AI224" s="514"/>
      <c r="AJ224" s="514"/>
      <c r="AK224" s="514"/>
      <c r="AL224" s="514"/>
      <c r="AM224" s="514"/>
      <c r="AN224" s="514"/>
      <c r="AO224" s="514"/>
    </row>
    <row r="225" spans="1:41" s="504" customFormat="1" ht="12" thickTop="1">
      <c r="A225" s="50"/>
      <c r="B225" s="40"/>
      <c r="C225" s="50"/>
      <c r="E225" s="41" t="s">
        <v>136</v>
      </c>
      <c r="F225" s="41" t="s">
        <v>137</v>
      </c>
      <c r="G225" s="50"/>
      <c r="H225" s="50"/>
      <c r="I225" s="50"/>
      <c r="J225" s="50"/>
      <c r="K225" s="50" t="s">
        <v>138</v>
      </c>
      <c r="L225" s="50"/>
      <c r="M225" s="50"/>
      <c r="N225" s="50"/>
      <c r="O225" s="51"/>
      <c r="P225" s="50"/>
      <c r="Q225" s="50"/>
      <c r="R225" s="50"/>
      <c r="S225" s="50"/>
      <c r="T225" s="40"/>
      <c r="AG225" s="867" t="s">
        <v>241</v>
      </c>
      <c r="AH225" s="867" t="s">
        <v>242</v>
      </c>
      <c r="AI225" s="867" t="s">
        <v>243</v>
      </c>
      <c r="AJ225" s="867" t="s">
        <v>244</v>
      </c>
      <c r="AK225" s="867" t="s">
        <v>245</v>
      </c>
      <c r="AM225" s="868" t="s">
        <v>254</v>
      </c>
      <c r="AN225" s="869" t="s">
        <v>255</v>
      </c>
      <c r="AO225" s="505" t="s">
        <v>251</v>
      </c>
    </row>
    <row r="226" spans="1:41" s="504" customFormat="1" ht="12" customHeight="1">
      <c r="A226" s="870">
        <v>1</v>
      </c>
      <c r="B226" s="871" t="s">
        <v>272</v>
      </c>
      <c r="C226" s="872"/>
      <c r="D226" s="873" t="s">
        <v>808</v>
      </c>
      <c r="E226" s="874">
        <f>IF(AND($A226=0,$A$1="DIF"),0, ROUND(ROUND(($R237*$S$2+($T237*$T$2))/A226,2)*$C$2,2))</f>
        <v>1198.79</v>
      </c>
      <c r="F226" s="875">
        <f>ROUND($A226*$E226,2)</f>
        <v>1198.79</v>
      </c>
      <c r="G226" s="876" t="s">
        <v>139</v>
      </c>
      <c r="H226" s="877"/>
      <c r="I226" s="878"/>
      <c r="J226" s="877"/>
      <c r="K226" s="877" t="s">
        <v>3</v>
      </c>
      <c r="L226" s="879" t="s">
        <v>140</v>
      </c>
      <c r="M226" s="879"/>
      <c r="N226" s="879"/>
      <c r="O226" s="879"/>
      <c r="P226" s="879"/>
      <c r="Q226" s="50"/>
      <c r="T226" s="880" t="str">
        <f>IF(AND($R237=0,$T237=0),"0.00","mu :" &amp; ROUND($F226/$C$2/($R237+$T237*$D$9),2))</f>
        <v>mu :1.22</v>
      </c>
      <c r="W226" s="507"/>
      <c r="AG226" s="465">
        <f>IF($E226=0,0,ROUND($R237*$S$2*$C$2/$A226,2))</f>
        <v>349.29</v>
      </c>
      <c r="AH226" s="465">
        <f>$AG226*$A226</f>
        <v>349.29</v>
      </c>
      <c r="AI226" s="508">
        <f>$E226-$AG226</f>
        <v>849.5</v>
      </c>
      <c r="AJ226" s="508">
        <f>$A226*$AI226</f>
        <v>849.5</v>
      </c>
      <c r="AK226" s="509">
        <f>ROUND(($AG226+$AI226)*$A226,2)</f>
        <v>1198.79</v>
      </c>
      <c r="AM226" s="510">
        <f>ROUND(R237,2)</f>
        <v>286.3</v>
      </c>
      <c r="AN226" s="511">
        <f>ROUND(T237,2)</f>
        <v>24.15</v>
      </c>
      <c r="AO226" s="512">
        <f>ROUND(AM226+AN226,2)*A226</f>
        <v>310.45</v>
      </c>
    </row>
    <row r="227" spans="1:41" s="504" customFormat="1" ht="13.2">
      <c r="A227" s="872"/>
      <c r="B227"/>
      <c r="C227" s="872"/>
      <c r="D227" s="873" t="s">
        <v>809</v>
      </c>
      <c r="F227" s="877"/>
      <c r="G227" s="3"/>
      <c r="H227" s="877"/>
      <c r="I227" s="878"/>
      <c r="J227" s="877"/>
      <c r="K227" s="877" t="s">
        <v>141</v>
      </c>
      <c r="L227" s="877"/>
      <c r="M227" s="877"/>
      <c r="N227" s="877"/>
      <c r="O227" s="877"/>
      <c r="P227" s="877"/>
      <c r="Q227" s="50"/>
      <c r="R227" s="513"/>
      <c r="S227" s="881"/>
      <c r="T227" s="877"/>
    </row>
    <row r="228" spans="1:41" s="1039" customFormat="1" ht="13.2">
      <c r="A228">
        <v>1</v>
      </c>
      <c r="B228" s="1039" t="s">
        <v>949</v>
      </c>
      <c r="D228" s="1039" t="s">
        <v>979</v>
      </c>
      <c r="E228" s="1047"/>
      <c r="F228" s="1047"/>
      <c r="G228" s="1040" t="s">
        <v>950</v>
      </c>
      <c r="H228" s="1041">
        <v>510</v>
      </c>
      <c r="I228" s="1039" t="s">
        <v>951</v>
      </c>
      <c r="K228" s="1039" t="s">
        <v>952</v>
      </c>
      <c r="O228" s="1042">
        <v>2</v>
      </c>
      <c r="P228" s="1043"/>
      <c r="Q228" s="1044">
        <v>0</v>
      </c>
      <c r="R228" s="1045">
        <f t="shared" ref="R228:R235" si="14">$A228*Q228</f>
        <v>0</v>
      </c>
      <c r="S228" s="1044">
        <f>4+15</f>
        <v>19</v>
      </c>
      <c r="T228" s="1046">
        <f t="shared" ref="T228:T235" si="15">$A228*S228*$T$1</f>
        <v>19.95</v>
      </c>
    </row>
    <row r="229" spans="1:41" s="1039" customFormat="1" ht="13.2">
      <c r="A229">
        <v>1</v>
      </c>
      <c r="B229" s="1039" t="s">
        <v>949</v>
      </c>
      <c r="D229" s="1039" t="s">
        <v>980</v>
      </c>
      <c r="E229" s="1047"/>
      <c r="F229" s="1047"/>
      <c r="G229" s="1040" t="s">
        <v>950</v>
      </c>
      <c r="H229" s="1041">
        <v>510</v>
      </c>
      <c r="I229" s="1039" t="s">
        <v>951</v>
      </c>
      <c r="K229" s="1039" t="s">
        <v>952</v>
      </c>
      <c r="O229" s="1042">
        <v>2</v>
      </c>
      <c r="P229" s="1043"/>
      <c r="Q229" s="1044">
        <v>0</v>
      </c>
      <c r="R229" s="1045">
        <f t="shared" si="14"/>
        <v>0</v>
      </c>
      <c r="S229" s="1044">
        <v>4</v>
      </c>
      <c r="T229" s="1046">
        <f t="shared" si="15"/>
        <v>4.2</v>
      </c>
    </row>
    <row r="230" spans="1:41" s="1039" customFormat="1" ht="13.2">
      <c r="A230">
        <v>1</v>
      </c>
      <c r="B230" s="1039" t="s">
        <v>272</v>
      </c>
      <c r="D230" s="1039" t="s">
        <v>985</v>
      </c>
      <c r="G230" s="1040" t="s">
        <v>983</v>
      </c>
      <c r="H230" s="1041">
        <v>962</v>
      </c>
      <c r="I230" s="1039" t="s">
        <v>984</v>
      </c>
      <c r="O230" s="1042">
        <v>2</v>
      </c>
      <c r="P230" s="1043">
        <v>38129</v>
      </c>
      <c r="Q230" s="1044">
        <v>250</v>
      </c>
      <c r="R230" s="1045">
        <f t="shared" si="14"/>
        <v>250</v>
      </c>
      <c r="S230" s="1044"/>
      <c r="T230" s="1046">
        <f t="shared" si="15"/>
        <v>0</v>
      </c>
    </row>
    <row r="231" spans="1:41" s="1039" customFormat="1" ht="13.2">
      <c r="A231">
        <v>1</v>
      </c>
      <c r="B231" s="1039" t="s">
        <v>949</v>
      </c>
      <c r="D231" s="1039" t="s">
        <v>957</v>
      </c>
      <c r="G231" s="1040" t="s">
        <v>958</v>
      </c>
      <c r="H231" s="1041">
        <v>875</v>
      </c>
      <c r="I231" s="1039" t="s">
        <v>951</v>
      </c>
      <c r="K231" s="1039" t="s">
        <v>959</v>
      </c>
      <c r="O231" s="1042">
        <v>3</v>
      </c>
      <c r="P231" s="1043">
        <v>34820</v>
      </c>
      <c r="Q231" s="1044">
        <v>5.82</v>
      </c>
      <c r="R231" s="1045">
        <f t="shared" si="14"/>
        <v>5.82</v>
      </c>
      <c r="S231" s="1044"/>
      <c r="T231" s="1046">
        <f t="shared" si="15"/>
        <v>0</v>
      </c>
    </row>
    <row r="232" spans="1:41" s="1039" customFormat="1" ht="13.2">
      <c r="A232" s="112">
        <v>8</v>
      </c>
      <c r="B232" s="1039" t="s">
        <v>949</v>
      </c>
      <c r="D232" s="1039" t="s">
        <v>961</v>
      </c>
      <c r="G232" s="1040" t="s">
        <v>962</v>
      </c>
      <c r="H232" s="1041">
        <v>875</v>
      </c>
      <c r="I232" s="1039" t="s">
        <v>951</v>
      </c>
      <c r="K232" s="1039" t="s">
        <v>963</v>
      </c>
      <c r="O232" s="1042">
        <v>3</v>
      </c>
      <c r="P232" s="1043">
        <v>34820</v>
      </c>
      <c r="Q232" s="1044">
        <v>3.49</v>
      </c>
      <c r="R232" s="1045">
        <f t="shared" si="14"/>
        <v>27.92</v>
      </c>
      <c r="S232" s="1044"/>
      <c r="T232" s="1046">
        <f t="shared" si="15"/>
        <v>0</v>
      </c>
    </row>
    <row r="233" spans="1:41" s="1039" customFormat="1" ht="13.2">
      <c r="A233" s="112">
        <v>6</v>
      </c>
      <c r="B233" s="1039" t="s">
        <v>949</v>
      </c>
      <c r="D233" s="1039" t="s">
        <v>965</v>
      </c>
      <c r="G233" s="1040" t="s">
        <v>966</v>
      </c>
      <c r="H233" s="1041">
        <v>875</v>
      </c>
      <c r="I233" s="1039" t="s">
        <v>951</v>
      </c>
      <c r="K233" s="1039" t="s">
        <v>967</v>
      </c>
      <c r="O233" s="1042">
        <v>1</v>
      </c>
      <c r="P233" s="1043">
        <v>34669</v>
      </c>
      <c r="Q233" s="1044">
        <v>0.02</v>
      </c>
      <c r="R233" s="1045">
        <f t="shared" si="14"/>
        <v>0.12</v>
      </c>
      <c r="S233" s="1044"/>
      <c r="T233" s="1046">
        <f t="shared" si="15"/>
        <v>0</v>
      </c>
    </row>
    <row r="234" spans="1:41" s="1039" customFormat="1" ht="13.2">
      <c r="A234">
        <v>6</v>
      </c>
      <c r="B234" s="1039" t="s">
        <v>949</v>
      </c>
      <c r="D234" s="1039" t="s">
        <v>968</v>
      </c>
      <c r="G234" s="1040" t="s">
        <v>969</v>
      </c>
      <c r="H234" s="1041">
        <v>875</v>
      </c>
      <c r="I234" s="1039" t="s">
        <v>951</v>
      </c>
      <c r="K234" s="1039" t="s">
        <v>970</v>
      </c>
      <c r="O234" s="1042">
        <v>1</v>
      </c>
      <c r="P234" s="1043">
        <v>34669</v>
      </c>
      <c r="Q234" s="1044">
        <v>0.02</v>
      </c>
      <c r="R234" s="1045">
        <f t="shared" si="14"/>
        <v>0.12</v>
      </c>
      <c r="S234" s="1044"/>
      <c r="T234" s="1046">
        <f t="shared" si="15"/>
        <v>0</v>
      </c>
    </row>
    <row r="235" spans="1:41" s="1039" customFormat="1" ht="13.2">
      <c r="A235" s="112">
        <v>4</v>
      </c>
      <c r="B235" s="1039" t="s">
        <v>949</v>
      </c>
      <c r="D235" s="1039" t="s">
        <v>971</v>
      </c>
      <c r="G235" s="1040" t="s">
        <v>972</v>
      </c>
      <c r="H235" s="1041">
        <v>875</v>
      </c>
      <c r="I235" s="1039" t="s">
        <v>951</v>
      </c>
      <c r="K235" s="1039" t="s">
        <v>973</v>
      </c>
      <c r="O235" s="1042">
        <v>1</v>
      </c>
      <c r="P235" s="1043">
        <v>34669</v>
      </c>
      <c r="Q235" s="1044">
        <v>0.57999999999999996</v>
      </c>
      <c r="R235" s="1045">
        <f t="shared" si="14"/>
        <v>2.3199999999999998</v>
      </c>
      <c r="S235" s="1044"/>
      <c r="T235" s="1046">
        <f t="shared" si="15"/>
        <v>0</v>
      </c>
    </row>
    <row r="236" spans="1:41" s="504" customFormat="1" ht="12">
      <c r="A236" s="882"/>
      <c r="B236" s="882"/>
      <c r="C236" s="882"/>
      <c r="D236" s="882"/>
      <c r="E236" s="882"/>
      <c r="F236" s="877"/>
      <c r="G236" s="882"/>
      <c r="H236" s="882"/>
      <c r="I236" s="503"/>
      <c r="J236" s="882"/>
      <c r="K236" s="882"/>
      <c r="L236" s="882"/>
      <c r="M236" s="882"/>
      <c r="N236" s="882"/>
      <c r="O236" s="882"/>
      <c r="P236" s="882"/>
      <c r="Q236" s="503"/>
      <c r="R236" s="883">
        <f>$A236*Q236</f>
        <v>0</v>
      </c>
      <c r="S236" s="503"/>
      <c r="T236" s="884">
        <f>$A236*S236*$T$1</f>
        <v>0</v>
      </c>
    </row>
    <row r="237" spans="1:41" s="504" customFormat="1" ht="12.6" thickBot="1">
      <c r="A237" s="885" t="s">
        <v>142</v>
      </c>
      <c r="B237" s="886">
        <f>(R236+T236)</f>
        <v>0</v>
      </c>
      <c r="C237" s="887"/>
      <c r="D237" s="887"/>
      <c r="E237" s="887"/>
      <c r="F237" s="888"/>
      <c r="G237" s="887" t="s">
        <v>143</v>
      </c>
      <c r="H237" s="887"/>
      <c r="I237" s="889"/>
      <c r="J237" s="887"/>
      <c r="K237" s="887" t="s">
        <v>3</v>
      </c>
      <c r="L237" s="890" t="s">
        <v>140</v>
      </c>
      <c r="M237" s="890"/>
      <c r="N237" s="890"/>
      <c r="O237" s="890"/>
      <c r="P237" s="890"/>
      <c r="Q237" s="891"/>
      <c r="R237" s="892">
        <f>SUM(R227:R236)</f>
        <v>286.3</v>
      </c>
      <c r="S237" s="887"/>
      <c r="T237" s="892">
        <f>SUM(T227:T236)</f>
        <v>24.15</v>
      </c>
      <c r="U237" s="514"/>
      <c r="V237" s="514"/>
      <c r="W237" s="514"/>
      <c r="X237" s="514"/>
      <c r="Y237" s="514"/>
      <c r="Z237" s="514"/>
      <c r="AA237" s="514"/>
      <c r="AB237" s="514"/>
      <c r="AC237" s="514"/>
      <c r="AD237" s="514"/>
      <c r="AE237" s="514"/>
      <c r="AF237" s="514"/>
      <c r="AG237" s="514"/>
      <c r="AH237" s="514"/>
      <c r="AI237" s="514"/>
      <c r="AJ237" s="514"/>
      <c r="AK237" s="514"/>
      <c r="AL237" s="514"/>
      <c r="AM237" s="514"/>
      <c r="AN237" s="514"/>
      <c r="AO237" s="514"/>
    </row>
    <row r="238" spans="1:41" s="504" customFormat="1" ht="12" thickTop="1">
      <c r="A238" s="50"/>
      <c r="B238" s="40"/>
      <c r="C238" s="50"/>
      <c r="E238" s="41" t="s">
        <v>136</v>
      </c>
      <c r="F238" s="41" t="s">
        <v>137</v>
      </c>
      <c r="G238" s="50"/>
      <c r="H238" s="50"/>
      <c r="I238" s="50"/>
      <c r="J238" s="50"/>
      <c r="K238" s="50" t="s">
        <v>138</v>
      </c>
      <c r="L238" s="50"/>
      <c r="M238" s="50"/>
      <c r="N238" s="50"/>
      <c r="O238" s="51"/>
      <c r="P238" s="50"/>
      <c r="Q238" s="50"/>
      <c r="R238" s="50"/>
      <c r="S238" s="50"/>
      <c r="T238" s="40"/>
      <c r="AG238" s="867" t="s">
        <v>241</v>
      </c>
      <c r="AH238" s="867" t="s">
        <v>242</v>
      </c>
      <c r="AI238" s="867" t="s">
        <v>243</v>
      </c>
      <c r="AJ238" s="867" t="s">
        <v>244</v>
      </c>
      <c r="AK238" s="867" t="s">
        <v>245</v>
      </c>
      <c r="AM238" s="868" t="s">
        <v>254</v>
      </c>
      <c r="AN238" s="869" t="s">
        <v>255</v>
      </c>
      <c r="AO238" s="505" t="s">
        <v>251</v>
      </c>
    </row>
    <row r="239" spans="1:41" s="504" customFormat="1" ht="12" customHeight="1">
      <c r="A239" s="870">
        <v>1</v>
      </c>
      <c r="B239" s="871" t="s">
        <v>272</v>
      </c>
      <c r="C239" s="872"/>
      <c r="D239" s="873" t="s">
        <v>810</v>
      </c>
      <c r="E239" s="874">
        <f>IF(AND($A239=0,$A$1="DIF"),0, ROUND(ROUND(($R246*$S$2+($T246*$T$2))/A239,2)*$C$2,2))</f>
        <v>462.67</v>
      </c>
      <c r="F239" s="875">
        <f>ROUND($A239*$E239,2)</f>
        <v>462.67</v>
      </c>
      <c r="G239" s="876" t="s">
        <v>139</v>
      </c>
      <c r="H239" s="877"/>
      <c r="I239" s="878"/>
      <c r="J239" s="877"/>
      <c r="K239" s="877" t="s">
        <v>3</v>
      </c>
      <c r="L239" s="879" t="s">
        <v>140</v>
      </c>
      <c r="M239" s="879"/>
      <c r="N239" s="879"/>
      <c r="O239" s="879"/>
      <c r="P239" s="879"/>
      <c r="Q239" s="50"/>
      <c r="T239" s="880" t="str">
        <f>IF(AND($R246=0,$T246=0),"0.00","mu :" &amp; ROUND($F239/$C$2/($R246+$T246*$D$9),2))</f>
        <v>mu :1.22</v>
      </c>
      <c r="W239" s="507"/>
      <c r="AG239" s="465">
        <f>IF($E239=0,0,ROUND($R246*$S$2*$C$2/$A239,2))</f>
        <v>314.93</v>
      </c>
      <c r="AH239" s="465">
        <f>$AG239*$A239</f>
        <v>314.93</v>
      </c>
      <c r="AI239" s="508">
        <f>$E239-$AG239</f>
        <v>147.74</v>
      </c>
      <c r="AJ239" s="508">
        <f>$A239*$AI239</f>
        <v>147.74</v>
      </c>
      <c r="AK239" s="509">
        <f>ROUND(($AG239+$AI239)*$A239,2)</f>
        <v>462.67</v>
      </c>
      <c r="AM239" s="510">
        <f>ROUND(R246,2)</f>
        <v>258.14</v>
      </c>
      <c r="AN239" s="511">
        <f>ROUND(T246,2)</f>
        <v>4.2</v>
      </c>
      <c r="AO239" s="512">
        <f>ROUND(AM239+AN239,2)*A239</f>
        <v>262.33999999999997</v>
      </c>
    </row>
    <row r="240" spans="1:41" s="504" customFormat="1" ht="13.2">
      <c r="A240" s="872"/>
      <c r="B240"/>
      <c r="C240" s="872"/>
      <c r="D240" s="873" t="s">
        <v>811</v>
      </c>
      <c r="F240" s="877"/>
      <c r="G240" s="3"/>
      <c r="H240" s="877"/>
      <c r="I240" s="878"/>
      <c r="J240" s="877"/>
      <c r="K240" s="877" t="s">
        <v>141</v>
      </c>
      <c r="L240" s="877"/>
      <c r="M240" s="877"/>
      <c r="N240" s="877"/>
      <c r="O240" s="877"/>
      <c r="P240" s="877"/>
      <c r="Q240" s="50"/>
      <c r="R240" s="513"/>
      <c r="S240" s="881"/>
      <c r="T240" s="877"/>
    </row>
    <row r="241" spans="1:41" s="1039" customFormat="1" ht="13.2">
      <c r="A241">
        <v>1</v>
      </c>
      <c r="B241" s="1039" t="s">
        <v>949</v>
      </c>
      <c r="D241" s="1039" t="s">
        <v>986</v>
      </c>
      <c r="G241" s="1040" t="s">
        <v>981</v>
      </c>
      <c r="H241" s="1041">
        <v>510</v>
      </c>
      <c r="I241" s="1039" t="s">
        <v>951</v>
      </c>
      <c r="K241" s="1039" t="s">
        <v>982</v>
      </c>
      <c r="O241" s="1042">
        <v>2</v>
      </c>
      <c r="P241" s="1043"/>
      <c r="Q241" s="1044">
        <v>0</v>
      </c>
      <c r="R241" s="1045">
        <f>$A241*Q241</f>
        <v>0</v>
      </c>
      <c r="S241" s="1044">
        <v>4</v>
      </c>
      <c r="T241" s="1046">
        <f>$A241*S241*$T$1</f>
        <v>4.2</v>
      </c>
    </row>
    <row r="242" spans="1:41" s="1039" customFormat="1" ht="13.2">
      <c r="A242">
        <v>1</v>
      </c>
      <c r="B242" s="1039" t="s">
        <v>272</v>
      </c>
      <c r="D242" s="1039" t="s">
        <v>985</v>
      </c>
      <c r="G242" s="1040" t="s">
        <v>983</v>
      </c>
      <c r="H242" s="1041">
        <v>962</v>
      </c>
      <c r="I242" s="1039" t="s">
        <v>984</v>
      </c>
      <c r="O242" s="1042">
        <v>2</v>
      </c>
      <c r="P242" s="1043">
        <v>38129</v>
      </c>
      <c r="Q242" s="1044">
        <v>250</v>
      </c>
      <c r="R242" s="1045">
        <f>$A242*Q242</f>
        <v>250</v>
      </c>
      <c r="S242" s="1044"/>
      <c r="T242" s="1046">
        <f>$A242*S242*$T$1</f>
        <v>0</v>
      </c>
    </row>
    <row r="243" spans="1:41" s="1039" customFormat="1" ht="13.2">
      <c r="A243">
        <v>1</v>
      </c>
      <c r="B243" s="1039" t="s">
        <v>949</v>
      </c>
      <c r="D243" s="1039" t="s">
        <v>957</v>
      </c>
      <c r="G243" s="1040" t="s">
        <v>958</v>
      </c>
      <c r="H243" s="1041">
        <v>875</v>
      </c>
      <c r="I243" s="1039" t="s">
        <v>951</v>
      </c>
      <c r="K243" s="1039" t="s">
        <v>959</v>
      </c>
      <c r="O243" s="1042">
        <v>3</v>
      </c>
      <c r="P243" s="1043">
        <v>34820</v>
      </c>
      <c r="Q243" s="1044">
        <v>5.82</v>
      </c>
      <c r="R243" s="1045">
        <f>$A243*Q243</f>
        <v>5.82</v>
      </c>
      <c r="S243" s="1044"/>
      <c r="T243" s="1046">
        <f>$A243*S243*$T$1</f>
        <v>0</v>
      </c>
    </row>
    <row r="244" spans="1:41" s="1039" customFormat="1" ht="13.2">
      <c r="A244" s="112">
        <v>4</v>
      </c>
      <c r="B244" s="1039" t="s">
        <v>949</v>
      </c>
      <c r="D244" s="1039" t="s">
        <v>971</v>
      </c>
      <c r="G244" s="1040" t="s">
        <v>972</v>
      </c>
      <c r="H244" s="1041">
        <v>875</v>
      </c>
      <c r="I244" s="1039" t="s">
        <v>951</v>
      </c>
      <c r="K244" s="1039" t="s">
        <v>973</v>
      </c>
      <c r="O244" s="1042">
        <v>1</v>
      </c>
      <c r="P244" s="1043">
        <v>34669</v>
      </c>
      <c r="Q244" s="1044">
        <v>0.57999999999999996</v>
      </c>
      <c r="R244" s="1045">
        <f>$A244*Q244</f>
        <v>2.3199999999999998</v>
      </c>
      <c r="S244" s="1044"/>
      <c r="T244" s="1046">
        <f>$A244*S244*$T$1</f>
        <v>0</v>
      </c>
    </row>
    <row r="245" spans="1:41" s="504" customFormat="1" ht="12">
      <c r="A245" s="882"/>
      <c r="B245" s="882"/>
      <c r="C245" s="882"/>
      <c r="D245" s="882"/>
      <c r="E245" s="882"/>
      <c r="F245" s="877"/>
      <c r="G245" s="882"/>
      <c r="H245" s="882"/>
      <c r="I245" s="503"/>
      <c r="J245" s="882"/>
      <c r="K245" s="882"/>
      <c r="L245" s="882"/>
      <c r="M245" s="882"/>
      <c r="N245" s="882"/>
      <c r="O245" s="882"/>
      <c r="P245" s="882"/>
      <c r="Q245" s="503"/>
      <c r="R245" s="883">
        <f>$A245*Q245</f>
        <v>0</v>
      </c>
      <c r="S245" s="503"/>
      <c r="T245" s="884">
        <f>$A245*S245*$T$1</f>
        <v>0</v>
      </c>
    </row>
    <row r="246" spans="1:41" s="504" customFormat="1" ht="12.6" thickBot="1">
      <c r="A246" s="885" t="s">
        <v>142</v>
      </c>
      <c r="B246" s="886">
        <f>(R245+T245)</f>
        <v>0</v>
      </c>
      <c r="C246" s="887"/>
      <c r="D246" s="887"/>
      <c r="E246" s="887"/>
      <c r="F246" s="888"/>
      <c r="G246" s="887" t="s">
        <v>143</v>
      </c>
      <c r="H246" s="887"/>
      <c r="I246" s="889"/>
      <c r="J246" s="887"/>
      <c r="K246" s="887" t="s">
        <v>3</v>
      </c>
      <c r="L246" s="890" t="s">
        <v>140</v>
      </c>
      <c r="M246" s="890"/>
      <c r="N246" s="890"/>
      <c r="O246" s="890"/>
      <c r="P246" s="890"/>
      <c r="Q246" s="891"/>
      <c r="R246" s="892">
        <f>SUM(R240:R245)</f>
        <v>258.14</v>
      </c>
      <c r="S246" s="887"/>
      <c r="T246" s="892">
        <f>SUM(T240:T245)</f>
        <v>4.2</v>
      </c>
      <c r="U246" s="514"/>
      <c r="V246" s="514"/>
      <c r="W246" s="514"/>
      <c r="X246" s="514"/>
      <c r="Y246" s="514"/>
      <c r="Z246" s="514"/>
      <c r="AA246" s="514"/>
      <c r="AB246" s="514"/>
      <c r="AC246" s="514"/>
      <c r="AD246" s="514"/>
      <c r="AE246" s="514"/>
      <c r="AF246" s="514"/>
      <c r="AG246" s="514"/>
      <c r="AH246" s="514"/>
      <c r="AI246" s="514"/>
      <c r="AJ246" s="514"/>
      <c r="AK246" s="514"/>
      <c r="AL246" s="514"/>
      <c r="AM246" s="514"/>
      <c r="AN246" s="514"/>
      <c r="AO246" s="514"/>
    </row>
    <row r="247" spans="1:41" s="504" customFormat="1" ht="12" thickTop="1">
      <c r="A247" s="50"/>
      <c r="B247" s="40"/>
      <c r="C247" s="50"/>
      <c r="E247" s="41" t="s">
        <v>136</v>
      </c>
      <c r="F247" s="41" t="s">
        <v>137</v>
      </c>
      <c r="G247" s="50"/>
      <c r="H247" s="50"/>
      <c r="I247" s="50"/>
      <c r="J247" s="50"/>
      <c r="K247" s="50" t="s">
        <v>138</v>
      </c>
      <c r="L247" s="50"/>
      <c r="M247" s="50"/>
      <c r="N247" s="50"/>
      <c r="O247" s="51"/>
      <c r="P247" s="50"/>
      <c r="Q247" s="50"/>
      <c r="R247" s="50"/>
      <c r="S247" s="50"/>
      <c r="T247" s="40"/>
      <c r="AG247" s="867" t="s">
        <v>241</v>
      </c>
      <c r="AH247" s="867" t="s">
        <v>242</v>
      </c>
      <c r="AI247" s="867" t="s">
        <v>243</v>
      </c>
      <c r="AJ247" s="867" t="s">
        <v>244</v>
      </c>
      <c r="AK247" s="867" t="s">
        <v>245</v>
      </c>
      <c r="AM247" s="868" t="s">
        <v>254</v>
      </c>
      <c r="AN247" s="869" t="s">
        <v>255</v>
      </c>
      <c r="AO247" s="505" t="s">
        <v>251</v>
      </c>
    </row>
    <row r="248" spans="1:41" s="504" customFormat="1" ht="12" customHeight="1">
      <c r="A248" s="870">
        <v>1</v>
      </c>
      <c r="B248" s="871" t="s">
        <v>272</v>
      </c>
      <c r="C248" s="872"/>
      <c r="D248" s="873" t="s">
        <v>812</v>
      </c>
      <c r="E248" s="874">
        <f>IF(AND($A248=0,$A$1="DIF"),0, ROUND(ROUND(($R255*$S$2+($T255*$T$2))/A248,2)*$C$2,2))</f>
        <v>915.41</v>
      </c>
      <c r="F248" s="875">
        <f>ROUND($A248*$E248,2)</f>
        <v>915.41</v>
      </c>
      <c r="G248" s="876" t="s">
        <v>139</v>
      </c>
      <c r="H248" s="877"/>
      <c r="I248" s="878"/>
      <c r="J248" s="877"/>
      <c r="K248" s="877" t="s">
        <v>3</v>
      </c>
      <c r="L248" s="879" t="s">
        <v>140</v>
      </c>
      <c r="M248" s="879"/>
      <c r="N248" s="879"/>
      <c r="O248" s="879"/>
      <c r="P248" s="879"/>
      <c r="Q248" s="50"/>
      <c r="T248" s="880" t="str">
        <f>IF(AND($R255=0,$T255=0),"0.00","mu :" &amp; ROUND($F248/$C$2/($R255+$T255*$D$9),2))</f>
        <v>mu :1.22</v>
      </c>
      <c r="W248" s="507"/>
      <c r="AG248" s="465">
        <f>IF($E248=0,0,ROUND($R255*$S$2*$C$2/$A248,2))</f>
        <v>619.92999999999995</v>
      </c>
      <c r="AH248" s="465">
        <f>$AG248*$A248</f>
        <v>619.92999999999995</v>
      </c>
      <c r="AI248" s="508">
        <f>$E248-$AG248</f>
        <v>295.48</v>
      </c>
      <c r="AJ248" s="508">
        <f>$A248*$AI248</f>
        <v>295.48</v>
      </c>
      <c r="AK248" s="509">
        <f>ROUND(($AG248+$AI248)*$A248,2)</f>
        <v>915.41</v>
      </c>
      <c r="AM248" s="510">
        <f>ROUND(R255,2)</f>
        <v>508.14</v>
      </c>
      <c r="AN248" s="511">
        <f>ROUND(T255,2)</f>
        <v>8.4</v>
      </c>
      <c r="AO248" s="512">
        <f>ROUND(AM248+AN248,2)*A248</f>
        <v>516.54</v>
      </c>
    </row>
    <row r="249" spans="1:41" s="504" customFormat="1" ht="13.2">
      <c r="A249" s="872"/>
      <c r="B249"/>
      <c r="C249" s="872"/>
      <c r="D249" s="873" t="s">
        <v>813</v>
      </c>
      <c r="F249" s="877"/>
      <c r="G249" s="3"/>
      <c r="H249" s="877"/>
      <c r="I249" s="878"/>
      <c r="J249" s="877"/>
      <c r="K249" s="877" t="s">
        <v>141</v>
      </c>
      <c r="L249" s="877"/>
      <c r="M249" s="877"/>
      <c r="N249" s="877"/>
      <c r="O249" s="877"/>
      <c r="P249" s="877"/>
      <c r="Q249" s="50"/>
      <c r="R249" s="513"/>
      <c r="S249" s="881"/>
      <c r="T249" s="877"/>
    </row>
    <row r="250" spans="1:41" s="1039" customFormat="1" ht="13.2">
      <c r="A250">
        <v>1</v>
      </c>
      <c r="B250" s="1039" t="s">
        <v>949</v>
      </c>
      <c r="D250" s="1064" t="s">
        <v>987</v>
      </c>
      <c r="E250" s="1047"/>
      <c r="F250" s="1047"/>
      <c r="G250" s="1040" t="s">
        <v>950</v>
      </c>
      <c r="H250" s="1041">
        <v>510</v>
      </c>
      <c r="I250" s="1039" t="s">
        <v>951</v>
      </c>
      <c r="K250" s="1039" t="s">
        <v>952</v>
      </c>
      <c r="O250" s="1042">
        <v>2</v>
      </c>
      <c r="P250" s="1043"/>
      <c r="Q250" s="1044">
        <v>0</v>
      </c>
      <c r="R250" s="1045">
        <f>$A250*Q250</f>
        <v>0</v>
      </c>
      <c r="S250" s="1044">
        <v>8</v>
      </c>
      <c r="T250" s="1046">
        <f>$A250*S250*$T$1</f>
        <v>8.4</v>
      </c>
    </row>
    <row r="251" spans="1:41" s="1039" customFormat="1" ht="13.2">
      <c r="A251">
        <v>1</v>
      </c>
      <c r="B251" s="1039" t="s">
        <v>272</v>
      </c>
      <c r="D251" s="1039" t="s">
        <v>988</v>
      </c>
      <c r="G251" s="1040" t="s">
        <v>983</v>
      </c>
      <c r="H251" s="1041">
        <v>962</v>
      </c>
      <c r="I251" s="1039" t="s">
        <v>984</v>
      </c>
      <c r="O251" s="1042">
        <v>2</v>
      </c>
      <c r="P251" s="1043">
        <v>38129</v>
      </c>
      <c r="Q251" s="1044">
        <v>500</v>
      </c>
      <c r="R251" s="1045">
        <f>$A251*Q251</f>
        <v>500</v>
      </c>
      <c r="S251" s="1044"/>
      <c r="T251" s="1046">
        <f>$A251*S251*$T$1</f>
        <v>0</v>
      </c>
    </row>
    <row r="252" spans="1:41" s="1039" customFormat="1" ht="13.2">
      <c r="A252">
        <v>1</v>
      </c>
      <c r="B252" s="1039" t="s">
        <v>949</v>
      </c>
      <c r="D252" s="1039" t="s">
        <v>957</v>
      </c>
      <c r="G252" s="1040" t="s">
        <v>958</v>
      </c>
      <c r="H252" s="1041">
        <v>875</v>
      </c>
      <c r="I252" s="1039" t="s">
        <v>951</v>
      </c>
      <c r="K252" s="1039" t="s">
        <v>959</v>
      </c>
      <c r="O252" s="1042">
        <v>3</v>
      </c>
      <c r="P252" s="1043">
        <v>34820</v>
      </c>
      <c r="Q252" s="1044">
        <v>5.82</v>
      </c>
      <c r="R252" s="1045">
        <f>$A252*Q252</f>
        <v>5.82</v>
      </c>
      <c r="S252" s="1044"/>
      <c r="T252" s="1046">
        <f>$A252*S252*$T$1</f>
        <v>0</v>
      </c>
    </row>
    <row r="253" spans="1:41" s="1039" customFormat="1" ht="13.2">
      <c r="A253" s="112">
        <v>4</v>
      </c>
      <c r="B253" s="1039" t="s">
        <v>949</v>
      </c>
      <c r="D253" s="1039" t="s">
        <v>971</v>
      </c>
      <c r="G253" s="1040" t="s">
        <v>972</v>
      </c>
      <c r="H253" s="1041">
        <v>875</v>
      </c>
      <c r="I253" s="1039" t="s">
        <v>951</v>
      </c>
      <c r="K253" s="1039" t="s">
        <v>973</v>
      </c>
      <c r="O253" s="1042">
        <v>1</v>
      </c>
      <c r="P253" s="1043">
        <v>34669</v>
      </c>
      <c r="Q253" s="1044">
        <v>0.57999999999999996</v>
      </c>
      <c r="R253" s="1045">
        <f>$A253*Q253</f>
        <v>2.3199999999999998</v>
      </c>
      <c r="S253" s="1044"/>
      <c r="T253" s="1046">
        <f>$A253*S253*$T$1</f>
        <v>0</v>
      </c>
    </row>
    <row r="254" spans="1:41" s="504" customFormat="1" ht="12">
      <c r="A254" s="882"/>
      <c r="B254" s="882"/>
      <c r="C254" s="882"/>
      <c r="D254" s="882"/>
      <c r="E254" s="882"/>
      <c r="F254" s="877"/>
      <c r="G254" s="882"/>
      <c r="H254" s="882"/>
      <c r="I254" s="503"/>
      <c r="J254" s="882"/>
      <c r="K254" s="882"/>
      <c r="L254" s="882"/>
      <c r="M254" s="882"/>
      <c r="N254" s="882"/>
      <c r="O254" s="882"/>
      <c r="P254" s="882"/>
      <c r="Q254" s="503"/>
      <c r="R254" s="883">
        <f>$A254*Q254</f>
        <v>0</v>
      </c>
      <c r="S254" s="503"/>
      <c r="T254" s="884">
        <f>$A254*S254*$T$1</f>
        <v>0</v>
      </c>
    </row>
    <row r="255" spans="1:41" s="504" customFormat="1" ht="12.6" thickBot="1">
      <c r="A255" s="885" t="s">
        <v>142</v>
      </c>
      <c r="B255" s="886">
        <f>(R254+T254)</f>
        <v>0</v>
      </c>
      <c r="C255" s="887"/>
      <c r="D255" s="887"/>
      <c r="E255" s="887"/>
      <c r="F255" s="888"/>
      <c r="G255" s="887" t="s">
        <v>143</v>
      </c>
      <c r="H255" s="887"/>
      <c r="I255" s="889"/>
      <c r="J255" s="887"/>
      <c r="K255" s="887" t="s">
        <v>3</v>
      </c>
      <c r="L255" s="890" t="s">
        <v>140</v>
      </c>
      <c r="M255" s="890"/>
      <c r="N255" s="890"/>
      <c r="O255" s="890"/>
      <c r="P255" s="890"/>
      <c r="Q255" s="891"/>
      <c r="R255" s="892">
        <f>SUM(R249:R254)</f>
        <v>508.14</v>
      </c>
      <c r="S255" s="887"/>
      <c r="T255" s="892">
        <f>SUM(T249:T254)</f>
        <v>8.4</v>
      </c>
      <c r="U255" s="514"/>
      <c r="V255" s="514"/>
      <c r="W255" s="514"/>
      <c r="X255" s="514"/>
      <c r="Y255" s="514"/>
      <c r="Z255" s="514"/>
      <c r="AA255" s="514"/>
      <c r="AB255" s="514"/>
      <c r="AC255" s="514"/>
      <c r="AD255" s="514"/>
      <c r="AE255" s="514"/>
      <c r="AF255" s="514"/>
      <c r="AG255" s="514"/>
      <c r="AH255" s="514"/>
      <c r="AI255" s="514"/>
      <c r="AJ255" s="514"/>
      <c r="AK255" s="514"/>
      <c r="AL255" s="514"/>
      <c r="AM255" s="514"/>
      <c r="AN255" s="514"/>
      <c r="AO255" s="514"/>
    </row>
    <row r="256" spans="1:41" s="504" customFormat="1" ht="12" thickTop="1">
      <c r="A256" s="47" t="s">
        <v>145</v>
      </c>
      <c r="D256" s="13"/>
      <c r="E256" s="41"/>
      <c r="O256" s="893"/>
    </row>
    <row r="257" spans="1:41" s="504" customFormat="1" ht="13.2">
      <c r="B257" s="3"/>
      <c r="O257" s="893"/>
    </row>
    <row r="258" spans="1:41" s="504" customFormat="1" ht="12">
      <c r="B258" s="894">
        <f>$F258/$C$2-($R258*$S$2+$T258*$T$2)</f>
        <v>-1.5468999990844168E-2</v>
      </c>
      <c r="D258" s="895" t="s">
        <v>817</v>
      </c>
      <c r="E258" s="896"/>
      <c r="F258" s="897">
        <f>SUMIF($L145:$L256,"ITEM",F145:F256)</f>
        <v>39868.47</v>
      </c>
      <c r="G258" s="882"/>
      <c r="H258" s="882"/>
      <c r="I258" s="503"/>
      <c r="J258" s="882"/>
      <c r="K258" s="882"/>
      <c r="L258" s="879" t="s">
        <v>154</v>
      </c>
      <c r="M258" s="879"/>
      <c r="N258" s="879"/>
      <c r="O258" s="879"/>
      <c r="P258" s="879"/>
      <c r="R258" s="897">
        <f>SUMIF($L145:$L256,"ITEM",R145:R256)</f>
        <v>31074.529999999992</v>
      </c>
      <c r="S258" s="898"/>
      <c r="T258" s="897">
        <f>SUMIF($L145:$L256,"ITEM",T145:T256)</f>
        <v>55.65</v>
      </c>
    </row>
    <row r="259" spans="1:41" s="504" customFormat="1" ht="13.2">
      <c r="A259" s="50"/>
      <c r="B259" s="48" t="s">
        <v>816</v>
      </c>
      <c r="C259" s="50"/>
      <c r="D259" s="3"/>
      <c r="F259" s="899" t="s">
        <v>155</v>
      </c>
      <c r="G259" s="882"/>
      <c r="H259" s="882"/>
      <c r="I259" s="503"/>
      <c r="J259" s="882"/>
      <c r="K259" s="882"/>
      <c r="L259" s="882"/>
      <c r="M259" s="882"/>
      <c r="N259" s="882"/>
      <c r="O259" s="882"/>
      <c r="P259" s="882"/>
      <c r="Q259" s="900"/>
      <c r="R259" s="899" t="s">
        <v>156</v>
      </c>
      <c r="S259" s="38"/>
      <c r="T259" s="899" t="s">
        <v>157</v>
      </c>
    </row>
    <row r="260" spans="1:41" s="504" customFormat="1" ht="13.2">
      <c r="A260" s="882"/>
      <c r="B260" s="3"/>
      <c r="C260" s="882"/>
      <c r="D260" s="3"/>
      <c r="E260" s="3"/>
      <c r="G260" s="3"/>
      <c r="H260" s="3"/>
      <c r="I260" s="3"/>
      <c r="J260" s="3"/>
      <c r="K260" s="3"/>
      <c r="L260" s="3"/>
      <c r="M260" s="3"/>
      <c r="N260" s="3"/>
      <c r="O260" s="103"/>
      <c r="P260" s="3"/>
      <c r="Q260" s="3"/>
      <c r="R260" s="3"/>
      <c r="S260" s="3"/>
      <c r="T260" s="3"/>
    </row>
    <row r="261" spans="1:41" s="504" customFormat="1" ht="12" thickBot="1">
      <c r="A261" s="514"/>
      <c r="B261" s="887"/>
      <c r="C261" s="887"/>
      <c r="D261" s="514"/>
      <c r="E261" s="39"/>
      <c r="F261" s="901"/>
      <c r="G261" s="887"/>
      <c r="H261" s="887"/>
      <c r="I261" s="889"/>
      <c r="J261" s="887"/>
      <c r="K261" s="887"/>
      <c r="L261" s="890"/>
      <c r="M261" s="890"/>
      <c r="N261" s="890"/>
      <c r="O261" s="890"/>
      <c r="P261" s="890"/>
      <c r="Q261" s="891"/>
      <c r="R261" s="901"/>
      <c r="S261" s="902"/>
      <c r="T261" s="901"/>
      <c r="U261" s="514"/>
      <c r="V261" s="514"/>
      <c r="W261" s="514"/>
      <c r="X261" s="514"/>
      <c r="Y261" s="514"/>
      <c r="Z261" s="514"/>
      <c r="AA261" s="514"/>
      <c r="AB261" s="514"/>
      <c r="AC261" s="514"/>
      <c r="AD261" s="514"/>
      <c r="AE261" s="514"/>
      <c r="AF261" s="514"/>
      <c r="AG261" s="514"/>
      <c r="AH261" s="514"/>
      <c r="AI261" s="514"/>
      <c r="AJ261" s="514"/>
      <c r="AK261" s="514"/>
    </row>
    <row r="262" spans="1:41" s="504" customFormat="1" thickTop="1">
      <c r="A262" s="50"/>
      <c r="B262" s="50"/>
      <c r="C262" s="3"/>
      <c r="D262" s="3"/>
      <c r="E262" s="50"/>
      <c r="F262" s="50"/>
      <c r="G262" s="50"/>
      <c r="H262" s="50"/>
      <c r="I262" s="50"/>
      <c r="J262" s="50"/>
      <c r="K262" s="50" t="s">
        <v>133</v>
      </c>
      <c r="L262" s="50"/>
      <c r="M262" s="50"/>
      <c r="N262" s="50"/>
      <c r="O262" s="51"/>
      <c r="P262" s="50"/>
      <c r="Q262" s="50"/>
      <c r="R262" s="50"/>
      <c r="S262" s="50"/>
      <c r="T262" s="50"/>
    </row>
    <row r="263" spans="1:41" s="504" customFormat="1" ht="12">
      <c r="A263" s="50"/>
      <c r="B263" s="50"/>
      <c r="C263" s="50" t="s">
        <v>134</v>
      </c>
      <c r="D263" s="37"/>
      <c r="E263" s="50"/>
      <c r="F263" s="50"/>
      <c r="G263" s="50"/>
      <c r="H263" s="50"/>
      <c r="I263" s="50"/>
      <c r="J263" s="50"/>
      <c r="K263" s="50"/>
      <c r="L263" s="50"/>
      <c r="M263" s="50"/>
      <c r="N263" s="50"/>
      <c r="O263" s="51"/>
      <c r="P263" s="50"/>
      <c r="Q263" s="50"/>
      <c r="R263" s="50"/>
      <c r="S263" s="50"/>
      <c r="T263" s="50"/>
    </row>
    <row r="264" spans="1:41" s="504" customFormat="1" ht="12">
      <c r="A264" s="50"/>
      <c r="B264" s="50"/>
      <c r="C264" s="50"/>
      <c r="D264" s="37" t="s">
        <v>305</v>
      </c>
      <c r="E264" s="50"/>
      <c r="F264" s="50"/>
      <c r="G264" s="50"/>
      <c r="H264" s="50"/>
      <c r="I264" s="50"/>
      <c r="J264" s="50"/>
      <c r="K264" s="50"/>
      <c r="L264" s="50"/>
      <c r="M264" s="50"/>
      <c r="N264" s="50"/>
      <c r="O264" s="51"/>
      <c r="P264" s="50"/>
      <c r="Q264" s="50"/>
      <c r="R264" s="50"/>
      <c r="S264" s="38"/>
      <c r="T264" s="38"/>
    </row>
    <row r="265" spans="1:41" s="3" customFormat="1" thickBot="1">
      <c r="A265" s="514"/>
      <c r="O265" s="103"/>
    </row>
    <row r="266" spans="1:41" s="504" customFormat="1" thickTop="1">
      <c r="A266" s="50"/>
      <c r="B266" s="50"/>
      <c r="C266" s="3"/>
      <c r="D266" s="3"/>
      <c r="E266" s="50"/>
      <c r="F266" s="50"/>
      <c r="G266" s="50"/>
      <c r="H266" s="50"/>
      <c r="I266" s="50"/>
      <c r="J266" s="50"/>
      <c r="K266" s="50" t="s">
        <v>133</v>
      </c>
      <c r="L266" s="50"/>
      <c r="M266" s="50"/>
      <c r="N266" s="50"/>
      <c r="O266" s="51"/>
      <c r="P266" s="50"/>
      <c r="Q266" s="50"/>
      <c r="R266" s="50"/>
      <c r="S266" s="50"/>
      <c r="T266" s="50"/>
    </row>
    <row r="267" spans="1:41" s="504" customFormat="1" ht="12">
      <c r="A267" s="50"/>
      <c r="B267" s="50"/>
      <c r="C267" s="50" t="s">
        <v>134</v>
      </c>
      <c r="D267" s="37" t="s">
        <v>818</v>
      </c>
      <c r="E267" s="50"/>
      <c r="F267" s="50"/>
      <c r="G267" s="50"/>
      <c r="H267" s="50"/>
      <c r="I267" s="50"/>
      <c r="J267" s="50"/>
      <c r="K267" s="50"/>
      <c r="L267" s="50"/>
      <c r="M267" s="50"/>
      <c r="N267" s="50"/>
      <c r="O267" s="51"/>
      <c r="P267" s="50"/>
      <c r="Q267" s="50"/>
      <c r="R267" s="50"/>
      <c r="S267" s="50"/>
      <c r="T267" s="50"/>
    </row>
    <row r="268" spans="1:41" s="504" customFormat="1" ht="13.2">
      <c r="A268" s="872"/>
      <c r="B268"/>
      <c r="C268" s="872"/>
      <c r="D268" s="916" t="s">
        <v>687</v>
      </c>
      <c r="E268" s="917"/>
      <c r="F268" s="918"/>
      <c r="G268" s="919"/>
      <c r="H268" s="918"/>
      <c r="I268" s="920"/>
      <c r="J268" s="918"/>
      <c r="K268" s="918"/>
      <c r="L268" s="918"/>
      <c r="M268" s="918"/>
      <c r="N268" s="918"/>
      <c r="O268" s="918"/>
      <c r="P268" s="918"/>
      <c r="Q268" s="921"/>
      <c r="R268" s="513"/>
      <c r="S268" s="881"/>
      <c r="T268" s="877"/>
    </row>
    <row r="269" spans="1:41" s="3" customFormat="1" thickBot="1">
      <c r="A269" s="514"/>
      <c r="O269" s="103"/>
    </row>
    <row r="270" spans="1:41" s="504" customFormat="1" ht="12" thickTop="1">
      <c r="A270" s="50"/>
      <c r="B270" s="40"/>
      <c r="C270" s="50"/>
      <c r="E270" s="41" t="s">
        <v>136</v>
      </c>
      <c r="F270" s="41" t="s">
        <v>137</v>
      </c>
      <c r="G270" s="50"/>
      <c r="H270" s="50"/>
      <c r="I270" s="50"/>
      <c r="J270" s="50"/>
      <c r="K270" s="50" t="s">
        <v>138</v>
      </c>
      <c r="L270" s="50"/>
      <c r="M270" s="50"/>
      <c r="N270" s="50"/>
      <c r="O270" s="51"/>
      <c r="P270" s="50"/>
      <c r="Q270" s="50"/>
      <c r="R270" s="50"/>
      <c r="S270" s="50"/>
      <c r="T270" s="40"/>
      <c r="AG270" s="867" t="s">
        <v>241</v>
      </c>
      <c r="AH270" s="867" t="s">
        <v>242</v>
      </c>
      <c r="AI270" s="867" t="s">
        <v>243</v>
      </c>
      <c r="AJ270" s="867" t="s">
        <v>244</v>
      </c>
      <c r="AK270" s="867" t="s">
        <v>245</v>
      </c>
      <c r="AM270" s="868" t="s">
        <v>254</v>
      </c>
      <c r="AN270" s="869" t="s">
        <v>255</v>
      </c>
      <c r="AO270" s="505" t="s">
        <v>251</v>
      </c>
    </row>
    <row r="271" spans="1:41" s="504" customFormat="1" ht="12" customHeight="1">
      <c r="A271" s="870">
        <v>35</v>
      </c>
      <c r="B271" s="871" t="s">
        <v>306</v>
      </c>
      <c r="C271" s="872"/>
      <c r="D271" s="873" t="s">
        <v>804</v>
      </c>
      <c r="E271" s="874">
        <f ca="1">IF(AND($A271=0,$A$1="DIF"),0, ROUND(ROUND(($R276*$S$2+($T276*$T$2))/A271,2)*$C$2,2))</f>
        <v>124.11</v>
      </c>
      <c r="F271" s="875">
        <f ca="1">ROUND($A271*$E271,2)</f>
        <v>4343.8500000000004</v>
      </c>
      <c r="G271" s="876" t="s">
        <v>139</v>
      </c>
      <c r="H271" s="877"/>
      <c r="I271" s="878"/>
      <c r="J271" s="877"/>
      <c r="K271" s="877" t="s">
        <v>3</v>
      </c>
      <c r="L271" s="879" t="s">
        <v>140</v>
      </c>
      <c r="M271" s="879"/>
      <c r="N271" s="879"/>
      <c r="O271" s="879"/>
      <c r="P271" s="879"/>
      <c r="Q271" s="50"/>
      <c r="T271" s="880" t="str">
        <f ca="1">IF(AND($R276=0,$T276=0),"0.00","mu :" &amp; ROUND($F271/$C$2/($R276+$T276*$D$9),2))</f>
        <v>mu :1.22</v>
      </c>
      <c r="W271" s="507"/>
      <c r="AG271" s="465">
        <f ca="1">IF($E271=0,0,ROUND($R276*$S$2*$C$2/$A271,2))</f>
        <v>105.82</v>
      </c>
      <c r="AH271" s="465">
        <f ca="1">$AG271*$A271</f>
        <v>3703.7</v>
      </c>
      <c r="AI271" s="508">
        <f ca="1">$E271-$AG271</f>
        <v>18.290000000000006</v>
      </c>
      <c r="AJ271" s="508">
        <f ca="1">$A271*$AI271</f>
        <v>640.1500000000002</v>
      </c>
      <c r="AK271" s="509">
        <f ca="1">ROUND(($AG271+$AI271)*$A271,2)</f>
        <v>4343.8500000000004</v>
      </c>
      <c r="AM271" s="510">
        <f ca="1">ROUND(R276,2)</f>
        <v>3035.9</v>
      </c>
      <c r="AN271" s="511">
        <f ca="1">ROUND(T276,2)</f>
        <v>18.2</v>
      </c>
      <c r="AO271" s="512">
        <f ca="1">ROUND(AM271+AN271,2)*A271</f>
        <v>106893.5</v>
      </c>
    </row>
    <row r="272" spans="1:41" s="504" customFormat="1" ht="13.2">
      <c r="A272" s="872"/>
      <c r="B272"/>
      <c r="C272" s="872"/>
      <c r="D272" s="873" t="s">
        <v>688</v>
      </c>
      <c r="F272" s="877"/>
      <c r="G272" s="3"/>
      <c r="H272" s="877"/>
      <c r="I272" s="878"/>
      <c r="J272" s="877"/>
      <c r="K272" s="877" t="s">
        <v>141</v>
      </c>
      <c r="L272" s="877"/>
      <c r="M272" s="877"/>
      <c r="N272" s="877"/>
      <c r="O272" s="877"/>
      <c r="P272" s="877"/>
      <c r="Q272" s="50"/>
      <c r="R272" s="513"/>
      <c r="S272" s="881"/>
      <c r="T272" s="877"/>
    </row>
    <row r="273" spans="1:41" s="997" customFormat="1" ht="13.2">
      <c r="A273"/>
      <c r="B273" s="1065"/>
      <c r="C273" s="1065" t="s">
        <v>1006</v>
      </c>
      <c r="D273" s="1065" t="str">
        <f ca="1">CELL("Address",Elec_Rates!D$15)</f>
        <v>[EL25_0662B_Brittania_Hotel_Elec_Revised_Estim_B.xlsx]Elec_Rates!$D$15</v>
      </c>
      <c r="E273" s="1066"/>
      <c r="F273" s="1066"/>
      <c r="G273" s="1067" t="s">
        <v>1007</v>
      </c>
      <c r="H273" s="1067"/>
      <c r="I273" s="1067"/>
      <c r="J273" s="1067"/>
      <c r="K273" s="1068"/>
      <c r="L273" s="1066"/>
      <c r="M273" s="1066"/>
      <c r="N273" s="1066"/>
      <c r="O273" s="1069"/>
      <c r="P273" s="1066"/>
      <c r="Q273" s="1070"/>
      <c r="R273" s="1071"/>
      <c r="S273" s="1070"/>
      <c r="T273" s="1072"/>
      <c r="U273" s="1073"/>
    </row>
    <row r="274" spans="1:41" s="997" customFormat="1" ht="11.4">
      <c r="A274" s="1074">
        <v>70</v>
      </c>
      <c r="B274" s="1075">
        <v>1</v>
      </c>
      <c r="C274" s="1075">
        <f>$A274*$B274</f>
        <v>70</v>
      </c>
      <c r="D274" s="1076" t="str">
        <f>Elec_Rates!$D$15</f>
        <v>001# 5 core x 70 mm2 XLPE/SWA/LSZH/Cu Cable</v>
      </c>
      <c r="E274" s="1076"/>
      <c r="F274" s="1076"/>
      <c r="G274" s="1077" t="s">
        <v>1008</v>
      </c>
      <c r="H274" s="1077"/>
      <c r="I274" s="1077"/>
      <c r="J274" s="1077"/>
      <c r="K274" s="1078"/>
      <c r="L274" s="1073"/>
      <c r="M274" s="1073"/>
      <c r="N274" s="1073"/>
      <c r="O274" s="1079"/>
      <c r="P274" s="1076"/>
      <c r="Q274" s="1080">
        <f ca="1">$B274*Elec_Rates!$R$15</f>
        <v>43.37</v>
      </c>
      <c r="R274" s="1071">
        <f ca="1">$A274*Q274</f>
        <v>3035.8999999999996</v>
      </c>
      <c r="S274" s="1080">
        <f ca="1">$B274*Elec_Rates!$T$15</f>
        <v>0.26</v>
      </c>
      <c r="T274" s="1072">
        <f ca="1">$A274*S274</f>
        <v>18.2</v>
      </c>
      <c r="U274" s="1081"/>
    </row>
    <row r="275" spans="1:41" s="504" customFormat="1" ht="12">
      <c r="A275" s="882"/>
      <c r="B275" s="882"/>
      <c r="C275" s="882"/>
      <c r="D275" s="882"/>
      <c r="E275" s="882"/>
      <c r="F275" s="877"/>
      <c r="G275" s="882"/>
      <c r="H275" s="882"/>
      <c r="I275" s="503"/>
      <c r="J275" s="882"/>
      <c r="K275" s="882"/>
      <c r="L275" s="882"/>
      <c r="M275" s="882"/>
      <c r="N275" s="882"/>
      <c r="O275" s="882"/>
      <c r="P275" s="882"/>
      <c r="Q275" s="503"/>
      <c r="R275" s="883">
        <f>$A275*Q275</f>
        <v>0</v>
      </c>
      <c r="S275" s="503"/>
      <c r="T275" s="884">
        <f>$A275*S275*$T$1</f>
        <v>0</v>
      </c>
    </row>
    <row r="276" spans="1:41" s="504" customFormat="1" ht="12.6" thickBot="1">
      <c r="A276" s="885" t="s">
        <v>142</v>
      </c>
      <c r="B276" s="886">
        <f>(R275+T275)</f>
        <v>0</v>
      </c>
      <c r="C276" s="887"/>
      <c r="D276" s="887"/>
      <c r="E276" s="887"/>
      <c r="F276" s="888"/>
      <c r="G276" s="887" t="s">
        <v>143</v>
      </c>
      <c r="H276" s="887"/>
      <c r="I276" s="889"/>
      <c r="J276" s="887"/>
      <c r="K276" s="887" t="s">
        <v>3</v>
      </c>
      <c r="L276" s="890" t="s">
        <v>140</v>
      </c>
      <c r="M276" s="890"/>
      <c r="N276" s="890"/>
      <c r="O276" s="890"/>
      <c r="P276" s="890"/>
      <c r="Q276" s="891"/>
      <c r="R276" s="892">
        <f ca="1">SUM(R272:R275)</f>
        <v>3035.8999999999996</v>
      </c>
      <c r="S276" s="887"/>
      <c r="T276" s="892">
        <f ca="1">SUM(T272:T275)</f>
        <v>18.2</v>
      </c>
      <c r="U276" s="514"/>
      <c r="V276" s="514"/>
      <c r="W276" s="514"/>
      <c r="X276" s="514"/>
      <c r="Y276" s="514"/>
      <c r="Z276" s="514"/>
      <c r="AA276" s="514"/>
      <c r="AB276" s="514"/>
      <c r="AC276" s="514"/>
      <c r="AD276" s="514"/>
      <c r="AE276" s="514"/>
      <c r="AF276" s="514"/>
      <c r="AG276" s="514"/>
      <c r="AH276" s="514"/>
      <c r="AI276" s="514"/>
      <c r="AJ276" s="514"/>
      <c r="AK276" s="514"/>
      <c r="AL276" s="514"/>
      <c r="AM276" s="514"/>
      <c r="AN276" s="514"/>
      <c r="AO276" s="514"/>
    </row>
    <row r="277" spans="1:41" s="504" customFormat="1" ht="12" thickTop="1">
      <c r="A277" s="50"/>
      <c r="B277" s="40"/>
      <c r="C277" s="50"/>
      <c r="E277" s="41" t="s">
        <v>136</v>
      </c>
      <c r="F277" s="41" t="s">
        <v>137</v>
      </c>
      <c r="G277" s="50"/>
      <c r="H277" s="50"/>
      <c r="I277" s="50"/>
      <c r="J277" s="50"/>
      <c r="K277" s="50" t="s">
        <v>138</v>
      </c>
      <c r="L277" s="50"/>
      <c r="M277" s="50"/>
      <c r="N277" s="50"/>
      <c r="O277" s="51"/>
      <c r="P277" s="50"/>
      <c r="Q277" s="50"/>
      <c r="R277" s="50"/>
      <c r="S277" s="50"/>
      <c r="T277" s="40"/>
      <c r="AG277" s="867" t="s">
        <v>241</v>
      </c>
      <c r="AH277" s="867" t="s">
        <v>242</v>
      </c>
      <c r="AI277" s="867" t="s">
        <v>243</v>
      </c>
      <c r="AJ277" s="867" t="s">
        <v>244</v>
      </c>
      <c r="AK277" s="867" t="s">
        <v>245</v>
      </c>
      <c r="AM277" s="868" t="s">
        <v>254</v>
      </c>
      <c r="AN277" s="869" t="s">
        <v>255</v>
      </c>
      <c r="AO277" s="505" t="s">
        <v>251</v>
      </c>
    </row>
    <row r="278" spans="1:41" s="504" customFormat="1" ht="12" customHeight="1">
      <c r="A278" s="870">
        <v>65</v>
      </c>
      <c r="B278" s="871" t="s">
        <v>306</v>
      </c>
      <c r="C278" s="872"/>
      <c r="D278" s="873" t="s">
        <v>806</v>
      </c>
      <c r="E278" s="874">
        <f ca="1">IF(AND($A278=0,$A$1="DIF"),0, ROUND(ROUND(($R283*$S$2+($T283*$T$2))/A278,2)*$C$2,2))</f>
        <v>96.07</v>
      </c>
      <c r="F278" s="875">
        <f ca="1">ROUND($A278*$E278,2)</f>
        <v>6244.55</v>
      </c>
      <c r="G278" s="876" t="s">
        <v>139</v>
      </c>
      <c r="H278" s="877"/>
      <c r="I278" s="878"/>
      <c r="J278" s="877"/>
      <c r="K278" s="877" t="s">
        <v>3</v>
      </c>
      <c r="L278" s="879" t="s">
        <v>140</v>
      </c>
      <c r="M278" s="879"/>
      <c r="N278" s="879"/>
      <c r="O278" s="879"/>
      <c r="P278" s="879"/>
      <c r="Q278" s="50"/>
      <c r="T278" s="880" t="str">
        <f ca="1">IF(AND($R283=0,$T283=0),"0.00","mu :" &amp; ROUND($F278/$C$2/($R283+$T283*$D$9),2))</f>
        <v>mu :1.22</v>
      </c>
      <c r="W278" s="507"/>
      <c r="AG278" s="465">
        <f ca="1">IF($E278=0,0,ROUND($R283*$S$2*$C$2/$A278,2))</f>
        <v>75.66</v>
      </c>
      <c r="AH278" s="465">
        <f ca="1">$AG278*$A278</f>
        <v>4917.8999999999996</v>
      </c>
      <c r="AI278" s="508">
        <f ca="1">$E278-$AG278</f>
        <v>20.409999999999997</v>
      </c>
      <c r="AJ278" s="508">
        <f ca="1">$A278*$AI278</f>
        <v>1326.6499999999999</v>
      </c>
      <c r="AK278" s="509">
        <f ca="1">ROUND(($AG278+$AI278)*$A278,2)</f>
        <v>6244.55</v>
      </c>
      <c r="AM278" s="510">
        <f ca="1">ROUND(R283,2)</f>
        <v>4031.3</v>
      </c>
      <c r="AN278" s="511">
        <f ca="1">ROUND(T283,2)</f>
        <v>37.700000000000003</v>
      </c>
      <c r="AO278" s="512">
        <f ca="1">ROUND(AM278+AN278,2)*A278</f>
        <v>264485</v>
      </c>
    </row>
    <row r="279" spans="1:41" s="504" customFormat="1" ht="13.2">
      <c r="A279" s="872"/>
      <c r="B279"/>
      <c r="C279" s="872"/>
      <c r="D279" s="873" t="s">
        <v>689</v>
      </c>
      <c r="F279" s="877"/>
      <c r="G279" s="3"/>
      <c r="H279" s="877"/>
      <c r="I279" s="878"/>
      <c r="J279" s="877"/>
      <c r="K279" s="877" t="s">
        <v>141</v>
      </c>
      <c r="L279" s="877"/>
      <c r="M279" s="877"/>
      <c r="N279" s="877"/>
      <c r="O279" s="877"/>
      <c r="P279" s="877"/>
      <c r="Q279" s="50"/>
      <c r="R279" s="513"/>
      <c r="S279" s="881"/>
      <c r="T279" s="877"/>
    </row>
    <row r="280" spans="1:41" s="997" customFormat="1" ht="13.2">
      <c r="A280"/>
      <c r="B280" s="1065"/>
      <c r="C280" s="1065" t="s">
        <v>1006</v>
      </c>
      <c r="D280" s="1065" t="str">
        <f ca="1">CELL("Address",Elec_Rates!D$35)</f>
        <v>[EL25_0662B_Brittania_Hotel_Elec_Revised_Estim_B.xlsx]Elec_Rates!$D$35</v>
      </c>
      <c r="E280" s="1066"/>
      <c r="F280" s="1066"/>
      <c r="G280" s="1067" t="s">
        <v>1007</v>
      </c>
      <c r="H280" s="1067"/>
      <c r="I280" s="1067"/>
      <c r="J280" s="1067"/>
      <c r="K280" s="1068"/>
      <c r="L280" s="1066"/>
      <c r="M280" s="1066"/>
      <c r="N280" s="1066"/>
      <c r="O280" s="1069"/>
      <c r="P280" s="1066"/>
      <c r="Q280" s="1070"/>
      <c r="R280" s="1071"/>
      <c r="S280" s="1070"/>
      <c r="T280" s="1072"/>
      <c r="U280" s="1073"/>
    </row>
    <row r="281" spans="1:41" s="997" customFormat="1" ht="11.4">
      <c r="A281" s="1074">
        <f>65*2</f>
        <v>130</v>
      </c>
      <c r="B281" s="1075">
        <v>1</v>
      </c>
      <c r="C281" s="1075">
        <f>$A281*$B281</f>
        <v>130</v>
      </c>
      <c r="D281" s="1076" t="str">
        <f>Elec_Rates!$D$35</f>
        <v>003# 5 core x 50 mm2 FG16(O)M16 Cable</v>
      </c>
      <c r="E281" s="1076"/>
      <c r="F281" s="1076"/>
      <c r="G281" s="1077" t="s">
        <v>1008</v>
      </c>
      <c r="H281" s="1077"/>
      <c r="I281" s="1077"/>
      <c r="J281" s="1077"/>
      <c r="K281" s="1078"/>
      <c r="L281" s="1073"/>
      <c r="M281" s="1073"/>
      <c r="N281" s="1073"/>
      <c r="O281" s="1079"/>
      <c r="P281" s="1076"/>
      <c r="Q281" s="1080">
        <f ca="1">$B281*Elec_Rates!$R$35</f>
        <v>31.01</v>
      </c>
      <c r="R281" s="1071">
        <f ca="1">$A281*Q281</f>
        <v>4031.3</v>
      </c>
      <c r="S281" s="1080">
        <f ca="1">$B281*Elec_Rates!$T$35</f>
        <v>0.28999999999999998</v>
      </c>
      <c r="T281" s="1072">
        <f ca="1">$A281*S281</f>
        <v>37.699999999999996</v>
      </c>
      <c r="U281" s="1081"/>
    </row>
    <row r="282" spans="1:41" s="504" customFormat="1" ht="12">
      <c r="A282" s="882"/>
      <c r="B282" s="882"/>
      <c r="C282" s="882"/>
      <c r="D282" s="882"/>
      <c r="E282" s="882"/>
      <c r="F282" s="877"/>
      <c r="G282" s="882"/>
      <c r="H282" s="882"/>
      <c r="I282" s="503"/>
      <c r="J282" s="882"/>
      <c r="K282" s="882"/>
      <c r="L282" s="882"/>
      <c r="M282" s="882"/>
      <c r="N282" s="882"/>
      <c r="O282" s="882"/>
      <c r="P282" s="882"/>
      <c r="Q282" s="503"/>
      <c r="R282" s="883">
        <f>$A282*Q282</f>
        <v>0</v>
      </c>
      <c r="S282" s="503"/>
      <c r="T282" s="884">
        <f>$A282*S282*$T$1</f>
        <v>0</v>
      </c>
    </row>
    <row r="283" spans="1:41" s="504" customFormat="1" ht="12.6" thickBot="1">
      <c r="A283" s="885" t="s">
        <v>142</v>
      </c>
      <c r="B283" s="886">
        <f>(R282+T282)</f>
        <v>0</v>
      </c>
      <c r="C283" s="887"/>
      <c r="D283" s="887"/>
      <c r="E283" s="887"/>
      <c r="F283" s="888"/>
      <c r="G283" s="887" t="s">
        <v>143</v>
      </c>
      <c r="H283" s="887"/>
      <c r="I283" s="889"/>
      <c r="J283" s="887"/>
      <c r="K283" s="887" t="s">
        <v>3</v>
      </c>
      <c r="L283" s="890" t="s">
        <v>140</v>
      </c>
      <c r="M283" s="890"/>
      <c r="N283" s="890"/>
      <c r="O283" s="890"/>
      <c r="P283" s="890"/>
      <c r="Q283" s="891"/>
      <c r="R283" s="892">
        <f ca="1">SUM(R279:R282)</f>
        <v>4031.3</v>
      </c>
      <c r="S283" s="887"/>
      <c r="T283" s="892">
        <f ca="1">SUM(T279:T282)</f>
        <v>37.699999999999996</v>
      </c>
      <c r="U283" s="514"/>
      <c r="V283" s="514"/>
      <c r="W283" s="514"/>
      <c r="X283" s="514"/>
      <c r="Y283" s="514"/>
      <c r="Z283" s="514"/>
      <c r="AA283" s="514"/>
      <c r="AB283" s="514"/>
      <c r="AC283" s="514"/>
      <c r="AD283" s="514"/>
      <c r="AE283" s="514"/>
      <c r="AF283" s="514"/>
      <c r="AG283" s="514"/>
      <c r="AH283" s="514"/>
      <c r="AI283" s="514"/>
      <c r="AJ283" s="514"/>
      <c r="AK283" s="514"/>
      <c r="AL283" s="514"/>
      <c r="AM283" s="514"/>
      <c r="AN283" s="514"/>
      <c r="AO283" s="514"/>
    </row>
    <row r="284" spans="1:41" s="504" customFormat="1" ht="12" thickTop="1">
      <c r="A284" s="50"/>
      <c r="B284" s="40"/>
      <c r="C284" s="50"/>
      <c r="E284" s="41" t="s">
        <v>136</v>
      </c>
      <c r="F284" s="41" t="s">
        <v>137</v>
      </c>
      <c r="G284" s="50"/>
      <c r="H284" s="50"/>
      <c r="I284" s="50"/>
      <c r="J284" s="50"/>
      <c r="K284" s="50" t="s">
        <v>138</v>
      </c>
      <c r="L284" s="50"/>
      <c r="M284" s="50"/>
      <c r="N284" s="50"/>
      <c r="O284" s="51"/>
      <c r="P284" s="50"/>
      <c r="Q284" s="50"/>
      <c r="R284" s="50"/>
      <c r="S284" s="50"/>
      <c r="T284" s="40"/>
      <c r="AG284" s="867" t="s">
        <v>241</v>
      </c>
      <c r="AH284" s="867" t="s">
        <v>242</v>
      </c>
      <c r="AI284" s="867" t="s">
        <v>243</v>
      </c>
      <c r="AJ284" s="867" t="s">
        <v>244</v>
      </c>
      <c r="AK284" s="867" t="s">
        <v>245</v>
      </c>
      <c r="AM284" s="868" t="s">
        <v>254</v>
      </c>
      <c r="AN284" s="869" t="s">
        <v>255</v>
      </c>
      <c r="AO284" s="505" t="s">
        <v>251</v>
      </c>
    </row>
    <row r="285" spans="1:41" s="504" customFormat="1" ht="12" customHeight="1">
      <c r="A285" s="870">
        <v>10</v>
      </c>
      <c r="B285" s="871" t="s">
        <v>306</v>
      </c>
      <c r="C285" s="872"/>
      <c r="D285" s="873" t="s">
        <v>808</v>
      </c>
      <c r="E285" s="874">
        <f ca="1">IF(AND($A285=0,$A$1="DIF"),0, ROUND(ROUND(($R290*$S$2+($T290*$T$2))/A285,2)*$C$2,2))</f>
        <v>96.07</v>
      </c>
      <c r="F285" s="875">
        <f ca="1">ROUND($A285*$E285,2)</f>
        <v>960.7</v>
      </c>
      <c r="G285" s="876" t="s">
        <v>139</v>
      </c>
      <c r="H285" s="877"/>
      <c r="I285" s="878"/>
      <c r="J285" s="877"/>
      <c r="K285" s="877" t="s">
        <v>3</v>
      </c>
      <c r="L285" s="879" t="s">
        <v>140</v>
      </c>
      <c r="M285" s="879"/>
      <c r="N285" s="879"/>
      <c r="O285" s="879"/>
      <c r="P285" s="879"/>
      <c r="Q285" s="50"/>
      <c r="T285" s="880" t="str">
        <f ca="1">IF(AND($R290=0,$T290=0),"0.00","mu :" &amp; ROUND($F285/$C$2/($R290+$T290*$D$9),2))</f>
        <v>mu :1.22</v>
      </c>
      <c r="W285" s="507"/>
      <c r="AG285" s="465">
        <f ca="1">IF($E285=0,0,ROUND($R290*$S$2*$C$2/$A285,2))</f>
        <v>75.66</v>
      </c>
      <c r="AH285" s="465">
        <f ca="1">$AG285*$A285</f>
        <v>756.59999999999991</v>
      </c>
      <c r="AI285" s="508">
        <f ca="1">$E285-$AG285</f>
        <v>20.409999999999997</v>
      </c>
      <c r="AJ285" s="508">
        <f ca="1">$A285*$AI285</f>
        <v>204.09999999999997</v>
      </c>
      <c r="AK285" s="509">
        <f ca="1">ROUND(($AG285+$AI285)*$A285,2)</f>
        <v>960.7</v>
      </c>
      <c r="AM285" s="510">
        <f ca="1">ROUND(R290,2)</f>
        <v>620.20000000000005</v>
      </c>
      <c r="AN285" s="511">
        <f ca="1">ROUND(T290,2)</f>
        <v>5.8</v>
      </c>
      <c r="AO285" s="512">
        <f ca="1">ROUND(AM285+AN285,2)*A285</f>
        <v>6260</v>
      </c>
    </row>
    <row r="286" spans="1:41" s="504" customFormat="1" ht="13.2">
      <c r="A286" s="872"/>
      <c r="B286"/>
      <c r="C286" s="872"/>
      <c r="D286" s="873" t="s">
        <v>690</v>
      </c>
      <c r="F286" s="877"/>
      <c r="G286" s="3"/>
      <c r="H286" s="877"/>
      <c r="I286" s="878"/>
      <c r="J286" s="877"/>
      <c r="K286" s="877" t="s">
        <v>141</v>
      </c>
      <c r="L286" s="877"/>
      <c r="M286" s="877"/>
      <c r="N286" s="877"/>
      <c r="O286" s="877"/>
      <c r="P286" s="877"/>
      <c r="Q286" s="50"/>
      <c r="R286" s="513"/>
      <c r="S286" s="881"/>
      <c r="T286" s="877"/>
    </row>
    <row r="287" spans="1:41" s="997" customFormat="1" ht="13.2">
      <c r="A287"/>
      <c r="B287" s="1065"/>
      <c r="C287" s="1065" t="s">
        <v>1006</v>
      </c>
      <c r="D287" s="1065" t="str">
        <f ca="1">CELL("Address",Elec_Rates!D$35)</f>
        <v>[EL25_0662B_Brittania_Hotel_Elec_Revised_Estim_B.xlsx]Elec_Rates!$D$35</v>
      </c>
      <c r="E287" s="1066"/>
      <c r="F287" s="1066"/>
      <c r="G287" s="1067" t="s">
        <v>1007</v>
      </c>
      <c r="H287" s="1067"/>
      <c r="I287" s="1067"/>
      <c r="J287" s="1067"/>
      <c r="K287" s="1068"/>
      <c r="L287" s="1066"/>
      <c r="M287" s="1066"/>
      <c r="N287" s="1066"/>
      <c r="O287" s="1069"/>
      <c r="P287" s="1066"/>
      <c r="Q287" s="1070"/>
      <c r="R287" s="1071"/>
      <c r="S287" s="1070"/>
      <c r="T287" s="1072"/>
      <c r="U287" s="1073"/>
    </row>
    <row r="288" spans="1:41" s="997" customFormat="1" ht="11.4">
      <c r="A288" s="1074">
        <v>20</v>
      </c>
      <c r="B288" s="1075">
        <v>1</v>
      </c>
      <c r="C288" s="1075">
        <f>$A288*$B288</f>
        <v>20</v>
      </c>
      <c r="D288" s="1076" t="str">
        <f>Elec_Rates!$D$35</f>
        <v>003# 5 core x 50 mm2 FG16(O)M16 Cable</v>
      </c>
      <c r="E288" s="1076"/>
      <c r="F288" s="1076"/>
      <c r="G288" s="1077" t="s">
        <v>1008</v>
      </c>
      <c r="H288" s="1077"/>
      <c r="I288" s="1077"/>
      <c r="J288" s="1077"/>
      <c r="K288" s="1078"/>
      <c r="L288" s="1073"/>
      <c r="M288" s="1073"/>
      <c r="N288" s="1073"/>
      <c r="O288" s="1079"/>
      <c r="P288" s="1076"/>
      <c r="Q288" s="1080">
        <f ca="1">$B288*Elec_Rates!$R$35</f>
        <v>31.01</v>
      </c>
      <c r="R288" s="1071">
        <f ca="1">$A288*Q288</f>
        <v>620.20000000000005</v>
      </c>
      <c r="S288" s="1080">
        <f ca="1">$B288*Elec_Rates!$T$35</f>
        <v>0.28999999999999998</v>
      </c>
      <c r="T288" s="1072">
        <f ca="1">$A288*S288</f>
        <v>5.8</v>
      </c>
      <c r="U288" s="1081"/>
    </row>
    <row r="289" spans="1:41" s="504" customFormat="1" ht="12">
      <c r="A289" s="882"/>
      <c r="B289" s="882"/>
      <c r="C289" s="882"/>
      <c r="D289" s="882"/>
      <c r="E289" s="882"/>
      <c r="F289" s="877"/>
      <c r="G289" s="882"/>
      <c r="H289" s="882"/>
      <c r="I289" s="503"/>
      <c r="J289" s="882"/>
      <c r="K289" s="882"/>
      <c r="L289" s="882"/>
      <c r="M289" s="882"/>
      <c r="N289" s="882"/>
      <c r="O289" s="882"/>
      <c r="P289" s="882"/>
      <c r="Q289" s="503"/>
      <c r="R289" s="883">
        <f>$A289*Q289</f>
        <v>0</v>
      </c>
      <c r="S289" s="503"/>
      <c r="T289" s="884">
        <f>$A289*S289*$T$1</f>
        <v>0</v>
      </c>
    </row>
    <row r="290" spans="1:41" s="504" customFormat="1" ht="12.6" thickBot="1">
      <c r="A290" s="885" t="s">
        <v>142</v>
      </c>
      <c r="B290" s="886">
        <f>(R289+T289)</f>
        <v>0</v>
      </c>
      <c r="C290" s="887"/>
      <c r="D290" s="887"/>
      <c r="E290" s="887"/>
      <c r="F290" s="888"/>
      <c r="G290" s="887" t="s">
        <v>143</v>
      </c>
      <c r="H290" s="887"/>
      <c r="I290" s="889"/>
      <c r="J290" s="887"/>
      <c r="K290" s="887" t="s">
        <v>3</v>
      </c>
      <c r="L290" s="890" t="s">
        <v>140</v>
      </c>
      <c r="M290" s="890"/>
      <c r="N290" s="890"/>
      <c r="O290" s="890"/>
      <c r="P290" s="890"/>
      <c r="Q290" s="891"/>
      <c r="R290" s="892">
        <f ca="1">SUM(R286:R289)</f>
        <v>620.20000000000005</v>
      </c>
      <c r="S290" s="887"/>
      <c r="T290" s="892">
        <f ca="1">SUM(T286:T289)</f>
        <v>5.8</v>
      </c>
      <c r="U290" s="514"/>
      <c r="V290" s="514"/>
      <c r="W290" s="514"/>
      <c r="X290" s="514"/>
      <c r="Y290" s="514"/>
      <c r="Z290" s="514"/>
      <c r="AA290" s="514"/>
      <c r="AB290" s="514"/>
      <c r="AC290" s="514"/>
      <c r="AD290" s="514"/>
      <c r="AE290" s="514"/>
      <c r="AF290" s="514"/>
      <c r="AG290" s="514"/>
      <c r="AH290" s="514"/>
      <c r="AI290" s="514"/>
      <c r="AJ290" s="514"/>
      <c r="AK290" s="514"/>
      <c r="AL290" s="514"/>
      <c r="AM290" s="514"/>
      <c r="AN290" s="514"/>
      <c r="AO290" s="514"/>
    </row>
    <row r="291" spans="1:41" s="504" customFormat="1" ht="12" thickTop="1">
      <c r="A291" s="50"/>
      <c r="B291" s="40"/>
      <c r="C291" s="50"/>
      <c r="E291" s="41" t="s">
        <v>136</v>
      </c>
      <c r="F291" s="41" t="s">
        <v>137</v>
      </c>
      <c r="G291" s="50"/>
      <c r="H291" s="50"/>
      <c r="I291" s="50"/>
      <c r="J291" s="50"/>
      <c r="K291" s="50" t="s">
        <v>138</v>
      </c>
      <c r="L291" s="50"/>
      <c r="M291" s="50"/>
      <c r="N291" s="50"/>
      <c r="O291" s="51"/>
      <c r="P291" s="50"/>
      <c r="Q291" s="50"/>
      <c r="R291" s="50"/>
      <c r="S291" s="50"/>
      <c r="T291" s="40"/>
      <c r="AG291" s="867" t="s">
        <v>241</v>
      </c>
      <c r="AH291" s="867" t="s">
        <v>242</v>
      </c>
      <c r="AI291" s="867" t="s">
        <v>243</v>
      </c>
      <c r="AJ291" s="867" t="s">
        <v>244</v>
      </c>
      <c r="AK291" s="867" t="s">
        <v>245</v>
      </c>
      <c r="AM291" s="868" t="s">
        <v>254</v>
      </c>
      <c r="AN291" s="869" t="s">
        <v>255</v>
      </c>
      <c r="AO291" s="505" t="s">
        <v>251</v>
      </c>
    </row>
    <row r="292" spans="1:41" s="504" customFormat="1" ht="12" customHeight="1">
      <c r="A292" s="870">
        <v>10</v>
      </c>
      <c r="B292" s="871" t="s">
        <v>306</v>
      </c>
      <c r="C292" s="872"/>
      <c r="D292" s="873" t="s">
        <v>810</v>
      </c>
      <c r="E292" s="874">
        <f ca="1">IF(AND($A292=0,$A$1="DIF"),0, ROUND(ROUND(($R297*$S$2+($T297*$T$2))/A292,2)*$C$2,2))</f>
        <v>96.07</v>
      </c>
      <c r="F292" s="875">
        <f ca="1">ROUND($A292*$E292,2)</f>
        <v>960.7</v>
      </c>
      <c r="G292" s="876" t="s">
        <v>139</v>
      </c>
      <c r="H292" s="877"/>
      <c r="I292" s="878"/>
      <c r="J292" s="877"/>
      <c r="K292" s="877" t="s">
        <v>3</v>
      </c>
      <c r="L292" s="879" t="s">
        <v>140</v>
      </c>
      <c r="M292" s="879"/>
      <c r="N292" s="879"/>
      <c r="O292" s="879"/>
      <c r="P292" s="879"/>
      <c r="Q292" s="50"/>
      <c r="T292" s="880" t="str">
        <f ca="1">IF(AND($R297=0,$T297=0),"0.00","mu :" &amp; ROUND($F292/$C$2/($R297+$T297*$D$9),2))</f>
        <v>mu :1.22</v>
      </c>
      <c r="W292" s="507"/>
      <c r="AG292" s="465">
        <f ca="1">IF($E292=0,0,ROUND($R297*$S$2*$C$2/$A292,2))</f>
        <v>75.66</v>
      </c>
      <c r="AH292" s="465">
        <f ca="1">$AG292*$A292</f>
        <v>756.59999999999991</v>
      </c>
      <c r="AI292" s="508">
        <f ca="1">$E292-$AG292</f>
        <v>20.409999999999997</v>
      </c>
      <c r="AJ292" s="508">
        <f ca="1">$A292*$AI292</f>
        <v>204.09999999999997</v>
      </c>
      <c r="AK292" s="509">
        <f ca="1">ROUND(($AG292+$AI292)*$A292,2)</f>
        <v>960.7</v>
      </c>
      <c r="AM292" s="510">
        <f ca="1">ROUND(R297,2)</f>
        <v>620.20000000000005</v>
      </c>
      <c r="AN292" s="511">
        <f ca="1">ROUND(T297,2)</f>
        <v>5.8</v>
      </c>
      <c r="AO292" s="512">
        <f ca="1">ROUND(AM292+AN292,2)*A292</f>
        <v>6260</v>
      </c>
    </row>
    <row r="293" spans="1:41" s="504" customFormat="1" ht="13.2">
      <c r="A293" s="872"/>
      <c r="B293"/>
      <c r="C293" s="872"/>
      <c r="D293" s="873" t="s">
        <v>691</v>
      </c>
      <c r="F293" s="877"/>
      <c r="G293" s="3"/>
      <c r="H293" s="877"/>
      <c r="I293" s="878"/>
      <c r="J293" s="877"/>
      <c r="K293" s="877" t="s">
        <v>141</v>
      </c>
      <c r="L293" s="877"/>
      <c r="M293" s="877"/>
      <c r="N293" s="877"/>
      <c r="O293" s="877"/>
      <c r="P293" s="877"/>
      <c r="Q293" s="50"/>
      <c r="R293" s="513"/>
      <c r="S293" s="881"/>
      <c r="T293" s="877"/>
    </row>
    <row r="294" spans="1:41" s="997" customFormat="1" ht="13.2">
      <c r="A294"/>
      <c r="B294" s="1065"/>
      <c r="C294" s="1065" t="s">
        <v>1006</v>
      </c>
      <c r="D294" s="1065" t="str">
        <f ca="1">CELL("Address",Elec_Rates!D$35)</f>
        <v>[EL25_0662B_Brittania_Hotel_Elec_Revised_Estim_B.xlsx]Elec_Rates!$D$35</v>
      </c>
      <c r="E294" s="1066"/>
      <c r="F294" s="1066"/>
      <c r="G294" s="1067" t="s">
        <v>1007</v>
      </c>
      <c r="H294" s="1067"/>
      <c r="I294" s="1067"/>
      <c r="J294" s="1067"/>
      <c r="K294" s="1068"/>
      <c r="L294" s="1066"/>
      <c r="M294" s="1066"/>
      <c r="N294" s="1066"/>
      <c r="O294" s="1069"/>
      <c r="P294" s="1066"/>
      <c r="Q294" s="1070"/>
      <c r="R294" s="1071"/>
      <c r="S294" s="1070"/>
      <c r="T294" s="1072"/>
      <c r="U294" s="1073"/>
    </row>
    <row r="295" spans="1:41" s="997" customFormat="1" ht="11.4">
      <c r="A295" s="1074">
        <v>20</v>
      </c>
      <c r="B295" s="1075">
        <v>1</v>
      </c>
      <c r="C295" s="1075">
        <f>$A295*$B295</f>
        <v>20</v>
      </c>
      <c r="D295" s="1076" t="str">
        <f>Elec_Rates!$D$35</f>
        <v>003# 5 core x 50 mm2 FG16(O)M16 Cable</v>
      </c>
      <c r="E295" s="1076"/>
      <c r="F295" s="1076"/>
      <c r="G295" s="1077" t="s">
        <v>1008</v>
      </c>
      <c r="H295" s="1077"/>
      <c r="I295" s="1077"/>
      <c r="J295" s="1077"/>
      <c r="K295" s="1078"/>
      <c r="L295" s="1073"/>
      <c r="M295" s="1073"/>
      <c r="N295" s="1073"/>
      <c r="O295" s="1079"/>
      <c r="P295" s="1076"/>
      <c r="Q295" s="1080">
        <f ca="1">$B295*Elec_Rates!$R$35</f>
        <v>31.01</v>
      </c>
      <c r="R295" s="1071">
        <f ca="1">$A295*Q295</f>
        <v>620.20000000000005</v>
      </c>
      <c r="S295" s="1080">
        <f ca="1">$B295*Elec_Rates!$T$35</f>
        <v>0.28999999999999998</v>
      </c>
      <c r="T295" s="1072">
        <f ca="1">$A295*S295</f>
        <v>5.8</v>
      </c>
      <c r="U295" s="1081"/>
    </row>
    <row r="296" spans="1:41" s="504" customFormat="1" ht="12">
      <c r="A296" s="882"/>
      <c r="B296" s="882"/>
      <c r="C296" s="882"/>
      <c r="D296" s="882"/>
      <c r="E296" s="882"/>
      <c r="F296" s="877"/>
      <c r="G296" s="882"/>
      <c r="H296" s="882"/>
      <c r="I296" s="503"/>
      <c r="J296" s="882"/>
      <c r="K296" s="882"/>
      <c r="L296" s="882"/>
      <c r="M296" s="882"/>
      <c r="N296" s="882"/>
      <c r="O296" s="882"/>
      <c r="P296" s="882"/>
      <c r="Q296" s="503"/>
      <c r="R296" s="883">
        <f>$A296*Q296</f>
        <v>0</v>
      </c>
      <c r="S296" s="503"/>
      <c r="T296" s="884">
        <f>$A296*S296*$T$1</f>
        <v>0</v>
      </c>
    </row>
    <row r="297" spans="1:41" s="504" customFormat="1" ht="12.6" thickBot="1">
      <c r="A297" s="885" t="s">
        <v>142</v>
      </c>
      <c r="B297" s="886">
        <f>(R296+T296)</f>
        <v>0</v>
      </c>
      <c r="C297" s="887"/>
      <c r="D297" s="887"/>
      <c r="E297" s="887"/>
      <c r="F297" s="888"/>
      <c r="G297" s="887" t="s">
        <v>143</v>
      </c>
      <c r="H297" s="887"/>
      <c r="I297" s="889"/>
      <c r="J297" s="887"/>
      <c r="K297" s="887" t="s">
        <v>3</v>
      </c>
      <c r="L297" s="890" t="s">
        <v>140</v>
      </c>
      <c r="M297" s="890"/>
      <c r="N297" s="890"/>
      <c r="O297" s="890"/>
      <c r="P297" s="890"/>
      <c r="Q297" s="891"/>
      <c r="R297" s="892">
        <f ca="1">SUM(R293:R296)</f>
        <v>620.20000000000005</v>
      </c>
      <c r="S297" s="887"/>
      <c r="T297" s="892">
        <f ca="1">SUM(T293:T296)</f>
        <v>5.8</v>
      </c>
      <c r="U297" s="514"/>
      <c r="V297" s="514"/>
      <c r="W297" s="514"/>
      <c r="X297" s="514"/>
      <c r="Y297" s="514"/>
      <c r="Z297" s="514"/>
      <c r="AA297" s="514"/>
      <c r="AB297" s="514"/>
      <c r="AC297" s="514"/>
      <c r="AD297" s="514"/>
      <c r="AE297" s="514"/>
      <c r="AF297" s="514"/>
      <c r="AG297" s="514"/>
      <c r="AH297" s="514"/>
      <c r="AI297" s="514"/>
      <c r="AJ297" s="514"/>
      <c r="AK297" s="514"/>
      <c r="AL297" s="514"/>
      <c r="AM297" s="514"/>
      <c r="AN297" s="514"/>
      <c r="AO297" s="514"/>
    </row>
    <row r="298" spans="1:41" s="504" customFormat="1" ht="12" thickTop="1">
      <c r="A298" s="50"/>
      <c r="B298" s="40"/>
      <c r="C298" s="50"/>
      <c r="E298" s="41" t="s">
        <v>136</v>
      </c>
      <c r="F298" s="41" t="s">
        <v>137</v>
      </c>
      <c r="G298" s="50"/>
      <c r="H298" s="50"/>
      <c r="I298" s="50"/>
      <c r="J298" s="50"/>
      <c r="K298" s="50" t="s">
        <v>138</v>
      </c>
      <c r="L298" s="50"/>
      <c r="M298" s="50"/>
      <c r="N298" s="50"/>
      <c r="O298" s="51"/>
      <c r="P298" s="50"/>
      <c r="Q298" s="50"/>
      <c r="R298" s="50"/>
      <c r="S298" s="50"/>
      <c r="T298" s="40"/>
      <c r="AG298" s="867" t="s">
        <v>241</v>
      </c>
      <c r="AH298" s="867" t="s">
        <v>242</v>
      </c>
      <c r="AI298" s="867" t="s">
        <v>243</v>
      </c>
      <c r="AJ298" s="867" t="s">
        <v>244</v>
      </c>
      <c r="AK298" s="867" t="s">
        <v>245</v>
      </c>
      <c r="AM298" s="868" t="s">
        <v>254</v>
      </c>
      <c r="AN298" s="869" t="s">
        <v>255</v>
      </c>
      <c r="AO298" s="505" t="s">
        <v>251</v>
      </c>
    </row>
    <row r="299" spans="1:41" s="504" customFormat="1" ht="12" customHeight="1">
      <c r="A299" s="870">
        <v>10</v>
      </c>
      <c r="B299" s="871" t="s">
        <v>306</v>
      </c>
      <c r="C299" s="872"/>
      <c r="D299" s="873" t="s">
        <v>812</v>
      </c>
      <c r="E299" s="874">
        <f ca="1">IF(AND($A299=0,$A$1="DIF"),0, ROUND(ROUND(($R304*$S$2+($T304*$T$2))/A299,2)*$C$2,2))</f>
        <v>73.209999999999994</v>
      </c>
      <c r="F299" s="875">
        <f ca="1">ROUND($A299*$E299,2)</f>
        <v>732.1</v>
      </c>
      <c r="G299" s="876" t="s">
        <v>139</v>
      </c>
      <c r="H299" s="877"/>
      <c r="I299" s="878"/>
      <c r="J299" s="877"/>
      <c r="K299" s="877" t="s">
        <v>3</v>
      </c>
      <c r="L299" s="879" t="s">
        <v>140</v>
      </c>
      <c r="M299" s="879"/>
      <c r="N299" s="879"/>
      <c r="O299" s="879"/>
      <c r="P299" s="879"/>
      <c r="Q299" s="50"/>
      <c r="T299" s="880" t="str">
        <f ca="1">IF(AND($R304=0,$T304=0),"0.00","mu :" &amp; ROUND($F299/$C$2/($R304+$T304*$D$9),2))</f>
        <v>mu :1.22</v>
      </c>
      <c r="W299" s="507"/>
      <c r="AG299" s="465">
        <f ca="1">IF($E299=0,0,ROUND($R304*$S$2*$C$2/$A299,2))</f>
        <v>56.33</v>
      </c>
      <c r="AH299" s="465">
        <f ca="1">$AG299*$A299</f>
        <v>563.29999999999995</v>
      </c>
      <c r="AI299" s="508">
        <f ca="1">$E299-$AG299</f>
        <v>16.879999999999995</v>
      </c>
      <c r="AJ299" s="508">
        <f ca="1">$A299*$AI299</f>
        <v>168.79999999999995</v>
      </c>
      <c r="AK299" s="509">
        <f ca="1">ROUND(($AG299+$AI299)*$A299,2)</f>
        <v>732.1</v>
      </c>
      <c r="AM299" s="510">
        <f ca="1">ROUND(R304,2)</f>
        <v>461.7</v>
      </c>
      <c r="AN299" s="511">
        <f ca="1">ROUND(T304,2)</f>
        <v>4.8</v>
      </c>
      <c r="AO299" s="512">
        <f ca="1">ROUND(AM299+AN299,2)*A299</f>
        <v>4665</v>
      </c>
    </row>
    <row r="300" spans="1:41" s="504" customFormat="1" ht="13.2">
      <c r="A300" s="872"/>
      <c r="B300"/>
      <c r="C300" s="872"/>
      <c r="D300" s="873" t="s">
        <v>692</v>
      </c>
      <c r="F300" s="877"/>
      <c r="G300" s="3"/>
      <c r="H300" s="877"/>
      <c r="I300" s="878"/>
      <c r="J300" s="877"/>
      <c r="K300" s="877" t="s">
        <v>141</v>
      </c>
      <c r="L300" s="877"/>
      <c r="M300" s="877"/>
      <c r="N300" s="877"/>
      <c r="O300" s="877"/>
      <c r="P300" s="877"/>
      <c r="Q300" s="50"/>
      <c r="R300" s="513"/>
      <c r="S300" s="881"/>
      <c r="T300" s="877"/>
    </row>
    <row r="301" spans="1:41" s="997" customFormat="1" ht="13.2">
      <c r="A301"/>
      <c r="B301" s="1065"/>
      <c r="C301" s="1065" t="s">
        <v>1006</v>
      </c>
      <c r="D301" s="1065" t="str">
        <f ca="1">CELL("Address",Elec_Rates!D$25)</f>
        <v>[EL25_0662B_Brittania_Hotel_Elec_Revised_Estim_B.xlsx]Elec_Rates!$D$25</v>
      </c>
      <c r="E301" s="1066"/>
      <c r="F301" s="1066"/>
      <c r="G301" s="1067" t="s">
        <v>1007</v>
      </c>
      <c r="H301" s="1067"/>
      <c r="I301" s="1067"/>
      <c r="J301" s="1067"/>
      <c r="K301" s="1068"/>
      <c r="L301" s="1066"/>
      <c r="M301" s="1066"/>
      <c r="N301" s="1066"/>
      <c r="O301" s="1069"/>
      <c r="P301" s="1066"/>
      <c r="Q301" s="1070"/>
      <c r="R301" s="1071"/>
      <c r="S301" s="1070"/>
      <c r="T301" s="1072"/>
      <c r="U301" s="1073"/>
    </row>
    <row r="302" spans="1:41" s="997" customFormat="1" ht="11.4">
      <c r="A302" s="1074">
        <v>10</v>
      </c>
      <c r="B302" s="1075">
        <v>1</v>
      </c>
      <c r="C302" s="1075">
        <f>$A302*$B302</f>
        <v>10</v>
      </c>
      <c r="D302" s="1076" t="str">
        <f>Elec_Rates!$D$25</f>
        <v>002# 5 core x 70 mm2 FG16(O)M16 Cable</v>
      </c>
      <c r="E302" s="1076"/>
      <c r="F302" s="1076"/>
      <c r="G302" s="1077" t="s">
        <v>1008</v>
      </c>
      <c r="H302" s="1077"/>
      <c r="I302" s="1077"/>
      <c r="J302" s="1077"/>
      <c r="K302" s="1078"/>
      <c r="L302" s="1073"/>
      <c r="M302" s="1073"/>
      <c r="N302" s="1073"/>
      <c r="O302" s="1079"/>
      <c r="P302" s="1076"/>
      <c r="Q302" s="1080">
        <f ca="1">$B302*Elec_Rates!$R$25</f>
        <v>46.17</v>
      </c>
      <c r="R302" s="1071">
        <f ca="1">$A302*Q302</f>
        <v>461.70000000000005</v>
      </c>
      <c r="S302" s="1080">
        <f ca="1">$B302*Elec_Rates!$T$25</f>
        <v>0.48</v>
      </c>
      <c r="T302" s="1072">
        <f ca="1">$A302*S302</f>
        <v>4.8</v>
      </c>
      <c r="U302" s="1081"/>
    </row>
    <row r="303" spans="1:41" s="504" customFormat="1" ht="12">
      <c r="A303" s="882"/>
      <c r="B303" s="882"/>
      <c r="C303" s="882"/>
      <c r="D303" s="882"/>
      <c r="E303" s="882"/>
      <c r="F303" s="877"/>
      <c r="G303" s="882"/>
      <c r="H303" s="882"/>
      <c r="I303" s="503"/>
      <c r="J303" s="882"/>
      <c r="K303" s="882"/>
      <c r="L303" s="882"/>
      <c r="M303" s="882"/>
      <c r="N303" s="882"/>
      <c r="O303" s="882"/>
      <c r="P303" s="882"/>
      <c r="Q303" s="503"/>
      <c r="R303" s="883">
        <f>$A303*Q303</f>
        <v>0</v>
      </c>
      <c r="S303" s="503"/>
      <c r="T303" s="884">
        <f>$A303*S303*$T$1</f>
        <v>0</v>
      </c>
    </row>
    <row r="304" spans="1:41" s="504" customFormat="1" ht="12.6" thickBot="1">
      <c r="A304" s="885" t="s">
        <v>142</v>
      </c>
      <c r="B304" s="886">
        <f>(R303+T303)</f>
        <v>0</v>
      </c>
      <c r="C304" s="887"/>
      <c r="D304" s="887"/>
      <c r="E304" s="887"/>
      <c r="F304" s="888"/>
      <c r="G304" s="887" t="s">
        <v>143</v>
      </c>
      <c r="H304" s="887"/>
      <c r="I304" s="889"/>
      <c r="J304" s="887"/>
      <c r="K304" s="887" t="s">
        <v>3</v>
      </c>
      <c r="L304" s="890" t="s">
        <v>140</v>
      </c>
      <c r="M304" s="890"/>
      <c r="N304" s="890"/>
      <c r="O304" s="890"/>
      <c r="P304" s="890"/>
      <c r="Q304" s="891"/>
      <c r="R304" s="892">
        <f ca="1">SUM(R300:R303)</f>
        <v>461.70000000000005</v>
      </c>
      <c r="S304" s="887"/>
      <c r="T304" s="892">
        <f ca="1">SUM(T300:T303)</f>
        <v>4.8</v>
      </c>
      <c r="U304" s="514"/>
      <c r="V304" s="514"/>
      <c r="W304" s="514"/>
      <c r="X304" s="514"/>
      <c r="Y304" s="514"/>
      <c r="Z304" s="514"/>
      <c r="AA304" s="514"/>
      <c r="AB304" s="514"/>
      <c r="AC304" s="514"/>
      <c r="AD304" s="514"/>
      <c r="AE304" s="514"/>
      <c r="AF304" s="514"/>
      <c r="AG304" s="514"/>
      <c r="AH304" s="514"/>
      <c r="AI304" s="514"/>
      <c r="AJ304" s="514"/>
      <c r="AK304" s="514"/>
      <c r="AL304" s="514"/>
      <c r="AM304" s="514"/>
      <c r="AN304" s="514"/>
      <c r="AO304" s="514"/>
    </row>
    <row r="305" spans="1:41" s="504" customFormat="1" ht="12" thickTop="1">
      <c r="A305" s="50"/>
      <c r="B305" s="40"/>
      <c r="C305" s="50"/>
      <c r="E305" s="41" t="s">
        <v>136</v>
      </c>
      <c r="F305" s="41" t="s">
        <v>137</v>
      </c>
      <c r="G305" s="50"/>
      <c r="H305" s="50"/>
      <c r="I305" s="50"/>
      <c r="J305" s="50"/>
      <c r="K305" s="50" t="s">
        <v>138</v>
      </c>
      <c r="L305" s="50"/>
      <c r="M305" s="50"/>
      <c r="N305" s="50"/>
      <c r="O305" s="51"/>
      <c r="P305" s="50"/>
      <c r="Q305" s="50"/>
      <c r="R305" s="50"/>
      <c r="S305" s="50"/>
      <c r="T305" s="40"/>
      <c r="AG305" s="867" t="s">
        <v>241</v>
      </c>
      <c r="AH305" s="867" t="s">
        <v>242</v>
      </c>
      <c r="AI305" s="867" t="s">
        <v>243</v>
      </c>
      <c r="AJ305" s="867" t="s">
        <v>244</v>
      </c>
      <c r="AK305" s="867" t="s">
        <v>245</v>
      </c>
      <c r="AM305" s="868" t="s">
        <v>254</v>
      </c>
      <c r="AN305" s="869" t="s">
        <v>255</v>
      </c>
      <c r="AO305" s="505" t="s">
        <v>251</v>
      </c>
    </row>
    <row r="306" spans="1:41" s="504" customFormat="1" ht="12" customHeight="1">
      <c r="A306" s="870">
        <v>54</v>
      </c>
      <c r="B306" s="871" t="s">
        <v>306</v>
      </c>
      <c r="C306" s="872"/>
      <c r="D306" s="873" t="s">
        <v>819</v>
      </c>
      <c r="E306" s="874">
        <f ca="1">IF(AND($A306=0,$A$1="DIF"),0, ROUND(ROUND(($R311*$S$2+($T311*$T$2))/A306,2)*$C$2,2))</f>
        <v>24.84</v>
      </c>
      <c r="F306" s="875">
        <f ca="1">ROUND($A306*$E306,2)</f>
        <v>1341.36</v>
      </c>
      <c r="G306" s="876" t="s">
        <v>139</v>
      </c>
      <c r="H306" s="877"/>
      <c r="I306" s="878"/>
      <c r="J306" s="877"/>
      <c r="K306" s="877" t="s">
        <v>3</v>
      </c>
      <c r="L306" s="879" t="s">
        <v>140</v>
      </c>
      <c r="M306" s="879"/>
      <c r="N306" s="879"/>
      <c r="O306" s="879"/>
      <c r="P306" s="879"/>
      <c r="Q306" s="50"/>
      <c r="T306" s="880" t="str">
        <f ca="1">IF(AND($R311=0,$T311=0),"0.00","mu :" &amp; ROUND($F306/$C$2/($R311+$T311*$D$9),2))</f>
        <v>mu :1.22</v>
      </c>
      <c r="W306" s="507"/>
      <c r="AG306" s="465">
        <f ca="1">IF($E306=0,0,ROUND($R311*$S$2*$C$2/$A306,2))</f>
        <v>18.86</v>
      </c>
      <c r="AH306" s="465">
        <f ca="1">$AG306*$A306</f>
        <v>1018.4399999999999</v>
      </c>
      <c r="AI306" s="508">
        <f ca="1">$E306-$AG306</f>
        <v>5.98</v>
      </c>
      <c r="AJ306" s="508">
        <f ca="1">$A306*$AI306</f>
        <v>322.92</v>
      </c>
      <c r="AK306" s="509">
        <f ca="1">ROUND(($AG306+$AI306)*$A306,2)</f>
        <v>1341.36</v>
      </c>
      <c r="AM306" s="510">
        <f ca="1">ROUND(R311,2)</f>
        <v>834.84</v>
      </c>
      <c r="AN306" s="511">
        <f ca="1">ROUND(T311,2)</f>
        <v>9.18</v>
      </c>
      <c r="AO306" s="512">
        <f ca="1">ROUND(AM306+AN306,2)*A306</f>
        <v>45577.08</v>
      </c>
    </row>
    <row r="307" spans="1:41" s="504" customFormat="1" ht="13.2">
      <c r="A307" s="872"/>
      <c r="B307"/>
      <c r="C307" s="872"/>
      <c r="D307" s="873" t="s">
        <v>693</v>
      </c>
      <c r="F307" s="877"/>
      <c r="G307" s="3"/>
      <c r="H307" s="877"/>
      <c r="I307" s="878"/>
      <c r="J307" s="877"/>
      <c r="K307" s="877" t="s">
        <v>141</v>
      </c>
      <c r="L307" s="877"/>
      <c r="M307" s="877"/>
      <c r="N307" s="877"/>
      <c r="O307" s="877"/>
      <c r="P307" s="877"/>
      <c r="Q307" s="50"/>
      <c r="R307" s="513"/>
      <c r="S307" s="881"/>
      <c r="T307" s="877"/>
    </row>
    <row r="308" spans="1:41" s="997" customFormat="1" ht="13.2">
      <c r="A308"/>
      <c r="B308" s="1065"/>
      <c r="C308" s="1065" t="s">
        <v>1006</v>
      </c>
      <c r="D308" s="1065" t="str">
        <f ca="1">CELL("Address",Elec_Rates!D$45)</f>
        <v>[EL25_0662B_Brittania_Hotel_Elec_Revised_Estim_B.xlsx]Elec_Rates!$D$45</v>
      </c>
      <c r="E308" s="1066"/>
      <c r="F308" s="1066"/>
      <c r="G308" s="1067" t="s">
        <v>1007</v>
      </c>
      <c r="H308" s="1067"/>
      <c r="I308" s="1067"/>
      <c r="J308" s="1067"/>
      <c r="K308" s="1068"/>
      <c r="L308" s="1066"/>
      <c r="M308" s="1066"/>
      <c r="N308" s="1066"/>
      <c r="O308" s="1069"/>
      <c r="P308" s="1066"/>
      <c r="Q308" s="1070"/>
      <c r="R308" s="1071"/>
      <c r="S308" s="1070"/>
      <c r="T308" s="1072"/>
      <c r="U308" s="1073"/>
    </row>
    <row r="309" spans="1:41" s="997" customFormat="1" ht="11.4">
      <c r="A309" s="1074">
        <v>54</v>
      </c>
      <c r="B309" s="1075">
        <v>1</v>
      </c>
      <c r="C309" s="1075">
        <f>$A309*$B309</f>
        <v>54</v>
      </c>
      <c r="D309" s="1076" t="str">
        <f>Elec_Rates!$D$45</f>
        <v>004# 5 core x 25 mm2 FG16(O)M16 Cable</v>
      </c>
      <c r="E309" s="1076"/>
      <c r="F309" s="1076"/>
      <c r="G309" s="1077" t="s">
        <v>1008</v>
      </c>
      <c r="H309" s="1077"/>
      <c r="I309" s="1077"/>
      <c r="J309" s="1077"/>
      <c r="K309" s="1078"/>
      <c r="L309" s="1073"/>
      <c r="M309" s="1073"/>
      <c r="N309" s="1073"/>
      <c r="O309" s="1079"/>
      <c r="P309" s="1076"/>
      <c r="Q309" s="1080">
        <f ca="1">$B309*Elec_Rates!$R$45</f>
        <v>15.46</v>
      </c>
      <c r="R309" s="1071">
        <f ca="1">$A309*Q309</f>
        <v>834.84</v>
      </c>
      <c r="S309" s="1080">
        <f ca="1">$B309*Elec_Rates!$T$45</f>
        <v>0.17</v>
      </c>
      <c r="T309" s="1072">
        <f ca="1">$A309*S309</f>
        <v>9.1800000000000015</v>
      </c>
      <c r="U309" s="1081"/>
    </row>
    <row r="310" spans="1:41" s="504" customFormat="1" ht="12">
      <c r="A310" s="882"/>
      <c r="B310" s="882"/>
      <c r="C310" s="882"/>
      <c r="D310" s="882"/>
      <c r="E310" s="882"/>
      <c r="F310" s="877"/>
      <c r="G310" s="882"/>
      <c r="H310" s="882"/>
      <c r="I310" s="503"/>
      <c r="J310" s="882"/>
      <c r="K310" s="882"/>
      <c r="L310" s="882"/>
      <c r="M310" s="882"/>
      <c r="N310" s="882"/>
      <c r="O310" s="882"/>
      <c r="P310" s="882"/>
      <c r="Q310" s="503"/>
      <c r="R310" s="883">
        <f>$A310*Q310</f>
        <v>0</v>
      </c>
      <c r="S310" s="503"/>
      <c r="T310" s="884">
        <f>$A310*S310*$T$1</f>
        <v>0</v>
      </c>
    </row>
    <row r="311" spans="1:41" s="504" customFormat="1" ht="12.6" thickBot="1">
      <c r="A311" s="885" t="s">
        <v>142</v>
      </c>
      <c r="B311" s="886">
        <f>(R310+T310)</f>
        <v>0</v>
      </c>
      <c r="C311" s="887"/>
      <c r="D311" s="887"/>
      <c r="E311" s="887"/>
      <c r="F311" s="888"/>
      <c r="G311" s="887" t="s">
        <v>143</v>
      </c>
      <c r="H311" s="887"/>
      <c r="I311" s="889"/>
      <c r="J311" s="887"/>
      <c r="K311" s="887" t="s">
        <v>3</v>
      </c>
      <c r="L311" s="890" t="s">
        <v>140</v>
      </c>
      <c r="M311" s="890"/>
      <c r="N311" s="890"/>
      <c r="O311" s="890"/>
      <c r="P311" s="890"/>
      <c r="Q311" s="891"/>
      <c r="R311" s="892">
        <f ca="1">SUM(R307:R310)</f>
        <v>834.84</v>
      </c>
      <c r="S311" s="887"/>
      <c r="T311" s="892">
        <f ca="1">SUM(T307:T310)</f>
        <v>9.1800000000000015</v>
      </c>
      <c r="U311" s="514"/>
      <c r="V311" s="514"/>
      <c r="W311" s="514"/>
      <c r="X311" s="514"/>
      <c r="Y311" s="514"/>
      <c r="Z311" s="514"/>
      <c r="AA311" s="514"/>
      <c r="AB311" s="514"/>
      <c r="AC311" s="514"/>
      <c r="AD311" s="514"/>
      <c r="AE311" s="514"/>
      <c r="AF311" s="514"/>
      <c r="AG311" s="514"/>
      <c r="AH311" s="514"/>
      <c r="AI311" s="514"/>
      <c r="AJ311" s="514"/>
      <c r="AK311" s="514"/>
      <c r="AL311" s="514"/>
      <c r="AM311" s="514"/>
      <c r="AN311" s="514"/>
      <c r="AO311" s="514"/>
    </row>
    <row r="312" spans="1:41" s="504" customFormat="1" ht="12" thickTop="1">
      <c r="A312" s="50"/>
      <c r="B312" s="40"/>
      <c r="C312" s="50"/>
      <c r="E312" s="41" t="s">
        <v>136</v>
      </c>
      <c r="F312" s="41" t="s">
        <v>137</v>
      </c>
      <c r="G312" s="50"/>
      <c r="H312" s="50"/>
      <c r="I312" s="50"/>
      <c r="J312" s="50"/>
      <c r="K312" s="50" t="s">
        <v>138</v>
      </c>
      <c r="L312" s="50"/>
      <c r="M312" s="50"/>
      <c r="N312" s="50"/>
      <c r="O312" s="51"/>
      <c r="P312" s="50"/>
      <c r="Q312" s="50"/>
      <c r="R312" s="50"/>
      <c r="S312" s="50"/>
      <c r="T312" s="40"/>
      <c r="AG312" s="867" t="s">
        <v>241</v>
      </c>
      <c r="AH312" s="867" t="s">
        <v>242</v>
      </c>
      <c r="AI312" s="867" t="s">
        <v>243</v>
      </c>
      <c r="AJ312" s="867" t="s">
        <v>244</v>
      </c>
      <c r="AK312" s="867" t="s">
        <v>245</v>
      </c>
      <c r="AM312" s="868" t="s">
        <v>254</v>
      </c>
      <c r="AN312" s="869" t="s">
        <v>255</v>
      </c>
      <c r="AO312" s="505" t="s">
        <v>251</v>
      </c>
    </row>
    <row r="313" spans="1:41" s="504" customFormat="1" ht="12" customHeight="1">
      <c r="A313" s="870">
        <v>55</v>
      </c>
      <c r="B313" s="871" t="s">
        <v>306</v>
      </c>
      <c r="C313" s="872"/>
      <c r="D313" s="873" t="s">
        <v>820</v>
      </c>
      <c r="E313" s="874">
        <f ca="1">IF(AND($A313=0,$A$1="DIF"),0, ROUND(ROUND(($R318*$S$2+($T318*$T$2))/A313,2)*$C$2,2))</f>
        <v>23.58</v>
      </c>
      <c r="F313" s="875">
        <f ca="1">ROUND($A313*$E313,2)</f>
        <v>1296.9000000000001</v>
      </c>
      <c r="G313" s="876" t="s">
        <v>139</v>
      </c>
      <c r="H313" s="877"/>
      <c r="I313" s="878"/>
      <c r="J313" s="877"/>
      <c r="K313" s="877" t="s">
        <v>3</v>
      </c>
      <c r="L313" s="879" t="s">
        <v>140</v>
      </c>
      <c r="M313" s="879"/>
      <c r="N313" s="879"/>
      <c r="O313" s="879"/>
      <c r="P313" s="879"/>
      <c r="Q313" s="50"/>
      <c r="T313" s="880" t="str">
        <f ca="1">IF(AND($R318=0,$T318=0),"0.00","mu :" &amp; ROUND($F313/$C$2/($R318+$T318*$D$9),2))</f>
        <v>mu :1.22</v>
      </c>
      <c r="W313" s="507"/>
      <c r="AG313" s="465">
        <f ca="1">IF($E313=0,0,ROUND($R318*$S$2*$C$2/$A313,2))</f>
        <v>19.72</v>
      </c>
      <c r="AH313" s="465">
        <f ca="1">$AG313*$A313</f>
        <v>1084.5999999999999</v>
      </c>
      <c r="AI313" s="508">
        <f ca="1">$E313-$AG313</f>
        <v>3.8599999999999994</v>
      </c>
      <c r="AJ313" s="508">
        <f ca="1">$A313*$AI313</f>
        <v>212.29999999999995</v>
      </c>
      <c r="AK313" s="509">
        <f ca="1">ROUND(($AG313+$AI313)*$A313,2)</f>
        <v>1296.9000000000001</v>
      </c>
      <c r="AM313" s="510">
        <f ca="1">ROUND(R318,2)</f>
        <v>888.8</v>
      </c>
      <c r="AN313" s="511">
        <f ca="1">ROUND(T318,2)</f>
        <v>6.05</v>
      </c>
      <c r="AO313" s="512">
        <f ca="1">ROUND(AM313+AN313,2)*A313</f>
        <v>49216.75</v>
      </c>
    </row>
    <row r="314" spans="1:41" s="504" customFormat="1" ht="13.2">
      <c r="A314" s="872"/>
      <c r="B314"/>
      <c r="C314" s="872"/>
      <c r="D314" s="873" t="s">
        <v>694</v>
      </c>
      <c r="F314" s="877"/>
      <c r="G314" s="3"/>
      <c r="H314" s="877"/>
      <c r="I314" s="878"/>
      <c r="J314" s="877"/>
      <c r="K314" s="877" t="s">
        <v>141</v>
      </c>
      <c r="L314" s="877"/>
      <c r="M314" s="877"/>
      <c r="N314" s="877"/>
      <c r="O314" s="877"/>
      <c r="P314" s="877"/>
      <c r="Q314" s="50"/>
      <c r="R314" s="513"/>
      <c r="S314" s="881"/>
      <c r="T314" s="877"/>
    </row>
    <row r="315" spans="1:41" s="997" customFormat="1" ht="13.2">
      <c r="A315"/>
      <c r="B315" s="1065"/>
      <c r="C315" s="1065" t="s">
        <v>1006</v>
      </c>
      <c r="D315" s="1065" t="str">
        <f ca="1">CELL("Address",Elec_Rates!D$115)</f>
        <v>[EL25_0662B_Brittania_Hotel_Elec_Revised_Estim_B.xlsx]Elec_Rates!$D$115</v>
      </c>
      <c r="E315" s="1066"/>
      <c r="F315" s="1066"/>
      <c r="G315" s="1067" t="s">
        <v>1007</v>
      </c>
      <c r="H315" s="1067"/>
      <c r="I315" s="1067"/>
      <c r="J315" s="1067"/>
      <c r="K315" s="1068"/>
      <c r="L315" s="1066"/>
      <c r="M315" s="1066"/>
      <c r="N315" s="1066"/>
      <c r="O315" s="1069"/>
      <c r="P315" s="1066"/>
      <c r="Q315" s="1070"/>
      <c r="R315" s="1071"/>
      <c r="S315" s="1070"/>
      <c r="T315" s="1072"/>
      <c r="U315" s="1073"/>
    </row>
    <row r="316" spans="1:41" s="997" customFormat="1" ht="11.4">
      <c r="A316" s="1074">
        <v>55</v>
      </c>
      <c r="B316" s="1075">
        <v>1</v>
      </c>
      <c r="C316" s="1075">
        <f>$A316*$B316</f>
        <v>55</v>
      </c>
      <c r="D316" s="1076" t="str">
        <f>Elec_Rates!$D$115</f>
        <v>011# 5 core x 6.0 mm2 Fire Rated F120 Cable</v>
      </c>
      <c r="E316" s="1076"/>
      <c r="F316" s="1076"/>
      <c r="G316" s="1077" t="s">
        <v>1008</v>
      </c>
      <c r="H316" s="1077"/>
      <c r="I316" s="1077"/>
      <c r="J316" s="1077"/>
      <c r="K316" s="1078"/>
      <c r="L316" s="1073"/>
      <c r="M316" s="1073"/>
      <c r="N316" s="1073"/>
      <c r="O316" s="1079"/>
      <c r="P316" s="1076"/>
      <c r="Q316" s="1080">
        <f ca="1">$B316*Elec_Rates!$R$115</f>
        <v>16.16</v>
      </c>
      <c r="R316" s="1071">
        <f ca="1">$A316*Q316</f>
        <v>888.8</v>
      </c>
      <c r="S316" s="1080">
        <f ca="1">$B316*Elec_Rates!$T$115</f>
        <v>0.11</v>
      </c>
      <c r="T316" s="1072">
        <f ca="1">$A316*S316</f>
        <v>6.05</v>
      </c>
      <c r="U316" s="1081"/>
    </row>
    <row r="317" spans="1:41" s="504" customFormat="1" ht="12">
      <c r="A317" s="882"/>
      <c r="B317" s="882"/>
      <c r="C317" s="882"/>
      <c r="D317" s="882"/>
      <c r="E317" s="882"/>
      <c r="F317" s="877"/>
      <c r="G317" s="882"/>
      <c r="H317" s="882"/>
      <c r="I317" s="503"/>
      <c r="J317" s="882"/>
      <c r="K317" s="882"/>
      <c r="L317" s="882"/>
      <c r="M317" s="882"/>
      <c r="N317" s="882"/>
      <c r="O317" s="882"/>
      <c r="P317" s="882"/>
      <c r="Q317" s="503"/>
      <c r="R317" s="883">
        <f>$A317*Q317</f>
        <v>0</v>
      </c>
      <c r="S317" s="503"/>
      <c r="T317" s="884">
        <f>$A317*S317*$T$1</f>
        <v>0</v>
      </c>
    </row>
    <row r="318" spans="1:41" s="504" customFormat="1" ht="12.6" thickBot="1">
      <c r="A318" s="885" t="s">
        <v>142</v>
      </c>
      <c r="B318" s="886">
        <f>(R317+T317)</f>
        <v>0</v>
      </c>
      <c r="C318" s="887"/>
      <c r="D318" s="887"/>
      <c r="E318" s="887"/>
      <c r="F318" s="888"/>
      <c r="G318" s="887" t="s">
        <v>143</v>
      </c>
      <c r="H318" s="887"/>
      <c r="I318" s="889"/>
      <c r="J318" s="887"/>
      <c r="K318" s="887" t="s">
        <v>3</v>
      </c>
      <c r="L318" s="890" t="s">
        <v>140</v>
      </c>
      <c r="M318" s="890"/>
      <c r="N318" s="890"/>
      <c r="O318" s="890"/>
      <c r="P318" s="890"/>
      <c r="Q318" s="891"/>
      <c r="R318" s="892">
        <f ca="1">SUM(R314:R317)</f>
        <v>888.8</v>
      </c>
      <c r="S318" s="887"/>
      <c r="T318" s="892">
        <f ca="1">SUM(T314:T317)</f>
        <v>6.05</v>
      </c>
      <c r="U318" s="514"/>
      <c r="V318" s="514"/>
      <c r="W318" s="514"/>
      <c r="X318" s="514"/>
      <c r="Y318" s="514"/>
      <c r="Z318" s="514"/>
      <c r="AA318" s="514"/>
      <c r="AB318" s="514"/>
      <c r="AC318" s="514"/>
      <c r="AD318" s="514"/>
      <c r="AE318" s="514"/>
      <c r="AF318" s="514"/>
      <c r="AG318" s="514"/>
      <c r="AH318" s="514"/>
      <c r="AI318" s="514"/>
      <c r="AJ318" s="514"/>
      <c r="AK318" s="514"/>
      <c r="AL318" s="514"/>
      <c r="AM318" s="514"/>
      <c r="AN318" s="514"/>
      <c r="AO318" s="514"/>
    </row>
    <row r="319" spans="1:41" s="504" customFormat="1" ht="12" thickTop="1">
      <c r="A319" s="50"/>
      <c r="B319" s="40"/>
      <c r="C319" s="50"/>
      <c r="E319" s="41" t="s">
        <v>136</v>
      </c>
      <c r="F319" s="41" t="s">
        <v>137</v>
      </c>
      <c r="G319" s="50"/>
      <c r="H319" s="50"/>
      <c r="I319" s="50"/>
      <c r="J319" s="50"/>
      <c r="K319" s="50" t="s">
        <v>138</v>
      </c>
      <c r="L319" s="50"/>
      <c r="M319" s="50"/>
      <c r="N319" s="50"/>
      <c r="O319" s="51"/>
      <c r="P319" s="50"/>
      <c r="Q319" s="50"/>
      <c r="R319" s="50"/>
      <c r="S319" s="50"/>
      <c r="T319" s="40"/>
      <c r="AG319" s="867" t="s">
        <v>241</v>
      </c>
      <c r="AH319" s="867" t="s">
        <v>242</v>
      </c>
      <c r="AI319" s="867" t="s">
        <v>243</v>
      </c>
      <c r="AJ319" s="867" t="s">
        <v>244</v>
      </c>
      <c r="AK319" s="867" t="s">
        <v>245</v>
      </c>
      <c r="AM319" s="868" t="s">
        <v>254</v>
      </c>
      <c r="AN319" s="869" t="s">
        <v>255</v>
      </c>
      <c r="AO319" s="505" t="s">
        <v>251</v>
      </c>
    </row>
    <row r="320" spans="1:41" s="504" customFormat="1" ht="12" customHeight="1">
      <c r="A320" s="870">
        <v>20</v>
      </c>
      <c r="B320" s="871" t="s">
        <v>306</v>
      </c>
      <c r="C320" s="872"/>
      <c r="D320" s="873" t="s">
        <v>821</v>
      </c>
      <c r="E320" s="874">
        <f ca="1">IF(AND($A320=0,$A$1="DIF"),0, ROUND(ROUND(($R325*$S$2+($T325*$T$2))/A320,2)*$C$2,2))</f>
        <v>23.58</v>
      </c>
      <c r="F320" s="875">
        <f ca="1">ROUND($A320*$E320,2)</f>
        <v>471.6</v>
      </c>
      <c r="G320" s="876" t="s">
        <v>139</v>
      </c>
      <c r="H320" s="877"/>
      <c r="I320" s="878"/>
      <c r="J320" s="877"/>
      <c r="K320" s="877" t="s">
        <v>3</v>
      </c>
      <c r="L320" s="879" t="s">
        <v>140</v>
      </c>
      <c r="M320" s="879"/>
      <c r="N320" s="879"/>
      <c r="O320" s="879"/>
      <c r="P320" s="879"/>
      <c r="Q320" s="50"/>
      <c r="T320" s="880" t="str">
        <f ca="1">IF(AND($R325=0,$T325=0),"0.00","mu :" &amp; ROUND($F320/$C$2/($R325+$T325*$D$9),2))</f>
        <v>mu :1.22</v>
      </c>
      <c r="W320" s="507"/>
      <c r="AG320" s="465">
        <f ca="1">IF($E320=0,0,ROUND($R325*$S$2*$C$2/$A320,2))</f>
        <v>19.72</v>
      </c>
      <c r="AH320" s="465">
        <f ca="1">$AG320*$A320</f>
        <v>394.4</v>
      </c>
      <c r="AI320" s="508">
        <f ca="1">$E320-$AG320</f>
        <v>3.8599999999999994</v>
      </c>
      <c r="AJ320" s="508">
        <f ca="1">$A320*$AI320</f>
        <v>77.199999999999989</v>
      </c>
      <c r="AK320" s="509">
        <f ca="1">ROUND(($AG320+$AI320)*$A320,2)</f>
        <v>471.6</v>
      </c>
      <c r="AM320" s="510">
        <f ca="1">ROUND(R325,2)</f>
        <v>323.2</v>
      </c>
      <c r="AN320" s="511">
        <f ca="1">ROUND(T325,2)</f>
        <v>2.2000000000000002</v>
      </c>
      <c r="AO320" s="512">
        <f ca="1">ROUND(AM320+AN320,2)*A320</f>
        <v>6508</v>
      </c>
    </row>
    <row r="321" spans="1:41" s="504" customFormat="1" ht="13.2">
      <c r="A321" s="872"/>
      <c r="B321"/>
      <c r="C321" s="872"/>
      <c r="D321" s="873" t="s">
        <v>695</v>
      </c>
      <c r="F321" s="877"/>
      <c r="G321" s="3"/>
      <c r="H321" s="877"/>
      <c r="I321" s="878"/>
      <c r="J321" s="877"/>
      <c r="K321" s="877" t="s">
        <v>141</v>
      </c>
      <c r="L321" s="877"/>
      <c r="M321" s="877"/>
      <c r="N321" s="877"/>
      <c r="O321" s="877"/>
      <c r="P321" s="877"/>
      <c r="Q321" s="50"/>
      <c r="R321" s="513"/>
      <c r="S321" s="881"/>
      <c r="T321" s="877"/>
    </row>
    <row r="322" spans="1:41" s="997" customFormat="1" ht="13.2">
      <c r="A322"/>
      <c r="B322" s="1065"/>
      <c r="C322" s="1065" t="s">
        <v>1006</v>
      </c>
      <c r="D322" s="1065" t="str">
        <f ca="1">CELL("Address",Elec_Rates!D$115)</f>
        <v>[EL25_0662B_Brittania_Hotel_Elec_Revised_Estim_B.xlsx]Elec_Rates!$D$115</v>
      </c>
      <c r="E322" s="1066"/>
      <c r="F322" s="1066"/>
      <c r="G322" s="1067" t="s">
        <v>1007</v>
      </c>
      <c r="H322" s="1067"/>
      <c r="I322" s="1067"/>
      <c r="J322" s="1067"/>
      <c r="K322" s="1068"/>
      <c r="L322" s="1066"/>
      <c r="M322" s="1066"/>
      <c r="N322" s="1066"/>
      <c r="O322" s="1069"/>
      <c r="P322" s="1066"/>
      <c r="Q322" s="1070"/>
      <c r="R322" s="1071"/>
      <c r="S322" s="1070"/>
      <c r="T322" s="1072"/>
      <c r="U322" s="1073"/>
    </row>
    <row r="323" spans="1:41" s="997" customFormat="1" ht="11.4">
      <c r="A323" s="1074">
        <v>20</v>
      </c>
      <c r="B323" s="1075">
        <v>1</v>
      </c>
      <c r="C323" s="1075">
        <f>$A323*$B323</f>
        <v>20</v>
      </c>
      <c r="D323" s="1076" t="str">
        <f>Elec_Rates!$D$115</f>
        <v>011# 5 core x 6.0 mm2 Fire Rated F120 Cable</v>
      </c>
      <c r="E323" s="1076"/>
      <c r="F323" s="1076"/>
      <c r="G323" s="1077" t="s">
        <v>1008</v>
      </c>
      <c r="H323" s="1077"/>
      <c r="I323" s="1077"/>
      <c r="J323" s="1077"/>
      <c r="K323" s="1078"/>
      <c r="L323" s="1073"/>
      <c r="M323" s="1073"/>
      <c r="N323" s="1073"/>
      <c r="O323" s="1079"/>
      <c r="P323" s="1076"/>
      <c r="Q323" s="1080">
        <f ca="1">$B323*Elec_Rates!$R$115</f>
        <v>16.16</v>
      </c>
      <c r="R323" s="1071">
        <f ca="1">$A323*Q323</f>
        <v>323.2</v>
      </c>
      <c r="S323" s="1080">
        <f ca="1">$B323*Elec_Rates!$T$115</f>
        <v>0.11</v>
      </c>
      <c r="T323" s="1072">
        <f ca="1">$A323*S323</f>
        <v>2.2000000000000002</v>
      </c>
      <c r="U323" s="1081"/>
    </row>
    <row r="324" spans="1:41" s="504" customFormat="1" ht="12">
      <c r="A324" s="882"/>
      <c r="B324" s="882"/>
      <c r="C324" s="882"/>
      <c r="D324" s="882"/>
      <c r="E324" s="882"/>
      <c r="F324" s="877"/>
      <c r="G324" s="882"/>
      <c r="H324" s="882"/>
      <c r="I324" s="503"/>
      <c r="J324" s="882"/>
      <c r="K324" s="882"/>
      <c r="L324" s="882"/>
      <c r="M324" s="882"/>
      <c r="N324" s="882"/>
      <c r="O324" s="882"/>
      <c r="P324" s="882"/>
      <c r="Q324" s="503"/>
      <c r="R324" s="883">
        <f>$A324*Q324</f>
        <v>0</v>
      </c>
      <c r="S324" s="503"/>
      <c r="T324" s="884">
        <f>$A324*S324*$T$1</f>
        <v>0</v>
      </c>
    </row>
    <row r="325" spans="1:41" s="504" customFormat="1" ht="12.6" thickBot="1">
      <c r="A325" s="885" t="s">
        <v>142</v>
      </c>
      <c r="B325" s="886">
        <f>(R324+T324)</f>
        <v>0</v>
      </c>
      <c r="C325" s="887"/>
      <c r="D325" s="887"/>
      <c r="E325" s="887"/>
      <c r="F325" s="888"/>
      <c r="G325" s="887" t="s">
        <v>143</v>
      </c>
      <c r="H325" s="887"/>
      <c r="I325" s="889"/>
      <c r="J325" s="887"/>
      <c r="K325" s="887" t="s">
        <v>3</v>
      </c>
      <c r="L325" s="890" t="s">
        <v>140</v>
      </c>
      <c r="M325" s="890"/>
      <c r="N325" s="890"/>
      <c r="O325" s="890"/>
      <c r="P325" s="890"/>
      <c r="Q325" s="891"/>
      <c r="R325" s="892">
        <f ca="1">SUM(R321:R324)</f>
        <v>323.2</v>
      </c>
      <c r="S325" s="887"/>
      <c r="T325" s="892">
        <f ca="1">SUM(T321:T324)</f>
        <v>2.2000000000000002</v>
      </c>
      <c r="U325" s="514"/>
      <c r="V325" s="514"/>
      <c r="W325" s="514"/>
      <c r="X325" s="514"/>
      <c r="Y325" s="514"/>
      <c r="Z325" s="514"/>
      <c r="AA325" s="514"/>
      <c r="AB325" s="514"/>
      <c r="AC325" s="514"/>
      <c r="AD325" s="514"/>
      <c r="AE325" s="514"/>
      <c r="AF325" s="514"/>
      <c r="AG325" s="514"/>
      <c r="AH325" s="514"/>
      <c r="AI325" s="514"/>
      <c r="AJ325" s="514"/>
      <c r="AK325" s="514"/>
      <c r="AL325" s="514"/>
      <c r="AM325" s="514"/>
      <c r="AN325" s="514"/>
      <c r="AO325" s="514"/>
    </row>
    <row r="326" spans="1:41" s="504" customFormat="1" ht="12" thickTop="1">
      <c r="A326" s="50"/>
      <c r="B326" s="40"/>
      <c r="C326" s="50"/>
      <c r="E326" s="41" t="s">
        <v>136</v>
      </c>
      <c r="F326" s="41" t="s">
        <v>137</v>
      </c>
      <c r="G326" s="50"/>
      <c r="H326" s="50"/>
      <c r="I326" s="50"/>
      <c r="J326" s="50"/>
      <c r="K326" s="50" t="s">
        <v>138</v>
      </c>
      <c r="L326" s="50"/>
      <c r="M326" s="50"/>
      <c r="N326" s="50"/>
      <c r="O326" s="51"/>
      <c r="P326" s="50"/>
      <c r="Q326" s="50"/>
      <c r="R326" s="50"/>
      <c r="S326" s="50"/>
      <c r="T326" s="40"/>
      <c r="AG326" s="867" t="s">
        <v>241</v>
      </c>
      <c r="AH326" s="867" t="s">
        <v>242</v>
      </c>
      <c r="AI326" s="867" t="s">
        <v>243</v>
      </c>
      <c r="AJ326" s="867" t="s">
        <v>244</v>
      </c>
      <c r="AK326" s="867" t="s">
        <v>245</v>
      </c>
      <c r="AM326" s="868" t="s">
        <v>254</v>
      </c>
      <c r="AN326" s="869" t="s">
        <v>255</v>
      </c>
      <c r="AO326" s="505" t="s">
        <v>251</v>
      </c>
    </row>
    <row r="327" spans="1:41" s="504" customFormat="1" ht="12" customHeight="1">
      <c r="A327" s="870">
        <v>15</v>
      </c>
      <c r="B327" s="871" t="s">
        <v>306</v>
      </c>
      <c r="C327" s="872"/>
      <c r="D327" s="873" t="s">
        <v>822</v>
      </c>
      <c r="E327" s="874">
        <f ca="1">IF(AND($A327=0,$A$1="DIF"),0, ROUND(ROUND(($R332*$S$2+($T332*$T$2))/A327,2)*$C$2,2))</f>
        <v>23.58</v>
      </c>
      <c r="F327" s="875">
        <f ca="1">ROUND($A327*$E327,2)</f>
        <v>353.7</v>
      </c>
      <c r="G327" s="876" t="s">
        <v>139</v>
      </c>
      <c r="H327" s="877"/>
      <c r="I327" s="878"/>
      <c r="J327" s="877"/>
      <c r="K327" s="877" t="s">
        <v>3</v>
      </c>
      <c r="L327" s="879" t="s">
        <v>140</v>
      </c>
      <c r="M327" s="879"/>
      <c r="N327" s="879"/>
      <c r="O327" s="879"/>
      <c r="P327" s="879"/>
      <c r="Q327" s="50"/>
      <c r="T327" s="880" t="str">
        <f ca="1">IF(AND($R332=0,$T332=0),"0.00","mu :" &amp; ROUND($F327/$C$2/($R332+$T332*$D$9),2))</f>
        <v>mu :1.22</v>
      </c>
      <c r="W327" s="507"/>
      <c r="AG327" s="465">
        <f ca="1">IF($E327=0,0,ROUND($R332*$S$2*$C$2/$A327,2))</f>
        <v>19.72</v>
      </c>
      <c r="AH327" s="465">
        <f ca="1">$AG327*$A327</f>
        <v>295.79999999999995</v>
      </c>
      <c r="AI327" s="508">
        <f ca="1">$E327-$AG327</f>
        <v>3.8599999999999994</v>
      </c>
      <c r="AJ327" s="508">
        <f ca="1">$A327*$AI327</f>
        <v>57.899999999999991</v>
      </c>
      <c r="AK327" s="509">
        <f ca="1">ROUND(($AG327+$AI327)*$A327,2)</f>
        <v>353.7</v>
      </c>
      <c r="AM327" s="510">
        <f ca="1">ROUND(R332,2)</f>
        <v>242.4</v>
      </c>
      <c r="AN327" s="511">
        <f ca="1">ROUND(T332,2)</f>
        <v>1.65</v>
      </c>
      <c r="AO327" s="512">
        <f ca="1">ROUND(AM327+AN327,2)*A327</f>
        <v>3660.75</v>
      </c>
    </row>
    <row r="328" spans="1:41" s="504" customFormat="1" ht="13.2">
      <c r="A328" s="872"/>
      <c r="B328"/>
      <c r="C328" s="872"/>
      <c r="D328" s="873" t="s">
        <v>696</v>
      </c>
      <c r="F328" s="877"/>
      <c r="G328" s="3"/>
      <c r="H328" s="877"/>
      <c r="I328" s="878"/>
      <c r="J328" s="877"/>
      <c r="K328" s="877" t="s">
        <v>141</v>
      </c>
      <c r="L328" s="877"/>
      <c r="M328" s="877"/>
      <c r="N328" s="877"/>
      <c r="O328" s="877"/>
      <c r="P328" s="877"/>
      <c r="Q328" s="50"/>
      <c r="R328" s="513"/>
      <c r="S328" s="881"/>
      <c r="T328" s="877"/>
    </row>
    <row r="329" spans="1:41" s="997" customFormat="1" ht="13.2">
      <c r="A329"/>
      <c r="B329" s="1065"/>
      <c r="C329" s="1065" t="s">
        <v>1006</v>
      </c>
      <c r="D329" s="1065" t="str">
        <f ca="1">CELL("Address",Elec_Rates!D$115)</f>
        <v>[EL25_0662B_Brittania_Hotel_Elec_Revised_Estim_B.xlsx]Elec_Rates!$D$115</v>
      </c>
      <c r="E329" s="1066"/>
      <c r="F329" s="1066"/>
      <c r="G329" s="1067" t="s">
        <v>1007</v>
      </c>
      <c r="H329" s="1067"/>
      <c r="I329" s="1067"/>
      <c r="J329" s="1067"/>
      <c r="K329" s="1068"/>
      <c r="L329" s="1066"/>
      <c r="M329" s="1066"/>
      <c r="N329" s="1066"/>
      <c r="O329" s="1069"/>
      <c r="P329" s="1066"/>
      <c r="Q329" s="1070"/>
      <c r="R329" s="1071"/>
      <c r="S329" s="1070"/>
      <c r="T329" s="1072"/>
      <c r="U329" s="1073"/>
    </row>
    <row r="330" spans="1:41" s="997" customFormat="1" ht="11.4">
      <c r="A330" s="1074">
        <v>15</v>
      </c>
      <c r="B330" s="1075">
        <v>1</v>
      </c>
      <c r="C330" s="1075">
        <f>$A330*$B330</f>
        <v>15</v>
      </c>
      <c r="D330" s="1076" t="str">
        <f>Elec_Rates!$D$115</f>
        <v>011# 5 core x 6.0 mm2 Fire Rated F120 Cable</v>
      </c>
      <c r="E330" s="1076"/>
      <c r="F330" s="1076"/>
      <c r="G330" s="1077" t="s">
        <v>1008</v>
      </c>
      <c r="H330" s="1077"/>
      <c r="I330" s="1077"/>
      <c r="J330" s="1077"/>
      <c r="K330" s="1078"/>
      <c r="L330" s="1073"/>
      <c r="M330" s="1073"/>
      <c r="N330" s="1073"/>
      <c r="O330" s="1079"/>
      <c r="P330" s="1076"/>
      <c r="Q330" s="1080">
        <f ca="1">$B330*Elec_Rates!$R$115</f>
        <v>16.16</v>
      </c>
      <c r="R330" s="1071">
        <f ca="1">$A330*Q330</f>
        <v>242.4</v>
      </c>
      <c r="S330" s="1080">
        <f ca="1">$B330*Elec_Rates!$T$115</f>
        <v>0.11</v>
      </c>
      <c r="T330" s="1072">
        <f ca="1">$A330*S330</f>
        <v>1.65</v>
      </c>
      <c r="U330" s="1081"/>
    </row>
    <row r="331" spans="1:41" s="504" customFormat="1" ht="12">
      <c r="A331" s="882"/>
      <c r="B331" s="882"/>
      <c r="C331" s="882"/>
      <c r="D331" s="882"/>
      <c r="E331" s="882"/>
      <c r="F331" s="877"/>
      <c r="G331" s="882"/>
      <c r="H331" s="882"/>
      <c r="I331" s="503"/>
      <c r="J331" s="882"/>
      <c r="K331" s="882"/>
      <c r="L331" s="882"/>
      <c r="M331" s="882"/>
      <c r="N331" s="882"/>
      <c r="O331" s="882"/>
      <c r="P331" s="882"/>
      <c r="Q331" s="503"/>
      <c r="R331" s="883">
        <f>$A331*Q331</f>
        <v>0</v>
      </c>
      <c r="S331" s="503"/>
      <c r="T331" s="884">
        <f>$A331*S331*$T$1</f>
        <v>0</v>
      </c>
    </row>
    <row r="332" spans="1:41" s="504" customFormat="1" ht="12.6" thickBot="1">
      <c r="A332" s="885" t="s">
        <v>142</v>
      </c>
      <c r="B332" s="886">
        <f>(R331+T331)</f>
        <v>0</v>
      </c>
      <c r="C332" s="887"/>
      <c r="D332" s="887"/>
      <c r="E332" s="887"/>
      <c r="F332" s="888"/>
      <c r="G332" s="887" t="s">
        <v>143</v>
      </c>
      <c r="H332" s="887"/>
      <c r="I332" s="889"/>
      <c r="J332" s="887"/>
      <c r="K332" s="887" t="s">
        <v>3</v>
      </c>
      <c r="L332" s="890" t="s">
        <v>140</v>
      </c>
      <c r="M332" s="890"/>
      <c r="N332" s="890"/>
      <c r="O332" s="890"/>
      <c r="P332" s="890"/>
      <c r="Q332" s="891"/>
      <c r="R332" s="892">
        <f ca="1">SUM(R328:R331)</f>
        <v>242.4</v>
      </c>
      <c r="S332" s="887"/>
      <c r="T332" s="892">
        <f ca="1">SUM(T328:T331)</f>
        <v>1.65</v>
      </c>
      <c r="U332" s="514"/>
      <c r="V332" s="514"/>
      <c r="W332" s="514"/>
      <c r="X332" s="514"/>
      <c r="Y332" s="514"/>
      <c r="Z332" s="514"/>
      <c r="AA332" s="514"/>
      <c r="AB332" s="514"/>
      <c r="AC332" s="514"/>
      <c r="AD332" s="514"/>
      <c r="AE332" s="514"/>
      <c r="AF332" s="514"/>
      <c r="AG332" s="514"/>
      <c r="AH332" s="514"/>
      <c r="AI332" s="514"/>
      <c r="AJ332" s="514"/>
      <c r="AK332" s="514"/>
      <c r="AL332" s="514"/>
      <c r="AM332" s="514"/>
      <c r="AN332" s="514"/>
      <c r="AO332" s="514"/>
    </row>
    <row r="333" spans="1:41" s="504" customFormat="1" ht="12" thickTop="1">
      <c r="A333" s="50"/>
      <c r="B333" s="40"/>
      <c r="C333" s="50"/>
      <c r="E333" s="41" t="s">
        <v>136</v>
      </c>
      <c r="F333" s="41" t="s">
        <v>137</v>
      </c>
      <c r="G333" s="50"/>
      <c r="H333" s="50"/>
      <c r="I333" s="50"/>
      <c r="J333" s="50"/>
      <c r="K333" s="50" t="s">
        <v>138</v>
      </c>
      <c r="L333" s="50"/>
      <c r="M333" s="50"/>
      <c r="N333" s="50"/>
      <c r="O333" s="51"/>
      <c r="P333" s="50"/>
      <c r="Q333" s="50"/>
      <c r="R333" s="50"/>
      <c r="S333" s="50"/>
      <c r="T333" s="40"/>
      <c r="AG333" s="867" t="s">
        <v>241</v>
      </c>
      <c r="AH333" s="867" t="s">
        <v>242</v>
      </c>
      <c r="AI333" s="867" t="s">
        <v>243</v>
      </c>
      <c r="AJ333" s="867" t="s">
        <v>244</v>
      </c>
      <c r="AK333" s="867" t="s">
        <v>245</v>
      </c>
      <c r="AM333" s="868" t="s">
        <v>254</v>
      </c>
      <c r="AN333" s="869" t="s">
        <v>255</v>
      </c>
      <c r="AO333" s="505" t="s">
        <v>251</v>
      </c>
    </row>
    <row r="334" spans="1:41" s="504" customFormat="1" ht="12" customHeight="1">
      <c r="A334" s="870">
        <v>13</v>
      </c>
      <c r="B334" s="871" t="s">
        <v>306</v>
      </c>
      <c r="C334" s="872"/>
      <c r="D334" s="873" t="s">
        <v>823</v>
      </c>
      <c r="E334" s="874">
        <f ca="1">IF(AND($A334=0,$A$1="DIF"),0, ROUND(ROUND(($R339*$S$2+($T339*$T$2))/A334,2)*$C$2,2))</f>
        <v>13.11</v>
      </c>
      <c r="F334" s="875">
        <f ca="1">ROUND($A334*$E334,2)</f>
        <v>170.43</v>
      </c>
      <c r="G334" s="876" t="s">
        <v>139</v>
      </c>
      <c r="H334" s="877"/>
      <c r="I334" s="878"/>
      <c r="J334" s="877"/>
      <c r="K334" s="877" t="s">
        <v>3</v>
      </c>
      <c r="L334" s="879" t="s">
        <v>140</v>
      </c>
      <c r="M334" s="879"/>
      <c r="N334" s="879"/>
      <c r="O334" s="879"/>
      <c r="P334" s="879"/>
      <c r="Q334" s="50"/>
      <c r="T334" s="880" t="str">
        <f ca="1">IF(AND($R339=0,$T339=0),"0.00","mu :" &amp; ROUND($F334/$C$2/($R339+$T339*$D$9),2))</f>
        <v>mu :1.22</v>
      </c>
      <c r="W334" s="507"/>
      <c r="AG334" s="465">
        <f ca="1">IF($E334=0,0,ROUND($R339*$S$2*$C$2/$A334,2))</f>
        <v>8.19</v>
      </c>
      <c r="AH334" s="465">
        <f ca="1">$AG334*$A334</f>
        <v>106.47</v>
      </c>
      <c r="AI334" s="508">
        <f ca="1">$E334-$AG334</f>
        <v>4.92</v>
      </c>
      <c r="AJ334" s="508">
        <f ca="1">$A334*$AI334</f>
        <v>63.96</v>
      </c>
      <c r="AK334" s="509">
        <f ca="1">ROUND(($AG334+$AI334)*$A334,2)</f>
        <v>170.43</v>
      </c>
      <c r="AM334" s="510">
        <f ca="1">ROUND(R339,2)</f>
        <v>87.23</v>
      </c>
      <c r="AN334" s="511">
        <f ca="1">ROUND(T339,2)</f>
        <v>1.82</v>
      </c>
      <c r="AO334" s="512">
        <f ca="1">ROUND(AM334+AN334,2)*A334</f>
        <v>1157.6499999999999</v>
      </c>
    </row>
    <row r="335" spans="1:41" s="504" customFormat="1" ht="13.2">
      <c r="A335" s="872"/>
      <c r="B335"/>
      <c r="C335" s="872"/>
      <c r="D335" s="873" t="s">
        <v>697</v>
      </c>
      <c r="F335" s="877"/>
      <c r="G335" s="3"/>
      <c r="H335" s="877"/>
      <c r="I335" s="878"/>
      <c r="J335" s="877"/>
      <c r="K335" s="877" t="s">
        <v>141</v>
      </c>
      <c r="L335" s="877"/>
      <c r="M335" s="877"/>
      <c r="N335" s="877"/>
      <c r="O335" s="877"/>
      <c r="P335" s="877"/>
      <c r="Q335" s="50"/>
      <c r="R335" s="513"/>
      <c r="S335" s="881"/>
      <c r="T335" s="877"/>
    </row>
    <row r="336" spans="1:41" s="997" customFormat="1" ht="13.2">
      <c r="A336"/>
      <c r="B336" s="1065"/>
      <c r="C336" s="1065" t="s">
        <v>1006</v>
      </c>
      <c r="D336" s="1065" t="str">
        <f ca="1">CELL("Address",Elec_Rates!D$55)</f>
        <v>[EL25_0662B_Brittania_Hotel_Elec_Revised_Estim_B.xlsx]Elec_Rates!$D$55</v>
      </c>
      <c r="E336" s="1066"/>
      <c r="F336" s="1066"/>
      <c r="G336" s="1067" t="s">
        <v>1007</v>
      </c>
      <c r="H336" s="1067"/>
      <c r="I336" s="1067"/>
      <c r="J336" s="1067"/>
      <c r="K336" s="1068"/>
      <c r="L336" s="1066"/>
      <c r="M336" s="1066"/>
      <c r="N336" s="1066"/>
      <c r="O336" s="1069"/>
      <c r="P336" s="1066"/>
      <c r="Q336" s="1070"/>
      <c r="R336" s="1071"/>
      <c r="S336" s="1070"/>
      <c r="T336" s="1072"/>
      <c r="U336" s="1073"/>
    </row>
    <row r="337" spans="1:41" s="997" customFormat="1" ht="11.4">
      <c r="A337" s="1074">
        <v>13</v>
      </c>
      <c r="B337" s="1075">
        <v>1</v>
      </c>
      <c r="C337" s="1075">
        <f>$A337*$B337</f>
        <v>13</v>
      </c>
      <c r="D337" s="1076" t="str">
        <f>Elec_Rates!$D$55</f>
        <v>005# 5 core x 10 mm2 FG16(O)M16 Cable</v>
      </c>
      <c r="E337" s="1076"/>
      <c r="F337" s="1076"/>
      <c r="G337" s="1077" t="s">
        <v>1008</v>
      </c>
      <c r="H337" s="1077"/>
      <c r="I337" s="1077"/>
      <c r="J337" s="1077"/>
      <c r="K337" s="1078"/>
      <c r="L337" s="1073"/>
      <c r="M337" s="1073"/>
      <c r="N337" s="1073"/>
      <c r="O337" s="1079"/>
      <c r="P337" s="1076"/>
      <c r="Q337" s="1080">
        <f ca="1">$B337*Elec_Rates!$R$55</f>
        <v>6.71</v>
      </c>
      <c r="R337" s="1071">
        <f ca="1">$A337*Q337</f>
        <v>87.23</v>
      </c>
      <c r="S337" s="1080">
        <f ca="1">$B337*Elec_Rates!$T$55</f>
        <v>0.14000000000000001</v>
      </c>
      <c r="T337" s="1072">
        <f ca="1">$A337*S337</f>
        <v>1.8200000000000003</v>
      </c>
      <c r="U337" s="1081"/>
    </row>
    <row r="338" spans="1:41" s="504" customFormat="1" ht="12">
      <c r="A338" s="882"/>
      <c r="B338" s="882"/>
      <c r="C338" s="882"/>
      <c r="D338" s="882"/>
      <c r="E338" s="882"/>
      <c r="F338" s="877"/>
      <c r="G338" s="882"/>
      <c r="H338" s="882"/>
      <c r="I338" s="503"/>
      <c r="J338" s="882"/>
      <c r="K338" s="882"/>
      <c r="L338" s="882"/>
      <c r="M338" s="882"/>
      <c r="N338" s="882"/>
      <c r="O338" s="882"/>
      <c r="P338" s="882"/>
      <c r="Q338" s="503"/>
      <c r="R338" s="883">
        <f>$A338*Q338</f>
        <v>0</v>
      </c>
      <c r="S338" s="503"/>
      <c r="T338" s="884">
        <f>$A338*S338*$T$1</f>
        <v>0</v>
      </c>
    </row>
    <row r="339" spans="1:41" s="504" customFormat="1" ht="12.6" thickBot="1">
      <c r="A339" s="885" t="s">
        <v>142</v>
      </c>
      <c r="B339" s="886">
        <f>(R338+T338)</f>
        <v>0</v>
      </c>
      <c r="C339" s="887"/>
      <c r="D339" s="887"/>
      <c r="E339" s="887"/>
      <c r="F339" s="888"/>
      <c r="G339" s="887" t="s">
        <v>143</v>
      </c>
      <c r="H339" s="887"/>
      <c r="I339" s="889"/>
      <c r="J339" s="887"/>
      <c r="K339" s="887" t="s">
        <v>3</v>
      </c>
      <c r="L339" s="890" t="s">
        <v>140</v>
      </c>
      <c r="M339" s="890"/>
      <c r="N339" s="890"/>
      <c r="O339" s="890"/>
      <c r="P339" s="890"/>
      <c r="Q339" s="891"/>
      <c r="R339" s="892">
        <f ca="1">SUM(R335:R338)</f>
        <v>87.23</v>
      </c>
      <c r="S339" s="887"/>
      <c r="T339" s="892">
        <f ca="1">SUM(T335:T338)</f>
        <v>1.8200000000000003</v>
      </c>
      <c r="U339" s="514"/>
      <c r="V339" s="514"/>
      <c r="W339" s="514"/>
      <c r="X339" s="514"/>
      <c r="Y339" s="514"/>
      <c r="Z339" s="514"/>
      <c r="AA339" s="514"/>
      <c r="AB339" s="514"/>
      <c r="AC339" s="514"/>
      <c r="AD339" s="514"/>
      <c r="AE339" s="514"/>
      <c r="AF339" s="514"/>
      <c r="AG339" s="514"/>
      <c r="AH339" s="514"/>
      <c r="AI339" s="514"/>
      <c r="AJ339" s="514"/>
      <c r="AK339" s="514"/>
      <c r="AL339" s="514"/>
      <c r="AM339" s="514"/>
      <c r="AN339" s="514"/>
      <c r="AO339" s="514"/>
    </row>
    <row r="340" spans="1:41" s="504" customFormat="1" ht="12" thickTop="1">
      <c r="A340" s="50"/>
      <c r="B340" s="40"/>
      <c r="C340" s="50"/>
      <c r="E340" s="41" t="s">
        <v>136</v>
      </c>
      <c r="F340" s="41" t="s">
        <v>137</v>
      </c>
      <c r="G340" s="50"/>
      <c r="H340" s="50"/>
      <c r="I340" s="50"/>
      <c r="J340" s="50"/>
      <c r="K340" s="50" t="s">
        <v>138</v>
      </c>
      <c r="L340" s="50"/>
      <c r="M340" s="50"/>
      <c r="N340" s="50"/>
      <c r="O340" s="51"/>
      <c r="P340" s="50"/>
      <c r="Q340" s="50"/>
      <c r="R340" s="50"/>
      <c r="S340" s="50"/>
      <c r="T340" s="40"/>
      <c r="AG340" s="867" t="s">
        <v>241</v>
      </c>
      <c r="AH340" s="867" t="s">
        <v>242</v>
      </c>
      <c r="AI340" s="867" t="s">
        <v>243</v>
      </c>
      <c r="AJ340" s="867" t="s">
        <v>244</v>
      </c>
      <c r="AK340" s="867" t="s">
        <v>245</v>
      </c>
      <c r="AM340" s="868" t="s">
        <v>254</v>
      </c>
      <c r="AN340" s="869" t="s">
        <v>255</v>
      </c>
      <c r="AO340" s="505" t="s">
        <v>251</v>
      </c>
    </row>
    <row r="341" spans="1:41" s="504" customFormat="1" ht="12" customHeight="1">
      <c r="A341" s="870">
        <v>22</v>
      </c>
      <c r="B341" s="871" t="s">
        <v>306</v>
      </c>
      <c r="C341" s="872"/>
      <c r="D341" s="873" t="s">
        <v>824</v>
      </c>
      <c r="E341" s="874">
        <f ca="1">IF(AND($A341=0,$A$1="DIF"),0, ROUND(ROUND(($R346*$S$2+($T346*$T$2))/A341,2)*$C$2,2))</f>
        <v>24.84</v>
      </c>
      <c r="F341" s="875">
        <f ca="1">ROUND($A341*$E341,2)</f>
        <v>546.48</v>
      </c>
      <c r="G341" s="876" t="s">
        <v>139</v>
      </c>
      <c r="H341" s="877"/>
      <c r="I341" s="878"/>
      <c r="J341" s="877"/>
      <c r="K341" s="877" t="s">
        <v>3</v>
      </c>
      <c r="L341" s="879" t="s">
        <v>140</v>
      </c>
      <c r="M341" s="879"/>
      <c r="N341" s="879"/>
      <c r="O341" s="879"/>
      <c r="P341" s="879"/>
      <c r="Q341" s="50"/>
      <c r="T341" s="880" t="str">
        <f ca="1">IF(AND($R346=0,$T346=0),"0.00","mu :" &amp; ROUND($F341/$C$2/($R346+$T346*$D$9),2))</f>
        <v>mu :1.22</v>
      </c>
      <c r="W341" s="507"/>
      <c r="AG341" s="465">
        <f ca="1">IF($E341=0,0,ROUND($R346*$S$2*$C$2/$A341,2))</f>
        <v>18.86</v>
      </c>
      <c r="AH341" s="465">
        <f ca="1">$AG341*$A341</f>
        <v>414.91999999999996</v>
      </c>
      <c r="AI341" s="508">
        <f ca="1">$E341-$AG341</f>
        <v>5.98</v>
      </c>
      <c r="AJ341" s="508">
        <f ca="1">$A341*$AI341</f>
        <v>131.56</v>
      </c>
      <c r="AK341" s="509">
        <f ca="1">ROUND(($AG341+$AI341)*$A341,2)</f>
        <v>546.48</v>
      </c>
      <c r="AM341" s="510">
        <f ca="1">ROUND(R346,2)</f>
        <v>340.12</v>
      </c>
      <c r="AN341" s="511">
        <f ca="1">ROUND(T346,2)</f>
        <v>3.74</v>
      </c>
      <c r="AO341" s="512">
        <f ca="1">ROUND(AM341+AN341,2)*A341</f>
        <v>7564.92</v>
      </c>
    </row>
    <row r="342" spans="1:41" s="504" customFormat="1" ht="13.2">
      <c r="A342" s="872"/>
      <c r="B342"/>
      <c r="C342" s="872"/>
      <c r="D342" s="873" t="s">
        <v>698</v>
      </c>
      <c r="F342" s="877"/>
      <c r="G342" s="3"/>
      <c r="H342" s="877"/>
      <c r="I342" s="878"/>
      <c r="J342" s="877"/>
      <c r="K342" s="877" t="s">
        <v>141</v>
      </c>
      <c r="L342" s="877"/>
      <c r="M342" s="877"/>
      <c r="N342" s="877"/>
      <c r="O342" s="877"/>
      <c r="P342" s="877"/>
      <c r="Q342" s="50"/>
      <c r="R342" s="513"/>
      <c r="S342" s="881"/>
      <c r="T342" s="877"/>
    </row>
    <row r="343" spans="1:41" s="997" customFormat="1" ht="13.2">
      <c r="A343"/>
      <c r="B343" s="1065"/>
      <c r="C343" s="1065" t="s">
        <v>1006</v>
      </c>
      <c r="D343" s="1065" t="str">
        <f ca="1">CELL("Address",Elec_Rates!D$45)</f>
        <v>[EL25_0662B_Brittania_Hotel_Elec_Revised_Estim_B.xlsx]Elec_Rates!$D$45</v>
      </c>
      <c r="E343" s="1066"/>
      <c r="F343" s="1066"/>
      <c r="G343" s="1067" t="s">
        <v>1007</v>
      </c>
      <c r="H343" s="1067"/>
      <c r="I343" s="1067"/>
      <c r="J343" s="1067"/>
      <c r="K343" s="1068"/>
      <c r="L343" s="1066"/>
      <c r="M343" s="1066"/>
      <c r="N343" s="1066"/>
      <c r="O343" s="1069"/>
      <c r="P343" s="1066"/>
      <c r="Q343" s="1070"/>
      <c r="R343" s="1071"/>
      <c r="S343" s="1070"/>
      <c r="T343" s="1072"/>
      <c r="U343" s="1073"/>
    </row>
    <row r="344" spans="1:41" s="997" customFormat="1" ht="11.4">
      <c r="A344" s="1074">
        <v>22</v>
      </c>
      <c r="B344" s="1075">
        <v>1</v>
      </c>
      <c r="C344" s="1075">
        <f>$A344*$B344</f>
        <v>22</v>
      </c>
      <c r="D344" s="1076" t="str">
        <f>Elec_Rates!$D$45</f>
        <v>004# 5 core x 25 mm2 FG16(O)M16 Cable</v>
      </c>
      <c r="E344" s="1076"/>
      <c r="F344" s="1076"/>
      <c r="G344" s="1077" t="s">
        <v>1008</v>
      </c>
      <c r="H344" s="1077"/>
      <c r="I344" s="1077"/>
      <c r="J344" s="1077"/>
      <c r="K344" s="1078"/>
      <c r="L344" s="1073"/>
      <c r="M344" s="1073"/>
      <c r="N344" s="1073"/>
      <c r="O344" s="1079"/>
      <c r="P344" s="1076"/>
      <c r="Q344" s="1080">
        <f ca="1">$B344*Elec_Rates!$R$45</f>
        <v>15.46</v>
      </c>
      <c r="R344" s="1071">
        <f ca="1">$A344*Q344</f>
        <v>340.12</v>
      </c>
      <c r="S344" s="1080">
        <f ca="1">$B344*Elec_Rates!$T$45</f>
        <v>0.17</v>
      </c>
      <c r="T344" s="1072">
        <f ca="1">$A344*S344</f>
        <v>3.74</v>
      </c>
      <c r="U344" s="1081"/>
    </row>
    <row r="345" spans="1:41" s="504" customFormat="1" ht="12">
      <c r="A345" s="882"/>
      <c r="B345" s="882"/>
      <c r="C345" s="882"/>
      <c r="D345" s="882"/>
      <c r="E345" s="882"/>
      <c r="F345" s="877"/>
      <c r="G345" s="882"/>
      <c r="H345" s="882"/>
      <c r="I345" s="503"/>
      <c r="J345" s="882"/>
      <c r="K345" s="882"/>
      <c r="L345" s="882"/>
      <c r="M345" s="882"/>
      <c r="N345" s="882"/>
      <c r="O345" s="882"/>
      <c r="P345" s="882"/>
      <c r="Q345" s="503"/>
      <c r="R345" s="883">
        <f>$A345*Q345</f>
        <v>0</v>
      </c>
      <c r="S345" s="503"/>
      <c r="T345" s="884">
        <f>$A345*S345*$T$1</f>
        <v>0</v>
      </c>
    </row>
    <row r="346" spans="1:41" s="504" customFormat="1" ht="12.6" thickBot="1">
      <c r="A346" s="885" t="s">
        <v>142</v>
      </c>
      <c r="B346" s="886">
        <f>(R345+T345)</f>
        <v>0</v>
      </c>
      <c r="C346" s="887"/>
      <c r="D346" s="887"/>
      <c r="E346" s="887"/>
      <c r="F346" s="888"/>
      <c r="G346" s="887" t="s">
        <v>143</v>
      </c>
      <c r="H346" s="887"/>
      <c r="I346" s="889"/>
      <c r="J346" s="887"/>
      <c r="K346" s="887" t="s">
        <v>3</v>
      </c>
      <c r="L346" s="890" t="s">
        <v>140</v>
      </c>
      <c r="M346" s="890"/>
      <c r="N346" s="890"/>
      <c r="O346" s="890"/>
      <c r="P346" s="890"/>
      <c r="Q346" s="891"/>
      <c r="R346" s="892">
        <f ca="1">SUM(R342:R345)</f>
        <v>340.12</v>
      </c>
      <c r="S346" s="887"/>
      <c r="T346" s="892">
        <f ca="1">SUM(T342:T345)</f>
        <v>3.74</v>
      </c>
      <c r="U346" s="514"/>
      <c r="V346" s="514"/>
      <c r="W346" s="514"/>
      <c r="X346" s="514"/>
      <c r="Y346" s="514"/>
      <c r="Z346" s="514"/>
      <c r="AA346" s="514"/>
      <c r="AB346" s="514"/>
      <c r="AC346" s="514"/>
      <c r="AD346" s="514"/>
      <c r="AE346" s="514"/>
      <c r="AF346" s="514"/>
      <c r="AG346" s="514"/>
      <c r="AH346" s="514"/>
      <c r="AI346" s="514"/>
      <c r="AJ346" s="514"/>
      <c r="AK346" s="514"/>
      <c r="AL346" s="514"/>
      <c r="AM346" s="514"/>
      <c r="AN346" s="514"/>
      <c r="AO346" s="514"/>
    </row>
    <row r="347" spans="1:41" s="504" customFormat="1" ht="12" thickTop="1">
      <c r="A347" s="50"/>
      <c r="B347" s="40"/>
      <c r="C347" s="50"/>
      <c r="E347" s="41" t="s">
        <v>136</v>
      </c>
      <c r="F347" s="41" t="s">
        <v>137</v>
      </c>
      <c r="G347" s="50"/>
      <c r="H347" s="50"/>
      <c r="I347" s="50"/>
      <c r="J347" s="50"/>
      <c r="K347" s="50" t="s">
        <v>138</v>
      </c>
      <c r="L347" s="50"/>
      <c r="M347" s="50"/>
      <c r="N347" s="50"/>
      <c r="O347" s="51"/>
      <c r="P347" s="50"/>
      <c r="Q347" s="50"/>
      <c r="R347" s="50"/>
      <c r="S347" s="50"/>
      <c r="T347" s="40"/>
      <c r="AG347" s="867" t="s">
        <v>241</v>
      </c>
      <c r="AH347" s="867" t="s">
        <v>242</v>
      </c>
      <c r="AI347" s="867" t="s">
        <v>243</v>
      </c>
      <c r="AJ347" s="867" t="s">
        <v>244</v>
      </c>
      <c r="AK347" s="867" t="s">
        <v>245</v>
      </c>
      <c r="AM347" s="868" t="s">
        <v>254</v>
      </c>
      <c r="AN347" s="869" t="s">
        <v>255</v>
      </c>
      <c r="AO347" s="505" t="s">
        <v>251</v>
      </c>
    </row>
    <row r="348" spans="1:41" s="504" customFormat="1" ht="12" customHeight="1">
      <c r="A348" s="870">
        <v>7</v>
      </c>
      <c r="B348" s="871" t="s">
        <v>306</v>
      </c>
      <c r="C348" s="872"/>
      <c r="D348" s="873" t="s">
        <v>825</v>
      </c>
      <c r="E348" s="874">
        <f ca="1">IF(AND($A348=0,$A$1="DIF"),0, ROUND(ROUND(($R353*$S$2+($T353*$T$2))/A348,2)*$C$2,2))</f>
        <v>13.11</v>
      </c>
      <c r="F348" s="875">
        <f ca="1">ROUND($A348*$E348,2)</f>
        <v>91.77</v>
      </c>
      <c r="G348" s="876" t="s">
        <v>139</v>
      </c>
      <c r="H348" s="877"/>
      <c r="I348" s="878"/>
      <c r="J348" s="877"/>
      <c r="K348" s="877" t="s">
        <v>3</v>
      </c>
      <c r="L348" s="879" t="s">
        <v>140</v>
      </c>
      <c r="M348" s="879"/>
      <c r="N348" s="879"/>
      <c r="O348" s="879"/>
      <c r="P348" s="879"/>
      <c r="Q348" s="50"/>
      <c r="T348" s="880" t="str">
        <f ca="1">IF(AND($R353=0,$T353=0),"0.00","mu :" &amp; ROUND($F348/$C$2/($R353+$T353*$D$9),2))</f>
        <v>mu :1.22</v>
      </c>
      <c r="W348" s="507"/>
      <c r="AG348" s="465">
        <f ca="1">IF($E348=0,0,ROUND($R353*$S$2*$C$2/$A348,2))</f>
        <v>8.19</v>
      </c>
      <c r="AH348" s="465">
        <f ca="1">$AG348*$A348</f>
        <v>57.33</v>
      </c>
      <c r="AI348" s="508">
        <f ca="1">$E348-$AG348</f>
        <v>4.92</v>
      </c>
      <c r="AJ348" s="508">
        <f ca="1">$A348*$AI348</f>
        <v>34.44</v>
      </c>
      <c r="AK348" s="509">
        <f ca="1">ROUND(($AG348+$AI348)*$A348,2)</f>
        <v>91.77</v>
      </c>
      <c r="AM348" s="510">
        <f ca="1">ROUND(R353,2)</f>
        <v>46.97</v>
      </c>
      <c r="AN348" s="511">
        <f ca="1">ROUND(T353,2)</f>
        <v>0.98</v>
      </c>
      <c r="AO348" s="512">
        <f ca="1">ROUND(AM348+AN348,2)*A348</f>
        <v>335.65000000000003</v>
      </c>
    </row>
    <row r="349" spans="1:41" s="504" customFormat="1" ht="13.2">
      <c r="A349" s="872"/>
      <c r="B349"/>
      <c r="C349" s="872"/>
      <c r="D349" s="873" t="s">
        <v>699</v>
      </c>
      <c r="F349" s="877"/>
      <c r="G349" s="3"/>
      <c r="H349" s="877"/>
      <c r="I349" s="878"/>
      <c r="J349" s="877"/>
      <c r="K349" s="877" t="s">
        <v>141</v>
      </c>
      <c r="L349" s="877"/>
      <c r="M349" s="877"/>
      <c r="N349" s="877"/>
      <c r="O349" s="877"/>
      <c r="P349" s="877"/>
      <c r="Q349" s="50"/>
      <c r="R349" s="513"/>
      <c r="S349" s="881"/>
      <c r="T349" s="877"/>
    </row>
    <row r="350" spans="1:41" s="997" customFormat="1" ht="13.2">
      <c r="A350"/>
      <c r="B350" s="1065"/>
      <c r="C350" s="1065" t="s">
        <v>1006</v>
      </c>
      <c r="D350" s="1065" t="str">
        <f ca="1">CELL("Address",Elec_Rates!D$55)</f>
        <v>[EL25_0662B_Brittania_Hotel_Elec_Revised_Estim_B.xlsx]Elec_Rates!$D$55</v>
      </c>
      <c r="E350" s="1066"/>
      <c r="F350" s="1066"/>
      <c r="G350" s="1067" t="s">
        <v>1007</v>
      </c>
      <c r="H350" s="1067"/>
      <c r="I350" s="1067"/>
      <c r="J350" s="1067"/>
      <c r="K350" s="1068"/>
      <c r="L350" s="1066"/>
      <c r="M350" s="1066"/>
      <c r="N350" s="1066"/>
      <c r="O350" s="1069"/>
      <c r="P350" s="1066"/>
      <c r="Q350" s="1070"/>
      <c r="R350" s="1071"/>
      <c r="S350" s="1070"/>
      <c r="T350" s="1072"/>
      <c r="U350" s="1073"/>
    </row>
    <row r="351" spans="1:41" s="997" customFormat="1" ht="11.4">
      <c r="A351" s="1074">
        <v>7</v>
      </c>
      <c r="B351" s="1075">
        <v>1</v>
      </c>
      <c r="C351" s="1075">
        <f>$A351*$B351</f>
        <v>7</v>
      </c>
      <c r="D351" s="1076" t="str">
        <f>Elec_Rates!$D$55</f>
        <v>005# 5 core x 10 mm2 FG16(O)M16 Cable</v>
      </c>
      <c r="E351" s="1076"/>
      <c r="F351" s="1076"/>
      <c r="G351" s="1077" t="s">
        <v>1008</v>
      </c>
      <c r="H351" s="1077"/>
      <c r="I351" s="1077"/>
      <c r="J351" s="1077"/>
      <c r="K351" s="1078"/>
      <c r="L351" s="1073"/>
      <c r="M351" s="1073"/>
      <c r="N351" s="1073"/>
      <c r="O351" s="1079"/>
      <c r="P351" s="1076"/>
      <c r="Q351" s="1080">
        <f ca="1">$B351*Elec_Rates!$R$55</f>
        <v>6.71</v>
      </c>
      <c r="R351" s="1071">
        <f ca="1">$A351*Q351</f>
        <v>46.97</v>
      </c>
      <c r="S351" s="1080">
        <f ca="1">$B351*Elec_Rates!$T$55</f>
        <v>0.14000000000000001</v>
      </c>
      <c r="T351" s="1072">
        <f ca="1">$A351*S351</f>
        <v>0.98000000000000009</v>
      </c>
      <c r="U351" s="1081"/>
    </row>
    <row r="352" spans="1:41" s="504" customFormat="1" ht="12">
      <c r="A352" s="882"/>
      <c r="B352" s="882"/>
      <c r="C352" s="882"/>
      <c r="D352" s="882"/>
      <c r="E352" s="882"/>
      <c r="F352" s="877"/>
      <c r="G352" s="882"/>
      <c r="H352" s="882"/>
      <c r="I352" s="503"/>
      <c r="J352" s="882"/>
      <c r="K352" s="882"/>
      <c r="L352" s="882"/>
      <c r="M352" s="882"/>
      <c r="N352" s="882"/>
      <c r="O352" s="882"/>
      <c r="P352" s="882"/>
      <c r="Q352" s="503"/>
      <c r="R352" s="883">
        <f>$A352*Q352</f>
        <v>0</v>
      </c>
      <c r="S352" s="503"/>
      <c r="T352" s="884">
        <f>$A352*S352*$T$1</f>
        <v>0</v>
      </c>
    </row>
    <row r="353" spans="1:41" s="504" customFormat="1" ht="12.6" thickBot="1">
      <c r="A353" s="885" t="s">
        <v>142</v>
      </c>
      <c r="B353" s="886">
        <f>(R352+T352)</f>
        <v>0</v>
      </c>
      <c r="C353" s="887"/>
      <c r="D353" s="887"/>
      <c r="E353" s="887"/>
      <c r="F353" s="888"/>
      <c r="G353" s="887" t="s">
        <v>143</v>
      </c>
      <c r="H353" s="887"/>
      <c r="I353" s="889"/>
      <c r="J353" s="887"/>
      <c r="K353" s="887" t="s">
        <v>3</v>
      </c>
      <c r="L353" s="890" t="s">
        <v>140</v>
      </c>
      <c r="M353" s="890"/>
      <c r="N353" s="890"/>
      <c r="O353" s="890"/>
      <c r="P353" s="890"/>
      <c r="Q353" s="891"/>
      <c r="R353" s="892">
        <f ca="1">SUM(R349:R352)</f>
        <v>46.97</v>
      </c>
      <c r="S353" s="887"/>
      <c r="T353" s="892">
        <f ca="1">SUM(T349:T352)</f>
        <v>0.98000000000000009</v>
      </c>
      <c r="U353" s="514"/>
      <c r="V353" s="514"/>
      <c r="W353" s="514"/>
      <c r="X353" s="514"/>
      <c r="Y353" s="514"/>
      <c r="Z353" s="514"/>
      <c r="AA353" s="514"/>
      <c r="AB353" s="514"/>
      <c r="AC353" s="514"/>
      <c r="AD353" s="514"/>
      <c r="AE353" s="514"/>
      <c r="AF353" s="514"/>
      <c r="AG353" s="514"/>
      <c r="AH353" s="514"/>
      <c r="AI353" s="514"/>
      <c r="AJ353" s="514"/>
      <c r="AK353" s="514"/>
      <c r="AL353" s="514"/>
      <c r="AM353" s="514"/>
      <c r="AN353" s="514"/>
      <c r="AO353" s="514"/>
    </row>
    <row r="354" spans="1:41" s="504" customFormat="1" ht="12" thickTop="1">
      <c r="A354" s="50"/>
      <c r="B354" s="40"/>
      <c r="C354" s="50"/>
      <c r="E354" s="41" t="s">
        <v>136</v>
      </c>
      <c r="F354" s="41" t="s">
        <v>137</v>
      </c>
      <c r="G354" s="50"/>
      <c r="H354" s="50"/>
      <c r="I354" s="50"/>
      <c r="J354" s="50"/>
      <c r="K354" s="50" t="s">
        <v>138</v>
      </c>
      <c r="L354" s="50"/>
      <c r="M354" s="50"/>
      <c r="N354" s="50"/>
      <c r="O354" s="51"/>
      <c r="P354" s="50"/>
      <c r="Q354" s="50"/>
      <c r="R354" s="50"/>
      <c r="S354" s="50"/>
      <c r="T354" s="40"/>
      <c r="AG354" s="867" t="s">
        <v>241</v>
      </c>
      <c r="AH354" s="867" t="s">
        <v>242</v>
      </c>
      <c r="AI354" s="867" t="s">
        <v>243</v>
      </c>
      <c r="AJ354" s="867" t="s">
        <v>244</v>
      </c>
      <c r="AK354" s="867" t="s">
        <v>245</v>
      </c>
      <c r="AM354" s="868" t="s">
        <v>254</v>
      </c>
      <c r="AN354" s="869" t="s">
        <v>255</v>
      </c>
      <c r="AO354" s="505" t="s">
        <v>251</v>
      </c>
    </row>
    <row r="355" spans="1:41" s="504" customFormat="1" ht="12" customHeight="1">
      <c r="A355" s="870">
        <v>38</v>
      </c>
      <c r="B355" s="871" t="s">
        <v>306</v>
      </c>
      <c r="C355" s="872"/>
      <c r="D355" s="873" t="s">
        <v>826</v>
      </c>
      <c r="E355" s="874">
        <f ca="1">IF(AND($A355=0,$A$1="DIF"),0, ROUND(ROUND(($R360*$S$2+($T360*$T$2))/A355,2)*$C$2,2))</f>
        <v>13.11</v>
      </c>
      <c r="F355" s="875">
        <f ca="1">ROUND($A355*$E355,2)</f>
        <v>498.18</v>
      </c>
      <c r="G355" s="876" t="s">
        <v>139</v>
      </c>
      <c r="H355" s="877"/>
      <c r="I355" s="878"/>
      <c r="J355" s="877"/>
      <c r="K355" s="877" t="s">
        <v>3</v>
      </c>
      <c r="L355" s="879" t="s">
        <v>140</v>
      </c>
      <c r="M355" s="879"/>
      <c r="N355" s="879"/>
      <c r="O355" s="879"/>
      <c r="P355" s="879"/>
      <c r="Q355" s="50"/>
      <c r="T355" s="880" t="str">
        <f ca="1">IF(AND($R360=0,$T360=0),"0.00","mu :" &amp; ROUND($F355/$C$2/($R360+$T360*$D$9),2))</f>
        <v>mu :1.22</v>
      </c>
      <c r="W355" s="507"/>
      <c r="AG355" s="465">
        <f ca="1">IF($E355=0,0,ROUND($R360*$S$2*$C$2/$A355,2))</f>
        <v>8.19</v>
      </c>
      <c r="AH355" s="465">
        <f ca="1">$AG355*$A355</f>
        <v>311.21999999999997</v>
      </c>
      <c r="AI355" s="508">
        <f ca="1">$E355-$AG355</f>
        <v>4.92</v>
      </c>
      <c r="AJ355" s="508">
        <f ca="1">$A355*$AI355</f>
        <v>186.96</v>
      </c>
      <c r="AK355" s="509">
        <f ca="1">ROUND(($AG355+$AI355)*$A355,2)</f>
        <v>498.18</v>
      </c>
      <c r="AM355" s="510">
        <f ca="1">ROUND(R360,2)</f>
        <v>254.98</v>
      </c>
      <c r="AN355" s="511">
        <f ca="1">ROUND(T360,2)</f>
        <v>5.32</v>
      </c>
      <c r="AO355" s="512">
        <f ca="1">ROUND(AM355+AN355,2)*A355</f>
        <v>9891.4</v>
      </c>
    </row>
    <row r="356" spans="1:41" s="504" customFormat="1" ht="13.2">
      <c r="A356" s="872"/>
      <c r="B356"/>
      <c r="C356" s="872"/>
      <c r="D356" s="873" t="s">
        <v>700</v>
      </c>
      <c r="F356" s="877"/>
      <c r="G356" s="3"/>
      <c r="H356" s="877"/>
      <c r="I356" s="878"/>
      <c r="J356" s="877"/>
      <c r="K356" s="877" t="s">
        <v>141</v>
      </c>
      <c r="L356" s="877"/>
      <c r="M356" s="877"/>
      <c r="N356" s="877"/>
      <c r="O356" s="877"/>
      <c r="P356" s="877"/>
      <c r="Q356" s="50"/>
      <c r="R356" s="513"/>
      <c r="S356" s="881"/>
      <c r="T356" s="877"/>
    </row>
    <row r="357" spans="1:41" s="997" customFormat="1" ht="13.2">
      <c r="A357"/>
      <c r="B357" s="1065"/>
      <c r="C357" s="1065" t="s">
        <v>1006</v>
      </c>
      <c r="D357" s="1065" t="str">
        <f ca="1">CELL("Address",Elec_Rates!D$55)</f>
        <v>[EL25_0662B_Brittania_Hotel_Elec_Revised_Estim_B.xlsx]Elec_Rates!$D$55</v>
      </c>
      <c r="E357" s="1066"/>
      <c r="F357" s="1066"/>
      <c r="G357" s="1067" t="s">
        <v>1007</v>
      </c>
      <c r="H357" s="1067"/>
      <c r="I357" s="1067"/>
      <c r="J357" s="1067"/>
      <c r="K357" s="1068"/>
      <c r="L357" s="1066"/>
      <c r="M357" s="1066"/>
      <c r="N357" s="1066"/>
      <c r="O357" s="1069"/>
      <c r="P357" s="1066"/>
      <c r="Q357" s="1070"/>
      <c r="R357" s="1071"/>
      <c r="S357" s="1070"/>
      <c r="T357" s="1072"/>
      <c r="U357" s="1073"/>
    </row>
    <row r="358" spans="1:41" s="997" customFormat="1" ht="11.4">
      <c r="A358" s="1074">
        <v>38</v>
      </c>
      <c r="B358" s="1075">
        <v>1</v>
      </c>
      <c r="C358" s="1075">
        <f>$A358*$B358</f>
        <v>38</v>
      </c>
      <c r="D358" s="1076" t="str">
        <f>Elec_Rates!$D$55</f>
        <v>005# 5 core x 10 mm2 FG16(O)M16 Cable</v>
      </c>
      <c r="E358" s="1076"/>
      <c r="F358" s="1076"/>
      <c r="G358" s="1077" t="s">
        <v>1008</v>
      </c>
      <c r="H358" s="1077"/>
      <c r="I358" s="1077"/>
      <c r="J358" s="1077"/>
      <c r="K358" s="1078"/>
      <c r="L358" s="1073"/>
      <c r="M358" s="1073"/>
      <c r="N358" s="1073"/>
      <c r="O358" s="1079"/>
      <c r="P358" s="1076"/>
      <c r="Q358" s="1080">
        <f ca="1">$B358*Elec_Rates!$R$55</f>
        <v>6.71</v>
      </c>
      <c r="R358" s="1071">
        <f ca="1">$A358*Q358</f>
        <v>254.98</v>
      </c>
      <c r="S358" s="1080">
        <f ca="1">$B358*Elec_Rates!$T$55</f>
        <v>0.14000000000000001</v>
      </c>
      <c r="T358" s="1072">
        <f ca="1">$A358*S358</f>
        <v>5.32</v>
      </c>
      <c r="U358" s="1081"/>
    </row>
    <row r="359" spans="1:41" s="504" customFormat="1" ht="12">
      <c r="A359" s="882"/>
      <c r="B359" s="882"/>
      <c r="C359" s="882"/>
      <c r="D359" s="882"/>
      <c r="E359" s="882"/>
      <c r="F359" s="877"/>
      <c r="G359" s="882"/>
      <c r="H359" s="882"/>
      <c r="I359" s="503"/>
      <c r="J359" s="882"/>
      <c r="K359" s="882"/>
      <c r="L359" s="882"/>
      <c r="M359" s="882"/>
      <c r="N359" s="882"/>
      <c r="O359" s="882"/>
      <c r="P359" s="882"/>
      <c r="Q359" s="503"/>
      <c r="R359" s="883">
        <f>$A359*Q359</f>
        <v>0</v>
      </c>
      <c r="S359" s="503"/>
      <c r="T359" s="884">
        <f>$A359*S359*$T$1</f>
        <v>0</v>
      </c>
    </row>
    <row r="360" spans="1:41" s="504" customFormat="1" ht="12.6" thickBot="1">
      <c r="A360" s="885" t="s">
        <v>142</v>
      </c>
      <c r="B360" s="886">
        <f>(R359+T359)</f>
        <v>0</v>
      </c>
      <c r="C360" s="887"/>
      <c r="D360" s="887"/>
      <c r="E360" s="887"/>
      <c r="F360" s="888"/>
      <c r="G360" s="887" t="s">
        <v>143</v>
      </c>
      <c r="H360" s="887"/>
      <c r="I360" s="889"/>
      <c r="J360" s="887"/>
      <c r="K360" s="887" t="s">
        <v>3</v>
      </c>
      <c r="L360" s="890" t="s">
        <v>140</v>
      </c>
      <c r="M360" s="890"/>
      <c r="N360" s="890"/>
      <c r="O360" s="890"/>
      <c r="P360" s="890"/>
      <c r="Q360" s="891"/>
      <c r="R360" s="892">
        <f ca="1">SUM(R356:R359)</f>
        <v>254.98</v>
      </c>
      <c r="S360" s="887"/>
      <c r="T360" s="892">
        <f ca="1">SUM(T356:T359)</f>
        <v>5.32</v>
      </c>
      <c r="U360" s="514"/>
      <c r="V360" s="514"/>
      <c r="W360" s="514"/>
      <c r="X360" s="514"/>
      <c r="Y360" s="514"/>
      <c r="Z360" s="514"/>
      <c r="AA360" s="514"/>
      <c r="AB360" s="514"/>
      <c r="AC360" s="514"/>
      <c r="AD360" s="514"/>
      <c r="AE360" s="514"/>
      <c r="AF360" s="514"/>
      <c r="AG360" s="514"/>
      <c r="AH360" s="514"/>
      <c r="AI360" s="514"/>
      <c r="AJ360" s="514"/>
      <c r="AK360" s="514"/>
      <c r="AL360" s="514"/>
      <c r="AM360" s="514"/>
      <c r="AN360" s="514"/>
      <c r="AO360" s="514"/>
    </row>
    <row r="361" spans="1:41" s="504" customFormat="1" ht="12" thickTop="1">
      <c r="A361" s="50"/>
      <c r="B361" s="40"/>
      <c r="C361" s="50"/>
      <c r="E361" s="41" t="s">
        <v>136</v>
      </c>
      <c r="F361" s="41" t="s">
        <v>137</v>
      </c>
      <c r="G361" s="50"/>
      <c r="H361" s="50"/>
      <c r="I361" s="50"/>
      <c r="J361" s="50"/>
      <c r="K361" s="50" t="s">
        <v>138</v>
      </c>
      <c r="L361" s="50"/>
      <c r="M361" s="50"/>
      <c r="N361" s="50"/>
      <c r="O361" s="51"/>
      <c r="P361" s="50"/>
      <c r="Q361" s="50"/>
      <c r="R361" s="50"/>
      <c r="S361" s="50"/>
      <c r="T361" s="40"/>
      <c r="AG361" s="867" t="s">
        <v>241</v>
      </c>
      <c r="AH361" s="867" t="s">
        <v>242</v>
      </c>
      <c r="AI361" s="867" t="s">
        <v>243</v>
      </c>
      <c r="AJ361" s="867" t="s">
        <v>244</v>
      </c>
      <c r="AK361" s="867" t="s">
        <v>245</v>
      </c>
      <c r="AM361" s="868" t="s">
        <v>254</v>
      </c>
      <c r="AN361" s="869" t="s">
        <v>255</v>
      </c>
      <c r="AO361" s="505" t="s">
        <v>251</v>
      </c>
    </row>
    <row r="362" spans="1:41" s="504" customFormat="1" ht="12" customHeight="1">
      <c r="A362" s="870">
        <v>40</v>
      </c>
      <c r="B362" s="871" t="s">
        <v>306</v>
      </c>
      <c r="C362" s="872"/>
      <c r="D362" s="873" t="s">
        <v>827</v>
      </c>
      <c r="E362" s="874">
        <f ca="1">IF(AND($A362=0,$A$1="DIF"),0, ROUND(ROUND(($R367*$S$2+($T367*$T$2))/A362,2)*$C$2,2))</f>
        <v>13.11</v>
      </c>
      <c r="F362" s="875">
        <f ca="1">ROUND($A362*$E362,2)</f>
        <v>524.4</v>
      </c>
      <c r="G362" s="876" t="s">
        <v>139</v>
      </c>
      <c r="H362" s="877"/>
      <c r="I362" s="878"/>
      <c r="J362" s="877"/>
      <c r="K362" s="877" t="s">
        <v>3</v>
      </c>
      <c r="L362" s="879" t="s">
        <v>140</v>
      </c>
      <c r="M362" s="879"/>
      <c r="N362" s="879"/>
      <c r="O362" s="879"/>
      <c r="P362" s="879"/>
      <c r="Q362" s="50"/>
      <c r="T362" s="880" t="str">
        <f ca="1">IF(AND($R367=0,$T367=0),"0.00","mu :" &amp; ROUND($F362/$C$2/($R367+$T367*$D$9),2))</f>
        <v>mu :1.22</v>
      </c>
      <c r="W362" s="507"/>
      <c r="AG362" s="465">
        <f ca="1">IF($E362=0,0,ROUND($R367*$S$2*$C$2/$A362,2))</f>
        <v>8.19</v>
      </c>
      <c r="AH362" s="465">
        <f ca="1">$AG362*$A362</f>
        <v>327.59999999999997</v>
      </c>
      <c r="AI362" s="508">
        <f ca="1">$E362-$AG362</f>
        <v>4.92</v>
      </c>
      <c r="AJ362" s="508">
        <f ca="1">$A362*$AI362</f>
        <v>196.8</v>
      </c>
      <c r="AK362" s="509">
        <f ca="1">ROUND(($AG362+$AI362)*$A362,2)</f>
        <v>524.4</v>
      </c>
      <c r="AM362" s="510">
        <f ca="1">ROUND(R367,2)</f>
        <v>268.39999999999998</v>
      </c>
      <c r="AN362" s="511">
        <f ca="1">ROUND(T367,2)</f>
        <v>5.6</v>
      </c>
      <c r="AO362" s="512">
        <f ca="1">ROUND(AM362+AN362,2)*A362</f>
        <v>10960</v>
      </c>
    </row>
    <row r="363" spans="1:41" s="504" customFormat="1" ht="13.2">
      <c r="A363" s="872"/>
      <c r="B363"/>
      <c r="C363" s="872"/>
      <c r="D363" s="873" t="s">
        <v>701</v>
      </c>
      <c r="F363" s="877"/>
      <c r="G363" s="3"/>
      <c r="H363" s="877"/>
      <c r="I363" s="878"/>
      <c r="J363" s="877"/>
      <c r="K363" s="877" t="s">
        <v>141</v>
      </c>
      <c r="L363" s="877"/>
      <c r="M363" s="877"/>
      <c r="N363" s="877"/>
      <c r="O363" s="877"/>
      <c r="P363" s="877"/>
      <c r="Q363" s="50"/>
      <c r="R363" s="513"/>
      <c r="S363" s="881"/>
      <c r="T363" s="877"/>
    </row>
    <row r="364" spans="1:41" s="997" customFormat="1" ht="13.2">
      <c r="A364"/>
      <c r="B364" s="1065"/>
      <c r="C364" s="1065" t="s">
        <v>1006</v>
      </c>
      <c r="D364" s="1065" t="str">
        <f ca="1">CELL("Address",Elec_Rates!D$55)</f>
        <v>[EL25_0662B_Brittania_Hotel_Elec_Revised_Estim_B.xlsx]Elec_Rates!$D$55</v>
      </c>
      <c r="E364" s="1066"/>
      <c r="F364" s="1066"/>
      <c r="G364" s="1067" t="s">
        <v>1007</v>
      </c>
      <c r="H364" s="1067"/>
      <c r="I364" s="1067"/>
      <c r="J364" s="1067"/>
      <c r="K364" s="1068"/>
      <c r="L364" s="1066"/>
      <c r="M364" s="1066"/>
      <c r="N364" s="1066"/>
      <c r="O364" s="1069"/>
      <c r="P364" s="1066"/>
      <c r="Q364" s="1070"/>
      <c r="R364" s="1071"/>
      <c r="S364" s="1070"/>
      <c r="T364" s="1072"/>
      <c r="U364" s="1073"/>
    </row>
    <row r="365" spans="1:41" s="997" customFormat="1" ht="11.4">
      <c r="A365" s="1074">
        <v>40</v>
      </c>
      <c r="B365" s="1075">
        <v>1</v>
      </c>
      <c r="C365" s="1075">
        <f>$A365*$B365</f>
        <v>40</v>
      </c>
      <c r="D365" s="1076" t="str">
        <f>Elec_Rates!$D$55</f>
        <v>005# 5 core x 10 mm2 FG16(O)M16 Cable</v>
      </c>
      <c r="E365" s="1076"/>
      <c r="F365" s="1076"/>
      <c r="G365" s="1077" t="s">
        <v>1008</v>
      </c>
      <c r="H365" s="1077"/>
      <c r="I365" s="1077"/>
      <c r="J365" s="1077"/>
      <c r="K365" s="1078"/>
      <c r="L365" s="1073"/>
      <c r="M365" s="1073"/>
      <c r="N365" s="1073"/>
      <c r="O365" s="1079"/>
      <c r="P365" s="1076"/>
      <c r="Q365" s="1080">
        <f ca="1">$B365*Elec_Rates!$R$55</f>
        <v>6.71</v>
      </c>
      <c r="R365" s="1071">
        <f ca="1">$A365*Q365</f>
        <v>268.39999999999998</v>
      </c>
      <c r="S365" s="1080">
        <f ca="1">$B365*Elec_Rates!$T$55</f>
        <v>0.14000000000000001</v>
      </c>
      <c r="T365" s="1072">
        <f ca="1">$A365*S365</f>
        <v>5.6000000000000005</v>
      </c>
      <c r="U365" s="1081"/>
    </row>
    <row r="366" spans="1:41" s="504" customFormat="1" ht="12">
      <c r="A366" s="882"/>
      <c r="B366" s="882"/>
      <c r="C366" s="882"/>
      <c r="D366" s="882"/>
      <c r="E366" s="882"/>
      <c r="F366" s="877"/>
      <c r="G366" s="882"/>
      <c r="H366" s="882"/>
      <c r="I366" s="503"/>
      <c r="J366" s="882"/>
      <c r="K366" s="882"/>
      <c r="L366" s="882"/>
      <c r="M366" s="882"/>
      <c r="N366" s="882"/>
      <c r="O366" s="882"/>
      <c r="P366" s="882"/>
      <c r="Q366" s="503"/>
      <c r="R366" s="883">
        <f>$A366*Q366</f>
        <v>0</v>
      </c>
      <c r="S366" s="503"/>
      <c r="T366" s="884">
        <f>$A366*S366*$T$1</f>
        <v>0</v>
      </c>
    </row>
    <row r="367" spans="1:41" s="504" customFormat="1" ht="12.6" thickBot="1">
      <c r="A367" s="885" t="s">
        <v>142</v>
      </c>
      <c r="B367" s="886">
        <f>(R366+T366)</f>
        <v>0</v>
      </c>
      <c r="C367" s="887"/>
      <c r="D367" s="887"/>
      <c r="E367" s="887"/>
      <c r="F367" s="888"/>
      <c r="G367" s="887" t="s">
        <v>143</v>
      </c>
      <c r="H367" s="887"/>
      <c r="I367" s="889"/>
      <c r="J367" s="887"/>
      <c r="K367" s="887" t="s">
        <v>3</v>
      </c>
      <c r="L367" s="890" t="s">
        <v>140</v>
      </c>
      <c r="M367" s="890"/>
      <c r="N367" s="890"/>
      <c r="O367" s="890"/>
      <c r="P367" s="890"/>
      <c r="Q367" s="891"/>
      <c r="R367" s="892">
        <f ca="1">SUM(R363:R366)</f>
        <v>268.39999999999998</v>
      </c>
      <c r="S367" s="887"/>
      <c r="T367" s="892">
        <f ca="1">SUM(T363:T366)</f>
        <v>5.6000000000000005</v>
      </c>
      <c r="U367" s="514"/>
      <c r="V367" s="514"/>
      <c r="W367" s="514"/>
      <c r="X367" s="514"/>
      <c r="Y367" s="514"/>
      <c r="Z367" s="514"/>
      <c r="AA367" s="514"/>
      <c r="AB367" s="514"/>
      <c r="AC367" s="514"/>
      <c r="AD367" s="514"/>
      <c r="AE367" s="514"/>
      <c r="AF367" s="514"/>
      <c r="AG367" s="514"/>
      <c r="AH367" s="514"/>
      <c r="AI367" s="514"/>
      <c r="AJ367" s="514"/>
      <c r="AK367" s="514"/>
      <c r="AL367" s="514"/>
      <c r="AM367" s="514"/>
      <c r="AN367" s="514"/>
      <c r="AO367" s="514"/>
    </row>
    <row r="368" spans="1:41" s="504" customFormat="1" ht="12" thickTop="1">
      <c r="A368" s="47" t="s">
        <v>145</v>
      </c>
      <c r="D368" s="13"/>
      <c r="E368" s="41"/>
      <c r="O368" s="893"/>
    </row>
    <row r="369" spans="1:41" s="504" customFormat="1" ht="13.2">
      <c r="B369" s="3"/>
      <c r="O369" s="893"/>
    </row>
    <row r="370" spans="1:41" s="504" customFormat="1" ht="12">
      <c r="B370" s="894">
        <f ca="1">$F370/$C$2-($R370*$S$2+$T370*$T$2)</f>
        <v>-0.47693839999192278</v>
      </c>
      <c r="D370" s="895" t="s">
        <v>817</v>
      </c>
      <c r="E370" s="896"/>
      <c r="F370" s="897">
        <f ca="1">SUMIF($L262:$L368,"ITEM",F262:F368)</f>
        <v>18536.720000000005</v>
      </c>
      <c r="G370" s="882"/>
      <c r="H370" s="882"/>
      <c r="I370" s="503"/>
      <c r="J370" s="882"/>
      <c r="K370" s="882"/>
      <c r="L370" s="879" t="s">
        <v>154</v>
      </c>
      <c r="M370" s="879"/>
      <c r="N370" s="879"/>
      <c r="O370" s="879"/>
      <c r="P370" s="879"/>
      <c r="R370" s="897">
        <f ca="1">SUMIF($L262:$L368,"ITEM",R262:R368)</f>
        <v>12056.24</v>
      </c>
      <c r="S370" s="898"/>
      <c r="T370" s="897">
        <f ca="1">SUMIF($L262:$L368,"ITEM",T262:T368)</f>
        <v>108.83999999999997</v>
      </c>
    </row>
    <row r="371" spans="1:41" s="504" customFormat="1" ht="13.2">
      <c r="A371" s="50"/>
      <c r="B371" s="48" t="s">
        <v>816</v>
      </c>
      <c r="C371" s="50"/>
      <c r="D371" s="3"/>
      <c r="F371" s="899" t="s">
        <v>155</v>
      </c>
      <c r="G371" s="882"/>
      <c r="H371" s="882"/>
      <c r="I371" s="503"/>
      <c r="J371" s="882"/>
      <c r="K371" s="882"/>
      <c r="L371" s="882"/>
      <c r="M371" s="882"/>
      <c r="N371" s="882"/>
      <c r="O371" s="882"/>
      <c r="P371" s="882"/>
      <c r="Q371" s="900"/>
      <c r="R371" s="899" t="s">
        <v>156</v>
      </c>
      <c r="S371" s="38"/>
      <c r="T371" s="899" t="s">
        <v>157</v>
      </c>
    </row>
    <row r="372" spans="1:41" s="504" customFormat="1" ht="13.2">
      <c r="A372" s="882"/>
      <c r="B372" s="3"/>
      <c r="C372" s="882"/>
      <c r="D372" s="3"/>
      <c r="E372" s="3"/>
      <c r="G372" s="3"/>
      <c r="H372" s="3"/>
      <c r="I372" s="3"/>
      <c r="J372" s="3"/>
      <c r="K372" s="3"/>
      <c r="L372" s="3"/>
      <c r="M372" s="3"/>
      <c r="N372" s="3"/>
      <c r="O372" s="103"/>
      <c r="P372" s="3"/>
      <c r="Q372" s="3"/>
      <c r="R372" s="3"/>
      <c r="S372" s="3"/>
      <c r="T372" s="3"/>
    </row>
    <row r="373" spans="1:41" s="504" customFormat="1" ht="12" thickBot="1">
      <c r="A373" s="514"/>
      <c r="B373" s="887"/>
      <c r="C373" s="887"/>
      <c r="D373" s="514"/>
      <c r="E373" s="39"/>
      <c r="F373" s="901"/>
      <c r="G373" s="887"/>
      <c r="H373" s="887"/>
      <c r="I373" s="889"/>
      <c r="J373" s="887"/>
      <c r="K373" s="887"/>
      <c r="L373" s="890"/>
      <c r="M373" s="890"/>
      <c r="N373" s="890"/>
      <c r="O373" s="890"/>
      <c r="P373" s="890"/>
      <c r="Q373" s="891"/>
      <c r="R373" s="901"/>
      <c r="S373" s="902"/>
      <c r="T373" s="901"/>
      <c r="U373" s="514"/>
      <c r="V373" s="514"/>
      <c r="W373" s="514"/>
      <c r="X373" s="514"/>
      <c r="Y373" s="514"/>
      <c r="Z373" s="514"/>
      <c r="AA373" s="514"/>
      <c r="AB373" s="514"/>
      <c r="AC373" s="514"/>
      <c r="AD373" s="514"/>
      <c r="AE373" s="514"/>
      <c r="AF373" s="514"/>
      <c r="AG373" s="514"/>
      <c r="AH373" s="514"/>
      <c r="AI373" s="514"/>
      <c r="AJ373" s="514"/>
      <c r="AK373" s="514"/>
    </row>
    <row r="374" spans="1:41" s="504" customFormat="1" ht="12" thickTop="1">
      <c r="A374" s="50"/>
      <c r="B374" s="40"/>
      <c r="C374" s="50"/>
      <c r="E374" s="41" t="s">
        <v>136</v>
      </c>
      <c r="F374" s="41" t="s">
        <v>137</v>
      </c>
      <c r="G374" s="50"/>
      <c r="H374" s="50"/>
      <c r="I374" s="50"/>
      <c r="J374" s="50"/>
      <c r="K374" s="50" t="s">
        <v>138</v>
      </c>
      <c r="L374" s="50"/>
      <c r="M374" s="50"/>
      <c r="N374" s="50"/>
      <c r="O374" s="51"/>
      <c r="P374" s="50"/>
      <c r="Q374" s="50"/>
      <c r="R374" s="50"/>
      <c r="S374" s="50"/>
      <c r="T374" s="40"/>
      <c r="AG374" s="867" t="s">
        <v>241</v>
      </c>
      <c r="AH374" s="867" t="s">
        <v>242</v>
      </c>
      <c r="AI374" s="867" t="s">
        <v>243</v>
      </c>
      <c r="AJ374" s="867" t="s">
        <v>244</v>
      </c>
      <c r="AK374" s="867" t="s">
        <v>245</v>
      </c>
      <c r="AM374" s="868" t="s">
        <v>254</v>
      </c>
      <c r="AN374" s="869" t="s">
        <v>255</v>
      </c>
      <c r="AO374" s="505" t="s">
        <v>251</v>
      </c>
    </row>
    <row r="375" spans="1:41" s="504" customFormat="1" ht="12" customHeight="1">
      <c r="A375" s="870">
        <v>48</v>
      </c>
      <c r="B375" s="871" t="s">
        <v>306</v>
      </c>
      <c r="C375" s="872"/>
      <c r="D375" s="873" t="s">
        <v>828</v>
      </c>
      <c r="E375" s="874">
        <f ca="1">IF(AND($A375=0,$A$1="DIF"),0, ROUND(ROUND(($R380*$S$2+($T380*$T$2))/A375,2)*$C$2,2))</f>
        <v>13.11</v>
      </c>
      <c r="F375" s="875">
        <f ca="1">ROUND($A375*$E375,2)</f>
        <v>629.28</v>
      </c>
      <c r="G375" s="876" t="s">
        <v>139</v>
      </c>
      <c r="H375" s="877"/>
      <c r="I375" s="878"/>
      <c r="J375" s="877"/>
      <c r="K375" s="877" t="s">
        <v>3</v>
      </c>
      <c r="L375" s="879" t="s">
        <v>140</v>
      </c>
      <c r="M375" s="879"/>
      <c r="N375" s="879"/>
      <c r="O375" s="879"/>
      <c r="P375" s="879"/>
      <c r="Q375" s="50"/>
      <c r="T375" s="880" t="str">
        <f ca="1">IF(AND($R380=0,$T380=0),"0.00","mu :" &amp; ROUND($F375/$C$2/($R380+$T380*$D$9),2))</f>
        <v>mu :1.22</v>
      </c>
      <c r="W375" s="507"/>
      <c r="AG375" s="465">
        <f ca="1">IF($E375=0,0,ROUND($R380*$S$2*$C$2/$A375,2))</f>
        <v>8.19</v>
      </c>
      <c r="AH375" s="465">
        <f ca="1">$AG375*$A375</f>
        <v>393.12</v>
      </c>
      <c r="AI375" s="508">
        <f ca="1">$E375-$AG375</f>
        <v>4.92</v>
      </c>
      <c r="AJ375" s="508">
        <f ca="1">$A375*$AI375</f>
        <v>236.16</v>
      </c>
      <c r="AK375" s="509">
        <f ca="1">ROUND(($AG375+$AI375)*$A375,2)</f>
        <v>629.28</v>
      </c>
      <c r="AM375" s="510">
        <f ca="1">ROUND(R380,2)</f>
        <v>322.08</v>
      </c>
      <c r="AN375" s="511">
        <f ca="1">ROUND(T380,2)</f>
        <v>6.72</v>
      </c>
      <c r="AO375" s="512">
        <f ca="1">ROUND(AM375+AN375,2)*A375</f>
        <v>15782.400000000001</v>
      </c>
    </row>
    <row r="376" spans="1:41" s="504" customFormat="1" ht="13.2">
      <c r="A376" s="872"/>
      <c r="B376"/>
      <c r="C376" s="872"/>
      <c r="D376" s="873" t="s">
        <v>707</v>
      </c>
      <c r="F376" s="877"/>
      <c r="G376" s="3"/>
      <c r="H376" s="877"/>
      <c r="I376" s="878"/>
      <c r="J376" s="877"/>
      <c r="K376" s="877" t="s">
        <v>141</v>
      </c>
      <c r="L376" s="877"/>
      <c r="M376" s="877"/>
      <c r="N376" s="877"/>
      <c r="O376" s="877"/>
      <c r="P376" s="877"/>
      <c r="Q376" s="50"/>
      <c r="R376" s="513"/>
      <c r="S376" s="881"/>
      <c r="T376" s="877"/>
    </row>
    <row r="377" spans="1:41" s="997" customFormat="1" ht="13.2">
      <c r="A377"/>
      <c r="B377" s="1065"/>
      <c r="C377" s="1065" t="s">
        <v>1006</v>
      </c>
      <c r="D377" s="1065" t="str">
        <f ca="1">CELL("Address",Elec_Rates!D$55)</f>
        <v>[EL25_0662B_Brittania_Hotel_Elec_Revised_Estim_B.xlsx]Elec_Rates!$D$55</v>
      </c>
      <c r="E377" s="1066"/>
      <c r="F377" s="1066"/>
      <c r="G377" s="1067" t="s">
        <v>1007</v>
      </c>
      <c r="H377" s="1067"/>
      <c r="I377" s="1067"/>
      <c r="J377" s="1067"/>
      <c r="K377" s="1068"/>
      <c r="L377" s="1066"/>
      <c r="M377" s="1066"/>
      <c r="N377" s="1066"/>
      <c r="O377" s="1069"/>
      <c r="P377" s="1066"/>
      <c r="Q377" s="1070"/>
      <c r="R377" s="1071"/>
      <c r="S377" s="1070"/>
      <c r="T377" s="1072"/>
      <c r="U377" s="1073"/>
    </row>
    <row r="378" spans="1:41" s="997" customFormat="1" ht="11.4">
      <c r="A378" s="1074">
        <v>48</v>
      </c>
      <c r="B378" s="1075">
        <v>1</v>
      </c>
      <c r="C378" s="1075">
        <f>$A378*$B378</f>
        <v>48</v>
      </c>
      <c r="D378" s="1076" t="str">
        <f>Elec_Rates!$D$55</f>
        <v>005# 5 core x 10 mm2 FG16(O)M16 Cable</v>
      </c>
      <c r="E378" s="1076"/>
      <c r="F378" s="1076"/>
      <c r="G378" s="1077" t="s">
        <v>1008</v>
      </c>
      <c r="H378" s="1077"/>
      <c r="I378" s="1077"/>
      <c r="J378" s="1077"/>
      <c r="K378" s="1078"/>
      <c r="L378" s="1073"/>
      <c r="M378" s="1073"/>
      <c r="N378" s="1073"/>
      <c r="O378" s="1079"/>
      <c r="P378" s="1076"/>
      <c r="Q378" s="1080">
        <f ca="1">$B378*Elec_Rates!$R$55</f>
        <v>6.71</v>
      </c>
      <c r="R378" s="1071">
        <f ca="1">$A378*Q378</f>
        <v>322.08</v>
      </c>
      <c r="S378" s="1080">
        <f ca="1">$B378*Elec_Rates!$T$55</f>
        <v>0.14000000000000001</v>
      </c>
      <c r="T378" s="1072">
        <f ca="1">$A378*S378</f>
        <v>6.7200000000000006</v>
      </c>
      <c r="U378" s="1081"/>
    </row>
    <row r="379" spans="1:41" s="504" customFormat="1" ht="12">
      <c r="A379" s="882"/>
      <c r="B379" s="882"/>
      <c r="C379" s="882"/>
      <c r="D379" s="882"/>
      <c r="E379" s="882"/>
      <c r="F379" s="877"/>
      <c r="G379" s="882"/>
      <c r="H379" s="882"/>
      <c r="I379" s="503"/>
      <c r="J379" s="882"/>
      <c r="K379" s="882"/>
      <c r="L379" s="882"/>
      <c r="M379" s="882"/>
      <c r="N379" s="882"/>
      <c r="O379" s="882"/>
      <c r="P379" s="882"/>
      <c r="Q379" s="503"/>
      <c r="R379" s="883">
        <f>$A379*Q379</f>
        <v>0</v>
      </c>
      <c r="S379" s="503"/>
      <c r="T379" s="884">
        <f>$A379*S379*$T$1</f>
        <v>0</v>
      </c>
    </row>
    <row r="380" spans="1:41" s="504" customFormat="1" ht="12.6" thickBot="1">
      <c r="A380" s="885" t="s">
        <v>142</v>
      </c>
      <c r="B380" s="886">
        <f>(R379+T379)</f>
        <v>0</v>
      </c>
      <c r="C380" s="887"/>
      <c r="D380" s="887"/>
      <c r="E380" s="887"/>
      <c r="F380" s="888"/>
      <c r="G380" s="887" t="s">
        <v>143</v>
      </c>
      <c r="H380" s="887"/>
      <c r="I380" s="889"/>
      <c r="J380" s="887"/>
      <c r="K380" s="887" t="s">
        <v>3</v>
      </c>
      <c r="L380" s="890" t="s">
        <v>140</v>
      </c>
      <c r="M380" s="890"/>
      <c r="N380" s="890"/>
      <c r="O380" s="890"/>
      <c r="P380" s="890"/>
      <c r="Q380" s="891"/>
      <c r="R380" s="892">
        <f ca="1">SUM(R376:R379)</f>
        <v>322.08</v>
      </c>
      <c r="S380" s="887"/>
      <c r="T380" s="892">
        <f ca="1">SUM(T376:T379)</f>
        <v>6.7200000000000006</v>
      </c>
      <c r="U380" s="514"/>
      <c r="V380" s="514"/>
      <c r="W380" s="514"/>
      <c r="X380" s="514"/>
      <c r="Y380" s="514"/>
      <c r="Z380" s="514"/>
      <c r="AA380" s="514"/>
      <c r="AB380" s="514"/>
      <c r="AC380" s="514"/>
      <c r="AD380" s="514"/>
      <c r="AE380" s="514"/>
      <c r="AF380" s="514"/>
      <c r="AG380" s="514"/>
      <c r="AH380" s="514"/>
      <c r="AI380" s="514"/>
      <c r="AJ380" s="514"/>
      <c r="AK380" s="514"/>
      <c r="AL380" s="514"/>
      <c r="AM380" s="514"/>
      <c r="AN380" s="514"/>
      <c r="AO380" s="514"/>
    </row>
    <row r="381" spans="1:41" s="504" customFormat="1" ht="12" thickTop="1">
      <c r="A381" s="50"/>
      <c r="B381" s="40"/>
      <c r="C381" s="50"/>
      <c r="E381" s="41" t="s">
        <v>136</v>
      </c>
      <c r="F381" s="41" t="s">
        <v>137</v>
      </c>
      <c r="G381" s="50"/>
      <c r="H381" s="50"/>
      <c r="I381" s="50"/>
      <c r="J381" s="50"/>
      <c r="K381" s="50" t="s">
        <v>138</v>
      </c>
      <c r="L381" s="50"/>
      <c r="M381" s="50"/>
      <c r="N381" s="50"/>
      <c r="O381" s="51"/>
      <c r="P381" s="50"/>
      <c r="Q381" s="50"/>
      <c r="R381" s="50"/>
      <c r="S381" s="50"/>
      <c r="T381" s="40"/>
      <c r="AG381" s="867" t="s">
        <v>241</v>
      </c>
      <c r="AH381" s="867" t="s">
        <v>242</v>
      </c>
      <c r="AI381" s="867" t="s">
        <v>243</v>
      </c>
      <c r="AJ381" s="867" t="s">
        <v>244</v>
      </c>
      <c r="AK381" s="867" t="s">
        <v>245</v>
      </c>
      <c r="AM381" s="868" t="s">
        <v>254</v>
      </c>
      <c r="AN381" s="869" t="s">
        <v>255</v>
      </c>
      <c r="AO381" s="505" t="s">
        <v>251</v>
      </c>
    </row>
    <row r="382" spans="1:41" s="504" customFormat="1" ht="12" customHeight="1">
      <c r="A382" s="870">
        <v>51</v>
      </c>
      <c r="B382" s="871" t="s">
        <v>306</v>
      </c>
      <c r="C382" s="872"/>
      <c r="D382" s="873" t="s">
        <v>829</v>
      </c>
      <c r="E382" s="874">
        <f ca="1">IF(AND($A382=0,$A$1="DIF"),0, ROUND(ROUND(($R387*$S$2+($T387*$T$2))/A382,2)*$C$2,2))</f>
        <v>13.11</v>
      </c>
      <c r="F382" s="875">
        <f ca="1">ROUND($A382*$E382,2)</f>
        <v>668.61</v>
      </c>
      <c r="G382" s="876" t="s">
        <v>139</v>
      </c>
      <c r="H382" s="877"/>
      <c r="I382" s="878"/>
      <c r="J382" s="877"/>
      <c r="K382" s="877" t="s">
        <v>3</v>
      </c>
      <c r="L382" s="879" t="s">
        <v>140</v>
      </c>
      <c r="M382" s="879"/>
      <c r="N382" s="879"/>
      <c r="O382" s="879"/>
      <c r="P382" s="879"/>
      <c r="Q382" s="50"/>
      <c r="T382" s="880" t="str">
        <f ca="1">IF(AND($R387=0,$T387=0),"0.00","mu :" &amp; ROUND($F382/$C$2/($R387+$T387*$D$9),2))</f>
        <v>mu :1.22</v>
      </c>
      <c r="W382" s="507"/>
      <c r="AG382" s="465">
        <f ca="1">IF($E382=0,0,ROUND($R387*$S$2*$C$2/$A382,2))</f>
        <v>8.19</v>
      </c>
      <c r="AH382" s="465">
        <f ca="1">$AG382*$A382</f>
        <v>417.69</v>
      </c>
      <c r="AI382" s="508">
        <f ca="1">$E382-$AG382</f>
        <v>4.92</v>
      </c>
      <c r="AJ382" s="508">
        <f ca="1">$A382*$AI382</f>
        <v>250.92</v>
      </c>
      <c r="AK382" s="509">
        <f ca="1">ROUND(($AG382+$AI382)*$A382,2)</f>
        <v>668.61</v>
      </c>
      <c r="AM382" s="510">
        <f ca="1">ROUND(R387,2)</f>
        <v>342.21</v>
      </c>
      <c r="AN382" s="511">
        <f ca="1">ROUND(T387,2)</f>
        <v>7.14</v>
      </c>
      <c r="AO382" s="512">
        <f ca="1">ROUND(AM382+AN382,2)*A382</f>
        <v>17816.850000000002</v>
      </c>
    </row>
    <row r="383" spans="1:41" s="504" customFormat="1" ht="13.2">
      <c r="A383" s="872"/>
      <c r="B383"/>
      <c r="C383" s="872"/>
      <c r="D383" s="873" t="s">
        <v>708</v>
      </c>
      <c r="F383" s="877"/>
      <c r="G383" s="3"/>
      <c r="H383" s="877"/>
      <c r="I383" s="878"/>
      <c r="J383" s="877"/>
      <c r="K383" s="877" t="s">
        <v>141</v>
      </c>
      <c r="L383" s="877"/>
      <c r="M383" s="877"/>
      <c r="N383" s="877"/>
      <c r="O383" s="877"/>
      <c r="P383" s="877"/>
      <c r="Q383" s="50"/>
      <c r="R383" s="513"/>
      <c r="S383" s="881"/>
      <c r="T383" s="877"/>
    </row>
    <row r="384" spans="1:41" s="997" customFormat="1" ht="13.2">
      <c r="A384"/>
      <c r="B384" s="1065"/>
      <c r="C384" s="1065" t="s">
        <v>1006</v>
      </c>
      <c r="D384" s="1065" t="str">
        <f ca="1">CELL("Address",Elec_Rates!D$55)</f>
        <v>[EL25_0662B_Brittania_Hotel_Elec_Revised_Estim_B.xlsx]Elec_Rates!$D$55</v>
      </c>
      <c r="E384" s="1066"/>
      <c r="F384" s="1066"/>
      <c r="G384" s="1067" t="s">
        <v>1007</v>
      </c>
      <c r="H384" s="1067"/>
      <c r="I384" s="1067"/>
      <c r="J384" s="1067"/>
      <c r="K384" s="1068"/>
      <c r="L384" s="1066"/>
      <c r="M384" s="1066"/>
      <c r="N384" s="1066"/>
      <c r="O384" s="1069"/>
      <c r="P384" s="1066"/>
      <c r="Q384" s="1070"/>
      <c r="R384" s="1071"/>
      <c r="S384" s="1070"/>
      <c r="T384" s="1072"/>
      <c r="U384" s="1073"/>
    </row>
    <row r="385" spans="1:41" s="997" customFormat="1" ht="11.4">
      <c r="A385" s="1074">
        <v>51</v>
      </c>
      <c r="B385" s="1075">
        <v>1</v>
      </c>
      <c r="C385" s="1075">
        <f>$A385*$B385</f>
        <v>51</v>
      </c>
      <c r="D385" s="1076" t="str">
        <f>Elec_Rates!$D$55</f>
        <v>005# 5 core x 10 mm2 FG16(O)M16 Cable</v>
      </c>
      <c r="E385" s="1076"/>
      <c r="F385" s="1076"/>
      <c r="G385" s="1077" t="s">
        <v>1008</v>
      </c>
      <c r="H385" s="1077"/>
      <c r="I385" s="1077"/>
      <c r="J385" s="1077"/>
      <c r="K385" s="1078"/>
      <c r="L385" s="1073"/>
      <c r="M385" s="1073"/>
      <c r="N385" s="1073"/>
      <c r="O385" s="1079"/>
      <c r="P385" s="1076"/>
      <c r="Q385" s="1080">
        <f ca="1">$B385*Elec_Rates!$R$55</f>
        <v>6.71</v>
      </c>
      <c r="R385" s="1071">
        <f ca="1">$A385*Q385</f>
        <v>342.21</v>
      </c>
      <c r="S385" s="1080">
        <f ca="1">$B385*Elec_Rates!$T$55</f>
        <v>0.14000000000000001</v>
      </c>
      <c r="T385" s="1072">
        <f ca="1">$A385*S385</f>
        <v>7.1400000000000006</v>
      </c>
      <c r="U385" s="1081"/>
    </row>
    <row r="386" spans="1:41" s="504" customFormat="1" ht="12">
      <c r="A386" s="882"/>
      <c r="B386" s="882"/>
      <c r="C386" s="882"/>
      <c r="D386" s="882"/>
      <c r="E386" s="882"/>
      <c r="F386" s="877"/>
      <c r="G386" s="882"/>
      <c r="H386" s="882"/>
      <c r="I386" s="503"/>
      <c r="J386" s="882"/>
      <c r="K386" s="882"/>
      <c r="L386" s="882"/>
      <c r="M386" s="882"/>
      <c r="N386" s="882"/>
      <c r="O386" s="882"/>
      <c r="P386" s="882"/>
      <c r="Q386" s="503"/>
      <c r="R386" s="883">
        <f>$A386*Q386</f>
        <v>0</v>
      </c>
      <c r="S386" s="503"/>
      <c r="T386" s="884">
        <f>$A386*S386*$T$1</f>
        <v>0</v>
      </c>
    </row>
    <row r="387" spans="1:41" s="504" customFormat="1" ht="12.6" thickBot="1">
      <c r="A387" s="885" t="s">
        <v>142</v>
      </c>
      <c r="B387" s="886">
        <f>(R386+T386)</f>
        <v>0</v>
      </c>
      <c r="C387" s="887"/>
      <c r="D387" s="887"/>
      <c r="E387" s="887"/>
      <c r="F387" s="888"/>
      <c r="G387" s="887" t="s">
        <v>143</v>
      </c>
      <c r="H387" s="887"/>
      <c r="I387" s="889"/>
      <c r="J387" s="887"/>
      <c r="K387" s="887" t="s">
        <v>3</v>
      </c>
      <c r="L387" s="890" t="s">
        <v>140</v>
      </c>
      <c r="M387" s="890"/>
      <c r="N387" s="890"/>
      <c r="O387" s="890"/>
      <c r="P387" s="890"/>
      <c r="Q387" s="891"/>
      <c r="R387" s="892">
        <f ca="1">SUM(R383:R386)</f>
        <v>342.21</v>
      </c>
      <c r="S387" s="887"/>
      <c r="T387" s="892">
        <f ca="1">SUM(T383:T386)</f>
        <v>7.1400000000000006</v>
      </c>
      <c r="U387" s="514"/>
      <c r="V387" s="514"/>
      <c r="W387" s="514"/>
      <c r="X387" s="514"/>
      <c r="Y387" s="514"/>
      <c r="Z387" s="514"/>
      <c r="AA387" s="514"/>
      <c r="AB387" s="514"/>
      <c r="AC387" s="514"/>
      <c r="AD387" s="514"/>
      <c r="AE387" s="514"/>
      <c r="AF387" s="514"/>
      <c r="AG387" s="514"/>
      <c r="AH387" s="514"/>
      <c r="AI387" s="514"/>
      <c r="AJ387" s="514"/>
      <c r="AK387" s="514"/>
      <c r="AL387" s="514"/>
      <c r="AM387" s="514"/>
      <c r="AN387" s="514"/>
      <c r="AO387" s="514"/>
    </row>
    <row r="388" spans="1:41" s="504" customFormat="1" ht="12" thickTop="1">
      <c r="A388" s="50"/>
      <c r="B388" s="40"/>
      <c r="C388" s="50"/>
      <c r="E388" s="41" t="s">
        <v>136</v>
      </c>
      <c r="F388" s="41" t="s">
        <v>137</v>
      </c>
      <c r="G388" s="50"/>
      <c r="H388" s="50"/>
      <c r="I388" s="50"/>
      <c r="J388" s="50"/>
      <c r="K388" s="50" t="s">
        <v>138</v>
      </c>
      <c r="L388" s="50"/>
      <c r="M388" s="50"/>
      <c r="N388" s="50"/>
      <c r="O388" s="51"/>
      <c r="P388" s="50"/>
      <c r="Q388" s="50"/>
      <c r="R388" s="50"/>
      <c r="S388" s="50"/>
      <c r="T388" s="40"/>
      <c r="AG388" s="867" t="s">
        <v>241</v>
      </c>
      <c r="AH388" s="867" t="s">
        <v>242</v>
      </c>
      <c r="AI388" s="867" t="s">
        <v>243</v>
      </c>
      <c r="AJ388" s="867" t="s">
        <v>244</v>
      </c>
      <c r="AK388" s="867" t="s">
        <v>245</v>
      </c>
      <c r="AM388" s="868" t="s">
        <v>254</v>
      </c>
      <c r="AN388" s="869" t="s">
        <v>255</v>
      </c>
      <c r="AO388" s="505" t="s">
        <v>251</v>
      </c>
    </row>
    <row r="389" spans="1:41" s="504" customFormat="1" ht="12" customHeight="1">
      <c r="A389" s="870">
        <v>51</v>
      </c>
      <c r="B389" s="871" t="s">
        <v>306</v>
      </c>
      <c r="C389" s="872"/>
      <c r="D389" s="873" t="s">
        <v>830</v>
      </c>
      <c r="E389" s="874">
        <f ca="1">IF(AND($A389=0,$A$1="DIF"),0, ROUND(ROUND(($R394*$S$2+($T394*$T$2))/A389,2)*$C$2,2))</f>
        <v>13.11</v>
      </c>
      <c r="F389" s="875">
        <f ca="1">ROUND($A389*$E389,2)</f>
        <v>668.61</v>
      </c>
      <c r="G389" s="876" t="s">
        <v>139</v>
      </c>
      <c r="H389" s="877"/>
      <c r="I389" s="878"/>
      <c r="J389" s="877"/>
      <c r="K389" s="877" t="s">
        <v>3</v>
      </c>
      <c r="L389" s="879" t="s">
        <v>140</v>
      </c>
      <c r="M389" s="879"/>
      <c r="N389" s="879"/>
      <c r="O389" s="879"/>
      <c r="P389" s="879"/>
      <c r="Q389" s="50"/>
      <c r="T389" s="880" t="str">
        <f ca="1">IF(AND($R394=0,$T394=0),"0.00","mu :" &amp; ROUND($F389/$C$2/($R394+$T394*$D$9),2))</f>
        <v>mu :1.22</v>
      </c>
      <c r="W389" s="507"/>
      <c r="AG389" s="465">
        <f ca="1">IF($E389=0,0,ROUND($R394*$S$2*$C$2/$A389,2))</f>
        <v>8.19</v>
      </c>
      <c r="AH389" s="465">
        <f ca="1">$AG389*$A389</f>
        <v>417.69</v>
      </c>
      <c r="AI389" s="508">
        <f ca="1">$E389-$AG389</f>
        <v>4.92</v>
      </c>
      <c r="AJ389" s="508">
        <f ca="1">$A389*$AI389</f>
        <v>250.92</v>
      </c>
      <c r="AK389" s="509">
        <f ca="1">ROUND(($AG389+$AI389)*$A389,2)</f>
        <v>668.61</v>
      </c>
      <c r="AM389" s="510">
        <f ca="1">ROUND(R394,2)</f>
        <v>342.21</v>
      </c>
      <c r="AN389" s="511">
        <f ca="1">ROUND(T394,2)</f>
        <v>7.14</v>
      </c>
      <c r="AO389" s="512">
        <f ca="1">ROUND(AM389+AN389,2)*A389</f>
        <v>17816.850000000002</v>
      </c>
    </row>
    <row r="390" spans="1:41" s="504" customFormat="1" ht="13.2">
      <c r="A390" s="872"/>
      <c r="B390"/>
      <c r="C390" s="872"/>
      <c r="D390" s="873" t="s">
        <v>709</v>
      </c>
      <c r="F390" s="877"/>
      <c r="G390" s="3"/>
      <c r="H390" s="877"/>
      <c r="I390" s="878"/>
      <c r="J390" s="877"/>
      <c r="K390" s="877" t="s">
        <v>141</v>
      </c>
      <c r="L390" s="877"/>
      <c r="M390" s="877"/>
      <c r="N390" s="877"/>
      <c r="O390" s="877"/>
      <c r="P390" s="877"/>
      <c r="Q390" s="50"/>
      <c r="R390" s="513"/>
      <c r="S390" s="881"/>
      <c r="T390" s="877"/>
    </row>
    <row r="391" spans="1:41" s="997" customFormat="1" ht="13.2">
      <c r="A391"/>
      <c r="B391" s="1065"/>
      <c r="C391" s="1065" t="s">
        <v>1006</v>
      </c>
      <c r="D391" s="1065" t="str">
        <f ca="1">CELL("Address",Elec_Rates!D$55)</f>
        <v>[EL25_0662B_Brittania_Hotel_Elec_Revised_Estim_B.xlsx]Elec_Rates!$D$55</v>
      </c>
      <c r="E391" s="1066"/>
      <c r="F391" s="1066"/>
      <c r="G391" s="1067" t="s">
        <v>1007</v>
      </c>
      <c r="H391" s="1067"/>
      <c r="I391" s="1067"/>
      <c r="J391" s="1067"/>
      <c r="K391" s="1068"/>
      <c r="L391" s="1066"/>
      <c r="M391" s="1066"/>
      <c r="N391" s="1066"/>
      <c r="O391" s="1069"/>
      <c r="P391" s="1066"/>
      <c r="Q391" s="1070"/>
      <c r="R391" s="1071"/>
      <c r="S391" s="1070"/>
      <c r="T391" s="1072"/>
      <c r="U391" s="1073"/>
    </row>
    <row r="392" spans="1:41" s="997" customFormat="1" ht="11.4">
      <c r="A392" s="1074">
        <v>51</v>
      </c>
      <c r="B392" s="1075">
        <v>1</v>
      </c>
      <c r="C392" s="1075">
        <f>$A392*$B392</f>
        <v>51</v>
      </c>
      <c r="D392" s="1076" t="str">
        <f>Elec_Rates!$D$55</f>
        <v>005# 5 core x 10 mm2 FG16(O)M16 Cable</v>
      </c>
      <c r="E392" s="1076"/>
      <c r="F392" s="1076"/>
      <c r="G392" s="1077" t="s">
        <v>1008</v>
      </c>
      <c r="H392" s="1077"/>
      <c r="I392" s="1077"/>
      <c r="J392" s="1077"/>
      <c r="K392" s="1078"/>
      <c r="L392" s="1073"/>
      <c r="M392" s="1073"/>
      <c r="N392" s="1073"/>
      <c r="O392" s="1079"/>
      <c r="P392" s="1076"/>
      <c r="Q392" s="1080">
        <f ca="1">$B392*Elec_Rates!$R$55</f>
        <v>6.71</v>
      </c>
      <c r="R392" s="1071">
        <f ca="1">$A392*Q392</f>
        <v>342.21</v>
      </c>
      <c r="S392" s="1080">
        <f ca="1">$B392*Elec_Rates!$T$55</f>
        <v>0.14000000000000001</v>
      </c>
      <c r="T392" s="1072">
        <f ca="1">$A392*S392</f>
        <v>7.1400000000000006</v>
      </c>
      <c r="U392" s="1081"/>
    </row>
    <row r="393" spans="1:41" s="504" customFormat="1" ht="12">
      <c r="A393" s="882"/>
      <c r="B393" s="882"/>
      <c r="C393" s="882"/>
      <c r="D393" s="882"/>
      <c r="E393" s="882"/>
      <c r="F393" s="877"/>
      <c r="G393" s="882"/>
      <c r="H393" s="882"/>
      <c r="I393" s="503"/>
      <c r="J393" s="882"/>
      <c r="K393" s="882"/>
      <c r="L393" s="882"/>
      <c r="M393" s="882"/>
      <c r="N393" s="882"/>
      <c r="O393" s="882"/>
      <c r="P393" s="882"/>
      <c r="Q393" s="503"/>
      <c r="R393" s="883">
        <f>$A393*Q393</f>
        <v>0</v>
      </c>
      <c r="S393" s="503"/>
      <c r="T393" s="884">
        <f>$A393*S393*$T$1</f>
        <v>0</v>
      </c>
    </row>
    <row r="394" spans="1:41" s="504" customFormat="1" ht="12.6" thickBot="1">
      <c r="A394" s="885" t="s">
        <v>142</v>
      </c>
      <c r="B394" s="886">
        <f>(R393+T393)</f>
        <v>0</v>
      </c>
      <c r="C394" s="887"/>
      <c r="D394" s="887"/>
      <c r="E394" s="887"/>
      <c r="F394" s="888"/>
      <c r="G394" s="887" t="s">
        <v>143</v>
      </c>
      <c r="H394" s="887"/>
      <c r="I394" s="889"/>
      <c r="J394" s="887"/>
      <c r="K394" s="887" t="s">
        <v>3</v>
      </c>
      <c r="L394" s="890" t="s">
        <v>140</v>
      </c>
      <c r="M394" s="890"/>
      <c r="N394" s="890"/>
      <c r="O394" s="890"/>
      <c r="P394" s="890"/>
      <c r="Q394" s="891"/>
      <c r="R394" s="892">
        <f ca="1">SUM(R390:R393)</f>
        <v>342.21</v>
      </c>
      <c r="S394" s="887"/>
      <c r="T394" s="892">
        <f ca="1">SUM(T390:T393)</f>
        <v>7.1400000000000006</v>
      </c>
      <c r="U394" s="514"/>
      <c r="V394" s="514"/>
      <c r="W394" s="514"/>
      <c r="X394" s="514"/>
      <c r="Y394" s="514"/>
      <c r="Z394" s="514"/>
      <c r="AA394" s="514"/>
      <c r="AB394" s="514"/>
      <c r="AC394" s="514"/>
      <c r="AD394" s="514"/>
      <c r="AE394" s="514"/>
      <c r="AF394" s="514"/>
      <c r="AG394" s="514"/>
      <c r="AH394" s="514"/>
      <c r="AI394" s="514"/>
      <c r="AJ394" s="514"/>
      <c r="AK394" s="514"/>
      <c r="AL394" s="514"/>
      <c r="AM394" s="514"/>
      <c r="AN394" s="514"/>
      <c r="AO394" s="514"/>
    </row>
    <row r="395" spans="1:41" s="504" customFormat="1" ht="12" thickTop="1">
      <c r="A395" s="50"/>
      <c r="B395" s="40"/>
      <c r="C395" s="50"/>
      <c r="E395" s="41" t="s">
        <v>136</v>
      </c>
      <c r="F395" s="41" t="s">
        <v>137</v>
      </c>
      <c r="G395" s="50"/>
      <c r="H395" s="50"/>
      <c r="I395" s="50"/>
      <c r="J395" s="50"/>
      <c r="K395" s="50" t="s">
        <v>138</v>
      </c>
      <c r="L395" s="50"/>
      <c r="M395" s="50"/>
      <c r="N395" s="50"/>
      <c r="O395" s="51"/>
      <c r="P395" s="50"/>
      <c r="Q395" s="50"/>
      <c r="R395" s="50"/>
      <c r="S395" s="50"/>
      <c r="T395" s="40"/>
      <c r="AG395" s="867" t="s">
        <v>241</v>
      </c>
      <c r="AH395" s="867" t="s">
        <v>242</v>
      </c>
      <c r="AI395" s="867" t="s">
        <v>243</v>
      </c>
      <c r="AJ395" s="867" t="s">
        <v>244</v>
      </c>
      <c r="AK395" s="867" t="s">
        <v>245</v>
      </c>
      <c r="AM395" s="868" t="s">
        <v>254</v>
      </c>
      <c r="AN395" s="869" t="s">
        <v>255</v>
      </c>
      <c r="AO395" s="505" t="s">
        <v>251</v>
      </c>
    </row>
    <row r="396" spans="1:41" s="504" customFormat="1" ht="12" customHeight="1">
      <c r="A396" s="870">
        <v>7</v>
      </c>
      <c r="B396" s="871" t="s">
        <v>306</v>
      </c>
      <c r="C396" s="872"/>
      <c r="D396" s="873" t="s">
        <v>831</v>
      </c>
      <c r="E396" s="874">
        <f ca="1">IF(AND($A396=0,$A$1="DIF"),0, ROUND(ROUND(($R401*$S$2+($T401*$T$2))/A396,2)*$C$2,2))</f>
        <v>13.11</v>
      </c>
      <c r="F396" s="875">
        <f ca="1">ROUND($A396*$E396,2)</f>
        <v>91.77</v>
      </c>
      <c r="G396" s="876" t="s">
        <v>139</v>
      </c>
      <c r="H396" s="877"/>
      <c r="I396" s="878"/>
      <c r="J396" s="877"/>
      <c r="K396" s="877" t="s">
        <v>3</v>
      </c>
      <c r="L396" s="879" t="s">
        <v>140</v>
      </c>
      <c r="M396" s="879"/>
      <c r="N396" s="879"/>
      <c r="O396" s="879"/>
      <c r="P396" s="879"/>
      <c r="Q396" s="50"/>
      <c r="T396" s="880" t="str">
        <f ca="1">IF(AND($R401=0,$T401=0),"0.00","mu :" &amp; ROUND($F396/$C$2/($R401+$T401*$D$9),2))</f>
        <v>mu :1.22</v>
      </c>
      <c r="W396" s="507"/>
      <c r="AG396" s="465">
        <f ca="1">IF($E396=0,0,ROUND($R401*$S$2*$C$2/$A396,2))</f>
        <v>8.19</v>
      </c>
      <c r="AH396" s="465">
        <f ca="1">$AG396*$A396</f>
        <v>57.33</v>
      </c>
      <c r="AI396" s="508">
        <f ca="1">$E396-$AG396</f>
        <v>4.92</v>
      </c>
      <c r="AJ396" s="508">
        <f ca="1">$A396*$AI396</f>
        <v>34.44</v>
      </c>
      <c r="AK396" s="509">
        <f ca="1">ROUND(($AG396+$AI396)*$A396,2)</f>
        <v>91.77</v>
      </c>
      <c r="AM396" s="510">
        <f ca="1">ROUND(R401,2)</f>
        <v>46.97</v>
      </c>
      <c r="AN396" s="511">
        <f ca="1">ROUND(T401,2)</f>
        <v>0.98</v>
      </c>
      <c r="AO396" s="512">
        <f ca="1">ROUND(AM396+AN396,2)*A396</f>
        <v>335.65000000000003</v>
      </c>
    </row>
    <row r="397" spans="1:41" s="504" customFormat="1" ht="13.2">
      <c r="A397" s="872"/>
      <c r="B397"/>
      <c r="C397" s="872"/>
      <c r="D397" s="873" t="s">
        <v>710</v>
      </c>
      <c r="F397" s="877"/>
      <c r="G397" s="3"/>
      <c r="H397" s="877"/>
      <c r="I397" s="878"/>
      <c r="J397" s="877"/>
      <c r="K397" s="877" t="s">
        <v>141</v>
      </c>
      <c r="L397" s="877"/>
      <c r="M397" s="877"/>
      <c r="N397" s="877"/>
      <c r="O397" s="877"/>
      <c r="P397" s="877"/>
      <c r="Q397" s="50"/>
      <c r="R397" s="513"/>
      <c r="S397" s="881"/>
      <c r="T397" s="877"/>
    </row>
    <row r="398" spans="1:41" s="997" customFormat="1" ht="13.2">
      <c r="A398"/>
      <c r="B398" s="1065"/>
      <c r="C398" s="1065" t="s">
        <v>1006</v>
      </c>
      <c r="D398" s="1065" t="str">
        <f ca="1">CELL("Address",Elec_Rates!D$55)</f>
        <v>[EL25_0662B_Brittania_Hotel_Elec_Revised_Estim_B.xlsx]Elec_Rates!$D$55</v>
      </c>
      <c r="E398" s="1066"/>
      <c r="F398" s="1066"/>
      <c r="G398" s="1067" t="s">
        <v>1007</v>
      </c>
      <c r="H398" s="1067"/>
      <c r="I398" s="1067"/>
      <c r="J398" s="1067"/>
      <c r="K398" s="1068"/>
      <c r="L398" s="1066"/>
      <c r="M398" s="1066"/>
      <c r="N398" s="1066"/>
      <c r="O398" s="1069"/>
      <c r="P398" s="1066"/>
      <c r="Q398" s="1070"/>
      <c r="R398" s="1071"/>
      <c r="S398" s="1070"/>
      <c r="T398" s="1072"/>
      <c r="U398" s="1073"/>
    </row>
    <row r="399" spans="1:41" s="997" customFormat="1" ht="11.4">
      <c r="A399" s="1074">
        <v>7</v>
      </c>
      <c r="B399" s="1075">
        <v>1</v>
      </c>
      <c r="C399" s="1075">
        <f>$A399*$B399</f>
        <v>7</v>
      </c>
      <c r="D399" s="1076" t="str">
        <f>Elec_Rates!$D$55</f>
        <v>005# 5 core x 10 mm2 FG16(O)M16 Cable</v>
      </c>
      <c r="E399" s="1076"/>
      <c r="F399" s="1076"/>
      <c r="G399" s="1077" t="s">
        <v>1008</v>
      </c>
      <c r="H399" s="1077"/>
      <c r="I399" s="1077"/>
      <c r="J399" s="1077"/>
      <c r="K399" s="1078"/>
      <c r="L399" s="1073"/>
      <c r="M399" s="1073"/>
      <c r="N399" s="1073"/>
      <c r="O399" s="1079"/>
      <c r="P399" s="1076"/>
      <c r="Q399" s="1080">
        <f ca="1">$B399*Elec_Rates!$R$55</f>
        <v>6.71</v>
      </c>
      <c r="R399" s="1071">
        <f ca="1">$A399*Q399</f>
        <v>46.97</v>
      </c>
      <c r="S399" s="1080">
        <f ca="1">$B399*Elec_Rates!$T$55</f>
        <v>0.14000000000000001</v>
      </c>
      <c r="T399" s="1072">
        <f ca="1">$A399*S399</f>
        <v>0.98000000000000009</v>
      </c>
      <c r="U399" s="1081"/>
    </row>
    <row r="400" spans="1:41" s="504" customFormat="1" ht="12">
      <c r="A400" s="882"/>
      <c r="B400" s="882"/>
      <c r="C400" s="882"/>
      <c r="D400" s="882"/>
      <c r="E400" s="882"/>
      <c r="F400" s="877"/>
      <c r="G400" s="882"/>
      <c r="H400" s="882"/>
      <c r="I400" s="503"/>
      <c r="J400" s="882"/>
      <c r="K400" s="882"/>
      <c r="L400" s="882"/>
      <c r="M400" s="882"/>
      <c r="N400" s="882"/>
      <c r="O400" s="882"/>
      <c r="P400" s="882"/>
      <c r="Q400" s="503"/>
      <c r="R400" s="883">
        <f>$A400*Q400</f>
        <v>0</v>
      </c>
      <c r="S400" s="503"/>
      <c r="T400" s="884">
        <f>$A400*S400*$T$1</f>
        <v>0</v>
      </c>
    </row>
    <row r="401" spans="1:41" s="504" customFormat="1" ht="12.6" thickBot="1">
      <c r="A401" s="885" t="s">
        <v>142</v>
      </c>
      <c r="B401" s="886">
        <f>(R400+T400)</f>
        <v>0</v>
      </c>
      <c r="C401" s="887"/>
      <c r="D401" s="887"/>
      <c r="E401" s="887"/>
      <c r="F401" s="888"/>
      <c r="G401" s="887" t="s">
        <v>143</v>
      </c>
      <c r="H401" s="887"/>
      <c r="I401" s="889"/>
      <c r="J401" s="887"/>
      <c r="K401" s="887" t="s">
        <v>3</v>
      </c>
      <c r="L401" s="890" t="s">
        <v>140</v>
      </c>
      <c r="M401" s="890"/>
      <c r="N401" s="890"/>
      <c r="O401" s="890"/>
      <c r="P401" s="890"/>
      <c r="Q401" s="891"/>
      <c r="R401" s="892">
        <f ca="1">SUM(R397:R400)</f>
        <v>46.97</v>
      </c>
      <c r="S401" s="887"/>
      <c r="T401" s="892">
        <f ca="1">SUM(T397:T400)</f>
        <v>0.98000000000000009</v>
      </c>
      <c r="U401" s="514"/>
      <c r="V401" s="514"/>
      <c r="W401" s="514"/>
      <c r="X401" s="514"/>
      <c r="Y401" s="514"/>
      <c r="Z401" s="514"/>
      <c r="AA401" s="514"/>
      <c r="AB401" s="514"/>
      <c r="AC401" s="514"/>
      <c r="AD401" s="514"/>
      <c r="AE401" s="514"/>
      <c r="AF401" s="514"/>
      <c r="AG401" s="514"/>
      <c r="AH401" s="514"/>
      <c r="AI401" s="514"/>
      <c r="AJ401" s="514"/>
      <c r="AK401" s="514"/>
      <c r="AL401" s="514"/>
      <c r="AM401" s="514"/>
      <c r="AN401" s="514"/>
      <c r="AO401" s="514"/>
    </row>
    <row r="402" spans="1:41" s="504" customFormat="1" ht="12" thickTop="1">
      <c r="A402" s="50"/>
      <c r="B402" s="40"/>
      <c r="C402" s="50"/>
      <c r="E402" s="41" t="s">
        <v>136</v>
      </c>
      <c r="F402" s="41" t="s">
        <v>137</v>
      </c>
      <c r="G402" s="50"/>
      <c r="H402" s="50"/>
      <c r="I402" s="50"/>
      <c r="J402" s="50"/>
      <c r="K402" s="50" t="s">
        <v>138</v>
      </c>
      <c r="L402" s="50"/>
      <c r="M402" s="50"/>
      <c r="N402" s="50"/>
      <c r="O402" s="51"/>
      <c r="P402" s="50"/>
      <c r="Q402" s="50"/>
      <c r="R402" s="50"/>
      <c r="S402" s="50"/>
      <c r="T402" s="40"/>
      <c r="AG402" s="867" t="s">
        <v>241</v>
      </c>
      <c r="AH402" s="867" t="s">
        <v>242</v>
      </c>
      <c r="AI402" s="867" t="s">
        <v>243</v>
      </c>
      <c r="AJ402" s="867" t="s">
        <v>244</v>
      </c>
      <c r="AK402" s="867" t="s">
        <v>245</v>
      </c>
      <c r="AM402" s="868" t="s">
        <v>254</v>
      </c>
      <c r="AN402" s="869" t="s">
        <v>255</v>
      </c>
      <c r="AO402" s="505" t="s">
        <v>251</v>
      </c>
    </row>
    <row r="403" spans="1:41" s="504" customFormat="1" ht="12" customHeight="1">
      <c r="A403" s="870">
        <v>35</v>
      </c>
      <c r="B403" s="871" t="s">
        <v>306</v>
      </c>
      <c r="C403" s="872"/>
      <c r="D403" s="873" t="s">
        <v>832</v>
      </c>
      <c r="E403" s="874">
        <f ca="1">IF(AND($A403=0,$A$1="DIF"),0, ROUND(ROUND(($R408*$S$2+($T408*$T$2))/A403,2)*$C$2,2))</f>
        <v>13.4</v>
      </c>
      <c r="F403" s="875">
        <f ca="1">ROUND($A403*$E403,2)</f>
        <v>469</v>
      </c>
      <c r="G403" s="876" t="s">
        <v>139</v>
      </c>
      <c r="H403" s="877"/>
      <c r="I403" s="878"/>
      <c r="J403" s="877"/>
      <c r="K403" s="877" t="s">
        <v>3</v>
      </c>
      <c r="L403" s="879" t="s">
        <v>140</v>
      </c>
      <c r="M403" s="879"/>
      <c r="N403" s="879"/>
      <c r="O403" s="879"/>
      <c r="P403" s="879"/>
      <c r="Q403" s="50"/>
      <c r="T403" s="880" t="str">
        <f ca="1">IF(AND($R408=0,$T408=0),"0.00","mu :" &amp; ROUND($F403/$C$2/($R408+$T408*$D$9),2))</f>
        <v>mu :1.22</v>
      </c>
      <c r="W403" s="507"/>
      <c r="AG403" s="465">
        <f ca="1">IF($E403=0,0,ROUND($R408*$S$2*$C$2/$A403,2))</f>
        <v>10.24</v>
      </c>
      <c r="AH403" s="465">
        <f ca="1">$AG403*$A403</f>
        <v>358.40000000000003</v>
      </c>
      <c r="AI403" s="508">
        <f ca="1">$E403-$AG403</f>
        <v>3.16</v>
      </c>
      <c r="AJ403" s="508">
        <f ca="1">$A403*$AI403</f>
        <v>110.60000000000001</v>
      </c>
      <c r="AK403" s="509">
        <f ca="1">ROUND(($AG403+$AI403)*$A403,2)</f>
        <v>469</v>
      </c>
      <c r="AM403" s="510">
        <f ca="1">ROUND(R408,2)</f>
        <v>293.64999999999998</v>
      </c>
      <c r="AN403" s="511">
        <f ca="1">ROUND(T408,2)</f>
        <v>3.15</v>
      </c>
      <c r="AO403" s="512">
        <f ca="1">ROUND(AM403+AN403,2)*A403</f>
        <v>10388</v>
      </c>
    </row>
    <row r="404" spans="1:41" s="504" customFormat="1" ht="13.2">
      <c r="A404" s="872"/>
      <c r="B404"/>
      <c r="C404" s="872"/>
      <c r="D404" s="873" t="s">
        <v>711</v>
      </c>
      <c r="F404" s="877"/>
      <c r="G404" s="3"/>
      <c r="H404" s="877"/>
      <c r="I404" s="878"/>
      <c r="J404" s="877"/>
      <c r="K404" s="877" t="s">
        <v>141</v>
      </c>
      <c r="L404" s="877"/>
      <c r="M404" s="877"/>
      <c r="N404" s="877"/>
      <c r="O404" s="877"/>
      <c r="P404" s="877"/>
      <c r="Q404" s="50"/>
      <c r="R404" s="513"/>
      <c r="S404" s="881"/>
      <c r="T404" s="877"/>
    </row>
    <row r="405" spans="1:41" s="997" customFormat="1" ht="13.2">
      <c r="A405"/>
      <c r="B405" s="1065"/>
      <c r="C405" s="1065" t="s">
        <v>1006</v>
      </c>
      <c r="D405" s="1065" t="str">
        <f ca="1">CELL("Address",Elec_Rates!D$125)</f>
        <v>[EL25_0662B_Brittania_Hotel_Elec_Revised_Estim_B.xlsx]Elec_Rates!$D$125</v>
      </c>
      <c r="E405" s="1066"/>
      <c r="F405" s="1066"/>
      <c r="G405" s="1067" t="s">
        <v>1007</v>
      </c>
      <c r="H405" s="1067"/>
      <c r="I405" s="1067"/>
      <c r="J405" s="1067"/>
      <c r="K405" s="1068"/>
      <c r="L405" s="1066"/>
      <c r="M405" s="1066"/>
      <c r="N405" s="1066"/>
      <c r="O405" s="1069"/>
      <c r="P405" s="1066"/>
      <c r="Q405" s="1070"/>
      <c r="R405" s="1071"/>
      <c r="S405" s="1070"/>
      <c r="T405" s="1072"/>
      <c r="U405" s="1073"/>
    </row>
    <row r="406" spans="1:41" s="997" customFormat="1" ht="11.4">
      <c r="A406" s="1074">
        <v>35</v>
      </c>
      <c r="B406" s="1075">
        <v>1</v>
      </c>
      <c r="C406" s="1075">
        <f>$A406*$B406</f>
        <v>35</v>
      </c>
      <c r="D406" s="1076" t="str">
        <f>Elec_Rates!$D$125</f>
        <v>012# 3 core x 2.5 mm2 Fire Rated F120 Cable</v>
      </c>
      <c r="E406" s="1076"/>
      <c r="F406" s="1076"/>
      <c r="G406" s="1077" t="s">
        <v>1008</v>
      </c>
      <c r="H406" s="1077"/>
      <c r="I406" s="1077"/>
      <c r="J406" s="1077"/>
      <c r="K406" s="1078"/>
      <c r="L406" s="1073"/>
      <c r="M406" s="1073"/>
      <c r="N406" s="1073"/>
      <c r="O406" s="1079"/>
      <c r="P406" s="1076"/>
      <c r="Q406" s="1080">
        <f ca="1">$B406*Elec_Rates!$R$125</f>
        <v>8.39</v>
      </c>
      <c r="R406" s="1071">
        <f ca="1">$A406*Q406</f>
        <v>293.65000000000003</v>
      </c>
      <c r="S406" s="1080">
        <f ca="1">$B406*Elec_Rates!$T$125</f>
        <v>0.09</v>
      </c>
      <c r="T406" s="1072">
        <f ca="1">$A406*S406</f>
        <v>3.15</v>
      </c>
      <c r="U406" s="1081"/>
    </row>
    <row r="407" spans="1:41" s="504" customFormat="1" ht="12">
      <c r="A407" s="882"/>
      <c r="B407" s="882"/>
      <c r="C407" s="882"/>
      <c r="D407" s="882"/>
      <c r="E407" s="882"/>
      <c r="F407" s="877"/>
      <c r="G407" s="882"/>
      <c r="H407" s="882"/>
      <c r="I407" s="503"/>
      <c r="J407" s="882"/>
      <c r="K407" s="882"/>
      <c r="L407" s="882"/>
      <c r="M407" s="882"/>
      <c r="N407" s="882"/>
      <c r="O407" s="882"/>
      <c r="P407" s="882"/>
      <c r="Q407" s="503"/>
      <c r="R407" s="883">
        <f>$A407*Q407</f>
        <v>0</v>
      </c>
      <c r="S407" s="503"/>
      <c r="T407" s="884">
        <f>$A407*S407*$T$1</f>
        <v>0</v>
      </c>
    </row>
    <row r="408" spans="1:41" s="504" customFormat="1" ht="12.6" thickBot="1">
      <c r="A408" s="885" t="s">
        <v>142</v>
      </c>
      <c r="B408" s="886">
        <f>(R407+T407)</f>
        <v>0</v>
      </c>
      <c r="C408" s="887"/>
      <c r="D408" s="887"/>
      <c r="E408" s="887"/>
      <c r="F408" s="888"/>
      <c r="G408" s="887" t="s">
        <v>143</v>
      </c>
      <c r="H408" s="887"/>
      <c r="I408" s="889"/>
      <c r="J408" s="887"/>
      <c r="K408" s="887" t="s">
        <v>3</v>
      </c>
      <c r="L408" s="890" t="s">
        <v>140</v>
      </c>
      <c r="M408" s="890"/>
      <c r="N408" s="890"/>
      <c r="O408" s="890"/>
      <c r="P408" s="890"/>
      <c r="Q408" s="891"/>
      <c r="R408" s="892">
        <f ca="1">SUM(R404:R407)</f>
        <v>293.65000000000003</v>
      </c>
      <c r="S408" s="887"/>
      <c r="T408" s="892">
        <f ca="1">SUM(T404:T407)</f>
        <v>3.15</v>
      </c>
      <c r="U408" s="514"/>
      <c r="V408" s="514"/>
      <c r="W408" s="514"/>
      <c r="X408" s="514"/>
      <c r="Y408" s="514"/>
      <c r="Z408" s="514"/>
      <c r="AA408" s="514"/>
      <c r="AB408" s="514"/>
      <c r="AC408" s="514"/>
      <c r="AD408" s="514"/>
      <c r="AE408" s="514"/>
      <c r="AF408" s="514"/>
      <c r="AG408" s="514"/>
      <c r="AH408" s="514"/>
      <c r="AI408" s="514"/>
      <c r="AJ408" s="514"/>
      <c r="AK408" s="514"/>
      <c r="AL408" s="514"/>
      <c r="AM408" s="514"/>
      <c r="AN408" s="514"/>
      <c r="AO408" s="514"/>
    </row>
    <row r="409" spans="1:41" s="504" customFormat="1" ht="12" thickTop="1">
      <c r="A409" s="50"/>
      <c r="B409" s="40"/>
      <c r="C409" s="50"/>
      <c r="E409" s="41" t="s">
        <v>136</v>
      </c>
      <c r="F409" s="41" t="s">
        <v>137</v>
      </c>
      <c r="G409" s="50"/>
      <c r="H409" s="50"/>
      <c r="I409" s="50"/>
      <c r="J409" s="50"/>
      <c r="K409" s="50" t="s">
        <v>138</v>
      </c>
      <c r="L409" s="50"/>
      <c r="M409" s="50"/>
      <c r="N409" s="50"/>
      <c r="O409" s="51"/>
      <c r="P409" s="50"/>
      <c r="Q409" s="50"/>
      <c r="R409" s="50"/>
      <c r="S409" s="50"/>
      <c r="T409" s="40"/>
      <c r="AG409" s="867" t="s">
        <v>241</v>
      </c>
      <c r="AH409" s="867" t="s">
        <v>242</v>
      </c>
      <c r="AI409" s="867" t="s">
        <v>243</v>
      </c>
      <c r="AJ409" s="867" t="s">
        <v>244</v>
      </c>
      <c r="AK409" s="867" t="s">
        <v>245</v>
      </c>
      <c r="AM409" s="868" t="s">
        <v>254</v>
      </c>
      <c r="AN409" s="869" t="s">
        <v>255</v>
      </c>
      <c r="AO409" s="505" t="s">
        <v>251</v>
      </c>
    </row>
    <row r="410" spans="1:41" s="504" customFormat="1" ht="12" customHeight="1">
      <c r="A410" s="870">
        <v>35</v>
      </c>
      <c r="B410" s="871" t="s">
        <v>306</v>
      </c>
      <c r="C410" s="872"/>
      <c r="D410" s="873" t="s">
        <v>833</v>
      </c>
      <c r="E410" s="874">
        <f ca="1">IF(AND($A410=0,$A$1="DIF"),0, ROUND(ROUND(($R415*$S$2+($T415*$T$2))/A410,2)*$C$2,2))</f>
        <v>13.4</v>
      </c>
      <c r="F410" s="875">
        <f ca="1">ROUND($A410*$E410,2)</f>
        <v>469</v>
      </c>
      <c r="G410" s="876" t="s">
        <v>139</v>
      </c>
      <c r="H410" s="877"/>
      <c r="I410" s="878"/>
      <c r="J410" s="877"/>
      <c r="K410" s="877" t="s">
        <v>3</v>
      </c>
      <c r="L410" s="879" t="s">
        <v>140</v>
      </c>
      <c r="M410" s="879"/>
      <c r="N410" s="879"/>
      <c r="O410" s="879"/>
      <c r="P410" s="879"/>
      <c r="Q410" s="50"/>
      <c r="T410" s="880" t="str">
        <f ca="1">IF(AND($R415=0,$T415=0),"0.00","mu :" &amp; ROUND($F410/$C$2/($R415+$T415*$D$9),2))</f>
        <v>mu :1.22</v>
      </c>
      <c r="W410" s="507"/>
      <c r="AG410" s="465">
        <f ca="1">IF($E410=0,0,ROUND($R415*$S$2*$C$2/$A410,2))</f>
        <v>10.24</v>
      </c>
      <c r="AH410" s="465">
        <f ca="1">$AG410*$A410</f>
        <v>358.40000000000003</v>
      </c>
      <c r="AI410" s="508">
        <f ca="1">$E410-$AG410</f>
        <v>3.16</v>
      </c>
      <c r="AJ410" s="508">
        <f ca="1">$A410*$AI410</f>
        <v>110.60000000000001</v>
      </c>
      <c r="AK410" s="509">
        <f ca="1">ROUND(($AG410+$AI410)*$A410,2)</f>
        <v>469</v>
      </c>
      <c r="AM410" s="510">
        <f ca="1">ROUND(R415,2)</f>
        <v>293.64999999999998</v>
      </c>
      <c r="AN410" s="511">
        <f ca="1">ROUND(T415,2)</f>
        <v>3.15</v>
      </c>
      <c r="AO410" s="512">
        <f ca="1">ROUND(AM410+AN410,2)*A410</f>
        <v>10388</v>
      </c>
    </row>
    <row r="411" spans="1:41" s="504" customFormat="1" ht="13.2">
      <c r="A411" s="872"/>
      <c r="B411"/>
      <c r="C411" s="872"/>
      <c r="D411" s="916" t="s">
        <v>712</v>
      </c>
      <c r="E411" s="917"/>
      <c r="F411" s="918"/>
      <c r="G411" s="919"/>
      <c r="H411" s="918"/>
      <c r="I411" s="920"/>
      <c r="J411" s="918"/>
      <c r="K411" s="918" t="s">
        <v>141</v>
      </c>
      <c r="L411" s="918"/>
      <c r="M411" s="918"/>
      <c r="N411" s="918"/>
      <c r="O411" s="918"/>
      <c r="P411" s="918"/>
      <c r="Q411" s="921"/>
      <c r="R411" s="513"/>
      <c r="S411" s="881"/>
      <c r="T411" s="877"/>
    </row>
    <row r="412" spans="1:41" s="997" customFormat="1" ht="13.2">
      <c r="A412"/>
      <c r="B412" s="1065"/>
      <c r="C412" s="1065" t="s">
        <v>1006</v>
      </c>
      <c r="D412" s="1065" t="str">
        <f ca="1">CELL("Address",Elec_Rates!D$125)</f>
        <v>[EL25_0662B_Brittania_Hotel_Elec_Revised_Estim_B.xlsx]Elec_Rates!$D$125</v>
      </c>
      <c r="E412" s="1066"/>
      <c r="F412" s="1066"/>
      <c r="G412" s="1067" t="s">
        <v>1007</v>
      </c>
      <c r="H412" s="1067"/>
      <c r="I412" s="1067"/>
      <c r="J412" s="1067"/>
      <c r="K412" s="1068"/>
      <c r="L412" s="1066"/>
      <c r="M412" s="1066"/>
      <c r="N412" s="1066"/>
      <c r="O412" s="1069"/>
      <c r="P412" s="1066"/>
      <c r="Q412" s="1070"/>
      <c r="R412" s="1071"/>
      <c r="S412" s="1070"/>
      <c r="T412" s="1072"/>
      <c r="U412" s="1073"/>
    </row>
    <row r="413" spans="1:41" s="997" customFormat="1" ht="11.4">
      <c r="A413" s="1074">
        <v>35</v>
      </c>
      <c r="B413" s="1075">
        <v>1</v>
      </c>
      <c r="C413" s="1075">
        <f>$A413*$B413</f>
        <v>35</v>
      </c>
      <c r="D413" s="1076" t="str">
        <f>Elec_Rates!$D$125</f>
        <v>012# 3 core x 2.5 mm2 Fire Rated F120 Cable</v>
      </c>
      <c r="E413" s="1076"/>
      <c r="F413" s="1076"/>
      <c r="G413" s="1077" t="s">
        <v>1008</v>
      </c>
      <c r="H413" s="1077"/>
      <c r="I413" s="1077"/>
      <c r="J413" s="1077"/>
      <c r="K413" s="1078"/>
      <c r="L413" s="1073"/>
      <c r="M413" s="1073"/>
      <c r="N413" s="1073"/>
      <c r="O413" s="1079"/>
      <c r="P413" s="1076"/>
      <c r="Q413" s="1080">
        <f ca="1">$B413*Elec_Rates!$R$125</f>
        <v>8.39</v>
      </c>
      <c r="R413" s="1071">
        <f ca="1">$A413*Q413</f>
        <v>293.65000000000003</v>
      </c>
      <c r="S413" s="1080">
        <f ca="1">$B413*Elec_Rates!$T$125</f>
        <v>0.09</v>
      </c>
      <c r="T413" s="1072">
        <f ca="1">$A413*S413</f>
        <v>3.15</v>
      </c>
      <c r="U413" s="1081"/>
    </row>
    <row r="414" spans="1:41" s="504" customFormat="1" ht="12">
      <c r="A414" s="882"/>
      <c r="B414" s="882"/>
      <c r="C414" s="882"/>
      <c r="D414" s="882"/>
      <c r="E414" s="882"/>
      <c r="F414" s="877"/>
      <c r="G414" s="882"/>
      <c r="H414" s="882"/>
      <c r="I414" s="503"/>
      <c r="J414" s="882"/>
      <c r="K414" s="882"/>
      <c r="L414" s="882"/>
      <c r="M414" s="882"/>
      <c r="N414" s="882"/>
      <c r="O414" s="882"/>
      <c r="P414" s="882"/>
      <c r="Q414" s="503"/>
      <c r="R414" s="883">
        <f>$A414*Q414</f>
        <v>0</v>
      </c>
      <c r="S414" s="503"/>
      <c r="T414" s="884">
        <f>$A414*S414*$T$1</f>
        <v>0</v>
      </c>
    </row>
    <row r="415" spans="1:41" s="504" customFormat="1" ht="12.6" thickBot="1">
      <c r="A415" s="885" t="s">
        <v>142</v>
      </c>
      <c r="B415" s="886">
        <f>(R414+T414)</f>
        <v>0</v>
      </c>
      <c r="C415" s="887"/>
      <c r="D415" s="887"/>
      <c r="E415" s="887"/>
      <c r="F415" s="888"/>
      <c r="G415" s="887" t="s">
        <v>143</v>
      </c>
      <c r="H415" s="887"/>
      <c r="I415" s="889"/>
      <c r="J415" s="887"/>
      <c r="K415" s="887" t="s">
        <v>3</v>
      </c>
      <c r="L415" s="890" t="s">
        <v>140</v>
      </c>
      <c r="M415" s="890"/>
      <c r="N415" s="890"/>
      <c r="O415" s="890"/>
      <c r="P415" s="890"/>
      <c r="Q415" s="891"/>
      <c r="R415" s="892">
        <f ca="1">SUM(R411:R414)</f>
        <v>293.65000000000003</v>
      </c>
      <c r="S415" s="887"/>
      <c r="T415" s="892">
        <f ca="1">SUM(T411:T414)</f>
        <v>3.15</v>
      </c>
      <c r="U415" s="514"/>
      <c r="V415" s="514"/>
      <c r="W415" s="514"/>
      <c r="X415" s="514"/>
      <c r="Y415" s="514"/>
      <c r="Z415" s="514"/>
      <c r="AA415" s="514"/>
      <c r="AB415" s="514"/>
      <c r="AC415" s="514"/>
      <c r="AD415" s="514"/>
      <c r="AE415" s="514"/>
      <c r="AF415" s="514"/>
      <c r="AG415" s="514"/>
      <c r="AH415" s="514"/>
      <c r="AI415" s="514"/>
      <c r="AJ415" s="514"/>
      <c r="AK415" s="514"/>
      <c r="AL415" s="514"/>
      <c r="AM415" s="514"/>
      <c r="AN415" s="514"/>
      <c r="AO415" s="514"/>
    </row>
    <row r="416" spans="1:41" s="504" customFormat="1" ht="12" thickTop="1">
      <c r="A416" s="50"/>
      <c r="B416" s="40"/>
      <c r="C416" s="50"/>
      <c r="E416" s="41" t="s">
        <v>136</v>
      </c>
      <c r="F416" s="41" t="s">
        <v>137</v>
      </c>
      <c r="G416" s="50"/>
      <c r="H416" s="50"/>
      <c r="I416" s="50"/>
      <c r="J416" s="50"/>
      <c r="K416" s="50" t="s">
        <v>138</v>
      </c>
      <c r="L416" s="50"/>
      <c r="M416" s="50"/>
      <c r="N416" s="50"/>
      <c r="O416" s="51"/>
      <c r="P416" s="50"/>
      <c r="Q416" s="50"/>
      <c r="R416" s="50"/>
      <c r="S416" s="50"/>
      <c r="T416" s="40"/>
      <c r="AG416" s="867" t="s">
        <v>241</v>
      </c>
      <c r="AH416" s="867" t="s">
        <v>242</v>
      </c>
      <c r="AI416" s="867" t="s">
        <v>243</v>
      </c>
      <c r="AJ416" s="867" t="s">
        <v>244</v>
      </c>
      <c r="AK416" s="867" t="s">
        <v>245</v>
      </c>
      <c r="AM416" s="868" t="s">
        <v>254</v>
      </c>
      <c r="AN416" s="869" t="s">
        <v>255</v>
      </c>
      <c r="AO416" s="505" t="s">
        <v>251</v>
      </c>
    </row>
    <row r="417" spans="1:41" s="504" customFormat="1" ht="12" customHeight="1">
      <c r="A417" s="870">
        <v>32</v>
      </c>
      <c r="B417" s="871" t="s">
        <v>306</v>
      </c>
      <c r="C417" s="872"/>
      <c r="D417" s="873" t="s">
        <v>834</v>
      </c>
      <c r="E417" s="874">
        <f ca="1">IF(AND($A417=0,$A$1="DIF"),0, ROUND(ROUND(($R422*$S$2+($T422*$T$2))/A417,2)*$C$2,2))</f>
        <v>13.4</v>
      </c>
      <c r="F417" s="875">
        <f ca="1">ROUND($A417*$E417,2)</f>
        <v>428.8</v>
      </c>
      <c r="G417" s="876" t="s">
        <v>139</v>
      </c>
      <c r="H417" s="877"/>
      <c r="I417" s="878"/>
      <c r="J417" s="877"/>
      <c r="K417" s="877" t="s">
        <v>3</v>
      </c>
      <c r="L417" s="879" t="s">
        <v>140</v>
      </c>
      <c r="M417" s="879"/>
      <c r="N417" s="879"/>
      <c r="O417" s="879"/>
      <c r="P417" s="879"/>
      <c r="Q417" s="50"/>
      <c r="T417" s="880" t="str">
        <f ca="1">IF(AND($R422=0,$T422=0),"0.00","mu :" &amp; ROUND($F417/$C$2/($R422+$T422*$D$9),2))</f>
        <v>mu :1.22</v>
      </c>
      <c r="W417" s="507"/>
      <c r="AG417" s="465">
        <f ca="1">IF($E417=0,0,ROUND($R422*$S$2*$C$2/$A417,2))</f>
        <v>10.24</v>
      </c>
      <c r="AH417" s="465">
        <f ca="1">$AG417*$A417</f>
        <v>327.68</v>
      </c>
      <c r="AI417" s="508">
        <f ca="1">$E417-$AG417</f>
        <v>3.16</v>
      </c>
      <c r="AJ417" s="508">
        <f ca="1">$A417*$AI417</f>
        <v>101.12</v>
      </c>
      <c r="AK417" s="509">
        <f ca="1">ROUND(($AG417+$AI417)*$A417,2)</f>
        <v>428.8</v>
      </c>
      <c r="AM417" s="510">
        <f ca="1">ROUND(R422,2)</f>
        <v>268.48</v>
      </c>
      <c r="AN417" s="511">
        <f ca="1">ROUND(T422,2)</f>
        <v>2.88</v>
      </c>
      <c r="AO417" s="512">
        <f ca="1">ROUND(AM417+AN417,2)*A417</f>
        <v>8683.52</v>
      </c>
    </row>
    <row r="418" spans="1:41" s="504" customFormat="1" ht="13.2">
      <c r="A418" s="872"/>
      <c r="B418"/>
      <c r="C418" s="872"/>
      <c r="D418" s="916" t="s">
        <v>713</v>
      </c>
      <c r="E418" s="917"/>
      <c r="F418" s="918"/>
      <c r="G418" s="919"/>
      <c r="H418" s="918"/>
      <c r="I418" s="920"/>
      <c r="J418" s="918"/>
      <c r="K418" s="918" t="s">
        <v>141</v>
      </c>
      <c r="L418" s="918"/>
      <c r="M418" s="918"/>
      <c r="N418" s="918"/>
      <c r="O418" s="918"/>
      <c r="P418" s="918"/>
      <c r="Q418" s="921"/>
      <c r="R418" s="513"/>
      <c r="S418" s="881"/>
      <c r="T418" s="877"/>
    </row>
    <row r="419" spans="1:41" s="997" customFormat="1" ht="13.2">
      <c r="A419"/>
      <c r="B419" s="1065"/>
      <c r="C419" s="1065" t="s">
        <v>1006</v>
      </c>
      <c r="D419" s="1065" t="str">
        <f ca="1">CELL("Address",Elec_Rates!D$125)</f>
        <v>[EL25_0662B_Brittania_Hotel_Elec_Revised_Estim_B.xlsx]Elec_Rates!$D$125</v>
      </c>
      <c r="E419" s="1066"/>
      <c r="F419" s="1066"/>
      <c r="G419" s="1067" t="s">
        <v>1007</v>
      </c>
      <c r="H419" s="1067"/>
      <c r="I419" s="1067"/>
      <c r="J419" s="1067"/>
      <c r="K419" s="1068"/>
      <c r="L419" s="1066"/>
      <c r="M419" s="1066"/>
      <c r="N419" s="1066"/>
      <c r="O419" s="1069"/>
      <c r="P419" s="1066"/>
      <c r="Q419" s="1070"/>
      <c r="R419" s="1071"/>
      <c r="S419" s="1070"/>
      <c r="T419" s="1072"/>
      <c r="U419" s="1073"/>
    </row>
    <row r="420" spans="1:41" s="997" customFormat="1" ht="11.4">
      <c r="A420" s="1074">
        <v>32</v>
      </c>
      <c r="B420" s="1075">
        <v>1</v>
      </c>
      <c r="C420" s="1075">
        <f>$A420*$B420</f>
        <v>32</v>
      </c>
      <c r="D420" s="1076" t="str">
        <f>Elec_Rates!$D$125</f>
        <v>012# 3 core x 2.5 mm2 Fire Rated F120 Cable</v>
      </c>
      <c r="E420" s="1076"/>
      <c r="F420" s="1076"/>
      <c r="G420" s="1077" t="s">
        <v>1008</v>
      </c>
      <c r="H420" s="1077"/>
      <c r="I420" s="1077"/>
      <c r="J420" s="1077"/>
      <c r="K420" s="1078"/>
      <c r="L420" s="1073"/>
      <c r="M420" s="1073"/>
      <c r="N420" s="1073"/>
      <c r="O420" s="1079"/>
      <c r="P420" s="1076"/>
      <c r="Q420" s="1080">
        <f ca="1">$B420*Elec_Rates!$R$125</f>
        <v>8.39</v>
      </c>
      <c r="R420" s="1071">
        <f ca="1">$A420*Q420</f>
        <v>268.48</v>
      </c>
      <c r="S420" s="1080">
        <f ca="1">$B420*Elec_Rates!$T$125</f>
        <v>0.09</v>
      </c>
      <c r="T420" s="1072">
        <f ca="1">$A420*S420</f>
        <v>2.88</v>
      </c>
      <c r="U420" s="1081"/>
    </row>
    <row r="421" spans="1:41" s="504" customFormat="1" ht="12">
      <c r="A421" s="882"/>
      <c r="B421" s="882"/>
      <c r="C421" s="882"/>
      <c r="D421" s="882"/>
      <c r="E421" s="882"/>
      <c r="F421" s="877"/>
      <c r="G421" s="882"/>
      <c r="H421" s="882"/>
      <c r="I421" s="503"/>
      <c r="J421" s="882"/>
      <c r="K421" s="882"/>
      <c r="L421" s="882"/>
      <c r="M421" s="882"/>
      <c r="N421" s="882"/>
      <c r="O421" s="882"/>
      <c r="P421" s="882"/>
      <c r="Q421" s="503"/>
      <c r="R421" s="883">
        <f>$A421*Q421</f>
        <v>0</v>
      </c>
      <c r="S421" s="503"/>
      <c r="T421" s="884">
        <f>$A421*S421*$T$1</f>
        <v>0</v>
      </c>
    </row>
    <row r="422" spans="1:41" s="504" customFormat="1" ht="12.6" thickBot="1">
      <c r="A422" s="885" t="s">
        <v>142</v>
      </c>
      <c r="B422" s="886">
        <f>(R421+T421)</f>
        <v>0</v>
      </c>
      <c r="C422" s="887"/>
      <c r="D422" s="887"/>
      <c r="E422" s="887"/>
      <c r="F422" s="888"/>
      <c r="G422" s="887" t="s">
        <v>143</v>
      </c>
      <c r="H422" s="887"/>
      <c r="I422" s="889"/>
      <c r="J422" s="887"/>
      <c r="K422" s="887" t="s">
        <v>3</v>
      </c>
      <c r="L422" s="890" t="s">
        <v>140</v>
      </c>
      <c r="M422" s="890"/>
      <c r="N422" s="890"/>
      <c r="O422" s="890"/>
      <c r="P422" s="890"/>
      <c r="Q422" s="891"/>
      <c r="R422" s="892">
        <f ca="1">SUM(R418:R421)</f>
        <v>268.48</v>
      </c>
      <c r="S422" s="887"/>
      <c r="T422" s="892">
        <f ca="1">SUM(T418:T421)</f>
        <v>2.88</v>
      </c>
      <c r="U422" s="514"/>
      <c r="V422" s="514"/>
      <c r="W422" s="514"/>
      <c r="X422" s="514"/>
      <c r="Y422" s="514"/>
      <c r="Z422" s="514"/>
      <c r="AA422" s="514"/>
      <c r="AB422" s="514"/>
      <c r="AC422" s="514"/>
      <c r="AD422" s="514"/>
      <c r="AE422" s="514"/>
      <c r="AF422" s="514"/>
      <c r="AG422" s="514"/>
      <c r="AH422" s="514"/>
      <c r="AI422" s="514"/>
      <c r="AJ422" s="514"/>
      <c r="AK422" s="514"/>
      <c r="AL422" s="514"/>
      <c r="AM422" s="514"/>
      <c r="AN422" s="514"/>
      <c r="AO422" s="514"/>
    </row>
    <row r="423" spans="1:41" s="504" customFormat="1" ht="12" thickTop="1">
      <c r="A423" s="50"/>
      <c r="B423" s="40"/>
      <c r="C423" s="50"/>
      <c r="E423" s="41" t="s">
        <v>136</v>
      </c>
      <c r="F423" s="41" t="s">
        <v>137</v>
      </c>
      <c r="G423" s="50"/>
      <c r="H423" s="50"/>
      <c r="I423" s="50"/>
      <c r="J423" s="50"/>
      <c r="K423" s="50" t="s">
        <v>138</v>
      </c>
      <c r="L423" s="50"/>
      <c r="M423" s="50"/>
      <c r="N423" s="50"/>
      <c r="O423" s="51"/>
      <c r="P423" s="50"/>
      <c r="Q423" s="50"/>
      <c r="R423" s="50"/>
      <c r="S423" s="50"/>
      <c r="T423" s="40"/>
      <c r="AG423" s="867" t="s">
        <v>241</v>
      </c>
      <c r="AH423" s="867" t="s">
        <v>242</v>
      </c>
      <c r="AI423" s="867" t="s">
        <v>243</v>
      </c>
      <c r="AJ423" s="867" t="s">
        <v>244</v>
      </c>
      <c r="AK423" s="867" t="s">
        <v>245</v>
      </c>
      <c r="AM423" s="868" t="s">
        <v>254</v>
      </c>
      <c r="AN423" s="869" t="s">
        <v>255</v>
      </c>
      <c r="AO423" s="505" t="s">
        <v>251</v>
      </c>
    </row>
    <row r="424" spans="1:41" s="504" customFormat="1" ht="12" customHeight="1">
      <c r="A424" s="870">
        <v>65</v>
      </c>
      <c r="B424" s="871" t="s">
        <v>306</v>
      </c>
      <c r="C424" s="872"/>
      <c r="D424" s="873" t="s">
        <v>835</v>
      </c>
      <c r="E424" s="874">
        <f ca="1">IF(AND($A424=0,$A$1="DIF"),0, ROUND(ROUND(($R429*$S$2+($T429*$T$2))/A424,2)*$C$2,2))</f>
        <v>23.58</v>
      </c>
      <c r="F424" s="875">
        <f ca="1">ROUND($A424*$E424,2)</f>
        <v>1532.7</v>
      </c>
      <c r="G424" s="876" t="s">
        <v>139</v>
      </c>
      <c r="H424" s="877"/>
      <c r="I424" s="878"/>
      <c r="J424" s="877"/>
      <c r="K424" s="877" t="s">
        <v>3</v>
      </c>
      <c r="L424" s="879" t="s">
        <v>140</v>
      </c>
      <c r="M424" s="879"/>
      <c r="N424" s="879"/>
      <c r="O424" s="879"/>
      <c r="P424" s="879"/>
      <c r="Q424" s="50"/>
      <c r="T424" s="880" t="str">
        <f ca="1">IF(AND($R429=0,$T429=0),"0.00","mu :" &amp; ROUND($F424/$C$2/($R429+$T429*$D$9),2))</f>
        <v>mu :1.22</v>
      </c>
      <c r="W424" s="507"/>
      <c r="AG424" s="465">
        <f ca="1">IF($E424=0,0,ROUND($R429*$S$2*$C$2/$A424,2))</f>
        <v>19.72</v>
      </c>
      <c r="AH424" s="465">
        <f ca="1">$AG424*$A424</f>
        <v>1281.8</v>
      </c>
      <c r="AI424" s="508">
        <f ca="1">$E424-$AG424</f>
        <v>3.8599999999999994</v>
      </c>
      <c r="AJ424" s="508">
        <f ca="1">$A424*$AI424</f>
        <v>250.89999999999998</v>
      </c>
      <c r="AK424" s="509">
        <f ca="1">ROUND(($AG424+$AI424)*$A424,2)</f>
        <v>1532.7</v>
      </c>
      <c r="AM424" s="510">
        <f ca="1">ROUND(R429,2)</f>
        <v>1050.4000000000001</v>
      </c>
      <c r="AN424" s="511">
        <f ca="1">ROUND(T429,2)</f>
        <v>7.15</v>
      </c>
      <c r="AO424" s="512">
        <f ca="1">ROUND(AM424+AN424,2)*A424</f>
        <v>68740.75</v>
      </c>
    </row>
    <row r="425" spans="1:41" s="504" customFormat="1" ht="13.2">
      <c r="A425" s="872"/>
      <c r="B425"/>
      <c r="C425" s="872"/>
      <c r="D425" s="873" t="s">
        <v>714</v>
      </c>
      <c r="F425" s="877"/>
      <c r="G425" s="3"/>
      <c r="H425" s="877"/>
      <c r="I425" s="878"/>
      <c r="J425" s="877"/>
      <c r="K425" s="877" t="s">
        <v>141</v>
      </c>
      <c r="L425" s="877"/>
      <c r="M425" s="877"/>
      <c r="N425" s="877"/>
      <c r="O425" s="877"/>
      <c r="P425" s="877"/>
      <c r="Q425" s="50"/>
      <c r="R425" s="513"/>
      <c r="S425" s="881"/>
      <c r="T425" s="877"/>
    </row>
    <row r="426" spans="1:41" s="997" customFormat="1" ht="13.2">
      <c r="A426"/>
      <c r="B426" s="1065"/>
      <c r="C426" s="1065" t="s">
        <v>1006</v>
      </c>
      <c r="D426" s="1065" t="str">
        <f ca="1">CELL("Address",Elec_Rates!D$115)</f>
        <v>[EL25_0662B_Brittania_Hotel_Elec_Revised_Estim_B.xlsx]Elec_Rates!$D$115</v>
      </c>
      <c r="E426" s="1066"/>
      <c r="F426" s="1066"/>
      <c r="G426" s="1067" t="s">
        <v>1007</v>
      </c>
      <c r="H426" s="1067"/>
      <c r="I426" s="1067"/>
      <c r="J426" s="1067"/>
      <c r="K426" s="1068"/>
      <c r="L426" s="1066"/>
      <c r="M426" s="1066"/>
      <c r="N426" s="1066"/>
      <c r="O426" s="1069"/>
      <c r="P426" s="1066"/>
      <c r="Q426" s="1070"/>
      <c r="R426" s="1071"/>
      <c r="S426" s="1070"/>
      <c r="T426" s="1072"/>
      <c r="U426" s="1073"/>
    </row>
    <row r="427" spans="1:41" s="997" customFormat="1" ht="11.4">
      <c r="A427" s="1074">
        <v>65</v>
      </c>
      <c r="B427" s="1075">
        <v>1</v>
      </c>
      <c r="C427" s="1075">
        <f>$A427*$B427</f>
        <v>65</v>
      </c>
      <c r="D427" s="1076" t="str">
        <f>Elec_Rates!$D$115</f>
        <v>011# 5 core x 6.0 mm2 Fire Rated F120 Cable</v>
      </c>
      <c r="E427" s="1076"/>
      <c r="F427" s="1076"/>
      <c r="G427" s="1077" t="s">
        <v>1008</v>
      </c>
      <c r="H427" s="1077"/>
      <c r="I427" s="1077"/>
      <c r="J427" s="1077"/>
      <c r="K427" s="1078"/>
      <c r="L427" s="1073"/>
      <c r="M427" s="1073"/>
      <c r="N427" s="1073"/>
      <c r="O427" s="1079"/>
      <c r="P427" s="1076"/>
      <c r="Q427" s="1080">
        <f ca="1">$B427*Elec_Rates!$R$115</f>
        <v>16.16</v>
      </c>
      <c r="R427" s="1071">
        <f ca="1">$A427*Q427</f>
        <v>1050.4000000000001</v>
      </c>
      <c r="S427" s="1080">
        <f ca="1">$B427*Elec_Rates!$T$115</f>
        <v>0.11</v>
      </c>
      <c r="T427" s="1072">
        <f ca="1">$A427*S427</f>
        <v>7.15</v>
      </c>
      <c r="U427" s="1081"/>
    </row>
    <row r="428" spans="1:41" s="504" customFormat="1" ht="12">
      <c r="A428" s="882"/>
      <c r="B428" s="882"/>
      <c r="C428" s="882"/>
      <c r="D428" s="882"/>
      <c r="E428" s="882"/>
      <c r="F428" s="877"/>
      <c r="G428" s="882"/>
      <c r="H428" s="882"/>
      <c r="I428" s="503"/>
      <c r="J428" s="882"/>
      <c r="K428" s="882"/>
      <c r="L428" s="882"/>
      <c r="M428" s="882"/>
      <c r="N428" s="882"/>
      <c r="O428" s="882"/>
      <c r="P428" s="882"/>
      <c r="Q428" s="503"/>
      <c r="R428" s="883">
        <f>$A428*Q428</f>
        <v>0</v>
      </c>
      <c r="S428" s="503"/>
      <c r="T428" s="884">
        <f>$A428*S428*$T$1</f>
        <v>0</v>
      </c>
    </row>
    <row r="429" spans="1:41" s="504" customFormat="1" ht="12.6" thickBot="1">
      <c r="A429" s="885" t="s">
        <v>142</v>
      </c>
      <c r="B429" s="886">
        <f>(R428+T428)</f>
        <v>0</v>
      </c>
      <c r="C429" s="887"/>
      <c r="D429" s="887"/>
      <c r="E429" s="887"/>
      <c r="F429" s="888"/>
      <c r="G429" s="887" t="s">
        <v>143</v>
      </c>
      <c r="H429" s="887"/>
      <c r="I429" s="889"/>
      <c r="J429" s="887"/>
      <c r="K429" s="887" t="s">
        <v>3</v>
      </c>
      <c r="L429" s="890" t="s">
        <v>140</v>
      </c>
      <c r="M429" s="890"/>
      <c r="N429" s="890"/>
      <c r="O429" s="890"/>
      <c r="P429" s="890"/>
      <c r="Q429" s="891"/>
      <c r="R429" s="892">
        <f ca="1">SUM(R425:R428)</f>
        <v>1050.4000000000001</v>
      </c>
      <c r="S429" s="887"/>
      <c r="T429" s="892">
        <f ca="1">SUM(T425:T428)</f>
        <v>7.15</v>
      </c>
      <c r="U429" s="514"/>
      <c r="V429" s="514"/>
      <c r="W429" s="514"/>
      <c r="X429" s="514"/>
      <c r="Y429" s="514"/>
      <c r="Z429" s="514"/>
      <c r="AA429" s="514"/>
      <c r="AB429" s="514"/>
      <c r="AC429" s="514"/>
      <c r="AD429" s="514"/>
      <c r="AE429" s="514"/>
      <c r="AF429" s="514"/>
      <c r="AG429" s="514"/>
      <c r="AH429" s="514"/>
      <c r="AI429" s="514"/>
      <c r="AJ429" s="514"/>
      <c r="AK429" s="514"/>
      <c r="AL429" s="514"/>
      <c r="AM429" s="514"/>
      <c r="AN429" s="514"/>
      <c r="AO429" s="514"/>
    </row>
    <row r="430" spans="1:41" s="504" customFormat="1" thickTop="1">
      <c r="A430" s="50"/>
      <c r="B430" s="50"/>
      <c r="C430" s="3"/>
      <c r="D430" s="3"/>
      <c r="E430" s="50"/>
      <c r="F430" s="50"/>
      <c r="G430" s="50"/>
      <c r="H430" s="50"/>
      <c r="I430" s="50"/>
      <c r="J430" s="50"/>
      <c r="K430" s="50" t="s">
        <v>133</v>
      </c>
      <c r="L430" s="50"/>
      <c r="M430" s="50"/>
      <c r="N430" s="50"/>
      <c r="O430" s="51"/>
      <c r="P430" s="50"/>
      <c r="Q430" s="50"/>
      <c r="R430" s="50"/>
      <c r="S430" s="50"/>
      <c r="T430" s="50"/>
    </row>
    <row r="431" spans="1:41" s="504" customFormat="1" ht="12">
      <c r="A431" s="50"/>
      <c r="B431" s="50"/>
      <c r="C431" s="50" t="s">
        <v>134</v>
      </c>
      <c r="D431" s="37"/>
      <c r="E431" s="50"/>
      <c r="F431" s="50"/>
      <c r="G431" s="50"/>
      <c r="H431" s="50"/>
      <c r="I431" s="50"/>
      <c r="J431" s="50"/>
      <c r="K431" s="50"/>
      <c r="L431" s="50"/>
      <c r="M431" s="50"/>
      <c r="N431" s="50"/>
      <c r="O431" s="51"/>
      <c r="P431" s="50"/>
      <c r="Q431" s="50"/>
      <c r="R431" s="50"/>
      <c r="S431" s="50"/>
      <c r="T431" s="50"/>
    </row>
    <row r="432" spans="1:41" s="504" customFormat="1" ht="12">
      <c r="A432" s="50"/>
      <c r="B432" s="50"/>
      <c r="C432" s="50"/>
      <c r="D432" s="37" t="s">
        <v>324</v>
      </c>
      <c r="E432" s="50"/>
      <c r="F432" s="50"/>
      <c r="G432" s="50"/>
      <c r="H432" s="50"/>
      <c r="I432" s="50"/>
      <c r="J432" s="50"/>
      <c r="K432" s="50"/>
      <c r="L432" s="50"/>
      <c r="M432" s="50"/>
      <c r="N432" s="50"/>
      <c r="O432" s="51"/>
      <c r="P432" s="50"/>
      <c r="Q432" s="50"/>
      <c r="R432" s="50"/>
      <c r="S432" s="38"/>
      <c r="T432" s="38"/>
    </row>
    <row r="433" spans="1:41" s="3" customFormat="1" thickBot="1">
      <c r="A433" s="514"/>
      <c r="O433" s="103"/>
    </row>
    <row r="434" spans="1:41" s="504" customFormat="1" thickTop="1">
      <c r="A434" s="50"/>
      <c r="B434" s="50"/>
      <c r="C434" s="3"/>
      <c r="D434" s="3"/>
      <c r="E434" s="50"/>
      <c r="F434" s="50"/>
      <c r="G434" s="50"/>
      <c r="H434" s="50"/>
      <c r="I434" s="50"/>
      <c r="J434" s="50"/>
      <c r="K434" s="50" t="s">
        <v>133</v>
      </c>
      <c r="L434" s="50"/>
      <c r="M434" s="50"/>
      <c r="N434" s="50"/>
      <c r="O434" s="51"/>
      <c r="P434" s="50"/>
      <c r="Q434" s="50"/>
      <c r="R434" s="50"/>
      <c r="S434" s="50"/>
      <c r="T434" s="50"/>
    </row>
    <row r="435" spans="1:41" s="504" customFormat="1" ht="12">
      <c r="A435" s="50"/>
      <c r="B435" s="50"/>
      <c r="C435" s="50" t="s">
        <v>134</v>
      </c>
      <c r="D435" s="37" t="s">
        <v>836</v>
      </c>
      <c r="E435" s="50"/>
      <c r="F435" s="50"/>
      <c r="G435" s="50"/>
      <c r="H435" s="50"/>
      <c r="I435" s="50"/>
      <c r="J435" s="50"/>
      <c r="K435" s="50"/>
      <c r="L435" s="50"/>
      <c r="M435" s="50"/>
      <c r="N435" s="50"/>
      <c r="O435" s="51"/>
      <c r="P435" s="50"/>
      <c r="Q435" s="50"/>
      <c r="R435" s="50"/>
      <c r="S435" s="50"/>
      <c r="T435" s="50"/>
    </row>
    <row r="436" spans="1:41" s="504" customFormat="1" ht="13.2">
      <c r="A436" s="872"/>
      <c r="B436"/>
      <c r="C436" s="872"/>
      <c r="D436" s="916" t="s">
        <v>715</v>
      </c>
      <c r="E436" s="917"/>
      <c r="F436" s="918"/>
      <c r="G436" s="919"/>
      <c r="H436" s="918"/>
      <c r="I436" s="920"/>
      <c r="J436" s="918"/>
      <c r="K436" s="918"/>
      <c r="L436" s="918"/>
      <c r="M436" s="918"/>
      <c r="N436" s="918"/>
      <c r="O436" s="918"/>
      <c r="P436" s="918"/>
      <c r="Q436" s="921"/>
      <c r="R436" s="513"/>
      <c r="S436" s="881"/>
      <c r="T436" s="877"/>
    </row>
    <row r="437" spans="1:41" s="3" customFormat="1" thickBot="1">
      <c r="A437" s="514"/>
      <c r="O437" s="103"/>
    </row>
    <row r="438" spans="1:41" s="504" customFormat="1" ht="12" thickTop="1">
      <c r="A438" s="50"/>
      <c r="B438" s="40"/>
      <c r="C438" s="50"/>
      <c r="E438" s="41" t="s">
        <v>136</v>
      </c>
      <c r="F438" s="41" t="s">
        <v>137</v>
      </c>
      <c r="G438" s="50"/>
      <c r="H438" s="50"/>
      <c r="I438" s="50"/>
      <c r="J438" s="50"/>
      <c r="K438" s="50" t="s">
        <v>138</v>
      </c>
      <c r="L438" s="50"/>
      <c r="M438" s="50"/>
      <c r="N438" s="50"/>
      <c r="O438" s="51"/>
      <c r="P438" s="50"/>
      <c r="Q438" s="50"/>
      <c r="R438" s="50"/>
      <c r="S438" s="50"/>
      <c r="T438" s="40"/>
      <c r="AG438" s="867" t="s">
        <v>241</v>
      </c>
      <c r="AH438" s="867" t="s">
        <v>242</v>
      </c>
      <c r="AI438" s="867" t="s">
        <v>243</v>
      </c>
      <c r="AJ438" s="867" t="s">
        <v>244</v>
      </c>
      <c r="AK438" s="867" t="s">
        <v>245</v>
      </c>
      <c r="AM438" s="868" t="s">
        <v>254</v>
      </c>
      <c r="AN438" s="869" t="s">
        <v>255</v>
      </c>
      <c r="AO438" s="505" t="s">
        <v>251</v>
      </c>
    </row>
    <row r="439" spans="1:41" s="504" customFormat="1" ht="12" customHeight="1">
      <c r="A439" s="870">
        <v>30</v>
      </c>
      <c r="B439" s="871" t="s">
        <v>326</v>
      </c>
      <c r="C439" s="872"/>
      <c r="D439" s="873" t="s">
        <v>804</v>
      </c>
      <c r="E439" s="874">
        <f ca="1">IF(AND($A439=0,$A$1="DIF"),0, ROUND(ROUND(($R446*$S$2+($T446*$T$2))/A439,2)*$C$2,2))</f>
        <v>25.53</v>
      </c>
      <c r="F439" s="875">
        <f ca="1">ROUND($A439*$E439,2)</f>
        <v>765.9</v>
      </c>
      <c r="G439" s="876" t="s">
        <v>139</v>
      </c>
      <c r="H439" s="877"/>
      <c r="I439" s="878"/>
      <c r="J439" s="877"/>
      <c r="K439" s="877" t="s">
        <v>3</v>
      </c>
      <c r="L439" s="879" t="s">
        <v>140</v>
      </c>
      <c r="M439" s="879"/>
      <c r="N439" s="879"/>
      <c r="O439" s="879"/>
      <c r="P439" s="879"/>
      <c r="Q439" s="50"/>
      <c r="T439" s="880" t="str">
        <f ca="1">IF(AND($R446=0,$T446=0),"0.00","mu :" &amp; ROUND($F439/$C$2/($R446+$T446*$D$9),2))</f>
        <v>mu :1.22</v>
      </c>
      <c r="W439" s="507"/>
      <c r="AG439" s="465">
        <f ca="1">IF($E439=0,0,ROUND($R446*$S$2*$C$2/$A439,2))</f>
        <v>9.35</v>
      </c>
      <c r="AH439" s="465">
        <f ca="1">$AG439*$A439</f>
        <v>280.5</v>
      </c>
      <c r="AI439" s="508">
        <f ca="1">$E439-$AG439</f>
        <v>16.18</v>
      </c>
      <c r="AJ439" s="508">
        <f ca="1">$A439*$AI439</f>
        <v>485.4</v>
      </c>
      <c r="AK439" s="509">
        <f ca="1">ROUND(($AG439+$AI439)*$A439,2)</f>
        <v>765.9</v>
      </c>
      <c r="AM439" s="510">
        <f ca="1">ROUND(R446,2)</f>
        <v>229.8</v>
      </c>
      <c r="AN439" s="511">
        <f ca="1">ROUND(T446,2)</f>
        <v>13.8</v>
      </c>
      <c r="AO439" s="512">
        <f ca="1">ROUND(AM439+AN439,2)*A439</f>
        <v>7308</v>
      </c>
    </row>
    <row r="440" spans="1:41" s="504" customFormat="1" ht="13.2">
      <c r="A440" s="872"/>
      <c r="B440"/>
      <c r="C440" s="872"/>
      <c r="D440" s="873" t="s">
        <v>837</v>
      </c>
      <c r="F440" s="877"/>
      <c r="G440" s="3"/>
      <c r="H440" s="877"/>
      <c r="I440" s="878"/>
      <c r="J440" s="877"/>
      <c r="K440" s="877" t="s">
        <v>141</v>
      </c>
      <c r="L440" s="877"/>
      <c r="M440" s="877"/>
      <c r="N440" s="877"/>
      <c r="O440" s="877"/>
      <c r="P440" s="877"/>
      <c r="Q440" s="50"/>
      <c r="R440" s="513"/>
      <c r="S440" s="881"/>
      <c r="T440" s="877"/>
    </row>
    <row r="441" spans="1:41" s="997" customFormat="1" ht="13.2">
      <c r="A441"/>
      <c r="B441" s="1065"/>
      <c r="C441" s="1065" t="s">
        <v>1006</v>
      </c>
      <c r="D441" s="1065" t="str">
        <f ca="1">CELL("Address",Elec_Rates!D$135)</f>
        <v>[EL25_0662B_Brittania_Hotel_Elec_Revised_Estim_B.xlsx]Elec_Rates!$D$135</v>
      </c>
      <c r="E441" s="1066"/>
      <c r="F441" s="1066"/>
      <c r="G441" s="1067" t="s">
        <v>1007</v>
      </c>
      <c r="H441" s="1067"/>
      <c r="I441" s="1067"/>
      <c r="J441" s="1067"/>
      <c r="K441" s="1068"/>
      <c r="L441" s="1066"/>
      <c r="M441" s="1066"/>
      <c r="N441" s="1066"/>
      <c r="O441" s="1069"/>
      <c r="P441" s="1066"/>
      <c r="Q441" s="1070"/>
      <c r="R441" s="1071"/>
      <c r="S441" s="1070"/>
      <c r="T441" s="1072"/>
      <c r="U441" s="1073"/>
    </row>
    <row r="442" spans="1:41" s="997" customFormat="1" ht="11.4">
      <c r="A442" s="1074">
        <v>30</v>
      </c>
      <c r="B442" s="1075">
        <v>1</v>
      </c>
      <c r="C442" s="1075">
        <f>$A442*$B442</f>
        <v>30</v>
      </c>
      <c r="D442" s="1076" t="str">
        <f>Elec_Rates!$D$135</f>
        <v>013# HDG Cable Tray Size 100mm x 50mm</v>
      </c>
      <c r="E442" s="1076"/>
      <c r="F442" s="1076"/>
      <c r="G442" s="1077" t="s">
        <v>1008</v>
      </c>
      <c r="H442" s="1077"/>
      <c r="I442" s="1077"/>
      <c r="J442" s="1077"/>
      <c r="K442" s="1078"/>
      <c r="L442" s="1073"/>
      <c r="M442" s="1073"/>
      <c r="N442" s="1073"/>
      <c r="O442" s="1079"/>
      <c r="P442" s="1076"/>
      <c r="Q442" s="1080">
        <f ca="1">$B442*Elec_Rates!$R$135</f>
        <v>4.01</v>
      </c>
      <c r="R442" s="1071">
        <f ca="1">$A442*Q442</f>
        <v>120.3</v>
      </c>
      <c r="S442" s="1080">
        <f ca="1">$B442*Elec_Rates!$T$135</f>
        <v>0.21</v>
      </c>
      <c r="T442" s="1072">
        <f ca="1">$A442*S442</f>
        <v>6.3</v>
      </c>
      <c r="U442" s="1081"/>
    </row>
    <row r="443" spans="1:41" s="997" customFormat="1" ht="13.2">
      <c r="A443"/>
      <c r="B443" s="1065"/>
      <c r="C443" s="1065" t="s">
        <v>1006</v>
      </c>
      <c r="D443" s="1065" t="str">
        <f ca="1">CELL("Address",Elec_Rates!D$180)</f>
        <v>[EL25_0662B_Brittania_Hotel_Elec_Revised_Estim_B.xlsx]Elec_Rates!$D$180</v>
      </c>
      <c r="E443" s="1066"/>
      <c r="F443" s="1066"/>
      <c r="G443" s="1067" t="s">
        <v>1007</v>
      </c>
      <c r="H443" s="1067"/>
      <c r="I443" s="1067"/>
      <c r="J443" s="1067"/>
      <c r="K443" s="1068"/>
      <c r="L443" s="1066"/>
      <c r="M443" s="1066"/>
      <c r="N443" s="1066"/>
      <c r="O443" s="1069"/>
      <c r="P443" s="1066"/>
      <c r="Q443" s="1070"/>
      <c r="R443" s="1071"/>
      <c r="S443" s="1070"/>
      <c r="T443" s="1072"/>
      <c r="U443" s="1073"/>
    </row>
    <row r="444" spans="1:41" s="997" customFormat="1" ht="11.4">
      <c r="A444" s="1074">
        <v>30</v>
      </c>
      <c r="B444" s="1075">
        <v>1</v>
      </c>
      <c r="C444" s="1075">
        <f>$A444*$B444</f>
        <v>30</v>
      </c>
      <c r="D444" s="1076" t="str">
        <f>Elec_Rates!$D$180</f>
        <v>018# Cable Containment Supports</v>
      </c>
      <c r="E444" s="1076"/>
      <c r="F444" s="1076"/>
      <c r="G444" s="1077" t="s">
        <v>1008</v>
      </c>
      <c r="H444" s="1077"/>
      <c r="I444" s="1077"/>
      <c r="J444" s="1077"/>
      <c r="K444" s="1078"/>
      <c r="L444" s="1073"/>
      <c r="M444" s="1073"/>
      <c r="N444" s="1073"/>
      <c r="O444" s="1079"/>
      <c r="P444" s="1076"/>
      <c r="Q444" s="1080">
        <f ca="1">$B444*Elec_Rates!$R$180</f>
        <v>3.65</v>
      </c>
      <c r="R444" s="1071">
        <f ca="1">$A444*Q444</f>
        <v>109.5</v>
      </c>
      <c r="S444" s="1080">
        <f ca="1">$B444*Elec_Rates!$T$180</f>
        <v>0.25</v>
      </c>
      <c r="T444" s="1072">
        <f ca="1">$A444*S444</f>
        <v>7.5</v>
      </c>
      <c r="U444" s="1081"/>
    </row>
    <row r="445" spans="1:41" s="504" customFormat="1" ht="12">
      <c r="A445" s="882"/>
      <c r="B445" s="882"/>
      <c r="C445" s="882"/>
      <c r="D445" s="882"/>
      <c r="E445" s="882"/>
      <c r="F445" s="877"/>
      <c r="G445" s="882"/>
      <c r="H445" s="882"/>
      <c r="I445" s="503"/>
      <c r="J445" s="882"/>
      <c r="K445" s="882"/>
      <c r="L445" s="882"/>
      <c r="M445" s="882"/>
      <c r="N445" s="882"/>
      <c r="O445" s="882"/>
      <c r="P445" s="882"/>
      <c r="Q445" s="503"/>
      <c r="R445" s="883">
        <f>$A445*Q445</f>
        <v>0</v>
      </c>
      <c r="S445" s="503"/>
      <c r="T445" s="884">
        <f>$A445*S445*$T$1</f>
        <v>0</v>
      </c>
    </row>
    <row r="446" spans="1:41" s="504" customFormat="1" ht="12.6" thickBot="1">
      <c r="A446" s="885" t="s">
        <v>142</v>
      </c>
      <c r="B446" s="886">
        <f>(R445+T445)</f>
        <v>0</v>
      </c>
      <c r="C446" s="887"/>
      <c r="D446" s="887"/>
      <c r="E446" s="887"/>
      <c r="F446" s="888"/>
      <c r="G446" s="887" t="s">
        <v>143</v>
      </c>
      <c r="H446" s="887"/>
      <c r="I446" s="889"/>
      <c r="J446" s="887"/>
      <c r="K446" s="887" t="s">
        <v>3</v>
      </c>
      <c r="L446" s="890" t="s">
        <v>140</v>
      </c>
      <c r="M446" s="890"/>
      <c r="N446" s="890"/>
      <c r="O446" s="890"/>
      <c r="P446" s="890"/>
      <c r="Q446" s="891"/>
      <c r="R446" s="892">
        <f ca="1">SUM(R440:R445)</f>
        <v>229.8</v>
      </c>
      <c r="S446" s="887"/>
      <c r="T446" s="892">
        <f ca="1">SUM(T440:T445)</f>
        <v>13.8</v>
      </c>
      <c r="U446" s="514"/>
      <c r="V446" s="514"/>
      <c r="W446" s="514"/>
      <c r="X446" s="514"/>
      <c r="Y446" s="514"/>
      <c r="Z446" s="514"/>
      <c r="AA446" s="514"/>
      <c r="AB446" s="514"/>
      <c r="AC446" s="514"/>
      <c r="AD446" s="514"/>
      <c r="AE446" s="514"/>
      <c r="AF446" s="514"/>
      <c r="AG446" s="514"/>
      <c r="AH446" s="514"/>
      <c r="AI446" s="514"/>
      <c r="AJ446" s="514"/>
      <c r="AK446" s="514"/>
      <c r="AL446" s="514"/>
      <c r="AM446" s="514"/>
      <c r="AN446" s="514"/>
      <c r="AO446" s="514"/>
    </row>
    <row r="447" spans="1:41" s="504" customFormat="1" ht="12" thickTop="1">
      <c r="A447" s="50"/>
      <c r="B447" s="40"/>
      <c r="C447" s="50"/>
      <c r="E447" s="41" t="s">
        <v>136</v>
      </c>
      <c r="F447" s="41" t="s">
        <v>137</v>
      </c>
      <c r="G447" s="50"/>
      <c r="H447" s="50"/>
      <c r="I447" s="50"/>
      <c r="J447" s="50"/>
      <c r="K447" s="50" t="s">
        <v>138</v>
      </c>
      <c r="L447" s="50"/>
      <c r="M447" s="50"/>
      <c r="N447" s="50"/>
      <c r="O447" s="51"/>
      <c r="P447" s="50"/>
      <c r="Q447" s="50"/>
      <c r="R447" s="50"/>
      <c r="S447" s="50"/>
      <c r="T447" s="40"/>
      <c r="AG447" s="867" t="s">
        <v>241</v>
      </c>
      <c r="AH447" s="867" t="s">
        <v>242</v>
      </c>
      <c r="AI447" s="867" t="s">
        <v>243</v>
      </c>
      <c r="AJ447" s="867" t="s">
        <v>244</v>
      </c>
      <c r="AK447" s="867" t="s">
        <v>245</v>
      </c>
      <c r="AM447" s="868" t="s">
        <v>254</v>
      </c>
      <c r="AN447" s="869" t="s">
        <v>255</v>
      </c>
      <c r="AO447" s="505" t="s">
        <v>251</v>
      </c>
    </row>
    <row r="448" spans="1:41" s="504" customFormat="1" ht="12" customHeight="1">
      <c r="A448" s="870">
        <v>30</v>
      </c>
      <c r="B448" s="871" t="s">
        <v>326</v>
      </c>
      <c r="C448" s="872"/>
      <c r="D448" s="873" t="s">
        <v>806</v>
      </c>
      <c r="E448" s="874">
        <f ca="1">IF(AND($A448=0,$A$1="DIF"),0, ROUND(ROUND(($R455*$S$2+($T455*$T$2))/A448,2)*$C$2,2))</f>
        <v>36.520000000000003</v>
      </c>
      <c r="F448" s="875">
        <f ca="1">ROUND($A448*$E448,2)</f>
        <v>1095.5999999999999</v>
      </c>
      <c r="G448" s="876" t="s">
        <v>139</v>
      </c>
      <c r="H448" s="877"/>
      <c r="I448" s="878"/>
      <c r="J448" s="877"/>
      <c r="K448" s="877" t="s">
        <v>3</v>
      </c>
      <c r="L448" s="879" t="s">
        <v>140</v>
      </c>
      <c r="M448" s="879"/>
      <c r="N448" s="879"/>
      <c r="O448" s="879"/>
      <c r="P448" s="879"/>
      <c r="Q448" s="50"/>
      <c r="T448" s="880" t="str">
        <f ca="1">IF(AND($R455=0,$T455=0),"0.00","mu :" &amp; ROUND($F448/$C$2/($R455+$T455*$D$9),2))</f>
        <v>mu :1.22</v>
      </c>
      <c r="W448" s="507"/>
      <c r="AG448" s="465">
        <f ca="1">IF($E448=0,0,ROUND($R455*$S$2*$C$2/$A448,2))</f>
        <v>12.96</v>
      </c>
      <c r="AH448" s="465">
        <f ca="1">$AG448*$A448</f>
        <v>388.8</v>
      </c>
      <c r="AI448" s="508">
        <f ca="1">$E448-$AG448</f>
        <v>23.560000000000002</v>
      </c>
      <c r="AJ448" s="508">
        <f ca="1">$A448*$AI448</f>
        <v>706.80000000000007</v>
      </c>
      <c r="AK448" s="509">
        <f ca="1">ROUND(($AG448+$AI448)*$A448,2)</f>
        <v>1095.5999999999999</v>
      </c>
      <c r="AM448" s="510">
        <f ca="1">ROUND(R455,2)</f>
        <v>318.60000000000002</v>
      </c>
      <c r="AN448" s="511">
        <f ca="1">ROUND(T455,2)</f>
        <v>20.100000000000001</v>
      </c>
      <c r="AO448" s="512">
        <f ca="1">ROUND(AM448+AN448,2)*A448</f>
        <v>10161</v>
      </c>
    </row>
    <row r="449" spans="1:41" s="504" customFormat="1" ht="13.2">
      <c r="A449" s="872"/>
      <c r="B449"/>
      <c r="C449" s="872"/>
      <c r="D449" s="873" t="s">
        <v>327</v>
      </c>
      <c r="F449" s="877"/>
      <c r="G449" s="3"/>
      <c r="H449" s="877"/>
      <c r="I449" s="878"/>
      <c r="J449" s="877"/>
      <c r="K449" s="877" t="s">
        <v>141</v>
      </c>
      <c r="L449" s="877"/>
      <c r="M449" s="877"/>
      <c r="N449" s="877"/>
      <c r="O449" s="877"/>
      <c r="P449" s="877"/>
      <c r="Q449" s="50"/>
      <c r="R449" s="513"/>
      <c r="S449" s="881"/>
      <c r="T449" s="877"/>
    </row>
    <row r="450" spans="1:41" s="997" customFormat="1" ht="13.2">
      <c r="A450"/>
      <c r="B450" s="1065"/>
      <c r="C450" s="1065" t="s">
        <v>1006</v>
      </c>
      <c r="D450" s="1065" t="str">
        <f ca="1">CELL("Address",Elec_Rates!D$144)</f>
        <v>[EL25_0662B_Brittania_Hotel_Elec_Revised_Estim_B.xlsx]Elec_Rates!$D$144</v>
      </c>
      <c r="E450" s="1066"/>
      <c r="F450" s="1066"/>
      <c r="G450" s="1067" t="s">
        <v>1007</v>
      </c>
      <c r="H450" s="1067"/>
      <c r="I450" s="1067"/>
      <c r="J450" s="1067"/>
      <c r="K450" s="1068"/>
      <c r="L450" s="1066"/>
      <c r="M450" s="1066"/>
      <c r="N450" s="1066"/>
      <c r="O450" s="1069"/>
      <c r="P450" s="1066"/>
      <c r="Q450" s="1070"/>
      <c r="R450" s="1071"/>
      <c r="S450" s="1070"/>
      <c r="T450" s="1072"/>
      <c r="U450" s="1073"/>
    </row>
    <row r="451" spans="1:41" s="997" customFormat="1" ht="11.4">
      <c r="A451" s="1074">
        <v>30</v>
      </c>
      <c r="B451" s="1075">
        <v>1</v>
      </c>
      <c r="C451" s="1075">
        <f>$A451*$B451</f>
        <v>30</v>
      </c>
      <c r="D451" s="1076" t="str">
        <f>Elec_Rates!$D$144</f>
        <v>014# HDG Cable Tray Size 200mm x 50mm</v>
      </c>
      <c r="E451" s="1076"/>
      <c r="F451" s="1076"/>
      <c r="G451" s="1077" t="s">
        <v>1008</v>
      </c>
      <c r="H451" s="1077"/>
      <c r="I451" s="1077"/>
      <c r="J451" s="1077"/>
      <c r="K451" s="1078"/>
      <c r="L451" s="1073"/>
      <c r="M451" s="1073"/>
      <c r="N451" s="1073"/>
      <c r="O451" s="1079"/>
      <c r="P451" s="1076"/>
      <c r="Q451" s="1080">
        <f ca="1">$B451*Elec_Rates!$R$144</f>
        <v>5.51</v>
      </c>
      <c r="R451" s="1071">
        <f ca="1">$A451*Q451</f>
        <v>165.29999999999998</v>
      </c>
      <c r="S451" s="1080">
        <f ca="1">$B451*Elec_Rates!$T$144</f>
        <v>0.32</v>
      </c>
      <c r="T451" s="1072">
        <f ca="1">$A451*S451</f>
        <v>9.6</v>
      </c>
      <c r="U451" s="1081"/>
    </row>
    <row r="452" spans="1:41" s="997" customFormat="1" ht="13.2">
      <c r="A452"/>
      <c r="B452" s="1065"/>
      <c r="C452" s="1065" t="s">
        <v>1006</v>
      </c>
      <c r="D452" s="1065" t="str">
        <f ca="1">CELL("Address",Elec_Rates!D$180)</f>
        <v>[EL25_0662B_Brittania_Hotel_Elec_Revised_Estim_B.xlsx]Elec_Rates!$D$180</v>
      </c>
      <c r="E452" s="1066"/>
      <c r="F452" s="1066"/>
      <c r="G452" s="1067" t="s">
        <v>1007</v>
      </c>
      <c r="H452" s="1067"/>
      <c r="I452" s="1067"/>
      <c r="J452" s="1067"/>
      <c r="K452" s="1068"/>
      <c r="L452" s="1066"/>
      <c r="M452" s="1066"/>
      <c r="N452" s="1066"/>
      <c r="O452" s="1069"/>
      <c r="P452" s="1066"/>
      <c r="Q452" s="1070"/>
      <c r="R452" s="1071"/>
      <c r="S452" s="1070"/>
      <c r="T452" s="1072"/>
      <c r="U452" s="1073"/>
    </row>
    <row r="453" spans="1:41" s="997" customFormat="1" ht="11.4">
      <c r="A453" s="1074">
        <v>30</v>
      </c>
      <c r="B453" s="1075">
        <v>1.4</v>
      </c>
      <c r="C453" s="1075">
        <f>$A453*$B453</f>
        <v>42</v>
      </c>
      <c r="D453" s="1076" t="str">
        <f>Elec_Rates!$D$180</f>
        <v>018# Cable Containment Supports</v>
      </c>
      <c r="E453" s="1076"/>
      <c r="F453" s="1076"/>
      <c r="G453" s="1077" t="s">
        <v>1008</v>
      </c>
      <c r="H453" s="1077"/>
      <c r="I453" s="1077"/>
      <c r="J453" s="1077"/>
      <c r="K453" s="1078"/>
      <c r="L453" s="1073"/>
      <c r="M453" s="1073"/>
      <c r="N453" s="1073"/>
      <c r="O453" s="1079"/>
      <c r="P453" s="1076"/>
      <c r="Q453" s="1080">
        <f ca="1">$B453*Elec_Rates!$R$180</f>
        <v>5.1099999999999994</v>
      </c>
      <c r="R453" s="1071">
        <f ca="1">$A453*Q453</f>
        <v>153.29999999999998</v>
      </c>
      <c r="S453" s="1080">
        <f ca="1">$B453*Elec_Rates!$T$180</f>
        <v>0.35</v>
      </c>
      <c r="T453" s="1072">
        <f ca="1">$A453*S453</f>
        <v>10.5</v>
      </c>
      <c r="U453" s="1081"/>
    </row>
    <row r="454" spans="1:41" s="504" customFormat="1" ht="12">
      <c r="A454" s="882"/>
      <c r="B454" s="882"/>
      <c r="C454" s="882"/>
      <c r="D454" s="882"/>
      <c r="E454" s="882"/>
      <c r="F454" s="877"/>
      <c r="G454" s="882"/>
      <c r="H454" s="882"/>
      <c r="I454" s="503"/>
      <c r="J454" s="882"/>
      <c r="K454" s="882"/>
      <c r="L454" s="882"/>
      <c r="M454" s="882"/>
      <c r="N454" s="882"/>
      <c r="O454" s="882"/>
      <c r="P454" s="882"/>
      <c r="Q454" s="503"/>
      <c r="R454" s="883">
        <f>$A454*Q454</f>
        <v>0</v>
      </c>
      <c r="S454" s="503"/>
      <c r="T454" s="884">
        <f>$A454*S454*$T$1</f>
        <v>0</v>
      </c>
    </row>
    <row r="455" spans="1:41" s="504" customFormat="1" ht="12.6" thickBot="1">
      <c r="A455" s="885" t="s">
        <v>142</v>
      </c>
      <c r="B455" s="886">
        <f>(R454+T454)</f>
        <v>0</v>
      </c>
      <c r="C455" s="887"/>
      <c r="D455" s="887"/>
      <c r="E455" s="887"/>
      <c r="F455" s="888"/>
      <c r="G455" s="887" t="s">
        <v>143</v>
      </c>
      <c r="H455" s="887"/>
      <c r="I455" s="889"/>
      <c r="J455" s="887"/>
      <c r="K455" s="887" t="s">
        <v>3</v>
      </c>
      <c r="L455" s="890" t="s">
        <v>140</v>
      </c>
      <c r="M455" s="890"/>
      <c r="N455" s="890"/>
      <c r="O455" s="890"/>
      <c r="P455" s="890"/>
      <c r="Q455" s="891"/>
      <c r="R455" s="892">
        <f ca="1">SUM(R449:R454)</f>
        <v>318.59999999999997</v>
      </c>
      <c r="S455" s="887"/>
      <c r="T455" s="892">
        <f ca="1">SUM(T449:T454)</f>
        <v>20.100000000000001</v>
      </c>
      <c r="U455" s="514"/>
      <c r="V455" s="514"/>
      <c r="W455" s="514"/>
      <c r="X455" s="514"/>
      <c r="Y455" s="514"/>
      <c r="Z455" s="514"/>
      <c r="AA455" s="514"/>
      <c r="AB455" s="514"/>
      <c r="AC455" s="514"/>
      <c r="AD455" s="514"/>
      <c r="AE455" s="514"/>
      <c r="AF455" s="514"/>
      <c r="AG455" s="514"/>
      <c r="AH455" s="514"/>
      <c r="AI455" s="514"/>
      <c r="AJ455" s="514"/>
      <c r="AK455" s="514"/>
      <c r="AL455" s="514"/>
      <c r="AM455" s="514"/>
      <c r="AN455" s="514"/>
      <c r="AO455" s="514"/>
    </row>
    <row r="456" spans="1:41" s="504" customFormat="1" ht="12" thickTop="1">
      <c r="A456" s="50"/>
      <c r="B456" s="40"/>
      <c r="C456" s="50"/>
      <c r="E456" s="41" t="s">
        <v>136</v>
      </c>
      <c r="F456" s="41" t="s">
        <v>137</v>
      </c>
      <c r="G456" s="50"/>
      <c r="H456" s="50"/>
      <c r="I456" s="50"/>
      <c r="J456" s="50"/>
      <c r="K456" s="50" t="s">
        <v>138</v>
      </c>
      <c r="L456" s="50"/>
      <c r="M456" s="50"/>
      <c r="N456" s="50"/>
      <c r="O456" s="51"/>
      <c r="P456" s="50"/>
      <c r="Q456" s="50"/>
      <c r="R456" s="50"/>
      <c r="S456" s="50"/>
      <c r="T456" s="40"/>
      <c r="AG456" s="867" t="s">
        <v>241</v>
      </c>
      <c r="AH456" s="867" t="s">
        <v>242</v>
      </c>
      <c r="AI456" s="867" t="s">
        <v>243</v>
      </c>
      <c r="AJ456" s="867" t="s">
        <v>244</v>
      </c>
      <c r="AK456" s="867" t="s">
        <v>245</v>
      </c>
      <c r="AM456" s="868" t="s">
        <v>254</v>
      </c>
      <c r="AN456" s="869" t="s">
        <v>255</v>
      </c>
      <c r="AO456" s="505" t="s">
        <v>251</v>
      </c>
    </row>
    <row r="457" spans="1:41" s="504" customFormat="1" ht="12" customHeight="1">
      <c r="A457" s="870">
        <v>10</v>
      </c>
      <c r="B457" s="871" t="s">
        <v>326</v>
      </c>
      <c r="C457" s="872"/>
      <c r="D457" s="873" t="s">
        <v>808</v>
      </c>
      <c r="E457" s="874">
        <f ca="1">IF(AND($A457=0,$A$1="DIF"),0, ROUND(ROUND(($R464*$S$2+($T464*$T$2))/A457,2)*$C$2,2))</f>
        <v>42.77</v>
      </c>
      <c r="F457" s="875">
        <f ca="1">ROUND($A457*$E457,2)</f>
        <v>427.7</v>
      </c>
      <c r="G457" s="876" t="s">
        <v>139</v>
      </c>
      <c r="H457" s="877"/>
      <c r="I457" s="878"/>
      <c r="J457" s="877"/>
      <c r="K457" s="877" t="s">
        <v>3</v>
      </c>
      <c r="L457" s="879" t="s">
        <v>140</v>
      </c>
      <c r="M457" s="879"/>
      <c r="N457" s="879"/>
      <c r="O457" s="879"/>
      <c r="P457" s="879"/>
      <c r="Q457" s="50"/>
      <c r="T457" s="880" t="str">
        <f ca="1">IF(AND($R464=0,$T464=0),"0.00","mu :" &amp; ROUND($F457/$C$2/($R464+$T464*$D$9),2))</f>
        <v>mu :1.22</v>
      </c>
      <c r="W457" s="507"/>
      <c r="AG457" s="465">
        <f ca="1">IF($E457=0,0,ROUND($R464*$S$2*$C$2/$A457,2))</f>
        <v>15.69</v>
      </c>
      <c r="AH457" s="465">
        <f ca="1">$AG457*$A457</f>
        <v>156.9</v>
      </c>
      <c r="AI457" s="508">
        <f ca="1">$E457-$AG457</f>
        <v>27.080000000000005</v>
      </c>
      <c r="AJ457" s="508">
        <f ca="1">$A457*$AI457</f>
        <v>270.80000000000007</v>
      </c>
      <c r="AK457" s="509">
        <f ca="1">ROUND(($AG457+$AI457)*$A457,2)</f>
        <v>427.7</v>
      </c>
      <c r="AM457" s="510">
        <f ca="1">ROUND(R464,2)</f>
        <v>128.6</v>
      </c>
      <c r="AN457" s="511">
        <f ca="1">ROUND(T464,2)</f>
        <v>7.7</v>
      </c>
      <c r="AO457" s="512">
        <f ca="1">ROUND(AM457+AN457,2)*A457</f>
        <v>1363</v>
      </c>
    </row>
    <row r="458" spans="1:41" s="504" customFormat="1" ht="13.2">
      <c r="A458" s="872"/>
      <c r="B458"/>
      <c r="C458" s="872"/>
      <c r="D458" s="873" t="s">
        <v>328</v>
      </c>
      <c r="F458" s="877"/>
      <c r="G458" s="3"/>
      <c r="H458" s="877"/>
      <c r="I458" s="878"/>
      <c r="J458" s="877"/>
      <c r="K458" s="877" t="s">
        <v>141</v>
      </c>
      <c r="L458" s="877"/>
      <c r="M458" s="877"/>
      <c r="N458" s="877"/>
      <c r="O458" s="877"/>
      <c r="P458" s="877"/>
      <c r="Q458" s="50"/>
      <c r="R458" s="513"/>
      <c r="S458" s="881"/>
      <c r="T458" s="877"/>
    </row>
    <row r="459" spans="1:41" s="997" customFormat="1" ht="13.2">
      <c r="A459"/>
      <c r="B459" s="1065"/>
      <c r="C459" s="1065" t="s">
        <v>1006</v>
      </c>
      <c r="D459" s="1065" t="str">
        <f ca="1">CELL("Address",Elec_Rates!D$153)</f>
        <v>[EL25_0662B_Brittania_Hotel_Elec_Revised_Estim_B.xlsx]Elec_Rates!$D$153</v>
      </c>
      <c r="E459" s="1066"/>
      <c r="F459" s="1066"/>
      <c r="G459" s="1067" t="s">
        <v>1007</v>
      </c>
      <c r="H459" s="1067"/>
      <c r="I459" s="1067"/>
      <c r="J459" s="1067"/>
      <c r="K459" s="1068"/>
      <c r="L459" s="1066"/>
      <c r="M459" s="1066"/>
      <c r="N459" s="1066"/>
      <c r="O459" s="1069"/>
      <c r="P459" s="1066"/>
      <c r="Q459" s="1070"/>
      <c r="R459" s="1071"/>
      <c r="S459" s="1070"/>
      <c r="T459" s="1072"/>
      <c r="U459" s="1073"/>
    </row>
    <row r="460" spans="1:41" s="997" customFormat="1" ht="11.4">
      <c r="A460" s="1074">
        <v>10</v>
      </c>
      <c r="B460" s="1075">
        <v>1</v>
      </c>
      <c r="C460" s="1075">
        <f>$A460*$B460</f>
        <v>10</v>
      </c>
      <c r="D460" s="1076" t="str">
        <f>Elec_Rates!$D$153</f>
        <v>015# HDG Cable Tray Size 300mm x 50mm</v>
      </c>
      <c r="E460" s="1076"/>
      <c r="F460" s="1076"/>
      <c r="G460" s="1077" t="s">
        <v>1008</v>
      </c>
      <c r="H460" s="1077"/>
      <c r="I460" s="1077"/>
      <c r="J460" s="1077"/>
      <c r="K460" s="1078"/>
      <c r="L460" s="1073"/>
      <c r="M460" s="1073"/>
      <c r="N460" s="1073"/>
      <c r="O460" s="1079"/>
      <c r="P460" s="1076"/>
      <c r="Q460" s="1080">
        <f ca="1">$B460*Elec_Rates!$R$153</f>
        <v>7.02</v>
      </c>
      <c r="R460" s="1071">
        <f ca="1">$A460*Q460</f>
        <v>70.199999999999989</v>
      </c>
      <c r="S460" s="1080">
        <f ca="1">$B460*Elec_Rates!$T$153</f>
        <v>0.37</v>
      </c>
      <c r="T460" s="1072">
        <f ca="1">$A460*S460</f>
        <v>3.7</v>
      </c>
      <c r="U460" s="1081"/>
    </row>
    <row r="461" spans="1:41" s="997" customFormat="1" ht="13.2">
      <c r="A461"/>
      <c r="B461" s="1065"/>
      <c r="C461" s="1065" t="s">
        <v>1006</v>
      </c>
      <c r="D461" s="1065" t="str">
        <f ca="1">CELL("Address",Elec_Rates!D$180)</f>
        <v>[EL25_0662B_Brittania_Hotel_Elec_Revised_Estim_B.xlsx]Elec_Rates!$D$180</v>
      </c>
      <c r="E461" s="1066"/>
      <c r="F461" s="1066"/>
      <c r="G461" s="1067" t="s">
        <v>1007</v>
      </c>
      <c r="H461" s="1067"/>
      <c r="I461" s="1067"/>
      <c r="J461" s="1067"/>
      <c r="K461" s="1068"/>
      <c r="L461" s="1066"/>
      <c r="M461" s="1066"/>
      <c r="N461" s="1066"/>
      <c r="O461" s="1069"/>
      <c r="P461" s="1066"/>
      <c r="Q461" s="1070"/>
      <c r="R461" s="1071"/>
      <c r="S461" s="1070"/>
      <c r="T461" s="1072"/>
      <c r="U461" s="1073"/>
    </row>
    <row r="462" spans="1:41" s="997" customFormat="1" ht="11.4">
      <c r="A462" s="1074">
        <v>10</v>
      </c>
      <c r="B462" s="1075">
        <v>1.6</v>
      </c>
      <c r="C462" s="1075">
        <f>$A462*$B462</f>
        <v>16</v>
      </c>
      <c r="D462" s="1076" t="str">
        <f>Elec_Rates!$D$180</f>
        <v>018# Cable Containment Supports</v>
      </c>
      <c r="E462" s="1076"/>
      <c r="F462" s="1076"/>
      <c r="G462" s="1077" t="s">
        <v>1008</v>
      </c>
      <c r="H462" s="1077"/>
      <c r="I462" s="1077"/>
      <c r="J462" s="1077"/>
      <c r="K462" s="1078"/>
      <c r="L462" s="1073"/>
      <c r="M462" s="1073"/>
      <c r="N462" s="1073"/>
      <c r="O462" s="1079"/>
      <c r="P462" s="1076"/>
      <c r="Q462" s="1080">
        <f ca="1">$B462*Elec_Rates!$R$180</f>
        <v>5.84</v>
      </c>
      <c r="R462" s="1071">
        <f ca="1">$A462*Q462</f>
        <v>58.4</v>
      </c>
      <c r="S462" s="1080">
        <f ca="1">$B462*Elec_Rates!$T$180</f>
        <v>0.4</v>
      </c>
      <c r="T462" s="1072">
        <f ca="1">$A462*S462</f>
        <v>4</v>
      </c>
      <c r="U462" s="1081"/>
    </row>
    <row r="463" spans="1:41" s="504" customFormat="1" ht="12">
      <c r="A463" s="882"/>
      <c r="B463" s="882"/>
      <c r="C463" s="882"/>
      <c r="D463" s="882"/>
      <c r="E463" s="882"/>
      <c r="F463" s="877"/>
      <c r="G463" s="882"/>
      <c r="H463" s="882"/>
      <c r="I463" s="503"/>
      <c r="J463" s="882"/>
      <c r="K463" s="882"/>
      <c r="L463" s="882"/>
      <c r="M463" s="882"/>
      <c r="N463" s="882"/>
      <c r="O463" s="882"/>
      <c r="P463" s="882"/>
      <c r="Q463" s="503"/>
      <c r="R463" s="883">
        <f>$A463*Q463</f>
        <v>0</v>
      </c>
      <c r="S463" s="503"/>
      <c r="T463" s="884">
        <f>$A463*S463*$T$1</f>
        <v>0</v>
      </c>
    </row>
    <row r="464" spans="1:41" s="504" customFormat="1" ht="12.6" thickBot="1">
      <c r="A464" s="885" t="s">
        <v>142</v>
      </c>
      <c r="B464" s="886">
        <f>(R463+T463)</f>
        <v>0</v>
      </c>
      <c r="C464" s="887"/>
      <c r="D464" s="887"/>
      <c r="E464" s="887"/>
      <c r="F464" s="888"/>
      <c r="G464" s="887" t="s">
        <v>143</v>
      </c>
      <c r="H464" s="887"/>
      <c r="I464" s="889"/>
      <c r="J464" s="887"/>
      <c r="K464" s="887" t="s">
        <v>3</v>
      </c>
      <c r="L464" s="890" t="s">
        <v>140</v>
      </c>
      <c r="M464" s="890"/>
      <c r="N464" s="890"/>
      <c r="O464" s="890"/>
      <c r="P464" s="890"/>
      <c r="Q464" s="891"/>
      <c r="R464" s="892">
        <f ca="1">SUM(R458:R463)</f>
        <v>128.6</v>
      </c>
      <c r="S464" s="887"/>
      <c r="T464" s="892">
        <f ca="1">SUM(T458:T463)</f>
        <v>7.7</v>
      </c>
      <c r="U464" s="514"/>
      <c r="V464" s="514"/>
      <c r="W464" s="514"/>
      <c r="X464" s="514"/>
      <c r="Y464" s="514"/>
      <c r="Z464" s="514"/>
      <c r="AA464" s="514"/>
      <c r="AB464" s="514"/>
      <c r="AC464" s="514"/>
      <c r="AD464" s="514"/>
      <c r="AE464" s="514"/>
      <c r="AF464" s="514"/>
      <c r="AG464" s="514"/>
      <c r="AH464" s="514"/>
      <c r="AI464" s="514"/>
      <c r="AJ464" s="514"/>
      <c r="AK464" s="514"/>
      <c r="AL464" s="514"/>
      <c r="AM464" s="514"/>
      <c r="AN464" s="514"/>
      <c r="AO464" s="514"/>
    </row>
    <row r="465" spans="1:41" s="504" customFormat="1" ht="12" thickTop="1">
      <c r="A465" s="50"/>
      <c r="B465" s="40"/>
      <c r="C465" s="50"/>
      <c r="E465" s="41" t="s">
        <v>136</v>
      </c>
      <c r="F465" s="41" t="s">
        <v>137</v>
      </c>
      <c r="G465" s="50"/>
      <c r="H465" s="50"/>
      <c r="I465" s="50"/>
      <c r="J465" s="50"/>
      <c r="K465" s="50" t="s">
        <v>138</v>
      </c>
      <c r="L465" s="50"/>
      <c r="M465" s="50"/>
      <c r="N465" s="50"/>
      <c r="O465" s="51"/>
      <c r="P465" s="50"/>
      <c r="Q465" s="50"/>
      <c r="R465" s="50"/>
      <c r="S465" s="50"/>
      <c r="T465" s="40"/>
      <c r="AG465" s="867" t="s">
        <v>241</v>
      </c>
      <c r="AH465" s="867" t="s">
        <v>242</v>
      </c>
      <c r="AI465" s="867" t="s">
        <v>243</v>
      </c>
      <c r="AJ465" s="867" t="s">
        <v>244</v>
      </c>
      <c r="AK465" s="867" t="s">
        <v>245</v>
      </c>
      <c r="AM465" s="868" t="s">
        <v>254</v>
      </c>
      <c r="AN465" s="869" t="s">
        <v>255</v>
      </c>
      <c r="AO465" s="505" t="s">
        <v>251</v>
      </c>
    </row>
    <row r="466" spans="1:41" s="504" customFormat="1" ht="12" customHeight="1">
      <c r="A466" s="870">
        <v>30</v>
      </c>
      <c r="B466" s="871" t="s">
        <v>326</v>
      </c>
      <c r="C466" s="872"/>
      <c r="D466" s="873" t="s">
        <v>810</v>
      </c>
      <c r="E466" s="874">
        <f ca="1">IF(AND($A466=0,$A$1="DIF"),0, ROUND(ROUND(($R473*$S$2+($T473*$T$2))/A466,2)*$C$2,2))</f>
        <v>51.17</v>
      </c>
      <c r="F466" s="875">
        <f ca="1">ROUND($A466*$E466,2)</f>
        <v>1535.1</v>
      </c>
      <c r="G466" s="876" t="s">
        <v>139</v>
      </c>
      <c r="H466" s="877"/>
      <c r="I466" s="878"/>
      <c r="J466" s="877"/>
      <c r="K466" s="877" t="s">
        <v>3</v>
      </c>
      <c r="L466" s="879" t="s">
        <v>140</v>
      </c>
      <c r="M466" s="879"/>
      <c r="N466" s="879"/>
      <c r="O466" s="879"/>
      <c r="P466" s="879"/>
      <c r="Q466" s="50"/>
      <c r="T466" s="880" t="str">
        <f ca="1">IF(AND($R473=0,$T473=0),"0.00","mu :" &amp; ROUND($F466/$C$2/($R473+$T473*$D$9),2))</f>
        <v>mu :1.22</v>
      </c>
      <c r="W466" s="507"/>
      <c r="AG466" s="465">
        <f ca="1">IF($E466=0,0,ROUND($R473*$S$2*$C$2/$A466,2))</f>
        <v>20.57</v>
      </c>
      <c r="AH466" s="465">
        <f ca="1">$AG466*$A466</f>
        <v>617.1</v>
      </c>
      <c r="AI466" s="508">
        <f ca="1">$E466-$AG466</f>
        <v>30.6</v>
      </c>
      <c r="AJ466" s="508">
        <f ca="1">$A466*$AI466</f>
        <v>918</v>
      </c>
      <c r="AK466" s="509">
        <f ca="1">ROUND(($AG466+$AI466)*$A466,2)</f>
        <v>1535.1</v>
      </c>
      <c r="AM466" s="510">
        <f ca="1">ROUND(R473,2)</f>
        <v>505.8</v>
      </c>
      <c r="AN466" s="511">
        <f ca="1">ROUND(T473,2)</f>
        <v>26.1</v>
      </c>
      <c r="AO466" s="512">
        <f ca="1">ROUND(AM466+AN466,2)*A466</f>
        <v>15957</v>
      </c>
    </row>
    <row r="467" spans="1:41" s="504" customFormat="1" ht="13.2">
      <c r="A467" s="872"/>
      <c r="B467"/>
      <c r="C467" s="872"/>
      <c r="D467" s="873" t="s">
        <v>329</v>
      </c>
      <c r="F467" s="877"/>
      <c r="G467" s="3"/>
      <c r="H467" s="877"/>
      <c r="I467" s="878"/>
      <c r="J467" s="877"/>
      <c r="K467" s="877" t="s">
        <v>141</v>
      </c>
      <c r="L467" s="877"/>
      <c r="M467" s="877"/>
      <c r="N467" s="877"/>
      <c r="O467" s="877"/>
      <c r="P467" s="877"/>
      <c r="Q467" s="50"/>
      <c r="R467" s="513"/>
      <c r="S467" s="881"/>
      <c r="T467" s="877"/>
    </row>
    <row r="468" spans="1:41" s="997" customFormat="1" ht="13.2">
      <c r="A468"/>
      <c r="B468" s="1065"/>
      <c r="C468" s="1065" t="s">
        <v>1006</v>
      </c>
      <c r="D468" s="1065" t="str">
        <f ca="1">CELL("Address",Elec_Rates!D$162)</f>
        <v>[EL25_0662B_Brittania_Hotel_Elec_Revised_Estim_B.xlsx]Elec_Rates!$D$162</v>
      </c>
      <c r="E468" s="1066"/>
      <c r="F468" s="1066"/>
      <c r="G468" s="1067" t="s">
        <v>1007</v>
      </c>
      <c r="H468" s="1067"/>
      <c r="I468" s="1067"/>
      <c r="J468" s="1067"/>
      <c r="K468" s="1068"/>
      <c r="L468" s="1066"/>
      <c r="M468" s="1066"/>
      <c r="N468" s="1066"/>
      <c r="O468" s="1069"/>
      <c r="P468" s="1066"/>
      <c r="Q468" s="1070"/>
      <c r="R468" s="1071"/>
      <c r="S468" s="1070"/>
      <c r="T468" s="1072"/>
      <c r="U468" s="1073"/>
    </row>
    <row r="469" spans="1:41" s="997" customFormat="1" ht="11.4">
      <c r="A469" s="1074">
        <v>30</v>
      </c>
      <c r="B469" s="1075">
        <v>1</v>
      </c>
      <c r="C469" s="1075">
        <f>$A469*$B469</f>
        <v>30</v>
      </c>
      <c r="D469" s="1076" t="str">
        <f>Elec_Rates!$D$162</f>
        <v>016# HDG Cable Tray Size 400mm x 50mm</v>
      </c>
      <c r="E469" s="1076"/>
      <c r="F469" s="1076"/>
      <c r="G469" s="1077" t="s">
        <v>1008</v>
      </c>
      <c r="H469" s="1077"/>
      <c r="I469" s="1077"/>
      <c r="J469" s="1077"/>
      <c r="K469" s="1078"/>
      <c r="L469" s="1073"/>
      <c r="M469" s="1073"/>
      <c r="N469" s="1073"/>
      <c r="O469" s="1079"/>
      <c r="P469" s="1076"/>
      <c r="Q469" s="1080">
        <f ca="1">$B469*Elec_Rates!$R$162</f>
        <v>10.29</v>
      </c>
      <c r="R469" s="1071">
        <f ca="1">$A469*Q469</f>
        <v>308.7</v>
      </c>
      <c r="S469" s="1080">
        <f ca="1">$B469*Elec_Rates!$T$162</f>
        <v>0.42</v>
      </c>
      <c r="T469" s="1072">
        <f ca="1">$A469*S469</f>
        <v>12.6</v>
      </c>
      <c r="U469" s="1081"/>
    </row>
    <row r="470" spans="1:41" s="997" customFormat="1" ht="13.2">
      <c r="A470"/>
      <c r="B470" s="1065"/>
      <c r="C470" s="1065" t="s">
        <v>1006</v>
      </c>
      <c r="D470" s="1065" t="str">
        <f ca="1">CELL("Address",Elec_Rates!D$180)</f>
        <v>[EL25_0662B_Brittania_Hotel_Elec_Revised_Estim_B.xlsx]Elec_Rates!$D$180</v>
      </c>
      <c r="E470" s="1066"/>
      <c r="F470" s="1066"/>
      <c r="G470" s="1067" t="s">
        <v>1007</v>
      </c>
      <c r="H470" s="1067"/>
      <c r="I470" s="1067"/>
      <c r="J470" s="1067"/>
      <c r="K470" s="1068"/>
      <c r="L470" s="1066"/>
      <c r="M470" s="1066"/>
      <c r="N470" s="1066"/>
      <c r="O470" s="1069"/>
      <c r="P470" s="1066"/>
      <c r="Q470" s="1070"/>
      <c r="R470" s="1071"/>
      <c r="S470" s="1070"/>
      <c r="T470" s="1072"/>
      <c r="U470" s="1073"/>
    </row>
    <row r="471" spans="1:41" s="997" customFormat="1" ht="11.4">
      <c r="A471" s="1074">
        <v>30</v>
      </c>
      <c r="B471" s="1075">
        <v>1.8</v>
      </c>
      <c r="C471" s="1075">
        <f>$A471*$B471</f>
        <v>54</v>
      </c>
      <c r="D471" s="1076" t="str">
        <f>Elec_Rates!$D$180</f>
        <v>018# Cable Containment Supports</v>
      </c>
      <c r="E471" s="1076"/>
      <c r="F471" s="1076"/>
      <c r="G471" s="1077" t="s">
        <v>1008</v>
      </c>
      <c r="H471" s="1077"/>
      <c r="I471" s="1077"/>
      <c r="J471" s="1077"/>
      <c r="K471" s="1078"/>
      <c r="L471" s="1073"/>
      <c r="M471" s="1073"/>
      <c r="N471" s="1073"/>
      <c r="O471" s="1079"/>
      <c r="P471" s="1076"/>
      <c r="Q471" s="1080">
        <f ca="1">$B471*Elec_Rates!$R$180</f>
        <v>6.57</v>
      </c>
      <c r="R471" s="1071">
        <f ca="1">$A471*Q471</f>
        <v>197.10000000000002</v>
      </c>
      <c r="S471" s="1080">
        <f ca="1">$B471*Elec_Rates!$T$180</f>
        <v>0.45</v>
      </c>
      <c r="T471" s="1072">
        <f ca="1">$A471*S471</f>
        <v>13.5</v>
      </c>
      <c r="U471" s="1081"/>
    </row>
    <row r="472" spans="1:41" s="504" customFormat="1" ht="12">
      <c r="A472" s="882"/>
      <c r="B472" s="882"/>
      <c r="C472" s="882"/>
      <c r="D472" s="882"/>
      <c r="E472" s="882"/>
      <c r="F472" s="877"/>
      <c r="G472" s="882"/>
      <c r="H472" s="882"/>
      <c r="I472" s="503"/>
      <c r="J472" s="882"/>
      <c r="K472" s="882"/>
      <c r="L472" s="882"/>
      <c r="M472" s="882"/>
      <c r="N472" s="882"/>
      <c r="O472" s="882"/>
      <c r="P472" s="882"/>
      <c r="Q472" s="503"/>
      <c r="R472" s="883">
        <f>$A472*Q472</f>
        <v>0</v>
      </c>
      <c r="S472" s="503"/>
      <c r="T472" s="884">
        <f>$A472*S472*$T$1</f>
        <v>0</v>
      </c>
    </row>
    <row r="473" spans="1:41" s="504" customFormat="1" ht="12.6" thickBot="1">
      <c r="A473" s="885" t="s">
        <v>142</v>
      </c>
      <c r="B473" s="886">
        <f>(R472+T472)</f>
        <v>0</v>
      </c>
      <c r="C473" s="887"/>
      <c r="D473" s="887"/>
      <c r="E473" s="887"/>
      <c r="F473" s="888"/>
      <c r="G473" s="887" t="s">
        <v>143</v>
      </c>
      <c r="H473" s="887"/>
      <c r="I473" s="889"/>
      <c r="J473" s="887"/>
      <c r="K473" s="887" t="s">
        <v>3</v>
      </c>
      <c r="L473" s="890" t="s">
        <v>140</v>
      </c>
      <c r="M473" s="890"/>
      <c r="N473" s="890"/>
      <c r="O473" s="890"/>
      <c r="P473" s="890"/>
      <c r="Q473" s="891"/>
      <c r="R473" s="892">
        <f ca="1">SUM(R467:R472)</f>
        <v>505.8</v>
      </c>
      <c r="S473" s="887"/>
      <c r="T473" s="892">
        <f ca="1">SUM(T467:T472)</f>
        <v>26.1</v>
      </c>
      <c r="U473" s="514"/>
      <c r="V473" s="514"/>
      <c r="W473" s="514"/>
      <c r="X473" s="514"/>
      <c r="Y473" s="514"/>
      <c r="Z473" s="514"/>
      <c r="AA473" s="514"/>
      <c r="AB473" s="514"/>
      <c r="AC473" s="514"/>
      <c r="AD473" s="514"/>
      <c r="AE473" s="514"/>
      <c r="AF473" s="514"/>
      <c r="AG473" s="514"/>
      <c r="AH473" s="514"/>
      <c r="AI473" s="514"/>
      <c r="AJ473" s="514"/>
      <c r="AK473" s="514"/>
      <c r="AL473" s="514"/>
      <c r="AM473" s="514"/>
      <c r="AN473" s="514"/>
      <c r="AO473" s="514"/>
    </row>
    <row r="474" spans="1:41" s="504" customFormat="1" ht="12" thickTop="1">
      <c r="A474" s="50"/>
      <c r="B474" s="40"/>
      <c r="C474" s="50"/>
      <c r="E474" s="41" t="s">
        <v>136</v>
      </c>
      <c r="F474" s="41" t="s">
        <v>137</v>
      </c>
      <c r="G474" s="50"/>
      <c r="H474" s="50"/>
      <c r="I474" s="50"/>
      <c r="J474" s="50"/>
      <c r="K474" s="50" t="s">
        <v>138</v>
      </c>
      <c r="L474" s="50"/>
      <c r="M474" s="50"/>
      <c r="N474" s="50"/>
      <c r="O474" s="51"/>
      <c r="P474" s="50"/>
      <c r="Q474" s="50"/>
      <c r="R474" s="50"/>
      <c r="S474" s="50"/>
      <c r="T474" s="40"/>
      <c r="AG474" s="867" t="s">
        <v>241</v>
      </c>
      <c r="AH474" s="867" t="s">
        <v>242</v>
      </c>
      <c r="AI474" s="867" t="s">
        <v>243</v>
      </c>
      <c r="AJ474" s="867" t="s">
        <v>244</v>
      </c>
      <c r="AK474" s="867" t="s">
        <v>245</v>
      </c>
      <c r="AM474" s="868" t="s">
        <v>254</v>
      </c>
      <c r="AN474" s="869" t="s">
        <v>255</v>
      </c>
      <c r="AO474" s="505" t="s">
        <v>251</v>
      </c>
    </row>
    <row r="475" spans="1:41" s="504" customFormat="1" ht="12" customHeight="1">
      <c r="A475" s="870">
        <v>20</v>
      </c>
      <c r="B475" s="871" t="s">
        <v>326</v>
      </c>
      <c r="C475" s="872"/>
      <c r="D475" s="873" t="s">
        <v>812</v>
      </c>
      <c r="E475" s="874">
        <f ca="1">IF(AND($A475=0,$A$1="DIF"),0, ROUND(ROUND(($R482*$S$2+($T482*$T$2))/A475,2)*$C$2,2))</f>
        <v>57.85</v>
      </c>
      <c r="F475" s="875">
        <f ca="1">ROUND($A475*$E475,2)</f>
        <v>1157</v>
      </c>
      <c r="G475" s="876" t="s">
        <v>139</v>
      </c>
      <c r="H475" s="877"/>
      <c r="I475" s="878"/>
      <c r="J475" s="877"/>
      <c r="K475" s="877" t="s">
        <v>3</v>
      </c>
      <c r="L475" s="879" t="s">
        <v>140</v>
      </c>
      <c r="M475" s="879"/>
      <c r="N475" s="879"/>
      <c r="O475" s="879"/>
      <c r="P475" s="879"/>
      <c r="Q475" s="50"/>
      <c r="T475" s="880" t="str">
        <f ca="1">IF(AND($R482=0,$T482=0),"0.00","mu :" &amp; ROUND($F475/$C$2/($R482+$T482*$D$9),2))</f>
        <v>mu :1.22</v>
      </c>
      <c r="W475" s="507"/>
      <c r="AG475" s="465">
        <f ca="1">IF($E475=0,0,ROUND($R482*$S$2*$C$2/$A475,2))</f>
        <v>23.73</v>
      </c>
      <c r="AH475" s="465">
        <f ca="1">$AG475*$A475</f>
        <v>474.6</v>
      </c>
      <c r="AI475" s="508">
        <f ca="1">$E475-$AG475</f>
        <v>34.120000000000005</v>
      </c>
      <c r="AJ475" s="508">
        <f ca="1">$A475*$AI475</f>
        <v>682.40000000000009</v>
      </c>
      <c r="AK475" s="509">
        <f ca="1">ROUND(($AG475+$AI475)*$A475,2)</f>
        <v>1157</v>
      </c>
      <c r="AM475" s="510">
        <f ca="1">ROUND(R482,2)</f>
        <v>389</v>
      </c>
      <c r="AN475" s="511">
        <f ca="1">ROUND(T482,2)</f>
        <v>19.399999999999999</v>
      </c>
      <c r="AO475" s="512">
        <f ca="1">ROUND(AM475+AN475,2)*A475</f>
        <v>8168</v>
      </c>
    </row>
    <row r="476" spans="1:41" s="504" customFormat="1" ht="13.2">
      <c r="A476" s="872"/>
      <c r="B476"/>
      <c r="C476" s="872"/>
      <c r="D476" s="873" t="s">
        <v>330</v>
      </c>
      <c r="F476" s="877"/>
      <c r="G476" s="3"/>
      <c r="H476" s="877"/>
      <c r="I476" s="878"/>
      <c r="J476" s="877"/>
      <c r="K476" s="877" t="s">
        <v>141</v>
      </c>
      <c r="L476" s="877"/>
      <c r="M476" s="877"/>
      <c r="N476" s="877"/>
      <c r="O476" s="877"/>
      <c r="P476" s="877"/>
      <c r="Q476" s="50"/>
      <c r="R476" s="513"/>
      <c r="S476" s="881"/>
      <c r="T476" s="877"/>
    </row>
    <row r="477" spans="1:41" s="997" customFormat="1" ht="13.2">
      <c r="A477"/>
      <c r="B477" s="1065"/>
      <c r="C477" s="1065" t="s">
        <v>1006</v>
      </c>
      <c r="D477" s="1065" t="str">
        <f ca="1">CELL("Address",Elec_Rates!D$171)</f>
        <v>[EL25_0662B_Brittania_Hotel_Elec_Revised_Estim_B.xlsx]Elec_Rates!$D$171</v>
      </c>
      <c r="E477" s="1066"/>
      <c r="F477" s="1066"/>
      <c r="G477" s="1067" t="s">
        <v>1007</v>
      </c>
      <c r="H477" s="1067"/>
      <c r="I477" s="1067"/>
      <c r="J477" s="1067"/>
      <c r="K477" s="1068"/>
      <c r="L477" s="1066"/>
      <c r="M477" s="1066"/>
      <c r="N477" s="1066"/>
      <c r="O477" s="1069"/>
      <c r="P477" s="1066"/>
      <c r="Q477" s="1070"/>
      <c r="R477" s="1071"/>
      <c r="S477" s="1070"/>
      <c r="T477" s="1072"/>
      <c r="U477" s="1073"/>
    </row>
    <row r="478" spans="1:41" s="997" customFormat="1" ht="11.4">
      <c r="A478" s="1074">
        <v>20</v>
      </c>
      <c r="B478" s="1075">
        <v>1</v>
      </c>
      <c r="C478" s="1075">
        <f>$A478*$B478</f>
        <v>20</v>
      </c>
      <c r="D478" s="1076" t="str">
        <f>Elec_Rates!$D$171</f>
        <v>017# HDG Cable Tray Size 500mm x 50mm</v>
      </c>
      <c r="E478" s="1076"/>
      <c r="F478" s="1076"/>
      <c r="G478" s="1077" t="s">
        <v>1008</v>
      </c>
      <c r="H478" s="1077"/>
      <c r="I478" s="1077"/>
      <c r="J478" s="1077"/>
      <c r="K478" s="1078"/>
      <c r="L478" s="1073"/>
      <c r="M478" s="1073"/>
      <c r="N478" s="1073"/>
      <c r="O478" s="1079"/>
      <c r="P478" s="1076"/>
      <c r="Q478" s="1080">
        <f ca="1">$B478*Elec_Rates!$R$171</f>
        <v>12.15</v>
      </c>
      <c r="R478" s="1071">
        <f ca="1">$A478*Q478</f>
        <v>243</v>
      </c>
      <c r="S478" s="1080">
        <f ca="1">$B478*Elec_Rates!$T$171</f>
        <v>0.47</v>
      </c>
      <c r="T478" s="1072">
        <f ca="1">$A478*S478</f>
        <v>9.3999999999999986</v>
      </c>
      <c r="U478" s="1081"/>
    </row>
    <row r="479" spans="1:41" s="997" customFormat="1" ht="13.2">
      <c r="A479"/>
      <c r="B479" s="1065"/>
      <c r="C479" s="1065" t="s">
        <v>1006</v>
      </c>
      <c r="D479" s="1065" t="str">
        <f ca="1">CELL("Address",Elec_Rates!D$180)</f>
        <v>[EL25_0662B_Brittania_Hotel_Elec_Revised_Estim_B.xlsx]Elec_Rates!$D$180</v>
      </c>
      <c r="E479" s="1066"/>
      <c r="F479" s="1066"/>
      <c r="G479" s="1067" t="s">
        <v>1007</v>
      </c>
      <c r="H479" s="1067"/>
      <c r="I479" s="1067"/>
      <c r="J479" s="1067"/>
      <c r="K479" s="1068"/>
      <c r="L479" s="1066"/>
      <c r="M479" s="1066"/>
      <c r="N479" s="1066"/>
      <c r="O479" s="1069"/>
      <c r="P479" s="1066"/>
      <c r="Q479" s="1070"/>
      <c r="R479" s="1071"/>
      <c r="S479" s="1070"/>
      <c r="T479" s="1072"/>
      <c r="U479" s="1073"/>
    </row>
    <row r="480" spans="1:41" s="997" customFormat="1" ht="11.4">
      <c r="A480" s="1074">
        <v>20</v>
      </c>
      <c r="B480" s="1075">
        <v>2</v>
      </c>
      <c r="C480" s="1075">
        <f>$A480*$B480</f>
        <v>40</v>
      </c>
      <c r="D480" s="1076" t="str">
        <f>Elec_Rates!$D$180</f>
        <v>018# Cable Containment Supports</v>
      </c>
      <c r="E480" s="1076"/>
      <c r="F480" s="1076"/>
      <c r="G480" s="1077" t="s">
        <v>1008</v>
      </c>
      <c r="H480" s="1077"/>
      <c r="I480" s="1077"/>
      <c r="J480" s="1077"/>
      <c r="K480" s="1078"/>
      <c r="L480" s="1073"/>
      <c r="M480" s="1073"/>
      <c r="N480" s="1073"/>
      <c r="O480" s="1079"/>
      <c r="P480" s="1076"/>
      <c r="Q480" s="1080">
        <f ca="1">$B480*Elec_Rates!$R$180</f>
        <v>7.3</v>
      </c>
      <c r="R480" s="1071">
        <f ca="1">$A480*Q480</f>
        <v>146</v>
      </c>
      <c r="S480" s="1080">
        <f ca="1">$B480*Elec_Rates!$T$180</f>
        <v>0.5</v>
      </c>
      <c r="T480" s="1072">
        <f ca="1">$A480*S480</f>
        <v>10</v>
      </c>
      <c r="U480" s="1081"/>
    </row>
    <row r="481" spans="1:41" s="504" customFormat="1" ht="12">
      <c r="A481" s="882"/>
      <c r="B481" s="882"/>
      <c r="C481" s="882"/>
      <c r="D481" s="882"/>
      <c r="E481" s="882"/>
      <c r="F481" s="877"/>
      <c r="G481" s="882"/>
      <c r="H481" s="882"/>
      <c r="I481" s="503"/>
      <c r="J481" s="882"/>
      <c r="K481" s="882"/>
      <c r="L481" s="882"/>
      <c r="M481" s="882"/>
      <c r="N481" s="882"/>
      <c r="O481" s="882"/>
      <c r="P481" s="882"/>
      <c r="Q481" s="503"/>
      <c r="R481" s="883">
        <f>$A481*Q481</f>
        <v>0</v>
      </c>
      <c r="S481" s="503"/>
      <c r="T481" s="884">
        <f>$A481*S481*$T$1</f>
        <v>0</v>
      </c>
    </row>
    <row r="482" spans="1:41" s="504" customFormat="1" ht="12.6" thickBot="1">
      <c r="A482" s="885" t="s">
        <v>142</v>
      </c>
      <c r="B482" s="886">
        <f>(R481+T481)</f>
        <v>0</v>
      </c>
      <c r="C482" s="887"/>
      <c r="D482" s="887"/>
      <c r="E482" s="887"/>
      <c r="F482" s="888"/>
      <c r="G482" s="887" t="s">
        <v>143</v>
      </c>
      <c r="H482" s="887"/>
      <c r="I482" s="889"/>
      <c r="J482" s="887"/>
      <c r="K482" s="887" t="s">
        <v>3</v>
      </c>
      <c r="L482" s="890" t="s">
        <v>140</v>
      </c>
      <c r="M482" s="890"/>
      <c r="N482" s="890"/>
      <c r="O482" s="890"/>
      <c r="P482" s="890"/>
      <c r="Q482" s="891"/>
      <c r="R482" s="892">
        <f ca="1">SUM(R476:R481)</f>
        <v>389</v>
      </c>
      <c r="S482" s="887"/>
      <c r="T482" s="892">
        <f ca="1">SUM(T476:T481)</f>
        <v>19.399999999999999</v>
      </c>
      <c r="U482" s="514"/>
      <c r="V482" s="514"/>
      <c r="W482" s="514"/>
      <c r="X482" s="514"/>
      <c r="Y482" s="514"/>
      <c r="Z482" s="514"/>
      <c r="AA482" s="514"/>
      <c r="AB482" s="514"/>
      <c r="AC482" s="514"/>
      <c r="AD482" s="514"/>
      <c r="AE482" s="514"/>
      <c r="AF482" s="514"/>
      <c r="AG482" s="514"/>
      <c r="AH482" s="514"/>
      <c r="AI482" s="514"/>
      <c r="AJ482" s="514"/>
      <c r="AK482" s="514"/>
      <c r="AL482" s="514"/>
      <c r="AM482" s="514"/>
      <c r="AN482" s="514"/>
      <c r="AO482" s="514"/>
    </row>
    <row r="483" spans="1:41" s="504" customFormat="1" ht="12" thickTop="1">
      <c r="A483" s="47" t="s">
        <v>145</v>
      </c>
      <c r="D483" s="13"/>
      <c r="E483" s="41"/>
      <c r="O483" s="893"/>
    </row>
    <row r="484" spans="1:41" s="504" customFormat="1" ht="13.2">
      <c r="B484" s="3"/>
      <c r="O484" s="893"/>
    </row>
    <row r="485" spans="1:41" s="504" customFormat="1" ht="12">
      <c r="B485" s="894">
        <f ca="1">$F485/$C$2-($R485*$S$2+$T485*$T$2)</f>
        <v>-0.75376660000256379</v>
      </c>
      <c r="D485" s="895" t="s">
        <v>817</v>
      </c>
      <c r="E485" s="896"/>
      <c r="F485" s="897">
        <f ca="1">SUMIF($L374:$L483,"ITEM",F374:F483)</f>
        <v>9939.07</v>
      </c>
      <c r="G485" s="882"/>
      <c r="H485" s="882"/>
      <c r="I485" s="503"/>
      <c r="J485" s="882"/>
      <c r="K485" s="882"/>
      <c r="L485" s="879" t="s">
        <v>154</v>
      </c>
      <c r="M485" s="879"/>
      <c r="N485" s="879"/>
      <c r="O485" s="879"/>
      <c r="P485" s="879"/>
      <c r="R485" s="897">
        <f ca="1">SUMIF($L374:$L483,"ITEM",R374:R483)</f>
        <v>4531.4500000000007</v>
      </c>
      <c r="S485" s="898"/>
      <c r="T485" s="897">
        <f ca="1">SUMIF($L374:$L483,"ITEM",T374:T483)</f>
        <v>125.41000000000003</v>
      </c>
    </row>
    <row r="486" spans="1:41" s="504" customFormat="1" ht="13.2">
      <c r="A486" s="50"/>
      <c r="B486" s="48" t="s">
        <v>816</v>
      </c>
      <c r="C486" s="50"/>
      <c r="D486" s="3"/>
      <c r="F486" s="899" t="s">
        <v>155</v>
      </c>
      <c r="G486" s="882"/>
      <c r="H486" s="882"/>
      <c r="I486" s="503"/>
      <c r="J486" s="882"/>
      <c r="K486" s="882"/>
      <c r="L486" s="882"/>
      <c r="M486" s="882"/>
      <c r="N486" s="882"/>
      <c r="O486" s="882"/>
      <c r="P486" s="882"/>
      <c r="Q486" s="900"/>
      <c r="R486" s="899" t="s">
        <v>156</v>
      </c>
      <c r="S486" s="38"/>
      <c r="T486" s="899" t="s">
        <v>157</v>
      </c>
    </row>
    <row r="487" spans="1:41" s="504" customFormat="1" ht="13.2">
      <c r="A487" s="882"/>
      <c r="B487" s="3"/>
      <c r="C487" s="882"/>
      <c r="D487" s="3"/>
      <c r="E487" s="3"/>
      <c r="G487" s="3"/>
      <c r="H487" s="3"/>
      <c r="I487" s="3"/>
      <c r="J487" s="3"/>
      <c r="K487" s="3"/>
      <c r="L487" s="3"/>
      <c r="M487" s="3"/>
      <c r="N487" s="3"/>
      <c r="O487" s="103"/>
      <c r="P487" s="3"/>
      <c r="Q487" s="3"/>
      <c r="R487" s="3"/>
      <c r="S487" s="3"/>
      <c r="T487" s="3"/>
    </row>
    <row r="488" spans="1:41" s="504" customFormat="1" ht="12" thickBot="1">
      <c r="A488" s="514"/>
      <c r="B488" s="887"/>
      <c r="C488" s="887"/>
      <c r="D488" s="514"/>
      <c r="E488" s="39"/>
      <c r="F488" s="901"/>
      <c r="G488" s="887"/>
      <c r="H488" s="887"/>
      <c r="I488" s="889"/>
      <c r="J488" s="887"/>
      <c r="K488" s="887"/>
      <c r="L488" s="890"/>
      <c r="M488" s="890"/>
      <c r="N488" s="890"/>
      <c r="O488" s="890"/>
      <c r="P488" s="890"/>
      <c r="Q488" s="891"/>
      <c r="R488" s="901"/>
      <c r="S488" s="902"/>
      <c r="T488" s="901"/>
      <c r="U488" s="514"/>
      <c r="V488" s="514"/>
      <c r="W488" s="514"/>
      <c r="X488" s="514"/>
      <c r="Y488" s="514"/>
      <c r="Z488" s="514"/>
      <c r="AA488" s="514"/>
      <c r="AB488" s="514"/>
      <c r="AC488" s="514"/>
      <c r="AD488" s="514"/>
      <c r="AE488" s="514"/>
      <c r="AF488" s="514"/>
      <c r="AG488" s="514"/>
      <c r="AH488" s="514"/>
      <c r="AI488" s="514"/>
      <c r="AJ488" s="514"/>
      <c r="AK488" s="514"/>
    </row>
    <row r="489" spans="1:41" s="504" customFormat="1" thickTop="1">
      <c r="A489" s="50"/>
      <c r="B489" s="50"/>
      <c r="C489" s="3"/>
      <c r="D489" s="3"/>
      <c r="E489" s="50"/>
      <c r="F489" s="50"/>
      <c r="G489" s="50"/>
      <c r="H489" s="50"/>
      <c r="I489" s="50"/>
      <c r="J489" s="50"/>
      <c r="K489" s="50" t="s">
        <v>133</v>
      </c>
      <c r="L489" s="50"/>
      <c r="M489" s="50"/>
      <c r="N489" s="50"/>
      <c r="O489" s="51"/>
      <c r="P489" s="50"/>
      <c r="Q489" s="50"/>
      <c r="R489" s="50"/>
      <c r="S489" s="50"/>
      <c r="T489" s="50"/>
    </row>
    <row r="490" spans="1:41" s="504" customFormat="1" ht="12">
      <c r="A490" s="50"/>
      <c r="B490" s="50"/>
      <c r="C490" s="50" t="s">
        <v>134</v>
      </c>
      <c r="D490" s="37"/>
      <c r="E490" s="50"/>
      <c r="F490" s="50"/>
      <c r="G490" s="50"/>
      <c r="H490" s="50"/>
      <c r="I490" s="50"/>
      <c r="J490" s="50"/>
      <c r="K490" s="50"/>
      <c r="L490" s="50"/>
      <c r="M490" s="50"/>
      <c r="N490" s="50"/>
      <c r="O490" s="51"/>
      <c r="P490" s="50"/>
      <c r="Q490" s="50"/>
      <c r="R490" s="50"/>
      <c r="S490" s="50"/>
      <c r="T490" s="50"/>
    </row>
    <row r="491" spans="1:41" s="504" customFormat="1" ht="12">
      <c r="A491" s="50"/>
      <c r="B491" s="50"/>
      <c r="C491" s="50"/>
      <c r="D491" s="37" t="s">
        <v>331</v>
      </c>
      <c r="E491" s="50"/>
      <c r="F491" s="50"/>
      <c r="G491" s="50"/>
      <c r="H491" s="50"/>
      <c r="I491" s="50"/>
      <c r="J491" s="50"/>
      <c r="K491" s="50"/>
      <c r="L491" s="50"/>
      <c r="M491" s="50"/>
      <c r="N491" s="50"/>
      <c r="O491" s="51"/>
      <c r="P491" s="50"/>
      <c r="Q491" s="50"/>
      <c r="R491" s="50"/>
      <c r="S491" s="38"/>
      <c r="T491" s="38"/>
    </row>
    <row r="492" spans="1:41" s="3" customFormat="1" thickBot="1">
      <c r="A492" s="514"/>
      <c r="O492" s="103"/>
    </row>
    <row r="493" spans="1:41" s="504" customFormat="1" thickTop="1">
      <c r="A493" s="50"/>
      <c r="B493" s="50"/>
      <c r="C493" s="3"/>
      <c r="D493" s="3"/>
      <c r="E493" s="50"/>
      <c r="F493" s="50"/>
      <c r="G493" s="50"/>
      <c r="H493" s="50"/>
      <c r="I493" s="50"/>
      <c r="J493" s="50"/>
      <c r="K493" s="50" t="s">
        <v>133</v>
      </c>
      <c r="L493" s="50"/>
      <c r="M493" s="50"/>
      <c r="N493" s="50"/>
      <c r="O493" s="51"/>
      <c r="P493" s="50"/>
      <c r="Q493" s="50"/>
      <c r="R493" s="50"/>
      <c r="S493" s="50"/>
      <c r="T493" s="50"/>
    </row>
    <row r="494" spans="1:41" s="504" customFormat="1" ht="12">
      <c r="A494" s="50"/>
      <c r="B494" s="50"/>
      <c r="C494" s="50" t="s">
        <v>134</v>
      </c>
      <c r="D494" s="37"/>
      <c r="E494" s="50"/>
      <c r="F494" s="50"/>
      <c r="G494" s="50"/>
      <c r="H494" s="50"/>
      <c r="I494" s="50"/>
      <c r="J494" s="50"/>
      <c r="K494" s="50"/>
      <c r="L494" s="50"/>
      <c r="M494" s="50"/>
      <c r="N494" s="50"/>
      <c r="O494" s="51"/>
      <c r="P494" s="50"/>
      <c r="Q494" s="50"/>
      <c r="R494" s="50"/>
      <c r="S494" s="50"/>
      <c r="T494" s="50"/>
    </row>
    <row r="495" spans="1:41" s="504" customFormat="1" ht="12">
      <c r="A495" s="50"/>
      <c r="B495" s="50"/>
      <c r="C495" s="50"/>
      <c r="D495" s="37" t="s">
        <v>332</v>
      </c>
      <c r="E495" s="50"/>
      <c r="F495" s="50"/>
      <c r="G495" s="50"/>
      <c r="H495" s="50"/>
      <c r="I495" s="50"/>
      <c r="J495" s="50"/>
      <c r="K495" s="50"/>
      <c r="L495" s="50"/>
      <c r="M495" s="50"/>
      <c r="N495" s="50"/>
      <c r="O495" s="51"/>
      <c r="P495" s="50"/>
      <c r="Q495" s="50"/>
      <c r="R495" s="50"/>
      <c r="S495" s="38"/>
      <c r="T495" s="38"/>
    </row>
    <row r="496" spans="1:41" s="3" customFormat="1" thickBot="1">
      <c r="A496" s="514"/>
      <c r="O496" s="103"/>
    </row>
    <row r="497" spans="1:41" s="504" customFormat="1" thickTop="1">
      <c r="A497" s="50"/>
      <c r="B497" s="50"/>
      <c r="C497" s="3"/>
      <c r="D497" s="3"/>
      <c r="E497" s="50"/>
      <c r="F497" s="50"/>
      <c r="G497" s="50"/>
      <c r="H497" s="50"/>
      <c r="I497" s="50"/>
      <c r="J497" s="50"/>
      <c r="K497" s="50" t="s">
        <v>133</v>
      </c>
      <c r="L497" s="50"/>
      <c r="M497" s="50"/>
      <c r="N497" s="50"/>
      <c r="O497" s="51"/>
      <c r="P497" s="50"/>
      <c r="Q497" s="50"/>
      <c r="R497" s="50"/>
      <c r="S497" s="50"/>
      <c r="T497" s="50"/>
    </row>
    <row r="498" spans="1:41" s="504" customFormat="1" ht="12">
      <c r="A498" s="50"/>
      <c r="B498" s="50"/>
      <c r="C498" s="50" t="s">
        <v>134</v>
      </c>
      <c r="D498" s="37" t="s">
        <v>838</v>
      </c>
      <c r="E498" s="50"/>
      <c r="F498" s="50"/>
      <c r="G498" s="50"/>
      <c r="H498" s="50"/>
      <c r="I498" s="50"/>
      <c r="J498" s="50"/>
      <c r="K498" s="50"/>
      <c r="L498" s="50"/>
      <c r="M498" s="50"/>
      <c r="N498" s="50"/>
      <c r="O498" s="51"/>
      <c r="P498" s="50"/>
      <c r="Q498" s="50"/>
      <c r="R498" s="50"/>
      <c r="S498" s="50"/>
      <c r="T498" s="50"/>
    </row>
    <row r="499" spans="1:41" s="504" customFormat="1" ht="12">
      <c r="A499" s="50"/>
      <c r="B499" s="50"/>
      <c r="C499" s="50"/>
      <c r="D499" s="37" t="s">
        <v>839</v>
      </c>
      <c r="E499" s="50"/>
      <c r="F499" s="50"/>
      <c r="G499" s="50"/>
      <c r="H499" s="50"/>
      <c r="I499" s="50"/>
      <c r="J499" s="50"/>
      <c r="K499" s="50"/>
      <c r="L499" s="50"/>
      <c r="M499" s="50"/>
      <c r="N499" s="50"/>
      <c r="O499" s="51"/>
      <c r="P499" s="50"/>
      <c r="Q499" s="50"/>
      <c r="R499" s="50"/>
      <c r="S499" s="38"/>
      <c r="T499" s="38"/>
    </row>
    <row r="500" spans="1:41" s="3" customFormat="1" thickBot="1">
      <c r="A500" s="514"/>
      <c r="O500" s="103"/>
    </row>
    <row r="501" spans="1:41" s="504" customFormat="1" ht="12" thickTop="1">
      <c r="A501" s="50"/>
      <c r="B501" s="40"/>
      <c r="C501" s="50"/>
      <c r="E501" s="41" t="s">
        <v>136</v>
      </c>
      <c r="F501" s="41" t="s">
        <v>137</v>
      </c>
      <c r="G501" s="50"/>
      <c r="H501" s="50"/>
      <c r="I501" s="50"/>
      <c r="J501" s="50"/>
      <c r="K501" s="50" t="s">
        <v>138</v>
      </c>
      <c r="L501" s="50"/>
      <c r="M501" s="50"/>
      <c r="N501" s="50"/>
      <c r="O501" s="51"/>
      <c r="P501" s="50"/>
      <c r="Q501" s="50"/>
      <c r="R501" s="50"/>
      <c r="S501" s="50"/>
      <c r="T501" s="40"/>
      <c r="AG501" s="867" t="s">
        <v>241</v>
      </c>
      <c r="AH501" s="867" t="s">
        <v>242</v>
      </c>
      <c r="AI501" s="867" t="s">
        <v>243</v>
      </c>
      <c r="AJ501" s="867" t="s">
        <v>244</v>
      </c>
      <c r="AK501" s="867" t="s">
        <v>245</v>
      </c>
      <c r="AM501" s="868" t="s">
        <v>254</v>
      </c>
      <c r="AN501" s="869" t="s">
        <v>255</v>
      </c>
      <c r="AO501" s="505" t="s">
        <v>251</v>
      </c>
    </row>
    <row r="502" spans="1:41" s="504" customFormat="1" ht="12" customHeight="1">
      <c r="A502" s="870">
        <v>1</v>
      </c>
      <c r="B502" s="871" t="s">
        <v>335</v>
      </c>
      <c r="C502" s="872"/>
      <c r="D502" s="873" t="s">
        <v>804</v>
      </c>
      <c r="E502" s="874">
        <f ca="1">IF(AND($A502=0,$A$1="DIF"),0, ROUND(ROUND(($R507*$S$2+($T507*$T$2))/A502,2)*$C$2,2))</f>
        <v>57.85</v>
      </c>
      <c r="F502" s="875">
        <f ca="1">ROUND($A502*$E502,2)</f>
        <v>57.85</v>
      </c>
      <c r="G502" s="876" t="s">
        <v>139</v>
      </c>
      <c r="H502" s="877"/>
      <c r="I502" s="878"/>
      <c r="J502" s="877"/>
      <c r="K502" s="877" t="s">
        <v>3</v>
      </c>
      <c r="L502" s="879" t="s">
        <v>140</v>
      </c>
      <c r="M502" s="879"/>
      <c r="N502" s="879"/>
      <c r="O502" s="879"/>
      <c r="P502" s="879"/>
      <c r="Q502" s="50"/>
      <c r="T502" s="880" t="str">
        <f ca="1">IF(AND($R507=0,$T507=0),"0.00","mu :" &amp; ROUND($F502/$C$2/($R507+$T507*$D$9),2))</f>
        <v>mu :1.22</v>
      </c>
      <c r="W502" s="507"/>
      <c r="AG502" s="465">
        <f ca="1">IF($E502=0,0,ROUND($R507*$S$2*$C$2/$A502,2))</f>
        <v>11.77</v>
      </c>
      <c r="AH502" s="465">
        <f ca="1">$AG502*$A502</f>
        <v>11.77</v>
      </c>
      <c r="AI502" s="508">
        <f ca="1">$E502-$AG502</f>
        <v>46.08</v>
      </c>
      <c r="AJ502" s="508">
        <f ca="1">$A502*$AI502</f>
        <v>46.08</v>
      </c>
      <c r="AK502" s="509">
        <f ca="1">ROUND(($AG502+$AI502)*$A502,2)</f>
        <v>57.85</v>
      </c>
      <c r="AM502" s="510">
        <f ca="1">ROUND(R507,2)</f>
        <v>9.65</v>
      </c>
      <c r="AN502" s="511">
        <f ca="1">ROUND(T507,2)</f>
        <v>1.31</v>
      </c>
      <c r="AO502" s="512">
        <f ca="1">ROUND(AM502+AN502,2)*A502</f>
        <v>10.96</v>
      </c>
    </row>
    <row r="503" spans="1:41" s="504" customFormat="1" ht="13.2">
      <c r="A503" s="872"/>
      <c r="B503"/>
      <c r="C503" s="872"/>
      <c r="D503" s="873" t="s">
        <v>334</v>
      </c>
      <c r="F503" s="877"/>
      <c r="G503" s="3"/>
      <c r="H503" s="877"/>
      <c r="I503" s="878"/>
      <c r="J503" s="877"/>
      <c r="K503" s="877" t="s">
        <v>141</v>
      </c>
      <c r="L503" s="877"/>
      <c r="M503" s="877"/>
      <c r="N503" s="877"/>
      <c r="O503" s="877"/>
      <c r="P503" s="877"/>
      <c r="Q503" s="50"/>
      <c r="R503" s="513"/>
      <c r="S503" s="881"/>
      <c r="T503" s="877"/>
    </row>
    <row r="504" spans="1:41" s="997" customFormat="1" ht="13.2">
      <c r="A504"/>
      <c r="B504" s="1065"/>
      <c r="C504" s="1065" t="s">
        <v>1006</v>
      </c>
      <c r="D504" s="1065" t="str">
        <f ca="1">CELL("Address",Elec_Rates!D$200)</f>
        <v>[EL25_0662B_Brittania_Hotel_Elec_Revised_Estim_B.xlsx]Elec_Rates!$D$200</v>
      </c>
      <c r="E504" s="1066"/>
      <c r="F504" s="1066"/>
      <c r="G504" s="1067" t="s">
        <v>1007</v>
      </c>
      <c r="H504" s="1067"/>
      <c r="I504" s="1067"/>
      <c r="J504" s="1067"/>
      <c r="K504" s="1068"/>
      <c r="L504" s="1066"/>
      <c r="M504" s="1066"/>
      <c r="N504" s="1066"/>
      <c r="O504" s="1069"/>
      <c r="P504" s="1066"/>
      <c r="Q504" s="1070"/>
      <c r="R504" s="1071"/>
      <c r="S504" s="1070"/>
      <c r="T504" s="1072"/>
      <c r="U504" s="1073"/>
    </row>
    <row r="505" spans="1:41" s="997" customFormat="1" ht="11.4">
      <c r="A505" s="1074">
        <v>1</v>
      </c>
      <c r="B505" s="1075">
        <v>1</v>
      </c>
      <c r="C505" s="1075">
        <f>$A505*$B505</f>
        <v>1</v>
      </c>
      <c r="D505" s="1076" t="str">
        <f>Elec_Rates!$D$200</f>
        <v>019# Lighting point in LSZH Conduit</v>
      </c>
      <c r="E505" s="1076"/>
      <c r="F505" s="1076" t="s">
        <v>1169</v>
      </c>
      <c r="G505" s="1077" t="s">
        <v>1008</v>
      </c>
      <c r="H505" s="1077"/>
      <c r="I505" s="1077"/>
      <c r="J505" s="1077"/>
      <c r="K505" s="1078"/>
      <c r="L505" s="1073"/>
      <c r="M505" s="1073"/>
      <c r="N505" s="1073"/>
      <c r="O505" s="1079"/>
      <c r="P505" s="1076"/>
      <c r="Q505" s="1080">
        <f ca="1">$B505*Elec_Rates!$R$200</f>
        <v>9.65</v>
      </c>
      <c r="R505" s="1071">
        <f ca="1">$A505*Q505</f>
        <v>9.65</v>
      </c>
      <c r="S505" s="1080">
        <f ca="1">$B505*Elec_Rates!$T$200</f>
        <v>1.31</v>
      </c>
      <c r="T505" s="1072">
        <f ca="1">$A505*S505</f>
        <v>1.31</v>
      </c>
      <c r="U505" s="1081"/>
    </row>
    <row r="506" spans="1:41" s="504" customFormat="1" ht="12">
      <c r="A506" s="882"/>
      <c r="B506" s="882"/>
      <c r="C506" s="882"/>
      <c r="D506" s="882"/>
      <c r="E506" s="882"/>
      <c r="F506" s="877"/>
      <c r="G506" s="882"/>
      <c r="H506" s="882"/>
      <c r="I506" s="503"/>
      <c r="J506" s="882"/>
      <c r="K506" s="882"/>
      <c r="L506" s="882"/>
      <c r="M506" s="882"/>
      <c r="N506" s="882"/>
      <c r="O506" s="882"/>
      <c r="P506" s="882"/>
      <c r="Q506" s="503"/>
      <c r="R506" s="883">
        <f>$A506*Q506</f>
        <v>0</v>
      </c>
      <c r="S506" s="503"/>
      <c r="T506" s="884">
        <f>$A506*S506*$T$1</f>
        <v>0</v>
      </c>
    </row>
    <row r="507" spans="1:41" s="504" customFormat="1" ht="12.6" thickBot="1">
      <c r="A507" s="885" t="s">
        <v>142</v>
      </c>
      <c r="B507" s="886">
        <f>(R506+T506)</f>
        <v>0</v>
      </c>
      <c r="C507" s="887"/>
      <c r="D507" s="887"/>
      <c r="E507" s="887"/>
      <c r="F507" s="888"/>
      <c r="G507" s="887" t="s">
        <v>143</v>
      </c>
      <c r="H507" s="887"/>
      <c r="I507" s="889"/>
      <c r="J507" s="887"/>
      <c r="K507" s="887" t="s">
        <v>3</v>
      </c>
      <c r="L507" s="890" t="s">
        <v>140</v>
      </c>
      <c r="M507" s="890"/>
      <c r="N507" s="890"/>
      <c r="O507" s="890"/>
      <c r="P507" s="890"/>
      <c r="Q507" s="891"/>
      <c r="R507" s="892">
        <f ca="1">SUM(R503:R506)</f>
        <v>9.65</v>
      </c>
      <c r="S507" s="887"/>
      <c r="T507" s="892">
        <f ca="1">SUM(T503:T506)</f>
        <v>1.31</v>
      </c>
      <c r="U507" s="514"/>
      <c r="V507" s="514"/>
      <c r="W507" s="514"/>
      <c r="X507" s="514"/>
      <c r="Y507" s="514"/>
      <c r="Z507" s="514"/>
      <c r="AA507" s="514"/>
      <c r="AB507" s="514"/>
      <c r="AC507" s="514"/>
      <c r="AD507" s="514"/>
      <c r="AE507" s="514"/>
      <c r="AF507" s="514"/>
      <c r="AG507" s="514"/>
      <c r="AH507" s="514"/>
      <c r="AI507" s="514"/>
      <c r="AJ507" s="514"/>
      <c r="AK507" s="514"/>
      <c r="AL507" s="514"/>
      <c r="AM507" s="514"/>
      <c r="AN507" s="514"/>
      <c r="AO507" s="514"/>
    </row>
    <row r="508" spans="1:41" s="504" customFormat="1" ht="12" thickTop="1">
      <c r="A508" s="50"/>
      <c r="B508" s="40"/>
      <c r="C508" s="50"/>
      <c r="E508" s="41" t="s">
        <v>136</v>
      </c>
      <c r="F508" s="41" t="s">
        <v>137</v>
      </c>
      <c r="G508" s="50"/>
      <c r="H508" s="50"/>
      <c r="I508" s="50"/>
      <c r="J508" s="50"/>
      <c r="K508" s="50" t="s">
        <v>138</v>
      </c>
      <c r="L508" s="50"/>
      <c r="M508" s="50"/>
      <c r="N508" s="50"/>
      <c r="O508" s="51"/>
      <c r="P508" s="50"/>
      <c r="Q508" s="50"/>
      <c r="R508" s="50"/>
      <c r="S508" s="50"/>
      <c r="T508" s="40"/>
      <c r="AG508" s="867" t="s">
        <v>241</v>
      </c>
      <c r="AH508" s="867" t="s">
        <v>242</v>
      </c>
      <c r="AI508" s="867" t="s">
        <v>243</v>
      </c>
      <c r="AJ508" s="867" t="s">
        <v>244</v>
      </c>
      <c r="AK508" s="867" t="s">
        <v>245</v>
      </c>
      <c r="AM508" s="868" t="s">
        <v>254</v>
      </c>
      <c r="AN508" s="869" t="s">
        <v>255</v>
      </c>
      <c r="AO508" s="505" t="s">
        <v>251</v>
      </c>
    </row>
    <row r="509" spans="1:41" s="504" customFormat="1" ht="12" customHeight="1">
      <c r="A509" s="870">
        <v>1</v>
      </c>
      <c r="B509" s="871" t="s">
        <v>335</v>
      </c>
      <c r="C509" s="872"/>
      <c r="D509" s="873" t="s">
        <v>806</v>
      </c>
      <c r="E509" s="874">
        <f ca="1">IF(AND($A509=0,$A$1="DIF"),0, ROUND(ROUND(($R514*$S$2+($T514*$T$2))/A509,2)*$C$2,2))</f>
        <v>260.33999999999997</v>
      </c>
      <c r="F509" s="875">
        <f ca="1">ROUND($A509*$E509,2)</f>
        <v>260.33999999999997</v>
      </c>
      <c r="G509" s="876" t="s">
        <v>139</v>
      </c>
      <c r="H509" s="877"/>
      <c r="I509" s="878"/>
      <c r="J509" s="877"/>
      <c r="K509" s="877" t="s">
        <v>3</v>
      </c>
      <c r="L509" s="879" t="s">
        <v>140</v>
      </c>
      <c r="M509" s="879"/>
      <c r="N509" s="879"/>
      <c r="O509" s="879"/>
      <c r="P509" s="879"/>
      <c r="Q509" s="50"/>
      <c r="T509" s="880" t="str">
        <f ca="1">IF(AND($R514=0,$T514=0),"0.00","mu :" &amp; ROUND($F509/$C$2/($R514+$T514*$D$9),2))</f>
        <v>mu :1.22</v>
      </c>
      <c r="W509" s="507"/>
      <c r="AG509" s="465">
        <f ca="1">IF($E509=0,0,ROUND($R514*$S$2*$C$2/$A509,2))</f>
        <v>52.98</v>
      </c>
      <c r="AH509" s="465">
        <f ca="1">$AG509*$A509</f>
        <v>52.98</v>
      </c>
      <c r="AI509" s="508">
        <f ca="1">$E509-$AG509</f>
        <v>207.35999999999999</v>
      </c>
      <c r="AJ509" s="508">
        <f ca="1">$A509*$AI509</f>
        <v>207.35999999999999</v>
      </c>
      <c r="AK509" s="509">
        <f ca="1">ROUND(($AG509+$AI509)*$A509,2)</f>
        <v>260.33999999999997</v>
      </c>
      <c r="AM509" s="510">
        <f ca="1">ROUND(R514,2)</f>
        <v>43.43</v>
      </c>
      <c r="AN509" s="511">
        <f ca="1">ROUND(T514,2)</f>
        <v>5.9</v>
      </c>
      <c r="AO509" s="512">
        <f ca="1">ROUND(AM509+AN509,2)*A509</f>
        <v>49.33</v>
      </c>
    </row>
    <row r="510" spans="1:41" s="504" customFormat="1" ht="13.2">
      <c r="A510" s="872"/>
      <c r="B510"/>
      <c r="C510" s="872"/>
      <c r="D510" s="873" t="s">
        <v>336</v>
      </c>
      <c r="F510" s="877"/>
      <c r="G510" s="3"/>
      <c r="H510" s="877"/>
      <c r="I510" s="878"/>
      <c r="J510" s="877"/>
      <c r="K510" s="877" t="s">
        <v>141</v>
      </c>
      <c r="L510" s="877"/>
      <c r="M510" s="877"/>
      <c r="N510" s="877"/>
      <c r="O510" s="877"/>
      <c r="P510" s="877"/>
      <c r="Q510" s="50"/>
      <c r="R510" s="513"/>
      <c r="S510" s="881"/>
      <c r="T510" s="877"/>
    </row>
    <row r="511" spans="1:41" s="997" customFormat="1" ht="13.2">
      <c r="A511"/>
      <c r="B511" s="1065"/>
      <c r="C511" s="1065" t="s">
        <v>1006</v>
      </c>
      <c r="D511" s="1065" t="str">
        <f ca="1">CELL("Address",Elec_Rates!D$200)</f>
        <v>[EL25_0662B_Brittania_Hotel_Elec_Revised_Estim_B.xlsx]Elec_Rates!$D$200</v>
      </c>
      <c r="E511" s="1066"/>
      <c r="F511" s="1066"/>
      <c r="G511" s="1067" t="s">
        <v>1007</v>
      </c>
      <c r="H511" s="1067"/>
      <c r="I511" s="1067"/>
      <c r="J511" s="1067"/>
      <c r="K511" s="1068"/>
      <c r="L511" s="1066"/>
      <c r="M511" s="1066"/>
      <c r="N511" s="1066"/>
      <c r="O511" s="1069"/>
      <c r="P511" s="1066"/>
      <c r="Q511" s="1070"/>
      <c r="R511" s="1071"/>
      <c r="S511" s="1070"/>
      <c r="T511" s="1072"/>
      <c r="U511" s="1073"/>
    </row>
    <row r="512" spans="1:41" s="997" customFormat="1" ht="11.4">
      <c r="A512" s="1074">
        <v>1</v>
      </c>
      <c r="B512" s="1075">
        <v>4.5</v>
      </c>
      <c r="C512" s="1075">
        <f>$A512*$B512</f>
        <v>4.5</v>
      </c>
      <c r="D512" s="1076" t="str">
        <f>Elec_Rates!$D$200</f>
        <v>019# Lighting point in LSZH Conduit</v>
      </c>
      <c r="E512" s="1076"/>
      <c r="F512" s="1076" t="s">
        <v>1170</v>
      </c>
      <c r="G512" s="1077" t="s">
        <v>1008</v>
      </c>
      <c r="H512" s="1077"/>
      <c r="I512" s="1077"/>
      <c r="J512" s="1077"/>
      <c r="K512" s="1078"/>
      <c r="L512" s="1073"/>
      <c r="M512" s="1073"/>
      <c r="N512" s="1073"/>
      <c r="O512" s="1079"/>
      <c r="P512" s="1076"/>
      <c r="Q512" s="1080">
        <f ca="1">$B512*Elec_Rates!$R$200</f>
        <v>43.425000000000004</v>
      </c>
      <c r="R512" s="1071">
        <f ca="1">$A512*Q512</f>
        <v>43.425000000000004</v>
      </c>
      <c r="S512" s="1080">
        <f ca="1">$B512*Elec_Rates!$T$200</f>
        <v>5.8950000000000005</v>
      </c>
      <c r="T512" s="1072">
        <f ca="1">$A512*S512</f>
        <v>5.8950000000000005</v>
      </c>
      <c r="U512" s="1081"/>
    </row>
    <row r="513" spans="1:41" s="504" customFormat="1" ht="12">
      <c r="A513" s="882"/>
      <c r="B513" s="882"/>
      <c r="C513" s="882"/>
      <c r="D513" s="882"/>
      <c r="E513" s="882"/>
      <c r="F513" s="877"/>
      <c r="G513" s="882"/>
      <c r="H513" s="882"/>
      <c r="I513" s="503"/>
      <c r="J513" s="882"/>
      <c r="K513" s="882"/>
      <c r="L513" s="882"/>
      <c r="M513" s="882"/>
      <c r="N513" s="882"/>
      <c r="O513" s="882"/>
      <c r="P513" s="882"/>
      <c r="Q513" s="503"/>
      <c r="R513" s="883">
        <f>$A513*Q513</f>
        <v>0</v>
      </c>
      <c r="S513" s="503"/>
      <c r="T513" s="884">
        <f>$A513*S513*$T$1</f>
        <v>0</v>
      </c>
    </row>
    <row r="514" spans="1:41" s="504" customFormat="1" ht="12.6" thickBot="1">
      <c r="A514" s="885" t="s">
        <v>142</v>
      </c>
      <c r="B514" s="886">
        <f>(R513+T513)</f>
        <v>0</v>
      </c>
      <c r="C514" s="887"/>
      <c r="D514" s="887"/>
      <c r="E514" s="887"/>
      <c r="F514" s="888"/>
      <c r="G514" s="887" t="s">
        <v>143</v>
      </c>
      <c r="H514" s="887"/>
      <c r="I514" s="889"/>
      <c r="J514" s="887"/>
      <c r="K514" s="887" t="s">
        <v>3</v>
      </c>
      <c r="L514" s="890" t="s">
        <v>140</v>
      </c>
      <c r="M514" s="890"/>
      <c r="N514" s="890"/>
      <c r="O514" s="890"/>
      <c r="P514" s="890"/>
      <c r="Q514" s="891"/>
      <c r="R514" s="892">
        <f ca="1">SUM(R510:R513)</f>
        <v>43.425000000000004</v>
      </c>
      <c r="S514" s="887"/>
      <c r="T514" s="892">
        <f ca="1">SUM(T510:T513)</f>
        <v>5.8950000000000005</v>
      </c>
      <c r="U514" s="514"/>
      <c r="V514" s="514"/>
      <c r="W514" s="514"/>
      <c r="X514" s="514"/>
      <c r="Y514" s="514"/>
      <c r="Z514" s="514"/>
      <c r="AA514" s="514"/>
      <c r="AB514" s="514"/>
      <c r="AC514" s="514"/>
      <c r="AD514" s="514"/>
      <c r="AE514" s="514"/>
      <c r="AF514" s="514"/>
      <c r="AG514" s="514"/>
      <c r="AH514" s="514"/>
      <c r="AI514" s="514"/>
      <c r="AJ514" s="514"/>
      <c r="AK514" s="514"/>
      <c r="AL514" s="514"/>
      <c r="AM514" s="514"/>
      <c r="AN514" s="514"/>
      <c r="AO514" s="514"/>
    </row>
    <row r="515" spans="1:41" s="504" customFormat="1" ht="12" thickTop="1">
      <c r="A515" s="50"/>
      <c r="B515" s="40"/>
      <c r="C515" s="50"/>
      <c r="E515" s="41" t="s">
        <v>136</v>
      </c>
      <c r="F515" s="41" t="s">
        <v>137</v>
      </c>
      <c r="G515" s="50"/>
      <c r="H515" s="50"/>
      <c r="I515" s="50"/>
      <c r="J515" s="50"/>
      <c r="K515" s="50" t="s">
        <v>138</v>
      </c>
      <c r="L515" s="50"/>
      <c r="M515" s="50"/>
      <c r="N515" s="50"/>
      <c r="O515" s="51"/>
      <c r="P515" s="50"/>
      <c r="Q515" s="50"/>
      <c r="R515" s="50"/>
      <c r="S515" s="50"/>
      <c r="T515" s="40"/>
      <c r="AG515" s="867" t="s">
        <v>241</v>
      </c>
      <c r="AH515" s="867" t="s">
        <v>242</v>
      </c>
      <c r="AI515" s="867" t="s">
        <v>243</v>
      </c>
      <c r="AJ515" s="867" t="s">
        <v>244</v>
      </c>
      <c r="AK515" s="867" t="s">
        <v>245</v>
      </c>
      <c r="AM515" s="868" t="s">
        <v>254</v>
      </c>
      <c r="AN515" s="869" t="s">
        <v>255</v>
      </c>
      <c r="AO515" s="505" t="s">
        <v>251</v>
      </c>
    </row>
    <row r="516" spans="1:41" s="504" customFormat="1" ht="12" customHeight="1">
      <c r="A516" s="870">
        <v>1</v>
      </c>
      <c r="B516" s="871" t="s">
        <v>335</v>
      </c>
      <c r="C516" s="872"/>
      <c r="D516" s="873" t="s">
        <v>808</v>
      </c>
      <c r="E516" s="874">
        <f ca="1">IF(AND($A516=0,$A$1="DIF"),0, ROUND(ROUND(($R521*$S$2+($T521*$T$2))/A516,2)*$C$2,2))</f>
        <v>86.78</v>
      </c>
      <c r="F516" s="875">
        <f ca="1">ROUND($A516*$E516,2)</f>
        <v>86.78</v>
      </c>
      <c r="G516" s="876" t="s">
        <v>139</v>
      </c>
      <c r="H516" s="877"/>
      <c r="I516" s="878"/>
      <c r="J516" s="877"/>
      <c r="K516" s="877" t="s">
        <v>3</v>
      </c>
      <c r="L516" s="879" t="s">
        <v>140</v>
      </c>
      <c r="M516" s="879"/>
      <c r="N516" s="879"/>
      <c r="O516" s="879"/>
      <c r="P516" s="879"/>
      <c r="Q516" s="50"/>
      <c r="T516" s="880" t="str">
        <f ca="1">IF(AND($R521=0,$T521=0),"0.00","mu :" &amp; ROUND($F516/$C$2/($R521+$T521*$D$9),2))</f>
        <v>mu :1.22</v>
      </c>
      <c r="W516" s="507"/>
      <c r="AG516" s="465">
        <f ca="1">IF($E516=0,0,ROUND($R521*$S$2*$C$2/$A516,2))</f>
        <v>17.66</v>
      </c>
      <c r="AH516" s="465">
        <f ca="1">$AG516*$A516</f>
        <v>17.66</v>
      </c>
      <c r="AI516" s="508">
        <f ca="1">$E516-$AG516</f>
        <v>69.12</v>
      </c>
      <c r="AJ516" s="508">
        <f ca="1">$A516*$AI516</f>
        <v>69.12</v>
      </c>
      <c r="AK516" s="509">
        <f ca="1">ROUND(($AG516+$AI516)*$A516,2)</f>
        <v>86.78</v>
      </c>
      <c r="AM516" s="510">
        <f ca="1">ROUND(R521,2)</f>
        <v>14.48</v>
      </c>
      <c r="AN516" s="511">
        <f ca="1">ROUND(T521,2)</f>
        <v>1.97</v>
      </c>
      <c r="AO516" s="512">
        <f ca="1">ROUND(AM516+AN516,2)*A516</f>
        <v>16.45</v>
      </c>
    </row>
    <row r="517" spans="1:41" s="504" customFormat="1" ht="13.2">
      <c r="A517" s="872"/>
      <c r="B517"/>
      <c r="C517" s="872"/>
      <c r="D517" s="873" t="s">
        <v>337</v>
      </c>
      <c r="F517" s="877"/>
      <c r="G517" s="3"/>
      <c r="H517" s="877"/>
      <c r="I517" s="878"/>
      <c r="J517" s="877"/>
      <c r="K517" s="877" t="s">
        <v>141</v>
      </c>
      <c r="L517" s="877"/>
      <c r="M517" s="877"/>
      <c r="N517" s="877"/>
      <c r="O517" s="877"/>
      <c r="P517" s="877"/>
      <c r="Q517" s="50"/>
      <c r="R517" s="513"/>
      <c r="S517" s="881"/>
      <c r="T517" s="877"/>
    </row>
    <row r="518" spans="1:41" s="997" customFormat="1" ht="13.2">
      <c r="A518"/>
      <c r="B518" s="1065"/>
      <c r="C518" s="1065" t="s">
        <v>1006</v>
      </c>
      <c r="D518" s="1065" t="str">
        <f ca="1">CELL("Address",Elec_Rates!D$200)</f>
        <v>[EL25_0662B_Brittania_Hotel_Elec_Revised_Estim_B.xlsx]Elec_Rates!$D$200</v>
      </c>
      <c r="E518" s="1066"/>
      <c r="F518" s="1066"/>
      <c r="G518" s="1067" t="s">
        <v>1007</v>
      </c>
      <c r="H518" s="1067"/>
      <c r="I518" s="1067"/>
      <c r="J518" s="1067"/>
      <c r="K518" s="1068"/>
      <c r="L518" s="1066"/>
      <c r="M518" s="1066"/>
      <c r="N518" s="1066"/>
      <c r="O518" s="1069"/>
      <c r="P518" s="1066"/>
      <c r="Q518" s="1070"/>
      <c r="R518" s="1071"/>
      <c r="S518" s="1070"/>
      <c r="T518" s="1072"/>
      <c r="U518" s="1073"/>
    </row>
    <row r="519" spans="1:41" s="997" customFormat="1" ht="11.4">
      <c r="A519" s="1074">
        <v>1</v>
      </c>
      <c r="B519" s="1075">
        <v>1.5</v>
      </c>
      <c r="C519" s="1075">
        <f>$A519*$B519</f>
        <v>1.5</v>
      </c>
      <c r="D519" s="1076" t="str">
        <f>Elec_Rates!$D$200</f>
        <v>019# Lighting point in LSZH Conduit</v>
      </c>
      <c r="E519" s="1076"/>
      <c r="F519" s="1076" t="s">
        <v>1171</v>
      </c>
      <c r="G519" s="1077" t="s">
        <v>1008</v>
      </c>
      <c r="H519" s="1077"/>
      <c r="I519" s="1077"/>
      <c r="J519" s="1077"/>
      <c r="K519" s="1078"/>
      <c r="L519" s="1073"/>
      <c r="M519" s="1073"/>
      <c r="N519" s="1073"/>
      <c r="O519" s="1079"/>
      <c r="P519" s="1076"/>
      <c r="Q519" s="1080">
        <f ca="1">$B519*Elec_Rates!$R$200</f>
        <v>14.475000000000001</v>
      </c>
      <c r="R519" s="1071">
        <f ca="1">$A519*Q519</f>
        <v>14.475000000000001</v>
      </c>
      <c r="S519" s="1080">
        <f ca="1">$B519*Elec_Rates!$T$200</f>
        <v>1.9650000000000001</v>
      </c>
      <c r="T519" s="1072">
        <f ca="1">$A519*S519</f>
        <v>1.9650000000000001</v>
      </c>
      <c r="U519" s="1081"/>
    </row>
    <row r="520" spans="1:41" s="504" customFormat="1" ht="12">
      <c r="A520" s="882"/>
      <c r="B520" s="882"/>
      <c r="C520" s="882"/>
      <c r="D520" s="882"/>
      <c r="E520" s="882"/>
      <c r="F520" s="877"/>
      <c r="G520" s="882"/>
      <c r="H520" s="882"/>
      <c r="I520" s="503"/>
      <c r="J520" s="882"/>
      <c r="K520" s="882"/>
      <c r="L520" s="882"/>
      <c r="M520" s="882"/>
      <c r="N520" s="882"/>
      <c r="O520" s="882"/>
      <c r="P520" s="882"/>
      <c r="Q520" s="503"/>
      <c r="R520" s="883">
        <f>$A520*Q520</f>
        <v>0</v>
      </c>
      <c r="S520" s="503"/>
      <c r="T520" s="884">
        <f>$A520*S520*$T$1</f>
        <v>0</v>
      </c>
    </row>
    <row r="521" spans="1:41" s="504" customFormat="1" ht="12.6" thickBot="1">
      <c r="A521" s="885" t="s">
        <v>142</v>
      </c>
      <c r="B521" s="886">
        <f>(R520+T520)</f>
        <v>0</v>
      </c>
      <c r="C521" s="887"/>
      <c r="D521" s="887"/>
      <c r="E521" s="887"/>
      <c r="F521" s="888"/>
      <c r="G521" s="887" t="s">
        <v>143</v>
      </c>
      <c r="H521" s="887"/>
      <c r="I521" s="889"/>
      <c r="J521" s="887"/>
      <c r="K521" s="887" t="s">
        <v>3</v>
      </c>
      <c r="L521" s="890" t="s">
        <v>140</v>
      </c>
      <c r="M521" s="890"/>
      <c r="N521" s="890"/>
      <c r="O521" s="890"/>
      <c r="P521" s="890"/>
      <c r="Q521" s="891"/>
      <c r="R521" s="892">
        <f ca="1">SUM(R517:R520)</f>
        <v>14.475000000000001</v>
      </c>
      <c r="S521" s="887"/>
      <c r="T521" s="892">
        <f ca="1">SUM(T517:T520)</f>
        <v>1.9650000000000001</v>
      </c>
      <c r="U521" s="514"/>
      <c r="V521" s="514"/>
      <c r="W521" s="514"/>
      <c r="X521" s="514"/>
      <c r="Y521" s="514"/>
      <c r="Z521" s="514"/>
      <c r="AA521" s="514"/>
      <c r="AB521" s="514"/>
      <c r="AC521" s="514"/>
      <c r="AD521" s="514"/>
      <c r="AE521" s="514"/>
      <c r="AF521" s="514"/>
      <c r="AG521" s="514"/>
      <c r="AH521" s="514"/>
      <c r="AI521" s="514"/>
      <c r="AJ521" s="514"/>
      <c r="AK521" s="514"/>
      <c r="AL521" s="514"/>
      <c r="AM521" s="514"/>
      <c r="AN521" s="514"/>
      <c r="AO521" s="514"/>
    </row>
    <row r="522" spans="1:41" s="504" customFormat="1" ht="12" thickTop="1">
      <c r="A522" s="50"/>
      <c r="B522" s="40"/>
      <c r="C522" s="50"/>
      <c r="E522" s="41" t="s">
        <v>136</v>
      </c>
      <c r="F522" s="41" t="s">
        <v>137</v>
      </c>
      <c r="G522" s="50"/>
      <c r="H522" s="50"/>
      <c r="I522" s="50"/>
      <c r="J522" s="50"/>
      <c r="K522" s="50" t="s">
        <v>138</v>
      </c>
      <c r="L522" s="50"/>
      <c r="M522" s="50"/>
      <c r="N522" s="50"/>
      <c r="O522" s="51"/>
      <c r="P522" s="50"/>
      <c r="Q522" s="50"/>
      <c r="R522" s="50"/>
      <c r="S522" s="50"/>
      <c r="T522" s="40"/>
      <c r="AG522" s="867" t="s">
        <v>241</v>
      </c>
      <c r="AH522" s="867" t="s">
        <v>242</v>
      </c>
      <c r="AI522" s="867" t="s">
        <v>243</v>
      </c>
      <c r="AJ522" s="867" t="s">
        <v>244</v>
      </c>
      <c r="AK522" s="867" t="s">
        <v>245</v>
      </c>
      <c r="AM522" s="868" t="s">
        <v>254</v>
      </c>
      <c r="AN522" s="869" t="s">
        <v>255</v>
      </c>
      <c r="AO522" s="505" t="s">
        <v>251</v>
      </c>
    </row>
    <row r="523" spans="1:41" s="504" customFormat="1" ht="12" customHeight="1">
      <c r="A523" s="870">
        <v>1</v>
      </c>
      <c r="B523" s="871" t="s">
        <v>335</v>
      </c>
      <c r="C523" s="872"/>
      <c r="D523" s="873" t="s">
        <v>810</v>
      </c>
      <c r="E523" s="874">
        <f ca="1">IF(AND($A523=0,$A$1="DIF"),0, ROUND(ROUND(($R528*$S$2+($T528*$T$2))/A523,2)*$C$2,2))</f>
        <v>115.71</v>
      </c>
      <c r="F523" s="875">
        <f ca="1">ROUND($A523*$E523,2)</f>
        <v>115.71</v>
      </c>
      <c r="G523" s="876" t="s">
        <v>139</v>
      </c>
      <c r="H523" s="877"/>
      <c r="I523" s="878"/>
      <c r="J523" s="877"/>
      <c r="K523" s="877" t="s">
        <v>3</v>
      </c>
      <c r="L523" s="879" t="s">
        <v>140</v>
      </c>
      <c r="M523" s="879"/>
      <c r="N523" s="879"/>
      <c r="O523" s="879"/>
      <c r="P523" s="879"/>
      <c r="Q523" s="50"/>
      <c r="T523" s="880" t="str">
        <f ca="1">IF(AND($R528=0,$T528=0),"0.00","mu :" &amp; ROUND($F523/$C$2/($R528+$T528*$D$9),2))</f>
        <v>mu :1.22</v>
      </c>
      <c r="W523" s="507"/>
      <c r="AG523" s="465">
        <f ca="1">IF($E523=0,0,ROUND($R528*$S$2*$C$2/$A523,2))</f>
        <v>23.55</v>
      </c>
      <c r="AH523" s="465">
        <f ca="1">$AG523*$A523</f>
        <v>23.55</v>
      </c>
      <c r="AI523" s="508">
        <f ca="1">$E523-$AG523</f>
        <v>92.16</v>
      </c>
      <c r="AJ523" s="508">
        <f ca="1">$A523*$AI523</f>
        <v>92.16</v>
      </c>
      <c r="AK523" s="509">
        <f ca="1">ROUND(($AG523+$AI523)*$A523,2)</f>
        <v>115.71</v>
      </c>
      <c r="AM523" s="510">
        <f ca="1">ROUND(R528,2)</f>
        <v>19.3</v>
      </c>
      <c r="AN523" s="511">
        <f ca="1">ROUND(T528,2)</f>
        <v>2.62</v>
      </c>
      <c r="AO523" s="512">
        <f ca="1">ROUND(AM523+AN523,2)*A523</f>
        <v>21.92</v>
      </c>
    </row>
    <row r="524" spans="1:41" s="504" customFormat="1" ht="13.2">
      <c r="A524" s="872"/>
      <c r="B524"/>
      <c r="C524" s="872"/>
      <c r="D524" s="873" t="s">
        <v>338</v>
      </c>
      <c r="F524" s="877"/>
      <c r="G524" s="3"/>
      <c r="H524" s="877"/>
      <c r="I524" s="878"/>
      <c r="J524" s="877"/>
      <c r="K524" s="877" t="s">
        <v>141</v>
      </c>
      <c r="L524" s="877"/>
      <c r="M524" s="877"/>
      <c r="N524" s="877"/>
      <c r="O524" s="877"/>
      <c r="P524" s="877"/>
      <c r="Q524" s="50"/>
      <c r="R524" s="513"/>
      <c r="S524" s="881"/>
      <c r="T524" s="877"/>
    </row>
    <row r="525" spans="1:41" s="997" customFormat="1" ht="13.2">
      <c r="A525"/>
      <c r="B525" s="1065"/>
      <c r="C525" s="1065" t="s">
        <v>1006</v>
      </c>
      <c r="D525" s="1065" t="str">
        <f ca="1">CELL("Address",Elec_Rates!D$200)</f>
        <v>[EL25_0662B_Brittania_Hotel_Elec_Revised_Estim_B.xlsx]Elec_Rates!$D$200</v>
      </c>
      <c r="E525" s="1066"/>
      <c r="F525" s="1066"/>
      <c r="G525" s="1067" t="s">
        <v>1007</v>
      </c>
      <c r="H525" s="1067"/>
      <c r="I525" s="1067"/>
      <c r="J525" s="1067"/>
      <c r="K525" s="1068"/>
      <c r="L525" s="1066"/>
      <c r="M525" s="1066"/>
      <c r="N525" s="1066"/>
      <c r="O525" s="1069"/>
      <c r="P525" s="1066"/>
      <c r="Q525" s="1070"/>
      <c r="R525" s="1071"/>
      <c r="S525" s="1070"/>
      <c r="T525" s="1072"/>
      <c r="U525" s="1073"/>
    </row>
    <row r="526" spans="1:41" s="997" customFormat="1" ht="11.4">
      <c r="A526" s="1074">
        <v>1</v>
      </c>
      <c r="B526" s="1075">
        <v>2</v>
      </c>
      <c r="C526" s="1075">
        <f>$A526*$B526</f>
        <v>2</v>
      </c>
      <c r="D526" s="1076" t="str">
        <f>Elec_Rates!$D$200</f>
        <v>019# Lighting point in LSZH Conduit</v>
      </c>
      <c r="E526" s="1076"/>
      <c r="F526" s="1076" t="s">
        <v>1172</v>
      </c>
      <c r="G526" s="1077" t="s">
        <v>1008</v>
      </c>
      <c r="H526" s="1077"/>
      <c r="I526" s="1077"/>
      <c r="J526" s="1077"/>
      <c r="K526" s="1078"/>
      <c r="L526" s="1073"/>
      <c r="M526" s="1073"/>
      <c r="N526" s="1073"/>
      <c r="O526" s="1079"/>
      <c r="P526" s="1076"/>
      <c r="Q526" s="1080">
        <f ca="1">$B526*Elec_Rates!$R$200</f>
        <v>19.3</v>
      </c>
      <c r="R526" s="1071">
        <f ca="1">$A526*Q526</f>
        <v>19.3</v>
      </c>
      <c r="S526" s="1080">
        <f ca="1">$B526*Elec_Rates!$T$200</f>
        <v>2.62</v>
      </c>
      <c r="T526" s="1072">
        <f ca="1">$A526*S526</f>
        <v>2.62</v>
      </c>
      <c r="U526" s="1081"/>
    </row>
    <row r="527" spans="1:41" s="504" customFormat="1" ht="12">
      <c r="A527" s="882"/>
      <c r="B527" s="882"/>
      <c r="C527" s="882"/>
      <c r="D527" s="882"/>
      <c r="E527" s="882"/>
      <c r="F527" s="877"/>
      <c r="G527" s="882"/>
      <c r="H527" s="882"/>
      <c r="I527" s="503"/>
      <c r="J527" s="882"/>
      <c r="K527" s="882"/>
      <c r="L527" s="882"/>
      <c r="M527" s="882"/>
      <c r="N527" s="882"/>
      <c r="O527" s="882"/>
      <c r="P527" s="882"/>
      <c r="Q527" s="503"/>
      <c r="R527" s="883">
        <f>$A527*Q527</f>
        <v>0</v>
      </c>
      <c r="S527" s="503"/>
      <c r="T527" s="884">
        <f>$A527*S527*$T$1</f>
        <v>0</v>
      </c>
    </row>
    <row r="528" spans="1:41" s="504" customFormat="1" ht="12.6" thickBot="1">
      <c r="A528" s="885" t="s">
        <v>142</v>
      </c>
      <c r="B528" s="886">
        <f>(R527+T527)</f>
        <v>0</v>
      </c>
      <c r="C528" s="887"/>
      <c r="D528" s="887"/>
      <c r="E528" s="887"/>
      <c r="F528" s="888"/>
      <c r="G528" s="887" t="s">
        <v>143</v>
      </c>
      <c r="H528" s="887"/>
      <c r="I528" s="889"/>
      <c r="J528" s="887"/>
      <c r="K528" s="887" t="s">
        <v>3</v>
      </c>
      <c r="L528" s="890" t="s">
        <v>140</v>
      </c>
      <c r="M528" s="890"/>
      <c r="N528" s="890"/>
      <c r="O528" s="890"/>
      <c r="P528" s="890"/>
      <c r="Q528" s="891"/>
      <c r="R528" s="892">
        <f ca="1">SUM(R524:R527)</f>
        <v>19.3</v>
      </c>
      <c r="S528" s="887"/>
      <c r="T528" s="892">
        <f ca="1">SUM(T524:T527)</f>
        <v>2.62</v>
      </c>
      <c r="U528" s="514"/>
      <c r="V528" s="514"/>
      <c r="W528" s="514"/>
      <c r="X528" s="514"/>
      <c r="Y528" s="514"/>
      <c r="Z528" s="514"/>
      <c r="AA528" s="514"/>
      <c r="AB528" s="514"/>
      <c r="AC528" s="514"/>
      <c r="AD528" s="514"/>
      <c r="AE528" s="514"/>
      <c r="AF528" s="514"/>
      <c r="AG528" s="514"/>
      <c r="AH528" s="514"/>
      <c r="AI528" s="514"/>
      <c r="AJ528" s="514"/>
      <c r="AK528" s="514"/>
      <c r="AL528" s="514"/>
      <c r="AM528" s="514"/>
      <c r="AN528" s="514"/>
      <c r="AO528" s="514"/>
    </row>
    <row r="529" spans="1:41" s="504" customFormat="1" ht="12" thickTop="1">
      <c r="A529" s="50"/>
      <c r="B529" s="40"/>
      <c r="C529" s="50"/>
      <c r="E529" s="41" t="s">
        <v>136</v>
      </c>
      <c r="F529" s="41" t="s">
        <v>137</v>
      </c>
      <c r="G529" s="50"/>
      <c r="H529" s="50"/>
      <c r="I529" s="50"/>
      <c r="J529" s="50"/>
      <c r="K529" s="50" t="s">
        <v>138</v>
      </c>
      <c r="L529" s="50"/>
      <c r="M529" s="50"/>
      <c r="N529" s="50"/>
      <c r="O529" s="51"/>
      <c r="P529" s="50"/>
      <c r="Q529" s="50"/>
      <c r="R529" s="50"/>
      <c r="S529" s="50"/>
      <c r="T529" s="40"/>
      <c r="AG529" s="867" t="s">
        <v>241</v>
      </c>
      <c r="AH529" s="867" t="s">
        <v>242</v>
      </c>
      <c r="AI529" s="867" t="s">
        <v>243</v>
      </c>
      <c r="AJ529" s="867" t="s">
        <v>244</v>
      </c>
      <c r="AK529" s="867" t="s">
        <v>245</v>
      </c>
      <c r="AM529" s="868" t="s">
        <v>254</v>
      </c>
      <c r="AN529" s="869" t="s">
        <v>255</v>
      </c>
      <c r="AO529" s="505" t="s">
        <v>251</v>
      </c>
    </row>
    <row r="530" spans="1:41" s="504" customFormat="1" ht="12" customHeight="1">
      <c r="A530" s="870">
        <v>1</v>
      </c>
      <c r="B530" s="871" t="s">
        <v>335</v>
      </c>
      <c r="C530" s="872"/>
      <c r="D530" s="873" t="s">
        <v>812</v>
      </c>
      <c r="E530" s="874">
        <f ca="1">IF(AND($A530=0,$A$1="DIF"),0, ROUND(ROUND(($R535*$S$2+($T535*$T$2))/A530,2)*$C$2,2))</f>
        <v>173.56</v>
      </c>
      <c r="F530" s="875">
        <f ca="1">ROUND($A530*$E530,2)</f>
        <v>173.56</v>
      </c>
      <c r="G530" s="876" t="s">
        <v>139</v>
      </c>
      <c r="H530" s="877"/>
      <c r="I530" s="878"/>
      <c r="J530" s="877"/>
      <c r="K530" s="877" t="s">
        <v>3</v>
      </c>
      <c r="L530" s="879" t="s">
        <v>140</v>
      </c>
      <c r="M530" s="879"/>
      <c r="N530" s="879"/>
      <c r="O530" s="879"/>
      <c r="P530" s="879"/>
      <c r="Q530" s="50"/>
      <c r="T530" s="880" t="str">
        <f ca="1">IF(AND($R535=0,$T535=0),"0.00","mu :" &amp; ROUND($F530/$C$2/($R535+$T535*$D$9),2))</f>
        <v>mu :1.22</v>
      </c>
      <c r="W530" s="507"/>
      <c r="AG530" s="465">
        <f ca="1">IF($E530=0,0,ROUND($R535*$S$2*$C$2/$A530,2))</f>
        <v>35.32</v>
      </c>
      <c r="AH530" s="465">
        <f ca="1">$AG530*$A530</f>
        <v>35.32</v>
      </c>
      <c r="AI530" s="508">
        <f ca="1">$E530-$AG530</f>
        <v>138.24</v>
      </c>
      <c r="AJ530" s="508">
        <f ca="1">$A530*$AI530</f>
        <v>138.24</v>
      </c>
      <c r="AK530" s="509">
        <f ca="1">ROUND(($AG530+$AI530)*$A530,2)</f>
        <v>173.56</v>
      </c>
      <c r="AM530" s="510">
        <f ca="1">ROUND(R535,2)</f>
        <v>28.95</v>
      </c>
      <c r="AN530" s="511">
        <f ca="1">ROUND(T535,2)</f>
        <v>3.93</v>
      </c>
      <c r="AO530" s="512">
        <f ca="1">ROUND(AM530+AN530,2)*A530</f>
        <v>32.880000000000003</v>
      </c>
    </row>
    <row r="531" spans="1:41" s="504" customFormat="1" ht="13.2">
      <c r="A531" s="872"/>
      <c r="B531"/>
      <c r="C531" s="872"/>
      <c r="D531" s="873" t="s">
        <v>339</v>
      </c>
      <c r="F531" s="877"/>
      <c r="G531" s="3"/>
      <c r="H531" s="877"/>
      <c r="I531" s="878"/>
      <c r="J531" s="877"/>
      <c r="K531" s="877" t="s">
        <v>141</v>
      </c>
      <c r="L531" s="877"/>
      <c r="M531" s="877"/>
      <c r="N531" s="877"/>
      <c r="O531" s="877"/>
      <c r="P531" s="877"/>
      <c r="Q531" s="50"/>
      <c r="R531" s="513"/>
      <c r="S531" s="881"/>
      <c r="T531" s="877"/>
    </row>
    <row r="532" spans="1:41" s="997" customFormat="1" ht="13.2">
      <c r="A532"/>
      <c r="B532" s="1065"/>
      <c r="C532" s="1065" t="s">
        <v>1006</v>
      </c>
      <c r="D532" s="1065" t="str">
        <f ca="1">CELL("Address",Elec_Rates!D$200)</f>
        <v>[EL25_0662B_Brittania_Hotel_Elec_Revised_Estim_B.xlsx]Elec_Rates!$D$200</v>
      </c>
      <c r="E532" s="1066"/>
      <c r="F532" s="1066"/>
      <c r="G532" s="1067" t="s">
        <v>1007</v>
      </c>
      <c r="H532" s="1067"/>
      <c r="I532" s="1067"/>
      <c r="J532" s="1067"/>
      <c r="K532" s="1068"/>
      <c r="L532" s="1066"/>
      <c r="M532" s="1066"/>
      <c r="N532" s="1066"/>
      <c r="O532" s="1069"/>
      <c r="P532" s="1066"/>
      <c r="Q532" s="1070"/>
      <c r="R532" s="1071"/>
      <c r="S532" s="1070"/>
      <c r="T532" s="1072"/>
      <c r="U532" s="1073"/>
    </row>
    <row r="533" spans="1:41" s="997" customFormat="1" ht="11.4">
      <c r="A533" s="1074">
        <v>1</v>
      </c>
      <c r="B533" s="1075">
        <v>3</v>
      </c>
      <c r="C533" s="1075">
        <f>$A533*$B533</f>
        <v>3</v>
      </c>
      <c r="D533" s="1076" t="str">
        <f>Elec_Rates!$D$200</f>
        <v>019# Lighting point in LSZH Conduit</v>
      </c>
      <c r="E533" s="1076"/>
      <c r="F533" s="1076" t="s">
        <v>1173</v>
      </c>
      <c r="G533" s="1077" t="s">
        <v>1008</v>
      </c>
      <c r="H533" s="1077"/>
      <c r="I533" s="1077"/>
      <c r="J533" s="1077"/>
      <c r="K533" s="1078"/>
      <c r="L533" s="1073"/>
      <c r="M533" s="1073"/>
      <c r="N533" s="1073"/>
      <c r="O533" s="1079"/>
      <c r="P533" s="1076"/>
      <c r="Q533" s="1080">
        <f ca="1">$B533*Elec_Rates!$R$200</f>
        <v>28.950000000000003</v>
      </c>
      <c r="R533" s="1071">
        <f ca="1">$A533*Q533</f>
        <v>28.950000000000003</v>
      </c>
      <c r="S533" s="1080">
        <f ca="1">$B533*Elec_Rates!$T$200</f>
        <v>3.93</v>
      </c>
      <c r="T533" s="1072">
        <f ca="1">$A533*S533</f>
        <v>3.93</v>
      </c>
      <c r="U533" s="1081"/>
    </row>
    <row r="534" spans="1:41" s="504" customFormat="1" ht="12">
      <c r="A534" s="882"/>
      <c r="B534" s="882"/>
      <c r="C534" s="882"/>
      <c r="D534" s="882"/>
      <c r="E534" s="882"/>
      <c r="F534" s="877"/>
      <c r="G534" s="882"/>
      <c r="H534" s="882"/>
      <c r="I534" s="503"/>
      <c r="J534" s="882"/>
      <c r="K534" s="882"/>
      <c r="L534" s="882"/>
      <c r="M534" s="882"/>
      <c r="N534" s="882"/>
      <c r="O534" s="882"/>
      <c r="P534" s="882"/>
      <c r="Q534" s="503"/>
      <c r="R534" s="883">
        <f>$A534*Q534</f>
        <v>0</v>
      </c>
      <c r="S534" s="503"/>
      <c r="T534" s="884">
        <f>$A534*S534*$T$1</f>
        <v>0</v>
      </c>
    </row>
    <row r="535" spans="1:41" s="504" customFormat="1" ht="12.6" thickBot="1">
      <c r="A535" s="885" t="s">
        <v>142</v>
      </c>
      <c r="B535" s="886">
        <f>(R534+T534)</f>
        <v>0</v>
      </c>
      <c r="C535" s="887"/>
      <c r="D535" s="887"/>
      <c r="E535" s="887"/>
      <c r="F535" s="888"/>
      <c r="G535" s="887" t="s">
        <v>143</v>
      </c>
      <c r="H535" s="887"/>
      <c r="I535" s="889"/>
      <c r="J535" s="887"/>
      <c r="K535" s="887" t="s">
        <v>3</v>
      </c>
      <c r="L535" s="890" t="s">
        <v>140</v>
      </c>
      <c r="M535" s="890"/>
      <c r="N535" s="890"/>
      <c r="O535" s="890"/>
      <c r="P535" s="890"/>
      <c r="Q535" s="891"/>
      <c r="R535" s="892">
        <f ca="1">SUM(R531:R534)</f>
        <v>28.950000000000003</v>
      </c>
      <c r="S535" s="887"/>
      <c r="T535" s="892">
        <f ca="1">SUM(T531:T534)</f>
        <v>3.93</v>
      </c>
      <c r="U535" s="514"/>
      <c r="V535" s="514"/>
      <c r="W535" s="514"/>
      <c r="X535" s="514"/>
      <c r="Y535" s="514"/>
      <c r="Z535" s="514"/>
      <c r="AA535" s="514"/>
      <c r="AB535" s="514"/>
      <c r="AC535" s="514"/>
      <c r="AD535" s="514"/>
      <c r="AE535" s="514"/>
      <c r="AF535" s="514"/>
      <c r="AG535" s="514"/>
      <c r="AH535" s="514"/>
      <c r="AI535" s="514"/>
      <c r="AJ535" s="514"/>
      <c r="AK535" s="514"/>
      <c r="AL535" s="514"/>
      <c r="AM535" s="514"/>
      <c r="AN535" s="514"/>
      <c r="AO535" s="514"/>
    </row>
    <row r="536" spans="1:41" s="504" customFormat="1" ht="12" thickTop="1">
      <c r="A536" s="50"/>
      <c r="B536" s="40"/>
      <c r="C536" s="50"/>
      <c r="E536" s="41" t="s">
        <v>136</v>
      </c>
      <c r="F536" s="41" t="s">
        <v>137</v>
      </c>
      <c r="G536" s="50"/>
      <c r="H536" s="50"/>
      <c r="I536" s="50"/>
      <c r="J536" s="50"/>
      <c r="K536" s="50" t="s">
        <v>138</v>
      </c>
      <c r="L536" s="50"/>
      <c r="M536" s="50"/>
      <c r="N536" s="50"/>
      <c r="O536" s="51"/>
      <c r="P536" s="50"/>
      <c r="Q536" s="50"/>
      <c r="R536" s="50"/>
      <c r="S536" s="50"/>
      <c r="T536" s="40"/>
      <c r="AG536" s="867" t="s">
        <v>241</v>
      </c>
      <c r="AH536" s="867" t="s">
        <v>242</v>
      </c>
      <c r="AI536" s="867" t="s">
        <v>243</v>
      </c>
      <c r="AJ536" s="867" t="s">
        <v>244</v>
      </c>
      <c r="AK536" s="867" t="s">
        <v>245</v>
      </c>
      <c r="AM536" s="868" t="s">
        <v>254</v>
      </c>
      <c r="AN536" s="869" t="s">
        <v>255</v>
      </c>
      <c r="AO536" s="505" t="s">
        <v>251</v>
      </c>
    </row>
    <row r="537" spans="1:41" s="504" customFormat="1" ht="12" customHeight="1">
      <c r="A537" s="870">
        <v>3</v>
      </c>
      <c r="B537" s="871" t="s">
        <v>335</v>
      </c>
      <c r="C537" s="872"/>
      <c r="D537" s="873" t="s">
        <v>819</v>
      </c>
      <c r="E537" s="874">
        <f ca="1">IF(AND($A537=0,$A$1="DIF"),0, ROUND(ROUND(($R544*$S$2+($T544*$T$2))/A537,2)*$C$2,2))</f>
        <v>88.56</v>
      </c>
      <c r="F537" s="875">
        <f ca="1">ROUND($A537*$E537,2)</f>
        <v>265.68</v>
      </c>
      <c r="G537" s="876" t="s">
        <v>139</v>
      </c>
      <c r="H537" s="877"/>
      <c r="I537" s="878"/>
      <c r="J537" s="877"/>
      <c r="K537" s="877" t="s">
        <v>3</v>
      </c>
      <c r="L537" s="879" t="s">
        <v>140</v>
      </c>
      <c r="M537" s="879"/>
      <c r="N537" s="879"/>
      <c r="O537" s="879"/>
      <c r="P537" s="879"/>
      <c r="Q537" s="50"/>
      <c r="T537" s="880" t="str">
        <f ca="1">IF(AND($R544=0,$T544=0),"0.00","mu :" &amp; ROUND($F537/$C$2/($R544+$T544*$D$9),2))</f>
        <v>mu :1.22</v>
      </c>
      <c r="W537" s="507"/>
      <c r="AG537" s="465">
        <f ca="1">IF($E537=0,0,ROUND($R544*$S$2*$C$2/$A537,2))</f>
        <v>33.33</v>
      </c>
      <c r="AH537" s="465">
        <f ca="1">$AG537*$A537</f>
        <v>99.99</v>
      </c>
      <c r="AI537" s="508">
        <f ca="1">$E537-$AG537</f>
        <v>55.230000000000004</v>
      </c>
      <c r="AJ537" s="508">
        <f ca="1">$A537*$AI537</f>
        <v>165.69</v>
      </c>
      <c r="AK537" s="509">
        <f ca="1">ROUND(($AG537+$AI537)*$A537,2)</f>
        <v>265.68</v>
      </c>
      <c r="AM537" s="510">
        <f ca="1">ROUND(R544,2)</f>
        <v>81.96</v>
      </c>
      <c r="AN537" s="511">
        <f ca="1">ROUND(T544,2)</f>
        <v>4.71</v>
      </c>
      <c r="AO537" s="512">
        <f ca="1">ROUND(AM537+AN537,2)*A537</f>
        <v>260.01</v>
      </c>
    </row>
    <row r="538" spans="1:41" s="504" customFormat="1" ht="13.2">
      <c r="A538" s="872"/>
      <c r="B538"/>
      <c r="C538" s="872"/>
      <c r="D538" s="873" t="s">
        <v>340</v>
      </c>
      <c r="F538" s="877"/>
      <c r="G538" s="3"/>
      <c r="H538" s="877"/>
      <c r="I538" s="878"/>
      <c r="J538" s="877"/>
      <c r="K538" s="877" t="s">
        <v>141</v>
      </c>
      <c r="L538" s="877"/>
      <c r="M538" s="877"/>
      <c r="N538" s="877"/>
      <c r="O538" s="877"/>
      <c r="P538" s="877"/>
      <c r="Q538" s="50"/>
      <c r="R538" s="513"/>
      <c r="S538" s="881"/>
      <c r="T538" s="877"/>
    </row>
    <row r="539" spans="1:41" s="997" customFormat="1" ht="13.2">
      <c r="A539"/>
      <c r="B539" s="1065"/>
      <c r="C539" s="1065" t="s">
        <v>1006</v>
      </c>
      <c r="D539" s="1065" t="str">
        <f ca="1">CELL("Address",Elec_Rates!D$200)</f>
        <v>[EL25_0662B_Brittania_Hotel_Elec_Revised_Estim_B.xlsx]Elec_Rates!$D$200</v>
      </c>
      <c r="E539" s="1066"/>
      <c r="F539" s="1066"/>
      <c r="G539" s="1067" t="s">
        <v>1007</v>
      </c>
      <c r="H539" s="1067"/>
      <c r="I539" s="1067"/>
      <c r="J539" s="1067"/>
      <c r="K539" s="1068"/>
      <c r="L539" s="1066"/>
      <c r="M539" s="1066"/>
      <c r="N539" s="1066"/>
      <c r="O539" s="1069"/>
      <c r="P539" s="1066"/>
      <c r="Q539" s="1070"/>
      <c r="R539" s="1071"/>
      <c r="S539" s="1070"/>
      <c r="T539" s="1072"/>
      <c r="U539" s="1073"/>
    </row>
    <row r="540" spans="1:41" s="997" customFormat="1" ht="11.4">
      <c r="A540" s="1074">
        <v>3</v>
      </c>
      <c r="B540" s="1075">
        <v>1</v>
      </c>
      <c r="C540" s="1075">
        <f>$A540*$B540</f>
        <v>3</v>
      </c>
      <c r="D540" s="1076" t="str">
        <f>Elec_Rates!$D$200</f>
        <v>019# Lighting point in LSZH Conduit</v>
      </c>
      <c r="E540" s="1076"/>
      <c r="F540" s="1076" t="s">
        <v>1169</v>
      </c>
      <c r="G540" s="1077" t="s">
        <v>1008</v>
      </c>
      <c r="H540" s="1077"/>
      <c r="I540" s="1077"/>
      <c r="J540" s="1077"/>
      <c r="K540" s="1078"/>
      <c r="L540" s="1073"/>
      <c r="M540" s="1073"/>
      <c r="N540" s="1073"/>
      <c r="O540" s="1079"/>
      <c r="P540" s="1076"/>
      <c r="Q540" s="1080">
        <f ca="1">$B540*Elec_Rates!$R$200</f>
        <v>9.65</v>
      </c>
      <c r="R540" s="1071">
        <f ca="1">$A540*Q540</f>
        <v>28.950000000000003</v>
      </c>
      <c r="S540" s="1080">
        <f ca="1">$B540*Elec_Rates!$T$200</f>
        <v>1.31</v>
      </c>
      <c r="T540" s="1072">
        <f ca="1">$A540*S540</f>
        <v>3.93</v>
      </c>
      <c r="U540" s="1081"/>
    </row>
    <row r="541" spans="1:41" s="997" customFormat="1" ht="13.2">
      <c r="A541"/>
      <c r="B541" s="1065"/>
      <c r="C541" s="1065" t="s">
        <v>1006</v>
      </c>
      <c r="D541" s="1065" t="str">
        <f ca="1">CELL("Address",Elec_Rates!D$210)</f>
        <v>[EL25_0662B_Brittania_Hotel_Elec_Revised_Estim_B.xlsx]Elec_Rates!$D$210</v>
      </c>
      <c r="E541" s="1066"/>
      <c r="F541" s="1066"/>
      <c r="G541" s="1067" t="s">
        <v>1007</v>
      </c>
      <c r="H541" s="1067"/>
      <c r="I541" s="1067"/>
      <c r="J541" s="1067"/>
      <c r="K541" s="1068"/>
      <c r="L541" s="1066"/>
      <c r="M541" s="1066"/>
      <c r="N541" s="1066"/>
      <c r="O541" s="1069"/>
      <c r="P541" s="1066"/>
      <c r="Q541" s="1070"/>
      <c r="R541" s="1071"/>
      <c r="S541" s="1070"/>
      <c r="T541" s="1072"/>
      <c r="U541" s="1073"/>
    </row>
    <row r="542" spans="1:41" s="997" customFormat="1" ht="11.4">
      <c r="A542" s="1074">
        <v>3</v>
      </c>
      <c r="B542" s="1075">
        <v>1</v>
      </c>
      <c r="C542" s="1075">
        <f>$A542*$B542</f>
        <v>3</v>
      </c>
      <c r="D542" s="1076" t="str">
        <f>Elec_Rates!$D$210</f>
        <v>020# Movement Detector</v>
      </c>
      <c r="E542" s="1076"/>
      <c r="F542" s="1076"/>
      <c r="G542" s="1077" t="s">
        <v>1008</v>
      </c>
      <c r="H542" s="1077"/>
      <c r="I542" s="1077"/>
      <c r="J542" s="1077"/>
      <c r="K542" s="1078"/>
      <c r="L542" s="1073"/>
      <c r="M542" s="1073"/>
      <c r="N542" s="1073"/>
      <c r="O542" s="1079"/>
      <c r="P542" s="1076"/>
      <c r="Q542" s="1080">
        <f ca="1">$B542*Elec_Rates!$R$210</f>
        <v>17.670000000000002</v>
      </c>
      <c r="R542" s="1071">
        <f ca="1">$A542*Q542</f>
        <v>53.010000000000005</v>
      </c>
      <c r="S542" s="1080">
        <f ca="1">$B542*Elec_Rates!$T$210</f>
        <v>0.26</v>
      </c>
      <c r="T542" s="1072">
        <f ca="1">$A542*S542</f>
        <v>0.78</v>
      </c>
      <c r="U542" s="1081"/>
    </row>
    <row r="543" spans="1:41" s="504" customFormat="1" ht="12">
      <c r="A543" s="882"/>
      <c r="B543" s="882"/>
      <c r="C543" s="882"/>
      <c r="D543" s="882"/>
      <c r="E543" s="882"/>
      <c r="F543" s="877"/>
      <c r="G543" s="882"/>
      <c r="H543" s="882"/>
      <c r="I543" s="503"/>
      <c r="J543" s="882"/>
      <c r="K543" s="882"/>
      <c r="L543" s="882"/>
      <c r="M543" s="882"/>
      <c r="N543" s="882"/>
      <c r="O543" s="882"/>
      <c r="P543" s="882"/>
      <c r="Q543" s="503"/>
      <c r="R543" s="883">
        <f>$A543*Q543</f>
        <v>0</v>
      </c>
      <c r="S543" s="503"/>
      <c r="T543" s="884">
        <f>$A543*S543*$T$1</f>
        <v>0</v>
      </c>
    </row>
    <row r="544" spans="1:41" s="504" customFormat="1" ht="12.6" thickBot="1">
      <c r="A544" s="885" t="s">
        <v>142</v>
      </c>
      <c r="B544" s="886">
        <f>(R543+T543)</f>
        <v>0</v>
      </c>
      <c r="C544" s="887"/>
      <c r="D544" s="887"/>
      <c r="E544" s="887"/>
      <c r="F544" s="888"/>
      <c r="G544" s="887" t="s">
        <v>143</v>
      </c>
      <c r="H544" s="887"/>
      <c r="I544" s="889"/>
      <c r="J544" s="887"/>
      <c r="K544" s="887" t="s">
        <v>3</v>
      </c>
      <c r="L544" s="890" t="s">
        <v>140</v>
      </c>
      <c r="M544" s="890"/>
      <c r="N544" s="890"/>
      <c r="O544" s="890"/>
      <c r="P544" s="890"/>
      <c r="Q544" s="891"/>
      <c r="R544" s="892">
        <f ca="1">SUM(R538:R543)</f>
        <v>81.960000000000008</v>
      </c>
      <c r="S544" s="887"/>
      <c r="T544" s="892">
        <f ca="1">SUM(T538:T543)</f>
        <v>4.71</v>
      </c>
      <c r="U544" s="514"/>
      <c r="V544" s="514"/>
      <c r="W544" s="514"/>
      <c r="X544" s="514"/>
      <c r="Y544" s="514"/>
      <c r="Z544" s="514"/>
      <c r="AA544" s="514"/>
      <c r="AB544" s="514"/>
      <c r="AC544" s="514"/>
      <c r="AD544" s="514"/>
      <c r="AE544" s="514"/>
      <c r="AF544" s="514"/>
      <c r="AG544" s="514"/>
      <c r="AH544" s="514"/>
      <c r="AI544" s="514"/>
      <c r="AJ544" s="514"/>
      <c r="AK544" s="514"/>
      <c r="AL544" s="514"/>
      <c r="AM544" s="514"/>
      <c r="AN544" s="514"/>
      <c r="AO544" s="514"/>
    </row>
    <row r="545" spans="1:41" s="504" customFormat="1" ht="12" thickTop="1">
      <c r="A545" s="50"/>
      <c r="B545" s="40"/>
      <c r="C545" s="50"/>
      <c r="E545" s="41" t="s">
        <v>136</v>
      </c>
      <c r="F545" s="41" t="s">
        <v>137</v>
      </c>
      <c r="G545" s="50"/>
      <c r="H545" s="50"/>
      <c r="I545" s="50"/>
      <c r="J545" s="50"/>
      <c r="K545" s="50" t="s">
        <v>138</v>
      </c>
      <c r="L545" s="50"/>
      <c r="M545" s="50"/>
      <c r="N545" s="50"/>
      <c r="O545" s="51"/>
      <c r="P545" s="50"/>
      <c r="Q545" s="50"/>
      <c r="R545" s="50"/>
      <c r="S545" s="50"/>
      <c r="T545" s="40"/>
      <c r="AG545" s="867" t="s">
        <v>241</v>
      </c>
      <c r="AH545" s="867" t="s">
        <v>242</v>
      </c>
      <c r="AI545" s="867" t="s">
        <v>243</v>
      </c>
      <c r="AJ545" s="867" t="s">
        <v>244</v>
      </c>
      <c r="AK545" s="867" t="s">
        <v>245</v>
      </c>
      <c r="AM545" s="868" t="s">
        <v>254</v>
      </c>
      <c r="AN545" s="869" t="s">
        <v>255</v>
      </c>
      <c r="AO545" s="505" t="s">
        <v>251</v>
      </c>
    </row>
    <row r="546" spans="1:41" s="504" customFormat="1" ht="12" customHeight="1">
      <c r="A546" s="870">
        <v>2</v>
      </c>
      <c r="B546" s="871" t="s">
        <v>335</v>
      </c>
      <c r="C546" s="872"/>
      <c r="D546" s="873" t="s">
        <v>820</v>
      </c>
      <c r="E546" s="874">
        <f ca="1">IF(AND($A546=0,$A$1="DIF"),0, ROUND(ROUND(($R553*$S$2+($T553*$T$2))/A546,2)*$C$2,2))</f>
        <v>117.48</v>
      </c>
      <c r="F546" s="875">
        <f ca="1">ROUND($A546*$E546,2)</f>
        <v>234.96</v>
      </c>
      <c r="G546" s="876" t="s">
        <v>139</v>
      </c>
      <c r="H546" s="877"/>
      <c r="I546" s="878"/>
      <c r="J546" s="877"/>
      <c r="K546" s="877" t="s">
        <v>3</v>
      </c>
      <c r="L546" s="879" t="s">
        <v>140</v>
      </c>
      <c r="M546" s="879"/>
      <c r="N546" s="879"/>
      <c r="O546" s="879"/>
      <c r="P546" s="879"/>
      <c r="Q546" s="50"/>
      <c r="T546" s="880" t="str">
        <f ca="1">IF(AND($R553=0,$T553=0),"0.00","mu :" &amp; ROUND($F546/$C$2/($R553+$T553*$D$9),2))</f>
        <v>mu :1.22</v>
      </c>
      <c r="W546" s="507"/>
      <c r="AG546" s="465">
        <f ca="1">IF($E546=0,0,ROUND($R553*$S$2*$C$2/$A546,2))</f>
        <v>39.22</v>
      </c>
      <c r="AH546" s="465">
        <f ca="1">$AG546*$A546</f>
        <v>78.44</v>
      </c>
      <c r="AI546" s="508">
        <f ca="1">$E546-$AG546</f>
        <v>78.260000000000005</v>
      </c>
      <c r="AJ546" s="508">
        <f ca="1">$A546*$AI546</f>
        <v>156.52000000000001</v>
      </c>
      <c r="AK546" s="509">
        <f ca="1">ROUND(($AG546+$AI546)*$A546,2)</f>
        <v>234.96</v>
      </c>
      <c r="AM546" s="510">
        <f ca="1">ROUND(R553,2)</f>
        <v>64.290000000000006</v>
      </c>
      <c r="AN546" s="511">
        <f ca="1">ROUND(T553,2)</f>
        <v>4.45</v>
      </c>
      <c r="AO546" s="512">
        <f ca="1">ROUND(AM546+AN546,2)*A546</f>
        <v>137.47999999999999</v>
      </c>
    </row>
    <row r="547" spans="1:41" s="504" customFormat="1" ht="13.2">
      <c r="A547" s="872"/>
      <c r="B547"/>
      <c r="C547" s="872"/>
      <c r="D547" s="873" t="s">
        <v>341</v>
      </c>
      <c r="F547" s="877"/>
      <c r="G547" s="3"/>
      <c r="H547" s="877"/>
      <c r="I547" s="878"/>
      <c r="J547" s="877"/>
      <c r="K547" s="877" t="s">
        <v>141</v>
      </c>
      <c r="L547" s="877"/>
      <c r="M547" s="877"/>
      <c r="N547" s="877"/>
      <c r="O547" s="877"/>
      <c r="P547" s="877"/>
      <c r="Q547" s="50"/>
      <c r="R547" s="513"/>
      <c r="S547" s="881"/>
      <c r="T547" s="877"/>
    </row>
    <row r="548" spans="1:41" s="997" customFormat="1" ht="13.2">
      <c r="A548"/>
      <c r="B548" s="1065"/>
      <c r="C548" s="1065" t="s">
        <v>1006</v>
      </c>
      <c r="D548" s="1065" t="str">
        <f ca="1">CELL("Address",Elec_Rates!D$200)</f>
        <v>[EL25_0662B_Brittania_Hotel_Elec_Revised_Estim_B.xlsx]Elec_Rates!$D$200</v>
      </c>
      <c r="E548" s="1066"/>
      <c r="F548" s="1066"/>
      <c r="G548" s="1067" t="s">
        <v>1007</v>
      </c>
      <c r="H548" s="1067"/>
      <c r="I548" s="1067"/>
      <c r="J548" s="1067"/>
      <c r="K548" s="1068"/>
      <c r="L548" s="1066"/>
      <c r="M548" s="1066"/>
      <c r="N548" s="1066"/>
      <c r="O548" s="1069"/>
      <c r="P548" s="1066"/>
      <c r="Q548" s="1070"/>
      <c r="R548" s="1071"/>
      <c r="S548" s="1070"/>
      <c r="T548" s="1072"/>
      <c r="U548" s="1073"/>
    </row>
    <row r="549" spans="1:41" s="997" customFormat="1" ht="11.4">
      <c r="A549" s="1074">
        <v>2</v>
      </c>
      <c r="B549" s="1075">
        <v>1.5</v>
      </c>
      <c r="C549" s="1075">
        <f>$A549*$B549</f>
        <v>3</v>
      </c>
      <c r="D549" s="1076" t="str">
        <f>Elec_Rates!$D$200</f>
        <v>019# Lighting point in LSZH Conduit</v>
      </c>
      <c r="E549" s="1076"/>
      <c r="F549" s="1076" t="s">
        <v>1177</v>
      </c>
      <c r="G549" s="1077" t="s">
        <v>1008</v>
      </c>
      <c r="H549" s="1077"/>
      <c r="I549" s="1077"/>
      <c r="J549" s="1077"/>
      <c r="K549" s="1078"/>
      <c r="L549" s="1073"/>
      <c r="M549" s="1073"/>
      <c r="N549" s="1073"/>
      <c r="O549" s="1079"/>
      <c r="P549" s="1076"/>
      <c r="Q549" s="1080">
        <f ca="1">$B549*Elec_Rates!$R$200</f>
        <v>14.475000000000001</v>
      </c>
      <c r="R549" s="1071">
        <f ca="1">$A549*Q549</f>
        <v>28.950000000000003</v>
      </c>
      <c r="S549" s="1080">
        <f ca="1">$B549*Elec_Rates!$T$200</f>
        <v>1.9650000000000001</v>
      </c>
      <c r="T549" s="1072">
        <f ca="1">$A549*S549</f>
        <v>3.93</v>
      </c>
      <c r="U549" s="1081"/>
    </row>
    <row r="550" spans="1:41" s="997" customFormat="1" ht="13.2">
      <c r="A550"/>
      <c r="B550" s="1065"/>
      <c r="C550" s="1065" t="s">
        <v>1006</v>
      </c>
      <c r="D550" s="1065" t="str">
        <f ca="1">CELL("Address",Elec_Rates!D$210)</f>
        <v>[EL25_0662B_Brittania_Hotel_Elec_Revised_Estim_B.xlsx]Elec_Rates!$D$210</v>
      </c>
      <c r="E550" s="1066"/>
      <c r="F550" s="1066"/>
      <c r="G550" s="1067" t="s">
        <v>1007</v>
      </c>
      <c r="H550" s="1067"/>
      <c r="I550" s="1067"/>
      <c r="J550" s="1067"/>
      <c r="K550" s="1068"/>
      <c r="L550" s="1066"/>
      <c r="M550" s="1066"/>
      <c r="N550" s="1066"/>
      <c r="O550" s="1069"/>
      <c r="P550" s="1066"/>
      <c r="Q550" s="1070"/>
      <c r="R550" s="1071"/>
      <c r="S550" s="1070"/>
      <c r="T550" s="1072"/>
      <c r="U550" s="1073"/>
    </row>
    <row r="551" spans="1:41" s="997" customFormat="1" ht="11.4">
      <c r="A551" s="1074">
        <v>2</v>
      </c>
      <c r="B551" s="1075">
        <v>1</v>
      </c>
      <c r="C551" s="1075">
        <f>$A551*$B551</f>
        <v>2</v>
      </c>
      <c r="D551" s="1076" t="str">
        <f>Elec_Rates!$D$210</f>
        <v>020# Movement Detector</v>
      </c>
      <c r="E551" s="1076"/>
      <c r="F551" s="1076"/>
      <c r="G551" s="1077" t="s">
        <v>1008</v>
      </c>
      <c r="H551" s="1077"/>
      <c r="I551" s="1077"/>
      <c r="J551" s="1077"/>
      <c r="K551" s="1078"/>
      <c r="L551" s="1073"/>
      <c r="M551" s="1073"/>
      <c r="N551" s="1073"/>
      <c r="O551" s="1079"/>
      <c r="P551" s="1076"/>
      <c r="Q551" s="1080">
        <f ca="1">$B551*Elec_Rates!$R$210</f>
        <v>17.670000000000002</v>
      </c>
      <c r="R551" s="1071">
        <f ca="1">$A551*Q551</f>
        <v>35.340000000000003</v>
      </c>
      <c r="S551" s="1080">
        <f ca="1">$B551*Elec_Rates!$T$210</f>
        <v>0.26</v>
      </c>
      <c r="T551" s="1072">
        <f ca="1">$A551*S551</f>
        <v>0.52</v>
      </c>
      <c r="U551" s="1081"/>
    </row>
    <row r="552" spans="1:41" s="504" customFormat="1" ht="12">
      <c r="A552" s="882"/>
      <c r="B552" s="882"/>
      <c r="C552" s="882"/>
      <c r="D552" s="882"/>
      <c r="E552" s="882"/>
      <c r="F552" s="877"/>
      <c r="G552" s="882"/>
      <c r="H552" s="882"/>
      <c r="I552" s="503"/>
      <c r="J552" s="882"/>
      <c r="K552" s="882"/>
      <c r="L552" s="882"/>
      <c r="M552" s="882"/>
      <c r="N552" s="882"/>
      <c r="O552" s="882"/>
      <c r="P552" s="882"/>
      <c r="Q552" s="503"/>
      <c r="R552" s="883">
        <f>$A552*Q552</f>
        <v>0</v>
      </c>
      <c r="S552" s="503"/>
      <c r="T552" s="884">
        <f>$A552*S552*$T$1</f>
        <v>0</v>
      </c>
    </row>
    <row r="553" spans="1:41" s="504" customFormat="1" ht="12.6" thickBot="1">
      <c r="A553" s="885" t="s">
        <v>142</v>
      </c>
      <c r="B553" s="886">
        <f>(R552+T552)</f>
        <v>0</v>
      </c>
      <c r="C553" s="887"/>
      <c r="D553" s="887"/>
      <c r="E553" s="887"/>
      <c r="F553" s="888"/>
      <c r="G553" s="887" t="s">
        <v>143</v>
      </c>
      <c r="H553" s="887"/>
      <c r="I553" s="889"/>
      <c r="J553" s="887"/>
      <c r="K553" s="887" t="s">
        <v>3</v>
      </c>
      <c r="L553" s="890" t="s">
        <v>140</v>
      </c>
      <c r="M553" s="890"/>
      <c r="N553" s="890"/>
      <c r="O553" s="890"/>
      <c r="P553" s="890"/>
      <c r="Q553" s="891"/>
      <c r="R553" s="892">
        <f ca="1">SUM(R547:R552)</f>
        <v>64.290000000000006</v>
      </c>
      <c r="S553" s="887"/>
      <c r="T553" s="892">
        <f ca="1">SUM(T547:T552)</f>
        <v>4.45</v>
      </c>
      <c r="U553" s="514"/>
      <c r="V553" s="514"/>
      <c r="W553" s="514"/>
      <c r="X553" s="514"/>
      <c r="Y553" s="514"/>
      <c r="Z553" s="514"/>
      <c r="AA553" s="514"/>
      <c r="AB553" s="514"/>
      <c r="AC553" s="514"/>
      <c r="AD553" s="514"/>
      <c r="AE553" s="514"/>
      <c r="AF553" s="514"/>
      <c r="AG553" s="514"/>
      <c r="AH553" s="514"/>
      <c r="AI553" s="514"/>
      <c r="AJ553" s="514"/>
      <c r="AK553" s="514"/>
      <c r="AL553" s="514"/>
      <c r="AM553" s="514"/>
      <c r="AN553" s="514"/>
      <c r="AO553" s="514"/>
    </row>
    <row r="554" spans="1:41" s="504" customFormat="1" ht="12" thickTop="1">
      <c r="A554" s="50"/>
      <c r="B554" s="40"/>
      <c r="C554" s="50"/>
      <c r="E554" s="41" t="s">
        <v>136</v>
      </c>
      <c r="F554" s="41" t="s">
        <v>137</v>
      </c>
      <c r="G554" s="50"/>
      <c r="H554" s="50"/>
      <c r="I554" s="50"/>
      <c r="J554" s="50"/>
      <c r="K554" s="50" t="s">
        <v>138</v>
      </c>
      <c r="L554" s="50"/>
      <c r="M554" s="50"/>
      <c r="N554" s="50"/>
      <c r="O554" s="51"/>
      <c r="P554" s="50"/>
      <c r="Q554" s="50"/>
      <c r="R554" s="50"/>
      <c r="S554" s="50"/>
      <c r="T554" s="40"/>
      <c r="AG554" s="867" t="s">
        <v>241</v>
      </c>
      <c r="AH554" s="867" t="s">
        <v>242</v>
      </c>
      <c r="AI554" s="867" t="s">
        <v>243</v>
      </c>
      <c r="AJ554" s="867" t="s">
        <v>244</v>
      </c>
      <c r="AK554" s="867" t="s">
        <v>245</v>
      </c>
      <c r="AM554" s="868" t="s">
        <v>254</v>
      </c>
      <c r="AN554" s="869" t="s">
        <v>255</v>
      </c>
      <c r="AO554" s="505" t="s">
        <v>251</v>
      </c>
    </row>
    <row r="555" spans="1:41" s="504" customFormat="1" ht="12" customHeight="1">
      <c r="A555" s="870">
        <v>1</v>
      </c>
      <c r="B555" s="871" t="s">
        <v>335</v>
      </c>
      <c r="C555" s="872"/>
      <c r="D555" s="873" t="s">
        <v>821</v>
      </c>
      <c r="E555" s="874">
        <f ca="1">IF(AND($A555=0,$A$1="DIF"),0, ROUND(ROUND(($R562*$S$2+($T562*$T$2))/A555,2)*$C$2,2))</f>
        <v>175.34</v>
      </c>
      <c r="F555" s="875">
        <f ca="1">ROUND($A555*$E555,2)</f>
        <v>175.34</v>
      </c>
      <c r="G555" s="876" t="s">
        <v>139</v>
      </c>
      <c r="H555" s="877"/>
      <c r="I555" s="878"/>
      <c r="J555" s="877"/>
      <c r="K555" s="877" t="s">
        <v>3</v>
      </c>
      <c r="L555" s="879" t="s">
        <v>140</v>
      </c>
      <c r="M555" s="879"/>
      <c r="N555" s="879"/>
      <c r="O555" s="879"/>
      <c r="P555" s="879"/>
      <c r="Q555" s="50"/>
      <c r="T555" s="880" t="str">
        <f ca="1">IF(AND($R562=0,$T562=0),"0.00","mu :" &amp; ROUND($F555/$C$2/($R562+$T562*$D$9),2))</f>
        <v>mu :1.22</v>
      </c>
      <c r="W555" s="507"/>
      <c r="AG555" s="465">
        <f ca="1">IF($E555=0,0,ROUND($R562*$S$2*$C$2/$A555,2))</f>
        <v>50.99</v>
      </c>
      <c r="AH555" s="465">
        <f ca="1">$AG555*$A555</f>
        <v>50.99</v>
      </c>
      <c r="AI555" s="508">
        <f ca="1">$E555-$AG555</f>
        <v>124.35</v>
      </c>
      <c r="AJ555" s="508">
        <f ca="1">$A555*$AI555</f>
        <v>124.35</v>
      </c>
      <c r="AK555" s="509">
        <f ca="1">ROUND(($AG555+$AI555)*$A555,2)</f>
        <v>175.34</v>
      </c>
      <c r="AM555" s="510">
        <f ca="1">ROUND(R562,2)</f>
        <v>41.8</v>
      </c>
      <c r="AN555" s="511">
        <f ca="1">ROUND(T562,2)</f>
        <v>3.54</v>
      </c>
      <c r="AO555" s="512">
        <f ca="1">ROUND(AM555+AN555,2)*A555</f>
        <v>45.34</v>
      </c>
    </row>
    <row r="556" spans="1:41" s="504" customFormat="1" ht="13.2">
      <c r="A556" s="872"/>
      <c r="B556"/>
      <c r="C556" s="872"/>
      <c r="D556" s="873" t="s">
        <v>342</v>
      </c>
      <c r="F556" s="877"/>
      <c r="G556" s="3"/>
      <c r="H556" s="877"/>
      <c r="I556" s="878"/>
      <c r="J556" s="877"/>
      <c r="K556" s="877" t="s">
        <v>141</v>
      </c>
      <c r="L556" s="877"/>
      <c r="M556" s="877"/>
      <c r="N556" s="877"/>
      <c r="O556" s="877"/>
      <c r="P556" s="877"/>
      <c r="Q556" s="50"/>
      <c r="R556" s="513"/>
      <c r="S556" s="881"/>
      <c r="T556" s="877"/>
    </row>
    <row r="557" spans="1:41" s="997" customFormat="1" ht="13.2">
      <c r="A557"/>
      <c r="B557" s="1065"/>
      <c r="C557" s="1065" t="s">
        <v>1006</v>
      </c>
      <c r="D557" s="1065" t="str">
        <f ca="1">CELL("Address",Elec_Rates!D$200)</f>
        <v>[EL25_0662B_Brittania_Hotel_Elec_Revised_Estim_B.xlsx]Elec_Rates!$D$200</v>
      </c>
      <c r="E557" s="1066"/>
      <c r="F557" s="1066"/>
      <c r="G557" s="1067" t="s">
        <v>1007</v>
      </c>
      <c r="H557" s="1067"/>
      <c r="I557" s="1067"/>
      <c r="J557" s="1067"/>
      <c r="K557" s="1068"/>
      <c r="L557" s="1066"/>
      <c r="M557" s="1066"/>
      <c r="N557" s="1066"/>
      <c r="O557" s="1069"/>
      <c r="P557" s="1066"/>
      <c r="Q557" s="1070"/>
      <c r="R557" s="1071"/>
      <c r="S557" s="1070"/>
      <c r="T557" s="1072"/>
      <c r="U557" s="1073"/>
    </row>
    <row r="558" spans="1:41" s="997" customFormat="1" ht="11.4">
      <c r="A558" s="1074">
        <v>1</v>
      </c>
      <c r="B558" s="1075">
        <v>2.5</v>
      </c>
      <c r="C558" s="1075">
        <f>$A558*$B558</f>
        <v>2.5</v>
      </c>
      <c r="D558" s="1076" t="str">
        <f>Elec_Rates!$D$200</f>
        <v>019# Lighting point in LSZH Conduit</v>
      </c>
      <c r="E558" s="1076"/>
      <c r="F558" s="1076" t="s">
        <v>1178</v>
      </c>
      <c r="G558" s="1077" t="s">
        <v>1008</v>
      </c>
      <c r="H558" s="1077"/>
      <c r="I558" s="1077"/>
      <c r="J558" s="1077"/>
      <c r="K558" s="1078"/>
      <c r="L558" s="1073"/>
      <c r="M558" s="1073"/>
      <c r="N558" s="1073"/>
      <c r="O558" s="1079"/>
      <c r="P558" s="1076"/>
      <c r="Q558" s="1080">
        <f ca="1">$B558*Elec_Rates!$R$200</f>
        <v>24.125</v>
      </c>
      <c r="R558" s="1071">
        <f ca="1">$A558*Q558</f>
        <v>24.125</v>
      </c>
      <c r="S558" s="1080">
        <f ca="1">$B558*Elec_Rates!$T$200</f>
        <v>3.2750000000000004</v>
      </c>
      <c r="T558" s="1072">
        <f ca="1">$A558*S558</f>
        <v>3.2750000000000004</v>
      </c>
      <c r="U558" s="1081"/>
    </row>
    <row r="559" spans="1:41" s="997" customFormat="1" ht="13.2">
      <c r="A559"/>
      <c r="B559" s="1065"/>
      <c r="C559" s="1065" t="s">
        <v>1006</v>
      </c>
      <c r="D559" s="1065" t="str">
        <f ca="1">CELL("Address",Elec_Rates!D$210)</f>
        <v>[EL25_0662B_Brittania_Hotel_Elec_Revised_Estim_B.xlsx]Elec_Rates!$D$210</v>
      </c>
      <c r="E559" s="1066"/>
      <c r="F559" s="1066"/>
      <c r="G559" s="1067" t="s">
        <v>1007</v>
      </c>
      <c r="H559" s="1067"/>
      <c r="I559" s="1067"/>
      <c r="J559" s="1067"/>
      <c r="K559" s="1068"/>
      <c r="L559" s="1066"/>
      <c r="M559" s="1066"/>
      <c r="N559" s="1066"/>
      <c r="O559" s="1069"/>
      <c r="P559" s="1066"/>
      <c r="Q559" s="1070"/>
      <c r="R559" s="1071"/>
      <c r="S559" s="1070"/>
      <c r="T559" s="1072"/>
      <c r="U559" s="1073"/>
    </row>
    <row r="560" spans="1:41" s="997" customFormat="1" ht="11.4">
      <c r="A560" s="1074">
        <v>1</v>
      </c>
      <c r="B560" s="1075">
        <v>1</v>
      </c>
      <c r="C560" s="1075">
        <f>$A560*$B560</f>
        <v>1</v>
      </c>
      <c r="D560" s="1076" t="str">
        <f>Elec_Rates!$D$210</f>
        <v>020# Movement Detector</v>
      </c>
      <c r="E560" s="1076"/>
      <c r="F560" s="1076"/>
      <c r="G560" s="1077" t="s">
        <v>1008</v>
      </c>
      <c r="H560" s="1077"/>
      <c r="I560" s="1077"/>
      <c r="J560" s="1077"/>
      <c r="K560" s="1078"/>
      <c r="L560" s="1073"/>
      <c r="M560" s="1073"/>
      <c r="N560" s="1073"/>
      <c r="O560" s="1079"/>
      <c r="P560" s="1076"/>
      <c r="Q560" s="1080">
        <f ca="1">$B560*Elec_Rates!$R$210</f>
        <v>17.670000000000002</v>
      </c>
      <c r="R560" s="1071">
        <f ca="1">$A560*Q560</f>
        <v>17.670000000000002</v>
      </c>
      <c r="S560" s="1080">
        <f ca="1">$B560*Elec_Rates!$T$210</f>
        <v>0.26</v>
      </c>
      <c r="T560" s="1072">
        <f ca="1">$A560*S560</f>
        <v>0.26</v>
      </c>
      <c r="U560" s="1081"/>
    </row>
    <row r="561" spans="1:41" s="504" customFormat="1" ht="12">
      <c r="A561" s="882"/>
      <c r="B561" s="882"/>
      <c r="C561" s="882"/>
      <c r="D561" s="882"/>
      <c r="E561" s="882"/>
      <c r="F561" s="877"/>
      <c r="G561" s="882"/>
      <c r="H561" s="882"/>
      <c r="I561" s="503"/>
      <c r="J561" s="882"/>
      <c r="K561" s="882"/>
      <c r="L561" s="882"/>
      <c r="M561" s="882"/>
      <c r="N561" s="882"/>
      <c r="O561" s="882"/>
      <c r="P561" s="882"/>
      <c r="Q561" s="503"/>
      <c r="R561" s="883">
        <f>$A561*Q561</f>
        <v>0</v>
      </c>
      <c r="S561" s="503"/>
      <c r="T561" s="884">
        <f>$A561*S561*$T$1</f>
        <v>0</v>
      </c>
    </row>
    <row r="562" spans="1:41" s="504" customFormat="1" ht="12.6" thickBot="1">
      <c r="A562" s="885" t="s">
        <v>142</v>
      </c>
      <c r="B562" s="886">
        <f>(R561+T561)</f>
        <v>0</v>
      </c>
      <c r="C562" s="887"/>
      <c r="D562" s="887"/>
      <c r="E562" s="887"/>
      <c r="F562" s="888"/>
      <c r="G562" s="887" t="s">
        <v>143</v>
      </c>
      <c r="H562" s="887"/>
      <c r="I562" s="889"/>
      <c r="J562" s="887"/>
      <c r="K562" s="887" t="s">
        <v>3</v>
      </c>
      <c r="L562" s="890" t="s">
        <v>140</v>
      </c>
      <c r="M562" s="890"/>
      <c r="N562" s="890"/>
      <c r="O562" s="890"/>
      <c r="P562" s="890"/>
      <c r="Q562" s="891"/>
      <c r="R562" s="892">
        <f ca="1">SUM(R556:R561)</f>
        <v>41.795000000000002</v>
      </c>
      <c r="S562" s="887"/>
      <c r="T562" s="892">
        <f ca="1">SUM(T556:T561)</f>
        <v>3.5350000000000001</v>
      </c>
      <c r="U562" s="514"/>
      <c r="V562" s="514"/>
      <c r="W562" s="514"/>
      <c r="X562" s="514"/>
      <c r="Y562" s="514"/>
      <c r="Z562" s="514"/>
      <c r="AA562" s="514"/>
      <c r="AB562" s="514"/>
      <c r="AC562" s="514"/>
      <c r="AD562" s="514"/>
      <c r="AE562" s="514"/>
      <c r="AF562" s="514"/>
      <c r="AG562" s="514"/>
      <c r="AH562" s="514"/>
      <c r="AI562" s="514"/>
      <c r="AJ562" s="514"/>
      <c r="AK562" s="514"/>
      <c r="AL562" s="514"/>
      <c r="AM562" s="514"/>
      <c r="AN562" s="514"/>
      <c r="AO562" s="514"/>
    </row>
    <row r="563" spans="1:41" s="504" customFormat="1" ht="12" thickTop="1">
      <c r="A563" s="50"/>
      <c r="B563" s="40"/>
      <c r="C563" s="50"/>
      <c r="E563" s="41" t="s">
        <v>136</v>
      </c>
      <c r="F563" s="41" t="s">
        <v>137</v>
      </c>
      <c r="G563" s="50"/>
      <c r="H563" s="50"/>
      <c r="I563" s="50"/>
      <c r="J563" s="50"/>
      <c r="K563" s="50" t="s">
        <v>138</v>
      </c>
      <c r="L563" s="50"/>
      <c r="M563" s="50"/>
      <c r="N563" s="50"/>
      <c r="O563" s="51"/>
      <c r="P563" s="50"/>
      <c r="Q563" s="50"/>
      <c r="R563" s="50"/>
      <c r="S563" s="50"/>
      <c r="T563" s="40"/>
      <c r="AG563" s="867" t="s">
        <v>241</v>
      </c>
      <c r="AH563" s="867" t="s">
        <v>242</v>
      </c>
      <c r="AI563" s="867" t="s">
        <v>243</v>
      </c>
      <c r="AJ563" s="867" t="s">
        <v>244</v>
      </c>
      <c r="AK563" s="867" t="s">
        <v>245</v>
      </c>
      <c r="AM563" s="868" t="s">
        <v>254</v>
      </c>
      <c r="AN563" s="869" t="s">
        <v>255</v>
      </c>
      <c r="AO563" s="505" t="s">
        <v>251</v>
      </c>
    </row>
    <row r="564" spans="1:41" s="504" customFormat="1" ht="12" customHeight="1">
      <c r="A564" s="870">
        <v>1</v>
      </c>
      <c r="B564" s="871" t="s">
        <v>335</v>
      </c>
      <c r="C564" s="872"/>
      <c r="D564" s="873" t="s">
        <v>822</v>
      </c>
      <c r="E564" s="874">
        <f ca="1">IF(AND($A564=0,$A$1="DIF"),0, ROUND(ROUND(($R571*$S$2+($T571*$T$2))/A564,2)*$C$2,2))</f>
        <v>175.34</v>
      </c>
      <c r="F564" s="875">
        <f ca="1">ROUND($A564*$E564,2)</f>
        <v>175.34</v>
      </c>
      <c r="G564" s="876" t="s">
        <v>139</v>
      </c>
      <c r="H564" s="877"/>
      <c r="I564" s="878"/>
      <c r="J564" s="877"/>
      <c r="K564" s="877" t="s">
        <v>3</v>
      </c>
      <c r="L564" s="879" t="s">
        <v>140</v>
      </c>
      <c r="M564" s="879"/>
      <c r="N564" s="879"/>
      <c r="O564" s="879"/>
      <c r="P564" s="879"/>
      <c r="Q564" s="50"/>
      <c r="T564" s="880" t="str">
        <f ca="1">IF(AND($R571=0,$T571=0),"0.00","mu :" &amp; ROUND($F564/$C$2/($R571+$T571*$D$9),2))</f>
        <v>mu :1.22</v>
      </c>
      <c r="W564" s="507"/>
      <c r="AG564" s="465">
        <f ca="1">IF($E564=0,0,ROUND($R571*$S$2*$C$2/$A564,2))</f>
        <v>50.99</v>
      </c>
      <c r="AH564" s="465">
        <f ca="1">$AG564*$A564</f>
        <v>50.99</v>
      </c>
      <c r="AI564" s="508">
        <f ca="1">$E564-$AG564</f>
        <v>124.35</v>
      </c>
      <c r="AJ564" s="508">
        <f ca="1">$A564*$AI564</f>
        <v>124.35</v>
      </c>
      <c r="AK564" s="509">
        <f ca="1">ROUND(($AG564+$AI564)*$A564,2)</f>
        <v>175.34</v>
      </c>
      <c r="AM564" s="510">
        <f ca="1">ROUND(R571,2)</f>
        <v>41.8</v>
      </c>
      <c r="AN564" s="511">
        <f ca="1">ROUND(T571,2)</f>
        <v>3.54</v>
      </c>
      <c r="AO564" s="512">
        <f ca="1">ROUND(AM564+AN564,2)*A564</f>
        <v>45.34</v>
      </c>
    </row>
    <row r="565" spans="1:41" s="504" customFormat="1" ht="13.2">
      <c r="A565" s="872"/>
      <c r="B565"/>
      <c r="C565" s="872"/>
      <c r="D565" s="873" t="s">
        <v>343</v>
      </c>
      <c r="F565" s="877"/>
      <c r="G565" s="3"/>
      <c r="H565" s="877"/>
      <c r="I565" s="878"/>
      <c r="J565" s="877"/>
      <c r="K565" s="877" t="s">
        <v>141</v>
      </c>
      <c r="L565" s="877"/>
      <c r="M565" s="877"/>
      <c r="N565" s="877"/>
      <c r="O565" s="877"/>
      <c r="P565" s="877"/>
      <c r="Q565" s="50"/>
      <c r="R565" s="513"/>
      <c r="S565" s="881"/>
      <c r="T565" s="877"/>
    </row>
    <row r="566" spans="1:41" s="997" customFormat="1" ht="13.2">
      <c r="A566"/>
      <c r="B566" s="1065"/>
      <c r="C566" s="1065" t="s">
        <v>1006</v>
      </c>
      <c r="D566" s="1065" t="str">
        <f ca="1">CELL("Address",Elec_Rates!D$200)</f>
        <v>[EL25_0662B_Brittania_Hotel_Elec_Revised_Estim_B.xlsx]Elec_Rates!$D$200</v>
      </c>
      <c r="E566" s="1066"/>
      <c r="F566" s="1066"/>
      <c r="G566" s="1067" t="s">
        <v>1007</v>
      </c>
      <c r="H566" s="1067"/>
      <c r="I566" s="1067"/>
      <c r="J566" s="1067"/>
      <c r="K566" s="1068"/>
      <c r="L566" s="1066"/>
      <c r="M566" s="1066"/>
      <c r="N566" s="1066"/>
      <c r="O566" s="1069"/>
      <c r="P566" s="1066"/>
      <c r="Q566" s="1070"/>
      <c r="R566" s="1071"/>
      <c r="S566" s="1070"/>
      <c r="T566" s="1072"/>
      <c r="U566" s="1073"/>
    </row>
    <row r="567" spans="1:41" s="997" customFormat="1" ht="11.4">
      <c r="A567" s="1074">
        <v>1</v>
      </c>
      <c r="B567" s="1075">
        <v>2.5</v>
      </c>
      <c r="C567" s="1075">
        <f>$A567*$B567</f>
        <v>2.5</v>
      </c>
      <c r="D567" s="1076" t="str">
        <f>Elec_Rates!$D$200</f>
        <v>019# Lighting point in LSZH Conduit</v>
      </c>
      <c r="E567" s="1076"/>
      <c r="F567" s="1076" t="s">
        <v>1178</v>
      </c>
      <c r="G567" s="1077" t="s">
        <v>1008</v>
      </c>
      <c r="H567" s="1077"/>
      <c r="I567" s="1077"/>
      <c r="J567" s="1077"/>
      <c r="K567" s="1078"/>
      <c r="L567" s="1073"/>
      <c r="M567" s="1073"/>
      <c r="N567" s="1073"/>
      <c r="O567" s="1079"/>
      <c r="P567" s="1076"/>
      <c r="Q567" s="1080">
        <f ca="1">$B567*Elec_Rates!$R$200</f>
        <v>24.125</v>
      </c>
      <c r="R567" s="1071">
        <f ca="1">$A567*Q567</f>
        <v>24.125</v>
      </c>
      <c r="S567" s="1080">
        <f ca="1">$B567*Elec_Rates!$T$200</f>
        <v>3.2750000000000004</v>
      </c>
      <c r="T567" s="1072">
        <f ca="1">$A567*S567</f>
        <v>3.2750000000000004</v>
      </c>
      <c r="U567" s="1081"/>
    </row>
    <row r="568" spans="1:41" s="997" customFormat="1" ht="13.2">
      <c r="A568"/>
      <c r="B568" s="1065"/>
      <c r="C568" s="1065" t="s">
        <v>1006</v>
      </c>
      <c r="D568" s="1065" t="str">
        <f ca="1">CELL("Address",Elec_Rates!D$210)</f>
        <v>[EL25_0662B_Brittania_Hotel_Elec_Revised_Estim_B.xlsx]Elec_Rates!$D$210</v>
      </c>
      <c r="E568" s="1066"/>
      <c r="F568" s="1066"/>
      <c r="G568" s="1067" t="s">
        <v>1007</v>
      </c>
      <c r="H568" s="1067"/>
      <c r="I568" s="1067"/>
      <c r="J568" s="1067"/>
      <c r="K568" s="1068"/>
      <c r="L568" s="1066"/>
      <c r="M568" s="1066"/>
      <c r="N568" s="1066"/>
      <c r="O568" s="1069"/>
      <c r="P568" s="1066"/>
      <c r="Q568" s="1070"/>
      <c r="R568" s="1071"/>
      <c r="S568" s="1070"/>
      <c r="T568" s="1072"/>
      <c r="U568" s="1073"/>
    </row>
    <row r="569" spans="1:41" s="997" customFormat="1" ht="11.4">
      <c r="A569" s="1074">
        <v>1</v>
      </c>
      <c r="B569" s="1075">
        <v>1</v>
      </c>
      <c r="C569" s="1075">
        <f>$A569*$B569</f>
        <v>1</v>
      </c>
      <c r="D569" s="1076" t="str">
        <f>Elec_Rates!$D$210</f>
        <v>020# Movement Detector</v>
      </c>
      <c r="E569" s="1076"/>
      <c r="F569" s="1076"/>
      <c r="G569" s="1077" t="s">
        <v>1008</v>
      </c>
      <c r="H569" s="1077"/>
      <c r="I569" s="1077"/>
      <c r="J569" s="1077"/>
      <c r="K569" s="1078"/>
      <c r="L569" s="1073"/>
      <c r="M569" s="1073"/>
      <c r="N569" s="1073"/>
      <c r="O569" s="1079"/>
      <c r="P569" s="1076"/>
      <c r="Q569" s="1080">
        <f ca="1">$B569*Elec_Rates!$R$210</f>
        <v>17.670000000000002</v>
      </c>
      <c r="R569" s="1071">
        <f ca="1">$A569*Q569</f>
        <v>17.670000000000002</v>
      </c>
      <c r="S569" s="1080">
        <f ca="1">$B569*Elec_Rates!$T$210</f>
        <v>0.26</v>
      </c>
      <c r="T569" s="1072">
        <f ca="1">$A569*S569</f>
        <v>0.26</v>
      </c>
      <c r="U569" s="1081"/>
    </row>
    <row r="570" spans="1:41" s="504" customFormat="1" ht="12">
      <c r="A570" s="882"/>
      <c r="B570" s="882"/>
      <c r="C570" s="882"/>
      <c r="D570" s="882"/>
      <c r="E570" s="882"/>
      <c r="F570" s="877"/>
      <c r="G570" s="882"/>
      <c r="H570" s="882"/>
      <c r="I570" s="503"/>
      <c r="J570" s="882"/>
      <c r="K570" s="882"/>
      <c r="L570" s="882"/>
      <c r="M570" s="882"/>
      <c r="N570" s="882"/>
      <c r="O570" s="882"/>
      <c r="P570" s="882"/>
      <c r="Q570" s="503"/>
      <c r="R570" s="883">
        <f>$A570*Q570</f>
        <v>0</v>
      </c>
      <c r="S570" s="503"/>
      <c r="T570" s="884">
        <f>$A570*S570*$T$1</f>
        <v>0</v>
      </c>
    </row>
    <row r="571" spans="1:41" s="504" customFormat="1" ht="12.6" thickBot="1">
      <c r="A571" s="885" t="s">
        <v>142</v>
      </c>
      <c r="B571" s="886">
        <f>(R570+T570)</f>
        <v>0</v>
      </c>
      <c r="C571" s="887"/>
      <c r="D571" s="887"/>
      <c r="E571" s="887"/>
      <c r="F571" s="888"/>
      <c r="G571" s="887" t="s">
        <v>143</v>
      </c>
      <c r="H571" s="887"/>
      <c r="I571" s="889"/>
      <c r="J571" s="887"/>
      <c r="K571" s="887" t="s">
        <v>3</v>
      </c>
      <c r="L571" s="890" t="s">
        <v>140</v>
      </c>
      <c r="M571" s="890"/>
      <c r="N571" s="890"/>
      <c r="O571" s="890"/>
      <c r="P571" s="890"/>
      <c r="Q571" s="891"/>
      <c r="R571" s="892">
        <f ca="1">SUM(R565:R570)</f>
        <v>41.795000000000002</v>
      </c>
      <c r="S571" s="887"/>
      <c r="T571" s="892">
        <f ca="1">SUM(T565:T570)</f>
        <v>3.5350000000000001</v>
      </c>
      <c r="U571" s="514"/>
      <c r="V571" s="514"/>
      <c r="W571" s="514"/>
      <c r="X571" s="514"/>
      <c r="Y571" s="514"/>
      <c r="Z571" s="514"/>
      <c r="AA571" s="514"/>
      <c r="AB571" s="514"/>
      <c r="AC571" s="514"/>
      <c r="AD571" s="514"/>
      <c r="AE571" s="514"/>
      <c r="AF571" s="514"/>
      <c r="AG571" s="514"/>
      <c r="AH571" s="514"/>
      <c r="AI571" s="514"/>
      <c r="AJ571" s="514"/>
      <c r="AK571" s="514"/>
      <c r="AL571" s="514"/>
      <c r="AM571" s="514"/>
      <c r="AN571" s="514"/>
      <c r="AO571" s="514"/>
    </row>
    <row r="572" spans="1:41" s="504" customFormat="1" ht="12" thickTop="1">
      <c r="A572" s="50"/>
      <c r="B572" s="40"/>
      <c r="C572" s="50"/>
      <c r="E572" s="41" t="s">
        <v>136</v>
      </c>
      <c r="F572" s="41" t="s">
        <v>137</v>
      </c>
      <c r="G572" s="50"/>
      <c r="H572" s="50"/>
      <c r="I572" s="50"/>
      <c r="J572" s="50"/>
      <c r="K572" s="50" t="s">
        <v>138</v>
      </c>
      <c r="L572" s="50"/>
      <c r="M572" s="50"/>
      <c r="N572" s="50"/>
      <c r="O572" s="51"/>
      <c r="P572" s="50"/>
      <c r="Q572" s="50"/>
      <c r="R572" s="50"/>
      <c r="S572" s="50"/>
      <c r="T572" s="40"/>
      <c r="AG572" s="867" t="s">
        <v>241</v>
      </c>
      <c r="AH572" s="867" t="s">
        <v>242</v>
      </c>
      <c r="AI572" s="867" t="s">
        <v>243</v>
      </c>
      <c r="AJ572" s="867" t="s">
        <v>244</v>
      </c>
      <c r="AK572" s="867" t="s">
        <v>245</v>
      </c>
      <c r="AM572" s="868" t="s">
        <v>254</v>
      </c>
      <c r="AN572" s="869" t="s">
        <v>255</v>
      </c>
      <c r="AO572" s="505" t="s">
        <v>251</v>
      </c>
    </row>
    <row r="573" spans="1:41" s="504" customFormat="1" ht="12" customHeight="1">
      <c r="A573" s="870">
        <v>6</v>
      </c>
      <c r="B573" s="871" t="s">
        <v>335</v>
      </c>
      <c r="C573" s="872"/>
      <c r="D573" s="873" t="s">
        <v>823</v>
      </c>
      <c r="E573" s="874">
        <f ca="1">IF(AND($A573=0,$A$1="DIF"),0, ROUND(ROUND(($R578*$S$2+($T578*$T$2))/A573,2)*$C$2,2))</f>
        <v>57.85</v>
      </c>
      <c r="F573" s="875">
        <f ca="1">ROUND($A573*$E573,2)</f>
        <v>347.1</v>
      </c>
      <c r="G573" s="876" t="s">
        <v>139</v>
      </c>
      <c r="H573" s="877"/>
      <c r="I573" s="878"/>
      <c r="J573" s="877"/>
      <c r="K573" s="877" t="s">
        <v>3</v>
      </c>
      <c r="L573" s="879" t="s">
        <v>140</v>
      </c>
      <c r="M573" s="879"/>
      <c r="N573" s="879"/>
      <c r="O573" s="879"/>
      <c r="P573" s="879"/>
      <c r="Q573" s="50"/>
      <c r="T573" s="880" t="str">
        <f ca="1">IF(AND($R578=0,$T578=0),"0.00","mu :" &amp; ROUND($F573/$C$2/($R578+$T578*$D$9),2))</f>
        <v>mu :1.22</v>
      </c>
      <c r="W573" s="507"/>
      <c r="AG573" s="465">
        <f ca="1">IF($E573=0,0,ROUND($R578*$S$2*$C$2/$A573,2))</f>
        <v>11.77</v>
      </c>
      <c r="AH573" s="465">
        <f ca="1">$AG573*$A573</f>
        <v>70.62</v>
      </c>
      <c r="AI573" s="508">
        <f ca="1">$E573-$AG573</f>
        <v>46.08</v>
      </c>
      <c r="AJ573" s="508">
        <f ca="1">$A573*$AI573</f>
        <v>276.48</v>
      </c>
      <c r="AK573" s="509">
        <f ca="1">ROUND(($AG573+$AI573)*$A573,2)</f>
        <v>347.1</v>
      </c>
      <c r="AM573" s="510">
        <f ca="1">ROUND(R578,2)</f>
        <v>57.9</v>
      </c>
      <c r="AN573" s="511">
        <f ca="1">ROUND(T578,2)</f>
        <v>7.86</v>
      </c>
      <c r="AO573" s="512">
        <f ca="1">ROUND(AM573+AN573,2)*A573</f>
        <v>394.56000000000006</v>
      </c>
    </row>
    <row r="574" spans="1:41" s="504" customFormat="1" ht="13.2">
      <c r="A574" s="872"/>
      <c r="B574"/>
      <c r="C574" s="872"/>
      <c r="D574" s="873" t="s">
        <v>344</v>
      </c>
      <c r="F574" s="877"/>
      <c r="G574" s="3"/>
      <c r="H574" s="877"/>
      <c r="I574" s="878"/>
      <c r="J574" s="877"/>
      <c r="K574" s="877" t="s">
        <v>141</v>
      </c>
      <c r="L574" s="877"/>
      <c r="M574" s="877"/>
      <c r="N574" s="877"/>
      <c r="O574" s="877"/>
      <c r="P574" s="877"/>
      <c r="Q574" s="50"/>
      <c r="R574" s="513"/>
      <c r="S574" s="881"/>
      <c r="T574" s="877"/>
    </row>
    <row r="575" spans="1:41" s="997" customFormat="1" ht="13.2">
      <c r="A575"/>
      <c r="B575" s="1065"/>
      <c r="C575" s="1065" t="s">
        <v>1006</v>
      </c>
      <c r="D575" s="1065" t="str">
        <f ca="1">CELL("Address",Elec_Rates!D$200)</f>
        <v>[EL25_0662B_Brittania_Hotel_Elec_Revised_Estim_B.xlsx]Elec_Rates!$D$200</v>
      </c>
      <c r="E575" s="1066"/>
      <c r="F575" s="1066"/>
      <c r="G575" s="1067" t="s">
        <v>1007</v>
      </c>
      <c r="H575" s="1067"/>
      <c r="I575" s="1067"/>
      <c r="J575" s="1067"/>
      <c r="K575" s="1068"/>
      <c r="L575" s="1066"/>
      <c r="M575" s="1066"/>
      <c r="N575" s="1066"/>
      <c r="O575" s="1069"/>
      <c r="P575" s="1066"/>
      <c r="Q575" s="1070"/>
      <c r="R575" s="1071"/>
      <c r="S575" s="1070"/>
      <c r="T575" s="1072"/>
      <c r="U575" s="1073"/>
    </row>
    <row r="576" spans="1:41" s="997" customFormat="1" ht="11.4">
      <c r="A576" s="1074">
        <v>6</v>
      </c>
      <c r="B576" s="1075">
        <v>1</v>
      </c>
      <c r="C576" s="1075">
        <f>$A576*$B576</f>
        <v>6</v>
      </c>
      <c r="D576" s="1076" t="str">
        <f>Elec_Rates!$D$200</f>
        <v>019# Lighting point in LSZH Conduit</v>
      </c>
      <c r="E576" s="1076"/>
      <c r="F576" s="1076" t="s">
        <v>1179</v>
      </c>
      <c r="G576" s="1077" t="s">
        <v>1008</v>
      </c>
      <c r="H576" s="1077"/>
      <c r="I576" s="1077"/>
      <c r="J576" s="1077"/>
      <c r="K576" s="1078"/>
      <c r="L576" s="1073"/>
      <c r="M576" s="1073"/>
      <c r="N576" s="1073"/>
      <c r="O576" s="1079"/>
      <c r="P576" s="1076"/>
      <c r="Q576" s="1080">
        <f ca="1">$B576*Elec_Rates!$R$200</f>
        <v>9.65</v>
      </c>
      <c r="R576" s="1071">
        <f ca="1">$A576*Q576</f>
        <v>57.900000000000006</v>
      </c>
      <c r="S576" s="1080">
        <f ca="1">$B576*Elec_Rates!$T$200</f>
        <v>1.31</v>
      </c>
      <c r="T576" s="1072">
        <f ca="1">$A576*S576</f>
        <v>7.86</v>
      </c>
      <c r="U576" s="1081"/>
    </row>
    <row r="577" spans="1:41" s="504" customFormat="1" ht="12">
      <c r="A577" s="882"/>
      <c r="B577" s="882"/>
      <c r="C577" s="882"/>
      <c r="D577" s="882"/>
      <c r="E577" s="882"/>
      <c r="F577" s="877"/>
      <c r="G577" s="882"/>
      <c r="H577" s="882"/>
      <c r="I577" s="503"/>
      <c r="J577" s="882"/>
      <c r="K577" s="882"/>
      <c r="L577" s="882"/>
      <c r="M577" s="882"/>
      <c r="N577" s="882"/>
      <c r="O577" s="882"/>
      <c r="P577" s="882"/>
      <c r="Q577" s="503"/>
      <c r="R577" s="883">
        <f>$A577*Q577</f>
        <v>0</v>
      </c>
      <c r="S577" s="503"/>
      <c r="T577" s="884">
        <f>$A577*S577*$T$1</f>
        <v>0</v>
      </c>
    </row>
    <row r="578" spans="1:41" s="504" customFormat="1" ht="12.6" thickBot="1">
      <c r="A578" s="885" t="s">
        <v>142</v>
      </c>
      <c r="B578" s="886">
        <f>(R577+T577)</f>
        <v>0</v>
      </c>
      <c r="C578" s="887"/>
      <c r="D578" s="887"/>
      <c r="E578" s="887"/>
      <c r="F578" s="888"/>
      <c r="G578" s="887" t="s">
        <v>143</v>
      </c>
      <c r="H578" s="887"/>
      <c r="I578" s="889"/>
      <c r="J578" s="887"/>
      <c r="K578" s="887" t="s">
        <v>3</v>
      </c>
      <c r="L578" s="890" t="s">
        <v>140</v>
      </c>
      <c r="M578" s="890"/>
      <c r="N578" s="890"/>
      <c r="O578" s="890"/>
      <c r="P578" s="890"/>
      <c r="Q578" s="891"/>
      <c r="R578" s="892">
        <f ca="1">SUM(R574:R577)</f>
        <v>57.900000000000006</v>
      </c>
      <c r="S578" s="887"/>
      <c r="T578" s="892">
        <f ca="1">SUM(T574:T577)</f>
        <v>7.86</v>
      </c>
      <c r="U578" s="514"/>
      <c r="V578" s="514"/>
      <c r="W578" s="514"/>
      <c r="X578" s="514"/>
      <c r="Y578" s="514"/>
      <c r="Z578" s="514"/>
      <c r="AA578" s="514"/>
      <c r="AB578" s="514"/>
      <c r="AC578" s="514"/>
      <c r="AD578" s="514"/>
      <c r="AE578" s="514"/>
      <c r="AF578" s="514"/>
      <c r="AG578" s="514"/>
      <c r="AH578" s="514"/>
      <c r="AI578" s="514"/>
      <c r="AJ578" s="514"/>
      <c r="AK578" s="514"/>
      <c r="AL578" s="514"/>
      <c r="AM578" s="514"/>
      <c r="AN578" s="514"/>
      <c r="AO578" s="514"/>
    </row>
    <row r="579" spans="1:41" s="504" customFormat="1" thickTop="1">
      <c r="A579" s="50"/>
      <c r="B579" s="50"/>
      <c r="C579" s="3"/>
      <c r="D579" s="3"/>
      <c r="E579" s="50"/>
      <c r="F579" s="50"/>
      <c r="G579" s="50"/>
      <c r="H579" s="50"/>
      <c r="I579" s="50"/>
      <c r="J579" s="50"/>
      <c r="K579" s="50" t="s">
        <v>133</v>
      </c>
      <c r="L579" s="50"/>
      <c r="M579" s="50"/>
      <c r="N579" s="50"/>
      <c r="O579" s="51"/>
      <c r="P579" s="50"/>
      <c r="Q579" s="50"/>
      <c r="R579" s="50"/>
      <c r="S579" s="50"/>
      <c r="T579" s="50"/>
    </row>
    <row r="580" spans="1:41" s="504" customFormat="1" ht="12">
      <c r="A580" s="50"/>
      <c r="B580" s="50"/>
      <c r="C580" s="50" t="s">
        <v>134</v>
      </c>
      <c r="D580" s="37" t="s">
        <v>840</v>
      </c>
      <c r="E580" s="50"/>
      <c r="F580" s="50"/>
      <c r="G580" s="50"/>
      <c r="H580" s="50"/>
      <c r="I580" s="50"/>
      <c r="J580" s="50"/>
      <c r="K580" s="50"/>
      <c r="L580" s="50"/>
      <c r="M580" s="50"/>
      <c r="N580" s="50"/>
      <c r="O580" s="51"/>
      <c r="P580" s="50"/>
      <c r="Q580" s="50"/>
      <c r="R580" s="50"/>
      <c r="S580" s="50"/>
      <c r="T580" s="50"/>
    </row>
    <row r="581" spans="1:41" s="504" customFormat="1" ht="12">
      <c r="A581" s="50"/>
      <c r="B581" s="50"/>
      <c r="C581" s="50"/>
      <c r="D581" s="37" t="s">
        <v>345</v>
      </c>
      <c r="E581" s="50"/>
      <c r="F581" s="50"/>
      <c r="G581" s="50"/>
      <c r="H581" s="50"/>
      <c r="I581" s="50"/>
      <c r="J581" s="50"/>
      <c r="K581" s="50"/>
      <c r="L581" s="50"/>
      <c r="M581" s="50"/>
      <c r="N581" s="50"/>
      <c r="O581" s="51"/>
      <c r="P581" s="50"/>
      <c r="Q581" s="50"/>
      <c r="R581" s="50"/>
      <c r="S581" s="38"/>
      <c r="T581" s="38"/>
    </row>
    <row r="582" spans="1:41" s="3" customFormat="1" thickBot="1">
      <c r="A582" s="514"/>
      <c r="O582" s="103"/>
    </row>
    <row r="583" spans="1:41" s="504" customFormat="1" ht="12" thickTop="1">
      <c r="A583" s="50"/>
      <c r="B583" s="40"/>
      <c r="C583" s="50"/>
      <c r="E583" s="41" t="s">
        <v>136</v>
      </c>
      <c r="F583" s="41" t="s">
        <v>137</v>
      </c>
      <c r="G583" s="50"/>
      <c r="H583" s="50"/>
      <c r="I583" s="50"/>
      <c r="J583" s="50"/>
      <c r="K583" s="50" t="s">
        <v>138</v>
      </c>
      <c r="L583" s="50"/>
      <c r="M583" s="50"/>
      <c r="N583" s="50"/>
      <c r="O583" s="51"/>
      <c r="P583" s="50"/>
      <c r="Q583" s="50"/>
      <c r="R583" s="50"/>
      <c r="S583" s="50"/>
      <c r="T583" s="40"/>
      <c r="AG583" s="867" t="s">
        <v>241</v>
      </c>
      <c r="AH583" s="867" t="s">
        <v>242</v>
      </c>
      <c r="AI583" s="867" t="s">
        <v>243</v>
      </c>
      <c r="AJ583" s="867" t="s">
        <v>244</v>
      </c>
      <c r="AK583" s="867" t="s">
        <v>245</v>
      </c>
      <c r="AM583" s="868" t="s">
        <v>254</v>
      </c>
      <c r="AN583" s="869" t="s">
        <v>255</v>
      </c>
      <c r="AO583" s="505" t="s">
        <v>251</v>
      </c>
    </row>
    <row r="584" spans="1:41" s="504" customFormat="1" ht="12" customHeight="1">
      <c r="A584" s="870">
        <v>8</v>
      </c>
      <c r="B584" s="871" t="s">
        <v>335</v>
      </c>
      <c r="C584" s="872"/>
      <c r="D584" s="873" t="s">
        <v>804</v>
      </c>
      <c r="E584" s="874">
        <f ca="1">IF(AND($A584=0,$A$1="DIF"),0, ROUND(ROUND(($R589*$S$2+($T589*$T$2))/A584,2)*$C$2,2))</f>
        <v>43.07</v>
      </c>
      <c r="F584" s="875">
        <f ca="1">ROUND($A584*$E584,2)</f>
        <v>344.56</v>
      </c>
      <c r="G584" s="876" t="s">
        <v>139</v>
      </c>
      <c r="H584" s="877"/>
      <c r="I584" s="878"/>
      <c r="J584" s="877"/>
      <c r="K584" s="877" t="s">
        <v>3</v>
      </c>
      <c r="L584" s="879" t="s">
        <v>140</v>
      </c>
      <c r="M584" s="879"/>
      <c r="N584" s="879"/>
      <c r="O584" s="879"/>
      <c r="P584" s="879"/>
      <c r="Q584" s="50"/>
      <c r="T584" s="880" t="str">
        <f ca="1">IF(AND($R589=0,$T589=0),"0.00","mu :" &amp; ROUND($F584/$C$2/($R589+$T589*$D$9),2))</f>
        <v>mu :1.22</v>
      </c>
      <c r="W584" s="507"/>
      <c r="AG584" s="465">
        <f ca="1">IF($E584=0,0,ROUND($R589*$S$2*$C$2/$A584,2))</f>
        <v>43.07</v>
      </c>
      <c r="AH584" s="465">
        <f ca="1">$AG584*$A584</f>
        <v>344.56</v>
      </c>
      <c r="AI584" s="508">
        <f ca="1">$E584-$AG584</f>
        <v>0</v>
      </c>
      <c r="AJ584" s="508">
        <f ca="1">$A584*$AI584</f>
        <v>0</v>
      </c>
      <c r="AK584" s="509">
        <f ca="1">ROUND(($AG584+$AI584)*$A584,2)</f>
        <v>344.56</v>
      </c>
      <c r="AM584" s="510">
        <f ca="1">ROUND(R589,2)</f>
        <v>282.39999999999998</v>
      </c>
      <c r="AN584" s="511">
        <f ca="1">ROUND(T589,2)</f>
        <v>0</v>
      </c>
      <c r="AO584" s="512">
        <f ca="1">ROUND(AM584+AN584,2)*A584</f>
        <v>2259.1999999999998</v>
      </c>
    </row>
    <row r="585" spans="1:41" s="504" customFormat="1" ht="13.2">
      <c r="A585" s="872"/>
      <c r="B585"/>
      <c r="C585" s="872"/>
      <c r="D585" s="873" t="s">
        <v>346</v>
      </c>
      <c r="F585" s="877"/>
      <c r="G585" s="3"/>
      <c r="H585" s="877"/>
      <c r="I585" s="878"/>
      <c r="J585" s="877"/>
      <c r="K585" s="877" t="s">
        <v>141</v>
      </c>
      <c r="L585" s="877"/>
      <c r="M585" s="877"/>
      <c r="N585" s="877"/>
      <c r="O585" s="877"/>
      <c r="P585" s="877"/>
      <c r="Q585" s="50"/>
      <c r="R585" s="513"/>
      <c r="S585" s="881"/>
      <c r="T585" s="877"/>
    </row>
    <row r="586" spans="1:41" s="997" customFormat="1" ht="13.2">
      <c r="A586"/>
      <c r="B586" s="1065"/>
      <c r="C586" s="1065" t="s">
        <v>1006</v>
      </c>
      <c r="D586" s="1065" t="str">
        <f ca="1">CELL("Address",Elec_Rates!D$216)</f>
        <v>[EL25_0662B_Brittania_Hotel_Elec_Revised_Estim_B.xlsx]Elec_Rates!$D$216</v>
      </c>
      <c r="E586" s="1066"/>
      <c r="F586" s="1066"/>
      <c r="G586" s="1067" t="s">
        <v>1007</v>
      </c>
      <c r="H586" s="1067"/>
      <c r="I586" s="1067"/>
      <c r="J586" s="1067"/>
      <c r="K586" s="1068"/>
      <c r="L586" s="1066"/>
      <c r="M586" s="1066"/>
      <c r="N586" s="1066"/>
      <c r="O586" s="1069"/>
      <c r="P586" s="1066"/>
      <c r="Q586" s="1070"/>
      <c r="R586" s="1071"/>
      <c r="S586" s="1070"/>
      <c r="T586" s="1072"/>
      <c r="U586" s="1073"/>
    </row>
    <row r="587" spans="1:41" s="997" customFormat="1" ht="11.4">
      <c r="A587" s="1074">
        <v>8</v>
      </c>
      <c r="B587" s="1075">
        <v>1</v>
      </c>
      <c r="C587" s="1075">
        <f>$A587*$B587</f>
        <v>8</v>
      </c>
      <c r="D587" s="1076" t="str">
        <f>Elec_Rates!$D$216</f>
        <v>021# Supply Only - Type 600x600mm, 40W Soffit Recessed LED Panel</v>
      </c>
      <c r="E587" s="1076"/>
      <c r="F587" s="1076"/>
      <c r="G587" s="1077" t="s">
        <v>1008</v>
      </c>
      <c r="H587" s="1077"/>
      <c r="I587" s="1077"/>
      <c r="J587" s="1077"/>
      <c r="K587" s="1078"/>
      <c r="L587" s="1073"/>
      <c r="M587" s="1073"/>
      <c r="N587" s="1073"/>
      <c r="O587" s="1079"/>
      <c r="P587" s="1076"/>
      <c r="Q587" s="1080">
        <f ca="1">$B587*Elec_Rates!$R$216</f>
        <v>35.299999999999997</v>
      </c>
      <c r="R587" s="1071">
        <f ca="1">$A587*Q587</f>
        <v>282.39999999999998</v>
      </c>
      <c r="S587" s="1080">
        <f ca="1">$B587*Elec_Rates!$T$216</f>
        <v>0</v>
      </c>
      <c r="T587" s="1072">
        <f ca="1">$A587*S587</f>
        <v>0</v>
      </c>
      <c r="U587" s="1081"/>
    </row>
    <row r="588" spans="1:41" s="504" customFormat="1" ht="12">
      <c r="A588" s="882"/>
      <c r="B588" s="882"/>
      <c r="C588" s="882"/>
      <c r="D588" s="882"/>
      <c r="E588" s="882"/>
      <c r="F588" s="877"/>
      <c r="G588" s="882"/>
      <c r="H588" s="882"/>
      <c r="I588" s="503"/>
      <c r="J588" s="882"/>
      <c r="K588" s="882"/>
      <c r="L588" s="882"/>
      <c r="M588" s="882"/>
      <c r="N588" s="882"/>
      <c r="O588" s="882"/>
      <c r="P588" s="882"/>
      <c r="Q588" s="503"/>
      <c r="R588" s="883">
        <f>$A588*Q588</f>
        <v>0</v>
      </c>
      <c r="S588" s="503"/>
      <c r="T588" s="884">
        <f>$A588*S588*$T$1</f>
        <v>0</v>
      </c>
    </row>
    <row r="589" spans="1:41" s="504" customFormat="1" ht="12.6" thickBot="1">
      <c r="A589" s="885" t="s">
        <v>142</v>
      </c>
      <c r="B589" s="886">
        <f>(R588+T588)</f>
        <v>0</v>
      </c>
      <c r="C589" s="887"/>
      <c r="D589" s="887"/>
      <c r="E589" s="887"/>
      <c r="F589" s="888"/>
      <c r="G589" s="887" t="s">
        <v>143</v>
      </c>
      <c r="H589" s="887"/>
      <c r="I589" s="889"/>
      <c r="J589" s="887"/>
      <c r="K589" s="887" t="s">
        <v>3</v>
      </c>
      <c r="L589" s="890" t="s">
        <v>140</v>
      </c>
      <c r="M589" s="890"/>
      <c r="N589" s="890"/>
      <c r="O589" s="890"/>
      <c r="P589" s="890"/>
      <c r="Q589" s="891"/>
      <c r="R589" s="892">
        <f ca="1">SUM(R585:R588)</f>
        <v>282.39999999999998</v>
      </c>
      <c r="S589" s="887"/>
      <c r="T589" s="892">
        <f ca="1">SUM(T585:T588)</f>
        <v>0</v>
      </c>
      <c r="U589" s="514"/>
      <c r="V589" s="514"/>
      <c r="W589" s="514"/>
      <c r="X589" s="514"/>
      <c r="Y589" s="514"/>
      <c r="Z589" s="514"/>
      <c r="AA589" s="514"/>
      <c r="AB589" s="514"/>
      <c r="AC589" s="514"/>
      <c r="AD589" s="514"/>
      <c r="AE589" s="514"/>
      <c r="AF589" s="514"/>
      <c r="AG589" s="514"/>
      <c r="AH589" s="514"/>
      <c r="AI589" s="514"/>
      <c r="AJ589" s="514"/>
      <c r="AK589" s="514"/>
      <c r="AL589" s="514"/>
      <c r="AM589" s="514"/>
      <c r="AN589" s="514"/>
      <c r="AO589" s="514"/>
    </row>
    <row r="590" spans="1:41" s="504" customFormat="1" ht="12" thickTop="1">
      <c r="A590" s="50"/>
      <c r="B590" s="40"/>
      <c r="C590" s="50"/>
      <c r="E590" s="41" t="s">
        <v>136</v>
      </c>
      <c r="F590" s="41" t="s">
        <v>137</v>
      </c>
      <c r="G590" s="50"/>
      <c r="H590" s="50"/>
      <c r="I590" s="50"/>
      <c r="J590" s="50"/>
      <c r="K590" s="50" t="s">
        <v>138</v>
      </c>
      <c r="L590" s="50"/>
      <c r="M590" s="50"/>
      <c r="N590" s="50"/>
      <c r="O590" s="51"/>
      <c r="P590" s="50"/>
      <c r="Q590" s="50"/>
      <c r="R590" s="50"/>
      <c r="S590" s="50"/>
      <c r="T590" s="40"/>
      <c r="AG590" s="867" t="s">
        <v>241</v>
      </c>
      <c r="AH590" s="867" t="s">
        <v>242</v>
      </c>
      <c r="AI590" s="867" t="s">
        <v>243</v>
      </c>
      <c r="AJ590" s="867" t="s">
        <v>244</v>
      </c>
      <c r="AK590" s="867" t="s">
        <v>245</v>
      </c>
      <c r="AM590" s="868" t="s">
        <v>254</v>
      </c>
      <c r="AN590" s="869" t="s">
        <v>255</v>
      </c>
      <c r="AO590" s="505" t="s">
        <v>251</v>
      </c>
    </row>
    <row r="591" spans="1:41" s="504" customFormat="1" ht="12" customHeight="1">
      <c r="A591" s="870">
        <v>5</v>
      </c>
      <c r="B591" s="871" t="s">
        <v>335</v>
      </c>
      <c r="C591" s="872"/>
      <c r="D591" s="873" t="s">
        <v>806</v>
      </c>
      <c r="E591" s="874">
        <f ca="1">IF(AND($A591=0,$A$1="DIF"),0, ROUND(ROUND(($R596*$S$2+($T596*$T$2))/A591,2)*$C$2,2))</f>
        <v>28.98</v>
      </c>
      <c r="F591" s="875">
        <f ca="1">ROUND($A591*$E591,2)</f>
        <v>144.9</v>
      </c>
      <c r="G591" s="876" t="s">
        <v>139</v>
      </c>
      <c r="H591" s="877"/>
      <c r="I591" s="878"/>
      <c r="J591" s="877"/>
      <c r="K591" s="877" t="s">
        <v>3</v>
      </c>
      <c r="L591" s="879" t="s">
        <v>140</v>
      </c>
      <c r="M591" s="879"/>
      <c r="N591" s="879"/>
      <c r="O591" s="879"/>
      <c r="P591" s="879"/>
      <c r="Q591" s="50"/>
      <c r="T591" s="880" t="str">
        <f ca="1">IF(AND($R596=0,$T596=0),"0.00","mu :" &amp; ROUND($F591/$C$2/($R596+$T596*$D$9),2))</f>
        <v>mu :1.22</v>
      </c>
      <c r="W591" s="507"/>
      <c r="AG591" s="465">
        <f ca="1">IF($E591=0,0,ROUND($R596*$S$2*$C$2/$A591,2))</f>
        <v>28.98</v>
      </c>
      <c r="AH591" s="465">
        <f ca="1">$AG591*$A591</f>
        <v>144.9</v>
      </c>
      <c r="AI591" s="508">
        <f ca="1">$E591-$AG591</f>
        <v>0</v>
      </c>
      <c r="AJ591" s="508">
        <f ca="1">$A591*$AI591</f>
        <v>0</v>
      </c>
      <c r="AK591" s="509">
        <f ca="1">ROUND(($AG591+$AI591)*$A591,2)</f>
        <v>144.9</v>
      </c>
      <c r="AM591" s="510">
        <f ca="1">ROUND(R596,2)</f>
        <v>118.75</v>
      </c>
      <c r="AN591" s="511">
        <f ca="1">ROUND(T596,2)</f>
        <v>0</v>
      </c>
      <c r="AO591" s="512">
        <f ca="1">ROUND(AM591+AN591,2)*A591</f>
        <v>593.75</v>
      </c>
    </row>
    <row r="592" spans="1:41" s="504" customFormat="1" ht="13.2">
      <c r="A592" s="872"/>
      <c r="B592"/>
      <c r="C592" s="872"/>
      <c r="D592" s="873" t="s">
        <v>348</v>
      </c>
      <c r="F592" s="877"/>
      <c r="G592" s="3"/>
      <c r="H592" s="877"/>
      <c r="I592" s="878"/>
      <c r="J592" s="877"/>
      <c r="K592" s="877" t="s">
        <v>141</v>
      </c>
      <c r="L592" s="877"/>
      <c r="M592" s="877"/>
      <c r="N592" s="877"/>
      <c r="O592" s="877"/>
      <c r="P592" s="877"/>
      <c r="Q592" s="50"/>
      <c r="R592" s="513"/>
      <c r="S592" s="881"/>
      <c r="T592" s="877"/>
    </row>
    <row r="593" spans="1:41" s="997" customFormat="1" ht="13.2">
      <c r="A593"/>
      <c r="B593" s="1065"/>
      <c r="C593" s="1065" t="s">
        <v>1006</v>
      </c>
      <c r="D593" s="1065" t="str">
        <f ca="1">CELL("Address",Elec_Rates!D$222)</f>
        <v>[EL25_0662B_Brittania_Hotel_Elec_Revised_Estim_B.xlsx]Elec_Rates!$D$222</v>
      </c>
      <c r="E593" s="1066"/>
      <c r="F593" s="1066"/>
      <c r="G593" s="1067" t="s">
        <v>1007</v>
      </c>
      <c r="H593" s="1067"/>
      <c r="I593" s="1067"/>
      <c r="J593" s="1067"/>
      <c r="K593" s="1068"/>
      <c r="L593" s="1066"/>
      <c r="M593" s="1066"/>
      <c r="N593" s="1066"/>
      <c r="O593" s="1069"/>
      <c r="P593" s="1066"/>
      <c r="Q593" s="1070"/>
      <c r="R593" s="1071"/>
      <c r="S593" s="1070"/>
      <c r="T593" s="1072"/>
      <c r="U593" s="1073"/>
    </row>
    <row r="594" spans="1:41" s="997" customFormat="1" ht="11.4">
      <c r="A594" s="1074">
        <v>5</v>
      </c>
      <c r="B594" s="1075">
        <v>1</v>
      </c>
      <c r="C594" s="1075">
        <f>$A594*$B594</f>
        <v>5</v>
      </c>
      <c r="D594" s="1076" t="str">
        <f>Elec_Rates!$D$222</f>
        <v>022# Supply Only - Type 'E1' - Single Sided, Wall Mounted, Directional Exit Signage</v>
      </c>
      <c r="E594" s="1076"/>
      <c r="F594" s="1076"/>
      <c r="G594" s="1077" t="s">
        <v>1008</v>
      </c>
      <c r="H594" s="1077"/>
      <c r="I594" s="1077"/>
      <c r="J594" s="1077"/>
      <c r="K594" s="1078"/>
      <c r="L594" s="1073"/>
      <c r="M594" s="1073"/>
      <c r="N594" s="1073"/>
      <c r="O594" s="1079"/>
      <c r="P594" s="1076"/>
      <c r="Q594" s="1080">
        <f ca="1">$B594*Elec_Rates!$R$222</f>
        <v>23.75</v>
      </c>
      <c r="R594" s="1071">
        <f ca="1">$A594*Q594</f>
        <v>118.75</v>
      </c>
      <c r="S594" s="1080">
        <f ca="1">$B594*Elec_Rates!$T$222</f>
        <v>0</v>
      </c>
      <c r="T594" s="1072">
        <f ca="1">$A594*S594</f>
        <v>0</v>
      </c>
      <c r="U594" s="1081"/>
    </row>
    <row r="595" spans="1:41" s="504" customFormat="1" ht="12">
      <c r="A595" s="882"/>
      <c r="B595" s="882"/>
      <c r="C595" s="882"/>
      <c r="D595" s="882"/>
      <c r="E595" s="882"/>
      <c r="F595" s="877"/>
      <c r="G595" s="882"/>
      <c r="H595" s="882"/>
      <c r="I595" s="503"/>
      <c r="J595" s="882"/>
      <c r="K595" s="882"/>
      <c r="L595" s="882"/>
      <c r="M595" s="882"/>
      <c r="N595" s="882"/>
      <c r="O595" s="882"/>
      <c r="P595" s="882"/>
      <c r="Q595" s="503"/>
      <c r="R595" s="883">
        <f>$A595*Q595</f>
        <v>0</v>
      </c>
      <c r="S595" s="503"/>
      <c r="T595" s="884">
        <f>$A595*S595*$T$1</f>
        <v>0</v>
      </c>
    </row>
    <row r="596" spans="1:41" s="504" customFormat="1" ht="12.6" thickBot="1">
      <c r="A596" s="885" t="s">
        <v>142</v>
      </c>
      <c r="B596" s="886">
        <f>(R595+T595)</f>
        <v>0</v>
      </c>
      <c r="C596" s="887"/>
      <c r="D596" s="887"/>
      <c r="E596" s="887"/>
      <c r="F596" s="888"/>
      <c r="G596" s="887" t="s">
        <v>143</v>
      </c>
      <c r="H596" s="887"/>
      <c r="I596" s="889"/>
      <c r="J596" s="887"/>
      <c r="K596" s="887" t="s">
        <v>3</v>
      </c>
      <c r="L596" s="890" t="s">
        <v>140</v>
      </c>
      <c r="M596" s="890"/>
      <c r="N596" s="890"/>
      <c r="O596" s="890"/>
      <c r="P596" s="890"/>
      <c r="Q596" s="891"/>
      <c r="R596" s="892">
        <f ca="1">SUM(R592:R595)</f>
        <v>118.75</v>
      </c>
      <c r="S596" s="887"/>
      <c r="T596" s="892">
        <f ca="1">SUM(T592:T595)</f>
        <v>0</v>
      </c>
      <c r="U596" s="514"/>
      <c r="V596" s="514"/>
      <c r="W596" s="514"/>
      <c r="X596" s="514"/>
      <c r="Y596" s="514"/>
      <c r="Z596" s="514"/>
      <c r="AA596" s="514"/>
      <c r="AB596" s="514"/>
      <c r="AC596" s="514"/>
      <c r="AD596" s="514"/>
      <c r="AE596" s="514"/>
      <c r="AF596" s="514"/>
      <c r="AG596" s="514"/>
      <c r="AH596" s="514"/>
      <c r="AI596" s="514"/>
      <c r="AJ596" s="514"/>
      <c r="AK596" s="514"/>
      <c r="AL596" s="514"/>
      <c r="AM596" s="514"/>
      <c r="AN596" s="514"/>
      <c r="AO596" s="514"/>
    </row>
    <row r="597" spans="1:41" s="504" customFormat="1" ht="12" thickTop="1">
      <c r="A597" s="50"/>
      <c r="B597" s="40"/>
      <c r="C597" s="50"/>
      <c r="E597" s="41" t="s">
        <v>136</v>
      </c>
      <c r="F597" s="41" t="s">
        <v>137</v>
      </c>
      <c r="G597" s="50"/>
      <c r="H597" s="50"/>
      <c r="I597" s="50"/>
      <c r="J597" s="50"/>
      <c r="K597" s="50" t="s">
        <v>138</v>
      </c>
      <c r="L597" s="50"/>
      <c r="M597" s="50"/>
      <c r="N597" s="50"/>
      <c r="O597" s="51"/>
      <c r="P597" s="50"/>
      <c r="Q597" s="50"/>
      <c r="R597" s="50"/>
      <c r="S597" s="50"/>
      <c r="T597" s="40"/>
      <c r="AG597" s="867" t="s">
        <v>241</v>
      </c>
      <c r="AH597" s="867" t="s">
        <v>242</v>
      </c>
      <c r="AI597" s="867" t="s">
        <v>243</v>
      </c>
      <c r="AJ597" s="867" t="s">
        <v>244</v>
      </c>
      <c r="AK597" s="867" t="s">
        <v>245</v>
      </c>
      <c r="AM597" s="868" t="s">
        <v>254</v>
      </c>
      <c r="AN597" s="869" t="s">
        <v>255</v>
      </c>
      <c r="AO597" s="505" t="s">
        <v>251</v>
      </c>
    </row>
    <row r="598" spans="1:41" s="504" customFormat="1" ht="12" customHeight="1">
      <c r="A598" s="870">
        <v>1</v>
      </c>
      <c r="B598" s="871" t="s">
        <v>335</v>
      </c>
      <c r="C598" s="872"/>
      <c r="D598" s="873" t="s">
        <v>808</v>
      </c>
      <c r="E598" s="874">
        <f ca="1">IF(AND($A598=0,$A$1="DIF"),0, ROUND(ROUND(($R603*$S$2+($T603*$T$2))/A598,2)*$C$2,2))</f>
        <v>43.86</v>
      </c>
      <c r="F598" s="875">
        <f ca="1">ROUND($A598*$E598,2)</f>
        <v>43.86</v>
      </c>
      <c r="G598" s="876" t="s">
        <v>139</v>
      </c>
      <c r="H598" s="877"/>
      <c r="I598" s="878"/>
      <c r="J598" s="877"/>
      <c r="K598" s="877" t="s">
        <v>3</v>
      </c>
      <c r="L598" s="879" t="s">
        <v>140</v>
      </c>
      <c r="M598" s="879"/>
      <c r="N598" s="879"/>
      <c r="O598" s="879"/>
      <c r="P598" s="879"/>
      <c r="Q598" s="50"/>
      <c r="T598" s="880" t="str">
        <f ca="1">IF(AND($R603=0,$T603=0),"0.00","mu :" &amp; ROUND($F598/$C$2/($R603+$T603*$D$9),2))</f>
        <v>mu :1.22</v>
      </c>
      <c r="W598" s="507"/>
      <c r="AG598" s="465">
        <f ca="1">IF($E598=0,0,ROUND($R603*$S$2*$C$2/$A598,2))</f>
        <v>43.86</v>
      </c>
      <c r="AH598" s="465">
        <f ca="1">$AG598*$A598</f>
        <v>43.86</v>
      </c>
      <c r="AI598" s="508">
        <f ca="1">$E598-$AG598</f>
        <v>0</v>
      </c>
      <c r="AJ598" s="508">
        <f ca="1">$A598*$AI598</f>
        <v>0</v>
      </c>
      <c r="AK598" s="509">
        <f ca="1">ROUND(($AG598+$AI598)*$A598,2)</f>
        <v>43.86</v>
      </c>
      <c r="AM598" s="510">
        <f ca="1">ROUND(R603,2)</f>
        <v>35.950000000000003</v>
      </c>
      <c r="AN598" s="511">
        <f ca="1">ROUND(T603,2)</f>
        <v>0</v>
      </c>
      <c r="AO598" s="512">
        <f ca="1">ROUND(AM598+AN598,2)*A598</f>
        <v>35.950000000000003</v>
      </c>
    </row>
    <row r="599" spans="1:41" s="504" customFormat="1" ht="13.2">
      <c r="A599" s="872"/>
      <c r="B599"/>
      <c r="C599" s="872"/>
      <c r="D599" s="873" t="s">
        <v>349</v>
      </c>
      <c r="F599" s="877"/>
      <c r="G599" s="3"/>
      <c r="H599" s="877"/>
      <c r="I599" s="878"/>
      <c r="J599" s="877"/>
      <c r="K599" s="877" t="s">
        <v>141</v>
      </c>
      <c r="L599" s="877"/>
      <c r="M599" s="877"/>
      <c r="N599" s="877"/>
      <c r="O599" s="877"/>
      <c r="P599" s="877"/>
      <c r="Q599" s="50"/>
      <c r="R599" s="513"/>
      <c r="S599" s="881"/>
      <c r="T599" s="877"/>
    </row>
    <row r="600" spans="1:41" s="997" customFormat="1" ht="13.2">
      <c r="A600"/>
      <c r="B600" s="1065"/>
      <c r="C600" s="1065" t="s">
        <v>1006</v>
      </c>
      <c r="D600" s="1065" t="str">
        <f ca="1">CELL("Address",Elec_Rates!D$228)</f>
        <v>[EL25_0662B_Brittania_Hotel_Elec_Revised_Estim_B.xlsx]Elec_Rates!$D$228</v>
      </c>
      <c r="E600" s="1066"/>
      <c r="F600" s="1066"/>
      <c r="G600" s="1067" t="s">
        <v>1007</v>
      </c>
      <c r="H600" s="1067"/>
      <c r="I600" s="1067"/>
      <c r="J600" s="1067"/>
      <c r="K600" s="1068"/>
      <c r="L600" s="1066"/>
      <c r="M600" s="1066"/>
      <c r="N600" s="1066"/>
      <c r="O600" s="1069"/>
      <c r="P600" s="1066"/>
      <c r="Q600" s="1070"/>
      <c r="R600" s="1071"/>
      <c r="S600" s="1070"/>
      <c r="T600" s="1072"/>
      <c r="U600" s="1073"/>
    </row>
    <row r="601" spans="1:41" s="997" customFormat="1" ht="11.4">
      <c r="A601" s="1074">
        <v>1</v>
      </c>
      <c r="B601" s="1075">
        <v>1</v>
      </c>
      <c r="C601" s="1075">
        <f>$A601*$B601</f>
        <v>1</v>
      </c>
      <c r="D601" s="1076" t="str">
        <f>Elec_Rates!$D$228</f>
        <v>023# Supply Only - Type 'E2' - Double Sided, Ceiling Mounted/ Soffit Recessed, Directional Exit Signage.</v>
      </c>
      <c r="E601" s="1076"/>
      <c r="F601" s="1076"/>
      <c r="G601" s="1077" t="s">
        <v>1008</v>
      </c>
      <c r="H601" s="1077"/>
      <c r="I601" s="1077"/>
      <c r="J601" s="1077"/>
      <c r="K601" s="1078"/>
      <c r="L601" s="1073"/>
      <c r="M601" s="1073"/>
      <c r="N601" s="1073"/>
      <c r="O601" s="1079"/>
      <c r="P601" s="1076"/>
      <c r="Q601" s="1080">
        <f ca="1">$B601*Elec_Rates!$R$228</f>
        <v>35.950000000000003</v>
      </c>
      <c r="R601" s="1071">
        <f ca="1">$A601*Q601</f>
        <v>35.950000000000003</v>
      </c>
      <c r="S601" s="1080">
        <f ca="1">$B601*Elec_Rates!$T$228</f>
        <v>0</v>
      </c>
      <c r="T601" s="1072">
        <f ca="1">$A601*S601</f>
        <v>0</v>
      </c>
      <c r="U601" s="1081"/>
    </row>
    <row r="602" spans="1:41" s="504" customFormat="1" ht="12">
      <c r="A602" s="882"/>
      <c r="B602" s="882"/>
      <c r="C602" s="882"/>
      <c r="D602" s="882"/>
      <c r="E602" s="882"/>
      <c r="F602" s="877"/>
      <c r="G602" s="882"/>
      <c r="H602" s="882"/>
      <c r="I602" s="503"/>
      <c r="J602" s="882"/>
      <c r="K602" s="882"/>
      <c r="L602" s="882"/>
      <c r="M602" s="882"/>
      <c r="N602" s="882"/>
      <c r="O602" s="882"/>
      <c r="P602" s="882"/>
      <c r="Q602" s="503"/>
      <c r="R602" s="883">
        <f>$A602*Q602</f>
        <v>0</v>
      </c>
      <c r="S602" s="503"/>
      <c r="T602" s="884">
        <f>$A602*S602*$T$1</f>
        <v>0</v>
      </c>
    </row>
    <row r="603" spans="1:41" s="504" customFormat="1" ht="12.6" thickBot="1">
      <c r="A603" s="885" t="s">
        <v>142</v>
      </c>
      <c r="B603" s="886">
        <f>(R602+T602)</f>
        <v>0</v>
      </c>
      <c r="C603" s="887"/>
      <c r="D603" s="887"/>
      <c r="E603" s="887"/>
      <c r="F603" s="888"/>
      <c r="G603" s="887" t="s">
        <v>143</v>
      </c>
      <c r="H603" s="887"/>
      <c r="I603" s="889"/>
      <c r="J603" s="887"/>
      <c r="K603" s="887" t="s">
        <v>3</v>
      </c>
      <c r="L603" s="890" t="s">
        <v>140</v>
      </c>
      <c r="M603" s="890"/>
      <c r="N603" s="890"/>
      <c r="O603" s="890"/>
      <c r="P603" s="890"/>
      <c r="Q603" s="891"/>
      <c r="R603" s="892">
        <f ca="1">SUM(R599:R602)</f>
        <v>35.950000000000003</v>
      </c>
      <c r="S603" s="887"/>
      <c r="T603" s="892">
        <f ca="1">SUM(T599:T602)</f>
        <v>0</v>
      </c>
      <c r="U603" s="514"/>
      <c r="V603" s="514"/>
      <c r="W603" s="514"/>
      <c r="X603" s="514"/>
      <c r="Y603" s="514"/>
      <c r="Z603" s="514"/>
      <c r="AA603" s="514"/>
      <c r="AB603" s="514"/>
      <c r="AC603" s="514"/>
      <c r="AD603" s="514"/>
      <c r="AE603" s="514"/>
      <c r="AF603" s="514"/>
      <c r="AG603" s="514"/>
      <c r="AH603" s="514"/>
      <c r="AI603" s="514"/>
      <c r="AJ603" s="514"/>
      <c r="AK603" s="514"/>
      <c r="AL603" s="514"/>
      <c r="AM603" s="514"/>
      <c r="AN603" s="514"/>
      <c r="AO603" s="514"/>
    </row>
    <row r="604" spans="1:41" s="504" customFormat="1" ht="12" thickTop="1">
      <c r="A604" s="50"/>
      <c r="B604" s="40"/>
      <c r="C604" s="50"/>
      <c r="E604" s="41" t="s">
        <v>136</v>
      </c>
      <c r="F604" s="41" t="s">
        <v>137</v>
      </c>
      <c r="G604" s="50"/>
      <c r="H604" s="50"/>
      <c r="I604" s="50"/>
      <c r="J604" s="50"/>
      <c r="K604" s="50" t="s">
        <v>138</v>
      </c>
      <c r="L604" s="50"/>
      <c r="M604" s="50"/>
      <c r="N604" s="50"/>
      <c r="O604" s="51"/>
      <c r="P604" s="50"/>
      <c r="Q604" s="50"/>
      <c r="R604" s="50"/>
      <c r="S604" s="50"/>
      <c r="T604" s="40"/>
      <c r="AG604" s="867" t="s">
        <v>241</v>
      </c>
      <c r="AH604" s="867" t="s">
        <v>242</v>
      </c>
      <c r="AI604" s="867" t="s">
        <v>243</v>
      </c>
      <c r="AJ604" s="867" t="s">
        <v>244</v>
      </c>
      <c r="AK604" s="867" t="s">
        <v>245</v>
      </c>
      <c r="AM604" s="868" t="s">
        <v>254</v>
      </c>
      <c r="AN604" s="869" t="s">
        <v>255</v>
      </c>
      <c r="AO604" s="505" t="s">
        <v>251</v>
      </c>
    </row>
    <row r="605" spans="1:41" s="504" customFormat="1" ht="12" customHeight="1">
      <c r="A605" s="870">
        <v>7</v>
      </c>
      <c r="B605" s="871" t="s">
        <v>335</v>
      </c>
      <c r="C605" s="872"/>
      <c r="D605" s="873" t="s">
        <v>810</v>
      </c>
      <c r="E605" s="874">
        <f>IF(AND($A605=0,$A$1="DIF"),0, ROUND(ROUND(($R610*$S$2+($T610*$T$2))/A605,2)*$C$2,2))</f>
        <v>0</v>
      </c>
      <c r="F605" s="875">
        <f>ROUND($A605*$E605,2)</f>
        <v>0</v>
      </c>
      <c r="G605" s="876" t="s">
        <v>139</v>
      </c>
      <c r="H605" s="877"/>
      <c r="I605" s="878"/>
      <c r="J605" s="877"/>
      <c r="K605" s="877" t="s">
        <v>3</v>
      </c>
      <c r="L605" s="879" t="s">
        <v>140</v>
      </c>
      <c r="M605" s="879"/>
      <c r="N605" s="879"/>
      <c r="O605" s="879"/>
      <c r="P605" s="879"/>
      <c r="Q605" s="50" t="s">
        <v>1198</v>
      </c>
      <c r="T605" s="880" t="str">
        <f>IF(AND($R610=0,$T610=0),"0.00","mu :" &amp; ROUND($F605/$C$2/($R610+$T610*$D$9),2))</f>
        <v>0.00</v>
      </c>
      <c r="W605" s="507"/>
      <c r="AG605" s="465">
        <f>IF($E605=0,0,ROUND($R610*$S$2*$C$2/$A605,2))</f>
        <v>0</v>
      </c>
      <c r="AH605" s="465">
        <f>$AG605*$A605</f>
        <v>0</v>
      </c>
      <c r="AI605" s="508">
        <f>$E605-$AG605</f>
        <v>0</v>
      </c>
      <c r="AJ605" s="508">
        <f>$A605*$AI605</f>
        <v>0</v>
      </c>
      <c r="AK605" s="509">
        <f>ROUND(($AG605+$AI605)*$A605,2)</f>
        <v>0</v>
      </c>
      <c r="AM605" s="510">
        <f>ROUND(R610,2)</f>
        <v>0</v>
      </c>
      <c r="AN605" s="511">
        <f>ROUND(T610,2)</f>
        <v>0</v>
      </c>
      <c r="AO605" s="512">
        <f>ROUND(AM605+AN605,2)*A605</f>
        <v>0</v>
      </c>
    </row>
    <row r="606" spans="1:41" s="504" customFormat="1" ht="13.2">
      <c r="A606" s="872"/>
      <c r="B606"/>
      <c r="C606" s="872"/>
      <c r="D606" s="873" t="s">
        <v>841</v>
      </c>
      <c r="F606" s="877"/>
      <c r="G606" s="3"/>
      <c r="H606" s="877"/>
      <c r="I606" s="878"/>
      <c r="J606" s="877"/>
      <c r="K606" s="877" t="s">
        <v>141</v>
      </c>
      <c r="L606" s="877"/>
      <c r="M606" s="877"/>
      <c r="N606" s="877"/>
      <c r="O606" s="877"/>
      <c r="P606" s="877"/>
      <c r="Q606" s="50"/>
      <c r="R606" s="513"/>
      <c r="S606" s="881"/>
      <c r="T606" s="877"/>
    </row>
    <row r="607" spans="1:41" s="504" customFormat="1" ht="12">
      <c r="A607" s="50"/>
      <c r="B607" s="882"/>
      <c r="C607" s="882"/>
      <c r="D607" s="882"/>
      <c r="E607" s="882"/>
      <c r="F607" s="877"/>
      <c r="G607" s="882"/>
      <c r="H607" s="882"/>
      <c r="I607" s="503"/>
      <c r="J607" s="882"/>
      <c r="K607" s="882"/>
      <c r="L607" s="882"/>
      <c r="M607" s="882"/>
      <c r="N607" s="882"/>
      <c r="O607" s="882"/>
      <c r="P607" s="882"/>
      <c r="Q607" s="503"/>
      <c r="R607" s="883">
        <f>$A607*Q607</f>
        <v>0</v>
      </c>
      <c r="S607" s="503"/>
      <c r="T607" s="884">
        <f>$A607*S607*$T$1</f>
        <v>0</v>
      </c>
    </row>
    <row r="608" spans="1:41" s="504" customFormat="1" ht="12">
      <c r="A608" s="50"/>
      <c r="B608" s="882"/>
      <c r="C608" s="882"/>
      <c r="D608" s="50" t="s">
        <v>1198</v>
      </c>
      <c r="E608" s="882"/>
      <c r="F608" s="877"/>
      <c r="G608" s="882"/>
      <c r="H608" s="882"/>
      <c r="I608" s="503"/>
      <c r="J608" s="882"/>
      <c r="K608" s="882"/>
      <c r="L608" s="882"/>
      <c r="M608" s="882"/>
      <c r="N608" s="882"/>
      <c r="O608" s="882"/>
      <c r="P608" s="882"/>
      <c r="Q608" s="503"/>
      <c r="R608" s="883">
        <f>$A608*Q608</f>
        <v>0</v>
      </c>
      <c r="S608" s="503"/>
      <c r="T608" s="884">
        <f>$A608*S608*$T$1</f>
        <v>0</v>
      </c>
    </row>
    <row r="609" spans="1:41" s="504" customFormat="1" ht="12">
      <c r="A609" s="882"/>
      <c r="B609" s="882"/>
      <c r="C609" s="882"/>
      <c r="D609" s="882"/>
      <c r="E609" s="882"/>
      <c r="F609" s="877"/>
      <c r="G609" s="882"/>
      <c r="H609" s="882"/>
      <c r="I609" s="503"/>
      <c r="J609" s="882"/>
      <c r="K609" s="882"/>
      <c r="L609" s="882"/>
      <c r="M609" s="882"/>
      <c r="N609" s="882"/>
      <c r="O609" s="882"/>
      <c r="P609" s="882"/>
      <c r="Q609" s="503"/>
      <c r="R609" s="883">
        <f>$A609*Q609</f>
        <v>0</v>
      </c>
      <c r="S609" s="503"/>
      <c r="T609" s="884">
        <f>$A609*S609*$T$1</f>
        <v>0</v>
      </c>
    </row>
    <row r="610" spans="1:41" s="504" customFormat="1" ht="12.6" thickBot="1">
      <c r="A610" s="885" t="s">
        <v>142</v>
      </c>
      <c r="B610" s="886">
        <f>(R609+T609)</f>
        <v>0</v>
      </c>
      <c r="C610" s="887"/>
      <c r="D610" s="887"/>
      <c r="E610" s="887"/>
      <c r="F610" s="888"/>
      <c r="G610" s="887" t="s">
        <v>143</v>
      </c>
      <c r="H610" s="887"/>
      <c r="I610" s="889"/>
      <c r="J610" s="887"/>
      <c r="K610" s="887" t="s">
        <v>3</v>
      </c>
      <c r="L610" s="890" t="s">
        <v>140</v>
      </c>
      <c r="M610" s="890"/>
      <c r="N610" s="890"/>
      <c r="O610" s="890"/>
      <c r="P610" s="890"/>
      <c r="Q610" s="891"/>
      <c r="R610" s="892">
        <f>SUM(R606:R609)</f>
        <v>0</v>
      </c>
      <c r="S610" s="887"/>
      <c r="T610" s="892">
        <f>SUM(T606:T609)</f>
        <v>0</v>
      </c>
      <c r="U610" s="514"/>
      <c r="V610" s="514"/>
      <c r="W610" s="514"/>
      <c r="X610" s="514"/>
      <c r="Y610" s="514"/>
      <c r="Z610" s="514"/>
      <c r="AA610" s="514"/>
      <c r="AB610" s="514"/>
      <c r="AC610" s="514"/>
      <c r="AD610" s="514"/>
      <c r="AE610" s="514"/>
      <c r="AF610" s="514"/>
      <c r="AG610" s="514"/>
      <c r="AH610" s="514"/>
      <c r="AI610" s="514"/>
      <c r="AJ610" s="514"/>
      <c r="AK610" s="514"/>
      <c r="AL610" s="514"/>
      <c r="AM610" s="514"/>
      <c r="AN610" s="514"/>
      <c r="AO610" s="514"/>
    </row>
    <row r="611" spans="1:41" s="504" customFormat="1" thickTop="1">
      <c r="A611" s="50"/>
      <c r="B611" s="50"/>
      <c r="C611" s="3"/>
      <c r="D611" s="3"/>
      <c r="E611" s="50"/>
      <c r="F611" s="50"/>
      <c r="G611" s="50"/>
      <c r="H611" s="50"/>
      <c r="I611" s="50"/>
      <c r="J611" s="50"/>
      <c r="K611" s="50" t="s">
        <v>133</v>
      </c>
      <c r="L611" s="50"/>
      <c r="M611" s="50"/>
      <c r="N611" s="50"/>
      <c r="O611" s="51"/>
      <c r="P611" s="50"/>
      <c r="Q611" s="50"/>
      <c r="R611" s="50"/>
      <c r="S611" s="50"/>
      <c r="T611" s="50"/>
    </row>
    <row r="612" spans="1:41" s="504" customFormat="1" ht="12">
      <c r="A612" s="50"/>
      <c r="B612" s="50"/>
      <c r="C612" s="50" t="s">
        <v>134</v>
      </c>
      <c r="D612" s="37" t="s">
        <v>842</v>
      </c>
      <c r="E612" s="50"/>
      <c r="F612" s="50"/>
      <c r="G612" s="50"/>
      <c r="H612" s="50"/>
      <c r="I612" s="50"/>
      <c r="J612" s="50"/>
      <c r="K612" s="50"/>
      <c r="L612" s="50"/>
      <c r="M612" s="50"/>
      <c r="N612" s="50"/>
      <c r="O612" s="51"/>
      <c r="P612" s="50"/>
      <c r="Q612" s="50"/>
      <c r="R612" s="50"/>
      <c r="S612" s="50"/>
      <c r="T612" s="50"/>
    </row>
    <row r="613" spans="1:41" s="504" customFormat="1" ht="13.2">
      <c r="A613" s="872"/>
      <c r="B613"/>
      <c r="C613" s="872"/>
      <c r="D613" s="916" t="s">
        <v>351</v>
      </c>
      <c r="E613" s="917"/>
      <c r="F613" s="918"/>
      <c r="G613" s="919"/>
      <c r="H613" s="918"/>
      <c r="I613" s="920"/>
      <c r="J613" s="918"/>
      <c r="K613" s="918"/>
      <c r="L613" s="918"/>
      <c r="M613" s="918"/>
      <c r="N613" s="918"/>
      <c r="O613" s="918"/>
      <c r="P613" s="918"/>
      <c r="Q613" s="921"/>
      <c r="R613" s="513"/>
      <c r="S613" s="881"/>
      <c r="T613" s="877"/>
    </row>
    <row r="614" spans="1:41" s="3" customFormat="1" thickBot="1">
      <c r="A614" s="514"/>
      <c r="O614" s="103"/>
    </row>
    <row r="615" spans="1:41" s="504" customFormat="1" ht="12" thickTop="1">
      <c r="A615" s="50"/>
      <c r="B615" s="40"/>
      <c r="C615" s="50"/>
      <c r="E615" s="41" t="s">
        <v>136</v>
      </c>
      <c r="F615" s="41" t="s">
        <v>137</v>
      </c>
      <c r="G615" s="50"/>
      <c r="H615" s="50"/>
      <c r="I615" s="50"/>
      <c r="J615" s="50"/>
      <c r="K615" s="50" t="s">
        <v>138</v>
      </c>
      <c r="L615" s="50"/>
      <c r="M615" s="50"/>
      <c r="N615" s="50"/>
      <c r="O615" s="51"/>
      <c r="P615" s="50"/>
      <c r="Q615" s="50"/>
      <c r="R615" s="50"/>
      <c r="S615" s="50"/>
      <c r="T615" s="40"/>
      <c r="AG615" s="867" t="s">
        <v>241</v>
      </c>
      <c r="AH615" s="867" t="s">
        <v>242</v>
      </c>
      <c r="AI615" s="867" t="s">
        <v>243</v>
      </c>
      <c r="AJ615" s="867" t="s">
        <v>244</v>
      </c>
      <c r="AK615" s="867" t="s">
        <v>245</v>
      </c>
      <c r="AM615" s="868" t="s">
        <v>254</v>
      </c>
      <c r="AN615" s="869" t="s">
        <v>255</v>
      </c>
      <c r="AO615" s="505" t="s">
        <v>251</v>
      </c>
    </row>
    <row r="616" spans="1:41" s="504" customFormat="1" ht="12" customHeight="1">
      <c r="A616" s="870">
        <v>4</v>
      </c>
      <c r="B616" s="871" t="s">
        <v>335</v>
      </c>
      <c r="C616" s="872"/>
      <c r="D616" s="873" t="s">
        <v>804</v>
      </c>
      <c r="E616" s="874">
        <f ca="1">IF(AND($A616=0,$A$1="DIF"),0, ROUND(ROUND(($R621*$S$2+($T621*$T$2))/A616,2)*$C$2,2))</f>
        <v>14.36</v>
      </c>
      <c r="F616" s="875">
        <f ca="1">ROUND($A616*$E616,2)</f>
        <v>57.44</v>
      </c>
      <c r="G616" s="876" t="s">
        <v>139</v>
      </c>
      <c r="H616" s="877"/>
      <c r="I616" s="878"/>
      <c r="J616" s="877"/>
      <c r="K616" s="877" t="s">
        <v>3</v>
      </c>
      <c r="L616" s="879" t="s">
        <v>140</v>
      </c>
      <c r="M616" s="879"/>
      <c r="N616" s="879"/>
      <c r="O616" s="879"/>
      <c r="P616" s="879"/>
      <c r="Q616" s="50"/>
      <c r="T616" s="880" t="str">
        <f ca="1">IF(AND($R621=0,$T621=0),"0.00","mu :" &amp; ROUND($F616/$C$2/($R621+$T621*$D$9),2))</f>
        <v>mu :1.22</v>
      </c>
      <c r="W616" s="507"/>
      <c r="AG616" s="465">
        <f ca="1">IF($E616=0,0,ROUND($R621*$S$2*$C$2/$A616,2))</f>
        <v>1.34</v>
      </c>
      <c r="AH616" s="465">
        <f ca="1">$AG616*$A616</f>
        <v>5.36</v>
      </c>
      <c r="AI616" s="508">
        <f ca="1">$E616-$AG616</f>
        <v>13.02</v>
      </c>
      <c r="AJ616" s="508">
        <f ca="1">$A616*$AI616</f>
        <v>52.08</v>
      </c>
      <c r="AK616" s="509">
        <f ca="1">ROUND(($AG616+$AI616)*$A616,2)</f>
        <v>57.44</v>
      </c>
      <c r="AM616" s="510">
        <f ca="1">ROUND(R621,2)</f>
        <v>4.4000000000000004</v>
      </c>
      <c r="AN616" s="511">
        <f ca="1">ROUND(T621,2)</f>
        <v>1.48</v>
      </c>
      <c r="AO616" s="512">
        <f ca="1">ROUND(AM616+AN616,2)*A616</f>
        <v>23.52</v>
      </c>
    </row>
    <row r="617" spans="1:41" s="504" customFormat="1" ht="13.2">
      <c r="A617" s="872"/>
      <c r="B617"/>
      <c r="C617" s="872"/>
      <c r="D617" s="873" t="s">
        <v>352</v>
      </c>
      <c r="F617" s="877"/>
      <c r="G617" s="3"/>
      <c r="H617" s="877"/>
      <c r="I617" s="878"/>
      <c r="J617" s="877"/>
      <c r="K617" s="877" t="s">
        <v>141</v>
      </c>
      <c r="L617" s="877"/>
      <c r="M617" s="877"/>
      <c r="N617" s="877"/>
      <c r="O617" s="877"/>
      <c r="P617" s="877"/>
      <c r="Q617" s="50"/>
      <c r="R617" s="513"/>
      <c r="S617" s="881"/>
      <c r="T617" s="877"/>
    </row>
    <row r="618" spans="1:41" s="997" customFormat="1" ht="13.2">
      <c r="A618"/>
      <c r="B618" s="1065"/>
      <c r="C618" s="1065" t="s">
        <v>1006</v>
      </c>
      <c r="D618" s="1065" t="str">
        <f ca="1">CELL("Address",Elec_Rates!D$376)</f>
        <v>[EL25_0662B_Brittania_Hotel_Elec_Revised_Estim_B.xlsx]Elec_Rates!$D$376</v>
      </c>
      <c r="E618" s="1066"/>
      <c r="F618" s="1066"/>
      <c r="G618" s="1067" t="s">
        <v>1007</v>
      </c>
      <c r="H618" s="1067"/>
      <c r="I618" s="1067"/>
      <c r="J618" s="1067"/>
      <c r="K618" s="1068"/>
      <c r="L618" s="1066"/>
      <c r="M618" s="1066"/>
      <c r="N618" s="1066"/>
      <c r="O618" s="1069"/>
      <c r="P618" s="1066"/>
      <c r="Q618" s="1070"/>
      <c r="R618" s="1071"/>
      <c r="S618" s="1070"/>
      <c r="T618" s="1072"/>
      <c r="U618" s="1073"/>
    </row>
    <row r="619" spans="1:41" s="997" customFormat="1" ht="11.4">
      <c r="A619" s="1074">
        <v>4</v>
      </c>
      <c r="B619" s="1075">
        <v>1</v>
      </c>
      <c r="C619" s="1075">
        <f>$A619*$B619</f>
        <v>4</v>
      </c>
      <c r="D619" s="1076" t="str">
        <f>Elec_Rates!$D$376</f>
        <v>043# Install and connect Only - Type 'LT-02' - 11W Soffit Recessed Light Fitting</v>
      </c>
      <c r="E619" s="1076"/>
      <c r="F619" s="1076"/>
      <c r="G619" s="1077" t="s">
        <v>1008</v>
      </c>
      <c r="H619" s="1077"/>
      <c r="I619" s="1077"/>
      <c r="J619" s="1077"/>
      <c r="K619" s="1078"/>
      <c r="L619" s="1073"/>
      <c r="M619" s="1073"/>
      <c r="N619" s="1073"/>
      <c r="O619" s="1079"/>
      <c r="P619" s="1076"/>
      <c r="Q619" s="1080">
        <f ca="1">$B619*Elec_Rates!$R$376</f>
        <v>1.1000000000000001</v>
      </c>
      <c r="R619" s="1071">
        <f ca="1">$A619*Q619</f>
        <v>4.4000000000000004</v>
      </c>
      <c r="S619" s="1080">
        <f ca="1">$B619*Elec_Rates!$T$376</f>
        <v>0.37</v>
      </c>
      <c r="T619" s="1072">
        <f ca="1">$A619*S619</f>
        <v>1.48</v>
      </c>
      <c r="U619" s="1081"/>
    </row>
    <row r="620" spans="1:41" s="504" customFormat="1" ht="12">
      <c r="A620" s="882"/>
      <c r="B620" s="882"/>
      <c r="C620" s="882"/>
      <c r="D620" s="882"/>
      <c r="E620" s="882"/>
      <c r="F620" s="877"/>
      <c r="G620" s="882"/>
      <c r="H620" s="882"/>
      <c r="I620" s="503"/>
      <c r="J620" s="882"/>
      <c r="K620" s="882"/>
      <c r="L620" s="882"/>
      <c r="M620" s="882"/>
      <c r="N620" s="882"/>
      <c r="O620" s="882"/>
      <c r="P620" s="882"/>
      <c r="Q620" s="503"/>
      <c r="R620" s="883">
        <f>$A620*Q620</f>
        <v>0</v>
      </c>
      <c r="S620" s="503"/>
      <c r="T620" s="884">
        <f>$A620*S620*$T$1</f>
        <v>0</v>
      </c>
    </row>
    <row r="621" spans="1:41" s="504" customFormat="1" ht="12.6" thickBot="1">
      <c r="A621" s="885" t="s">
        <v>142</v>
      </c>
      <c r="B621" s="886">
        <f>(R620+T620)</f>
        <v>0</v>
      </c>
      <c r="C621" s="887"/>
      <c r="D621" s="887"/>
      <c r="E621" s="887"/>
      <c r="F621" s="888"/>
      <c r="G621" s="887" t="s">
        <v>143</v>
      </c>
      <c r="H621" s="887"/>
      <c r="I621" s="889"/>
      <c r="J621" s="887"/>
      <c r="K621" s="887" t="s">
        <v>3</v>
      </c>
      <c r="L621" s="890" t="s">
        <v>140</v>
      </c>
      <c r="M621" s="890"/>
      <c r="N621" s="890"/>
      <c r="O621" s="890"/>
      <c r="P621" s="890"/>
      <c r="Q621" s="891"/>
      <c r="R621" s="892">
        <f ca="1">SUM(R617:R620)</f>
        <v>4.4000000000000004</v>
      </c>
      <c r="S621" s="887"/>
      <c r="T621" s="892">
        <f ca="1">SUM(T617:T620)</f>
        <v>1.48</v>
      </c>
      <c r="U621" s="514"/>
      <c r="V621" s="514"/>
      <c r="W621" s="514"/>
      <c r="X621" s="514"/>
      <c r="Y621" s="514"/>
      <c r="Z621" s="514"/>
      <c r="AA621" s="514"/>
      <c r="AB621" s="514"/>
      <c r="AC621" s="514"/>
      <c r="AD621" s="514"/>
      <c r="AE621" s="514"/>
      <c r="AF621" s="514"/>
      <c r="AG621" s="514"/>
      <c r="AH621" s="514"/>
      <c r="AI621" s="514"/>
      <c r="AJ621" s="514"/>
      <c r="AK621" s="514"/>
      <c r="AL621" s="514"/>
      <c r="AM621" s="514"/>
      <c r="AN621" s="514"/>
      <c r="AO621" s="514"/>
    </row>
    <row r="622" spans="1:41" s="504" customFormat="1" ht="12" thickTop="1">
      <c r="A622" s="50"/>
      <c r="B622" s="40"/>
      <c r="C622" s="50"/>
      <c r="E622" s="41" t="s">
        <v>136</v>
      </c>
      <c r="F622" s="41" t="s">
        <v>137</v>
      </c>
      <c r="G622" s="50"/>
      <c r="H622" s="50"/>
      <c r="I622" s="50"/>
      <c r="J622" s="50"/>
      <c r="K622" s="50" t="s">
        <v>138</v>
      </c>
      <c r="L622" s="50"/>
      <c r="M622" s="50"/>
      <c r="N622" s="50"/>
      <c r="O622" s="51"/>
      <c r="P622" s="50"/>
      <c r="Q622" s="50"/>
      <c r="R622" s="50"/>
      <c r="S622" s="50"/>
      <c r="T622" s="40"/>
      <c r="AG622" s="867" t="s">
        <v>241</v>
      </c>
      <c r="AH622" s="867" t="s">
        <v>242</v>
      </c>
      <c r="AI622" s="867" t="s">
        <v>243</v>
      </c>
      <c r="AJ622" s="867" t="s">
        <v>244</v>
      </c>
      <c r="AK622" s="867" t="s">
        <v>245</v>
      </c>
      <c r="AM622" s="868" t="s">
        <v>254</v>
      </c>
      <c r="AN622" s="869" t="s">
        <v>255</v>
      </c>
      <c r="AO622" s="505" t="s">
        <v>251</v>
      </c>
    </row>
    <row r="623" spans="1:41" s="504" customFormat="1" ht="12" customHeight="1">
      <c r="A623" s="870">
        <v>2</v>
      </c>
      <c r="B623" s="871" t="s">
        <v>335</v>
      </c>
      <c r="C623" s="872"/>
      <c r="D623" s="873" t="s">
        <v>806</v>
      </c>
      <c r="E623" s="874">
        <f ca="1">IF(AND($A623=0,$A$1="DIF"),0, ROUND(ROUND(($R628*$S$2+($T628*$T$2))/A623,2)*$C$2,2))</f>
        <v>11.35</v>
      </c>
      <c r="F623" s="875">
        <f ca="1">ROUND($A623*$E623,2)</f>
        <v>22.7</v>
      </c>
      <c r="G623" s="876" t="s">
        <v>139</v>
      </c>
      <c r="H623" s="877"/>
      <c r="I623" s="878"/>
      <c r="J623" s="877"/>
      <c r="K623" s="877" t="s">
        <v>3</v>
      </c>
      <c r="L623" s="879" t="s">
        <v>140</v>
      </c>
      <c r="M623" s="879"/>
      <c r="N623" s="879"/>
      <c r="O623" s="879"/>
      <c r="P623" s="879"/>
      <c r="Q623" s="50"/>
      <c r="T623" s="880" t="str">
        <f ca="1">IF(AND($R628=0,$T628=0),"0.00","mu :" &amp; ROUND($F623/$C$2/($R628+$T628*$D$9),2))</f>
        <v>mu :1.22</v>
      </c>
      <c r="W623" s="507"/>
      <c r="AG623" s="465">
        <f ca="1">IF($E623=0,0,ROUND($R628*$S$2*$C$2/$A623,2))</f>
        <v>0.1</v>
      </c>
      <c r="AH623" s="465">
        <f ca="1">$AG623*$A623</f>
        <v>0.2</v>
      </c>
      <c r="AI623" s="508">
        <f ca="1">$E623-$AG623</f>
        <v>11.25</v>
      </c>
      <c r="AJ623" s="508">
        <f ca="1">$A623*$AI623</f>
        <v>22.5</v>
      </c>
      <c r="AK623" s="509">
        <f ca="1">ROUND(($AG623+$AI623)*$A623,2)</f>
        <v>22.7</v>
      </c>
      <c r="AM623" s="510">
        <f ca="1">ROUND(R628,2)</f>
        <v>0.16</v>
      </c>
      <c r="AN623" s="511">
        <f ca="1">ROUND(T628,2)</f>
        <v>0.64</v>
      </c>
      <c r="AO623" s="512">
        <f ca="1">ROUND(AM623+AN623,2)*A623</f>
        <v>1.6</v>
      </c>
    </row>
    <row r="624" spans="1:41" s="504" customFormat="1" ht="13.2">
      <c r="A624" s="872"/>
      <c r="B624"/>
      <c r="C624" s="872"/>
      <c r="D624" s="873" t="s">
        <v>353</v>
      </c>
      <c r="F624" s="877"/>
      <c r="G624" s="3"/>
      <c r="H624" s="877"/>
      <c r="I624" s="878"/>
      <c r="J624" s="877"/>
      <c r="K624" s="877" t="s">
        <v>141</v>
      </c>
      <c r="L624" s="877"/>
      <c r="M624" s="877"/>
      <c r="N624" s="877"/>
      <c r="O624" s="877"/>
      <c r="P624" s="877"/>
      <c r="Q624" s="50"/>
      <c r="R624" s="513"/>
      <c r="S624" s="881"/>
      <c r="T624" s="877"/>
    </row>
    <row r="625" spans="1:41" s="997" customFormat="1" ht="13.2">
      <c r="A625"/>
      <c r="B625" s="1065"/>
      <c r="C625" s="1065" t="s">
        <v>1006</v>
      </c>
      <c r="D625" s="1065" t="str">
        <f ca="1">CELL("Address",Elec_Rates!D$383)</f>
        <v>[EL25_0662B_Brittania_Hotel_Elec_Revised_Estim_B.xlsx]Elec_Rates!$D$383</v>
      </c>
      <c r="E625" s="1066"/>
      <c r="F625" s="1066"/>
      <c r="G625" s="1067" t="s">
        <v>1007</v>
      </c>
      <c r="H625" s="1067"/>
      <c r="I625" s="1067"/>
      <c r="J625" s="1067"/>
      <c r="K625" s="1068"/>
      <c r="L625" s="1066"/>
      <c r="M625" s="1066"/>
      <c r="N625" s="1066"/>
      <c r="O625" s="1069"/>
      <c r="P625" s="1066"/>
      <c r="Q625" s="1070"/>
      <c r="R625" s="1071"/>
      <c r="S625" s="1070"/>
      <c r="T625" s="1072"/>
      <c r="U625" s="1073"/>
    </row>
    <row r="626" spans="1:41" s="997" customFormat="1" ht="11.4">
      <c r="A626" s="1074">
        <v>2</v>
      </c>
      <c r="B626" s="1075">
        <v>1</v>
      </c>
      <c r="C626" s="1075">
        <f>$A626*$B626</f>
        <v>2</v>
      </c>
      <c r="D626" s="1076" t="str">
        <f>Elec_Rates!$D$383</f>
        <v>044# Install and connect Only - Type 'LT-03' - Wall Light</v>
      </c>
      <c r="E626" s="1076"/>
      <c r="F626" s="1076"/>
      <c r="G626" s="1077" t="s">
        <v>1008</v>
      </c>
      <c r="H626" s="1077"/>
      <c r="I626" s="1077"/>
      <c r="J626" s="1077"/>
      <c r="K626" s="1078"/>
      <c r="L626" s="1073"/>
      <c r="M626" s="1073"/>
      <c r="N626" s="1073"/>
      <c r="O626" s="1079"/>
      <c r="P626" s="1076"/>
      <c r="Q626" s="1080">
        <f ca="1">$B626*Elec_Rates!$R$383</f>
        <v>0.08</v>
      </c>
      <c r="R626" s="1071">
        <f ca="1">$A626*Q626</f>
        <v>0.16</v>
      </c>
      <c r="S626" s="1080">
        <f ca="1">$B626*Elec_Rates!$T$383</f>
        <v>0.32</v>
      </c>
      <c r="T626" s="1072">
        <f ca="1">$A626*S626</f>
        <v>0.64</v>
      </c>
      <c r="U626" s="1081"/>
    </row>
    <row r="627" spans="1:41" s="504" customFormat="1" ht="12">
      <c r="A627" s="882"/>
      <c r="B627" s="882"/>
      <c r="C627" s="882"/>
      <c r="D627" s="882"/>
      <c r="E627" s="882"/>
      <c r="F627" s="877"/>
      <c r="G627" s="882"/>
      <c r="H627" s="882"/>
      <c r="I627" s="503"/>
      <c r="J627" s="882"/>
      <c r="K627" s="882"/>
      <c r="L627" s="882"/>
      <c r="M627" s="882"/>
      <c r="N627" s="882"/>
      <c r="O627" s="882"/>
      <c r="P627" s="882"/>
      <c r="Q627" s="503"/>
      <c r="R627" s="883">
        <f>$A627*Q627</f>
        <v>0</v>
      </c>
      <c r="S627" s="503"/>
      <c r="T627" s="884">
        <f>$A627*S627*$T$1</f>
        <v>0</v>
      </c>
    </row>
    <row r="628" spans="1:41" s="504" customFormat="1" ht="12.6" thickBot="1">
      <c r="A628" s="885" t="s">
        <v>142</v>
      </c>
      <c r="B628" s="886">
        <f>(R627+T627)</f>
        <v>0</v>
      </c>
      <c r="C628" s="887"/>
      <c r="D628" s="887"/>
      <c r="E628" s="887"/>
      <c r="F628" s="888"/>
      <c r="G628" s="887" t="s">
        <v>143</v>
      </c>
      <c r="H628" s="887"/>
      <c r="I628" s="889"/>
      <c r="J628" s="887"/>
      <c r="K628" s="887" t="s">
        <v>3</v>
      </c>
      <c r="L628" s="890" t="s">
        <v>140</v>
      </c>
      <c r="M628" s="890"/>
      <c r="N628" s="890"/>
      <c r="O628" s="890"/>
      <c r="P628" s="890"/>
      <c r="Q628" s="891"/>
      <c r="R628" s="892">
        <f ca="1">SUM(R624:R627)</f>
        <v>0.16</v>
      </c>
      <c r="S628" s="887"/>
      <c r="T628" s="892">
        <f ca="1">SUM(T624:T627)</f>
        <v>0.64</v>
      </c>
      <c r="U628" s="514"/>
      <c r="V628" s="514"/>
      <c r="W628" s="514"/>
      <c r="X628" s="514"/>
      <c r="Y628" s="514"/>
      <c r="Z628" s="514"/>
      <c r="AA628" s="514"/>
      <c r="AB628" s="514"/>
      <c r="AC628" s="514"/>
      <c r="AD628" s="514"/>
      <c r="AE628" s="514"/>
      <c r="AF628" s="514"/>
      <c r="AG628" s="514"/>
      <c r="AH628" s="514"/>
      <c r="AI628" s="514"/>
      <c r="AJ628" s="514"/>
      <c r="AK628" s="514"/>
      <c r="AL628" s="514"/>
      <c r="AM628" s="514"/>
      <c r="AN628" s="514"/>
      <c r="AO628" s="514"/>
    </row>
    <row r="629" spans="1:41" s="504" customFormat="1" ht="12" thickTop="1">
      <c r="A629" s="50"/>
      <c r="B629" s="40"/>
      <c r="C629" s="50"/>
      <c r="E629" s="41" t="s">
        <v>136</v>
      </c>
      <c r="F629" s="41" t="s">
        <v>137</v>
      </c>
      <c r="G629" s="50"/>
      <c r="H629" s="50"/>
      <c r="I629" s="50"/>
      <c r="J629" s="50"/>
      <c r="K629" s="50" t="s">
        <v>138</v>
      </c>
      <c r="L629" s="50"/>
      <c r="M629" s="50"/>
      <c r="N629" s="50"/>
      <c r="O629" s="51"/>
      <c r="P629" s="50"/>
      <c r="Q629" s="50"/>
      <c r="R629" s="50"/>
      <c r="S629" s="50"/>
      <c r="T629" s="40"/>
      <c r="AG629" s="867" t="s">
        <v>241</v>
      </c>
      <c r="AH629" s="867" t="s">
        <v>242</v>
      </c>
      <c r="AI629" s="867" t="s">
        <v>243</v>
      </c>
      <c r="AJ629" s="867" t="s">
        <v>244</v>
      </c>
      <c r="AK629" s="867" t="s">
        <v>245</v>
      </c>
      <c r="AM629" s="868" t="s">
        <v>254</v>
      </c>
      <c r="AN629" s="869" t="s">
        <v>255</v>
      </c>
      <c r="AO629" s="505" t="s">
        <v>251</v>
      </c>
    </row>
    <row r="630" spans="1:41" s="504" customFormat="1" ht="12" customHeight="1">
      <c r="A630" s="870">
        <v>8</v>
      </c>
      <c r="B630" s="871" t="s">
        <v>335</v>
      </c>
      <c r="C630" s="872"/>
      <c r="D630" s="873" t="s">
        <v>808</v>
      </c>
      <c r="E630" s="874">
        <f ca="1">IF(AND($A630=0,$A$1="DIF"),0, ROUND(ROUND(($R635*$S$2+($T635*$T$2))/A630,2)*$C$2,2))</f>
        <v>14.36</v>
      </c>
      <c r="F630" s="875">
        <f ca="1">ROUND($A630*$E630,2)</f>
        <v>114.88</v>
      </c>
      <c r="G630" s="876" t="s">
        <v>139</v>
      </c>
      <c r="H630" s="877"/>
      <c r="I630" s="878"/>
      <c r="J630" s="877"/>
      <c r="K630" s="877" t="s">
        <v>3</v>
      </c>
      <c r="L630" s="879" t="s">
        <v>140</v>
      </c>
      <c r="M630" s="879"/>
      <c r="N630" s="879"/>
      <c r="O630" s="879"/>
      <c r="P630" s="879"/>
      <c r="Q630" s="50"/>
      <c r="T630" s="880" t="str">
        <f ca="1">IF(AND($R635=0,$T635=0),"0.00","mu :" &amp; ROUND($F630/$C$2/($R635+$T635*$D$9),2))</f>
        <v>mu :1.22</v>
      </c>
      <c r="W630" s="507"/>
      <c r="AG630" s="465">
        <f ca="1">IF($E630=0,0,ROUND($R635*$S$2*$C$2/$A630,2))</f>
        <v>1.34</v>
      </c>
      <c r="AH630" s="465">
        <f ca="1">$AG630*$A630</f>
        <v>10.72</v>
      </c>
      <c r="AI630" s="508">
        <f ca="1">$E630-$AG630</f>
        <v>13.02</v>
      </c>
      <c r="AJ630" s="508">
        <f ca="1">$A630*$AI630</f>
        <v>104.16</v>
      </c>
      <c r="AK630" s="509">
        <f ca="1">ROUND(($AG630+$AI630)*$A630,2)</f>
        <v>114.88</v>
      </c>
      <c r="AM630" s="510">
        <f ca="1">ROUND(R635,2)</f>
        <v>8.8000000000000007</v>
      </c>
      <c r="AN630" s="511">
        <f ca="1">ROUND(T635,2)</f>
        <v>2.96</v>
      </c>
      <c r="AO630" s="512">
        <f ca="1">ROUND(AM630+AN630,2)*A630</f>
        <v>94.08</v>
      </c>
    </row>
    <row r="631" spans="1:41" s="504" customFormat="1" ht="13.2">
      <c r="A631" s="872"/>
      <c r="B631"/>
      <c r="C631" s="872"/>
      <c r="D631" s="873" t="s">
        <v>354</v>
      </c>
      <c r="F631" s="877"/>
      <c r="G631" s="3"/>
      <c r="H631" s="877"/>
      <c r="I631" s="878"/>
      <c r="J631" s="877"/>
      <c r="K631" s="877" t="s">
        <v>141</v>
      </c>
      <c r="L631" s="877"/>
      <c r="M631" s="877"/>
      <c r="N631" s="877"/>
      <c r="O631" s="877"/>
      <c r="P631" s="877"/>
      <c r="Q631" s="50"/>
      <c r="R631" s="513"/>
      <c r="S631" s="881"/>
      <c r="T631" s="877"/>
    </row>
    <row r="632" spans="1:41" s="997" customFormat="1" ht="13.2">
      <c r="A632"/>
      <c r="B632" s="1065"/>
      <c r="C632" s="1065" t="s">
        <v>1006</v>
      </c>
      <c r="D632" s="1065" t="str">
        <f ca="1">CELL("Address",Elec_Rates!D$464)</f>
        <v>[EL25_0662B_Brittania_Hotel_Elec_Revised_Estim_B.xlsx]Elec_Rates!$D$464</v>
      </c>
      <c r="E632" s="1066"/>
      <c r="F632" s="1066"/>
      <c r="G632" s="1067" t="s">
        <v>1007</v>
      </c>
      <c r="H632" s="1067"/>
      <c r="I632" s="1067"/>
      <c r="J632" s="1067"/>
      <c r="K632" s="1068"/>
      <c r="L632" s="1066"/>
      <c r="M632" s="1066"/>
      <c r="N632" s="1066"/>
      <c r="O632" s="1069"/>
      <c r="P632" s="1066"/>
      <c r="Q632" s="1070"/>
      <c r="R632" s="1071"/>
      <c r="S632" s="1070"/>
      <c r="T632" s="1072"/>
      <c r="U632" s="1073"/>
    </row>
    <row r="633" spans="1:41" s="997" customFormat="1" ht="11.4">
      <c r="A633" s="1074">
        <v>8</v>
      </c>
      <c r="B633" s="1075">
        <v>1</v>
      </c>
      <c r="C633" s="1075">
        <f>$A633*$B633</f>
        <v>8</v>
      </c>
      <c r="D633" s="1076" t="str">
        <f>Elec_Rates!$D$464</f>
        <v>055# Install and connect Only - Type 'LT-15' - 8.5W Soffit Recessed Downlighter</v>
      </c>
      <c r="E633" s="1076"/>
      <c r="F633" s="1076"/>
      <c r="G633" s="1077" t="s">
        <v>1008</v>
      </c>
      <c r="H633" s="1077"/>
      <c r="I633" s="1077"/>
      <c r="J633" s="1077"/>
      <c r="K633" s="1078"/>
      <c r="L633" s="1073"/>
      <c r="M633" s="1073"/>
      <c r="N633" s="1073"/>
      <c r="O633" s="1079"/>
      <c r="P633" s="1076"/>
      <c r="Q633" s="1080">
        <f ca="1">$B633*Elec_Rates!$R$464</f>
        <v>1.1000000000000001</v>
      </c>
      <c r="R633" s="1071">
        <f ca="1">$A633*Q633</f>
        <v>8.8000000000000007</v>
      </c>
      <c r="S633" s="1080">
        <f ca="1">$B633*Elec_Rates!$T$464</f>
        <v>0.37</v>
      </c>
      <c r="T633" s="1072">
        <f ca="1">$A633*S633</f>
        <v>2.96</v>
      </c>
      <c r="U633" s="1081"/>
    </row>
    <row r="634" spans="1:41" s="504" customFormat="1" ht="12">
      <c r="A634" s="882"/>
      <c r="B634" s="882"/>
      <c r="C634" s="882"/>
      <c r="D634" s="882"/>
      <c r="E634" s="882"/>
      <c r="F634" s="877"/>
      <c r="G634" s="882"/>
      <c r="H634" s="882"/>
      <c r="I634" s="503"/>
      <c r="J634" s="882"/>
      <c r="K634" s="882"/>
      <c r="L634" s="882"/>
      <c r="M634" s="882"/>
      <c r="N634" s="882"/>
      <c r="O634" s="882"/>
      <c r="P634" s="882"/>
      <c r="Q634" s="503"/>
      <c r="R634" s="883">
        <f>$A634*Q634</f>
        <v>0</v>
      </c>
      <c r="S634" s="503"/>
      <c r="T634" s="884">
        <f>$A634*S634*$T$1</f>
        <v>0</v>
      </c>
    </row>
    <row r="635" spans="1:41" s="504" customFormat="1" ht="12.6" thickBot="1">
      <c r="A635" s="885" t="s">
        <v>142</v>
      </c>
      <c r="B635" s="886">
        <f>(R634+T634)</f>
        <v>0</v>
      </c>
      <c r="C635" s="887"/>
      <c r="D635" s="887"/>
      <c r="E635" s="887"/>
      <c r="F635" s="888"/>
      <c r="G635" s="887" t="s">
        <v>143</v>
      </c>
      <c r="H635" s="887"/>
      <c r="I635" s="889"/>
      <c r="J635" s="887"/>
      <c r="K635" s="887" t="s">
        <v>3</v>
      </c>
      <c r="L635" s="890" t="s">
        <v>140</v>
      </c>
      <c r="M635" s="890"/>
      <c r="N635" s="890"/>
      <c r="O635" s="890"/>
      <c r="P635" s="890"/>
      <c r="Q635" s="891"/>
      <c r="R635" s="892">
        <f ca="1">SUM(R631:R634)</f>
        <v>8.8000000000000007</v>
      </c>
      <c r="S635" s="887"/>
      <c r="T635" s="892">
        <f ca="1">SUM(T631:T634)</f>
        <v>2.96</v>
      </c>
      <c r="U635" s="514"/>
      <c r="V635" s="514"/>
      <c r="W635" s="514"/>
      <c r="X635" s="514"/>
      <c r="Y635" s="514"/>
      <c r="Z635" s="514"/>
      <c r="AA635" s="514"/>
      <c r="AB635" s="514"/>
      <c r="AC635" s="514"/>
      <c r="AD635" s="514"/>
      <c r="AE635" s="514"/>
      <c r="AF635" s="514"/>
      <c r="AG635" s="514"/>
      <c r="AH635" s="514"/>
      <c r="AI635" s="514"/>
      <c r="AJ635" s="514"/>
      <c r="AK635" s="514"/>
      <c r="AL635" s="514"/>
      <c r="AM635" s="514"/>
      <c r="AN635" s="514"/>
      <c r="AO635" s="514"/>
    </row>
    <row r="636" spans="1:41" s="504" customFormat="1" ht="12" thickTop="1">
      <c r="A636" s="47" t="s">
        <v>145</v>
      </c>
      <c r="D636" s="13"/>
      <c r="E636" s="41"/>
      <c r="O636" s="893"/>
    </row>
    <row r="637" spans="1:41" s="504" customFormat="1" ht="13.2">
      <c r="B637" s="3"/>
      <c r="O637" s="893"/>
    </row>
    <row r="638" spans="1:41" s="504" customFormat="1" ht="12">
      <c r="B638" s="894">
        <f ca="1">$F638/$C$2-($R638*$S$2+$T638*$T$2)</f>
        <v>5.7688599999892176E-2</v>
      </c>
      <c r="D638" s="895" t="s">
        <v>817</v>
      </c>
      <c r="E638" s="896"/>
      <c r="F638" s="897">
        <f ca="1">SUMIF($L489:$L636,"ITEM",F489:F636)</f>
        <v>2621</v>
      </c>
      <c r="G638" s="882"/>
      <c r="H638" s="882"/>
      <c r="I638" s="503"/>
      <c r="J638" s="882"/>
      <c r="K638" s="882"/>
      <c r="L638" s="879" t="s">
        <v>154</v>
      </c>
      <c r="M638" s="879"/>
      <c r="N638" s="879"/>
      <c r="O638" s="879"/>
      <c r="P638" s="879"/>
      <c r="R638" s="897">
        <f ca="1">SUMIF($L489:$L636,"ITEM",R489:R636)</f>
        <v>854</v>
      </c>
      <c r="S638" s="898"/>
      <c r="T638" s="897">
        <f ca="1">SUMIF($L489:$L636,"ITEM",T489:T636)</f>
        <v>44.89</v>
      </c>
    </row>
    <row r="639" spans="1:41" s="504" customFormat="1" ht="13.2">
      <c r="A639" s="50"/>
      <c r="B639" s="48" t="s">
        <v>816</v>
      </c>
      <c r="C639" s="50"/>
      <c r="D639" s="3"/>
      <c r="F639" s="899" t="s">
        <v>155</v>
      </c>
      <c r="G639" s="882"/>
      <c r="H639" s="882"/>
      <c r="I639" s="503"/>
      <c r="J639" s="882"/>
      <c r="K639" s="882"/>
      <c r="L639" s="882"/>
      <c r="M639" s="882"/>
      <c r="N639" s="882"/>
      <c r="O639" s="882"/>
      <c r="P639" s="882"/>
      <c r="Q639" s="900"/>
      <c r="R639" s="899" t="s">
        <v>156</v>
      </c>
      <c r="S639" s="38"/>
      <c r="T639" s="899" t="s">
        <v>157</v>
      </c>
    </row>
    <row r="640" spans="1:41" s="504" customFormat="1" ht="13.2">
      <c r="A640" s="882"/>
      <c r="B640" s="3"/>
      <c r="C640" s="882"/>
      <c r="D640" s="3"/>
      <c r="E640" s="3"/>
      <c r="G640" s="3"/>
      <c r="H640" s="3"/>
      <c r="I640" s="3"/>
      <c r="J640" s="3"/>
      <c r="K640" s="3"/>
      <c r="L640" s="3"/>
      <c r="M640" s="3"/>
      <c r="N640" s="3"/>
      <c r="O640" s="103"/>
      <c r="P640" s="3"/>
      <c r="Q640" s="3"/>
      <c r="R640" s="3"/>
      <c r="S640" s="3"/>
      <c r="T640" s="3"/>
    </row>
    <row r="641" spans="1:41" s="504" customFormat="1" ht="12" thickBot="1">
      <c r="A641" s="514"/>
      <c r="B641" s="887"/>
      <c r="C641" s="887"/>
      <c r="D641" s="514"/>
      <c r="E641" s="39"/>
      <c r="F641" s="901"/>
      <c r="G641" s="887"/>
      <c r="H641" s="887"/>
      <c r="I641" s="889"/>
      <c r="J641" s="887"/>
      <c r="K641" s="887"/>
      <c r="L641" s="890"/>
      <c r="M641" s="890"/>
      <c r="N641" s="890"/>
      <c r="O641" s="890"/>
      <c r="P641" s="890"/>
      <c r="Q641" s="891"/>
      <c r="R641" s="901"/>
      <c r="S641" s="902"/>
      <c r="T641" s="901"/>
      <c r="U641" s="514"/>
      <c r="V641" s="514"/>
      <c r="W641" s="514"/>
      <c r="X641" s="514"/>
      <c r="Y641" s="514"/>
      <c r="Z641" s="514"/>
      <c r="AA641" s="514"/>
      <c r="AB641" s="514"/>
      <c r="AC641" s="514"/>
      <c r="AD641" s="514"/>
      <c r="AE641" s="514"/>
      <c r="AF641" s="514"/>
      <c r="AG641" s="514"/>
      <c r="AH641" s="514"/>
      <c r="AI641" s="514"/>
      <c r="AJ641" s="514"/>
      <c r="AK641" s="514"/>
    </row>
    <row r="642" spans="1:41" s="504" customFormat="1" ht="12" thickTop="1">
      <c r="A642" s="50"/>
      <c r="B642" s="40"/>
      <c r="C642" s="50"/>
      <c r="E642" s="41" t="s">
        <v>136</v>
      </c>
      <c r="F642" s="41" t="s">
        <v>137</v>
      </c>
      <c r="G642" s="50"/>
      <c r="H642" s="50"/>
      <c r="I642" s="50"/>
      <c r="J642" s="50"/>
      <c r="K642" s="50" t="s">
        <v>138</v>
      </c>
      <c r="L642" s="50"/>
      <c r="M642" s="50"/>
      <c r="N642" s="50"/>
      <c r="O642" s="51"/>
      <c r="P642" s="50"/>
      <c r="Q642" s="50"/>
      <c r="R642" s="50"/>
      <c r="S642" s="50"/>
      <c r="T642" s="40"/>
      <c r="AG642" s="867" t="s">
        <v>241</v>
      </c>
      <c r="AH642" s="867" t="s">
        <v>242</v>
      </c>
      <c r="AI642" s="867" t="s">
        <v>243</v>
      </c>
      <c r="AJ642" s="867" t="s">
        <v>244</v>
      </c>
      <c r="AK642" s="867" t="s">
        <v>245</v>
      </c>
      <c r="AM642" s="868" t="s">
        <v>254</v>
      </c>
      <c r="AN642" s="869" t="s">
        <v>255</v>
      </c>
      <c r="AO642" s="505" t="s">
        <v>251</v>
      </c>
    </row>
    <row r="643" spans="1:41" s="504" customFormat="1" ht="12" customHeight="1">
      <c r="A643" s="870">
        <v>1</v>
      </c>
      <c r="B643" s="871" t="s">
        <v>335</v>
      </c>
      <c r="C643" s="872"/>
      <c r="D643" s="873" t="s">
        <v>810</v>
      </c>
      <c r="E643" s="874">
        <f ca="1">IF(AND($A643=0,$A$1="DIF"),0, ROUND(ROUND(($R648*$S$2+($T648*$T$2))/A643,2)*$C$2,2))</f>
        <v>14.36</v>
      </c>
      <c r="F643" s="875">
        <f ca="1">ROUND($A643*$E643,2)</f>
        <v>14.36</v>
      </c>
      <c r="G643" s="876" t="s">
        <v>139</v>
      </c>
      <c r="H643" s="877"/>
      <c r="I643" s="878"/>
      <c r="J643" s="877"/>
      <c r="K643" s="877" t="s">
        <v>3</v>
      </c>
      <c r="L643" s="879" t="s">
        <v>140</v>
      </c>
      <c r="M643" s="879"/>
      <c r="N643" s="879"/>
      <c r="O643" s="879"/>
      <c r="P643" s="879"/>
      <c r="Q643" s="50"/>
      <c r="T643" s="880" t="str">
        <f ca="1">IF(AND($R648=0,$T648=0),"0.00","mu :" &amp; ROUND($F643/$C$2/($R648+$T648*$D$9),2))</f>
        <v>mu :1.22</v>
      </c>
      <c r="W643" s="507"/>
      <c r="AG643" s="465">
        <f ca="1">IF($E643=0,0,ROUND($R648*$S$2*$C$2/$A643,2))</f>
        <v>1.34</v>
      </c>
      <c r="AH643" s="465">
        <f ca="1">$AG643*$A643</f>
        <v>1.34</v>
      </c>
      <c r="AI643" s="508">
        <f ca="1">$E643-$AG643</f>
        <v>13.02</v>
      </c>
      <c r="AJ643" s="508">
        <f ca="1">$A643*$AI643</f>
        <v>13.02</v>
      </c>
      <c r="AK643" s="509">
        <f ca="1">ROUND(($AG643+$AI643)*$A643,2)</f>
        <v>14.36</v>
      </c>
      <c r="AM643" s="510">
        <f ca="1">ROUND(R648,2)</f>
        <v>1.1000000000000001</v>
      </c>
      <c r="AN643" s="511">
        <f ca="1">ROUND(T648,2)</f>
        <v>0.37</v>
      </c>
      <c r="AO643" s="512">
        <f ca="1">ROUND(AM643+AN643,2)*A643</f>
        <v>1.47</v>
      </c>
    </row>
    <row r="644" spans="1:41" s="504" customFormat="1" ht="13.2">
      <c r="A644" s="872"/>
      <c r="B644"/>
      <c r="C644" s="872"/>
      <c r="D644" s="873" t="s">
        <v>355</v>
      </c>
      <c r="F644" s="877"/>
      <c r="G644" s="3"/>
      <c r="H644" s="877"/>
      <c r="I644" s="878"/>
      <c r="J644" s="877"/>
      <c r="K644" s="877" t="s">
        <v>141</v>
      </c>
      <c r="L644" s="877"/>
      <c r="M644" s="877"/>
      <c r="N644" s="877"/>
      <c r="O644" s="877"/>
      <c r="P644" s="877"/>
      <c r="Q644" s="50"/>
      <c r="R644" s="513"/>
      <c r="S644" s="881"/>
      <c r="T644" s="877"/>
    </row>
    <row r="645" spans="1:41" s="997" customFormat="1" ht="13.2">
      <c r="A645"/>
      <c r="B645" s="1065"/>
      <c r="C645" s="1065" t="s">
        <v>1006</v>
      </c>
      <c r="D645" s="1065" t="str">
        <f ca="1">CELL("Address",Elec_Rates!D$471)</f>
        <v>[EL25_0662B_Brittania_Hotel_Elec_Revised_Estim_B.xlsx]Elec_Rates!$D$471</v>
      </c>
      <c r="E645" s="1066"/>
      <c r="F645" s="1066"/>
      <c r="G645" s="1067" t="s">
        <v>1007</v>
      </c>
      <c r="H645" s="1067"/>
      <c r="I645" s="1067"/>
      <c r="J645" s="1067"/>
      <c r="K645" s="1068"/>
      <c r="L645" s="1066"/>
      <c r="M645" s="1066"/>
      <c r="N645" s="1066"/>
      <c r="O645" s="1069"/>
      <c r="P645" s="1066"/>
      <c r="Q645" s="1070"/>
      <c r="R645" s="1071"/>
      <c r="S645" s="1070"/>
      <c r="T645" s="1072"/>
      <c r="U645" s="1073"/>
    </row>
    <row r="646" spans="1:41" s="997" customFormat="1" ht="11.4">
      <c r="A646" s="1074">
        <v>1</v>
      </c>
      <c r="B646" s="1075">
        <v>1</v>
      </c>
      <c r="C646" s="1075">
        <f>$A646*$B646</f>
        <v>1</v>
      </c>
      <c r="D646" s="1076" t="str">
        <f>Elec_Rates!$D$471</f>
        <v>056# Install and connect Only - Type 'LT-16' - 8.5W Soffit Recessed Downlighter</v>
      </c>
      <c r="E646" s="1076"/>
      <c r="F646" s="1076"/>
      <c r="G646" s="1077" t="s">
        <v>1008</v>
      </c>
      <c r="H646" s="1077"/>
      <c r="I646" s="1077"/>
      <c r="J646" s="1077"/>
      <c r="K646" s="1078"/>
      <c r="L646" s="1073"/>
      <c r="M646" s="1073"/>
      <c r="N646" s="1073"/>
      <c r="O646" s="1079"/>
      <c r="P646" s="1076"/>
      <c r="Q646" s="1080">
        <f ca="1">$B646*Elec_Rates!$R$471</f>
        <v>1.1000000000000001</v>
      </c>
      <c r="R646" s="1071">
        <f ca="1">$A646*Q646</f>
        <v>1.1000000000000001</v>
      </c>
      <c r="S646" s="1080">
        <f ca="1">$B646*Elec_Rates!$T$471</f>
        <v>0.37</v>
      </c>
      <c r="T646" s="1072">
        <f ca="1">$A646*S646</f>
        <v>0.37</v>
      </c>
      <c r="U646" s="1081"/>
    </row>
    <row r="647" spans="1:41" s="504" customFormat="1" ht="12">
      <c r="A647" s="882"/>
      <c r="B647" s="882"/>
      <c r="C647" s="882"/>
      <c r="D647" s="882"/>
      <c r="E647" s="882"/>
      <c r="F647" s="877"/>
      <c r="G647" s="882"/>
      <c r="H647" s="882"/>
      <c r="I647" s="503"/>
      <c r="J647" s="882"/>
      <c r="K647" s="882"/>
      <c r="L647" s="882"/>
      <c r="M647" s="882"/>
      <c r="N647" s="882"/>
      <c r="O647" s="882"/>
      <c r="P647" s="882"/>
      <c r="Q647" s="503"/>
      <c r="R647" s="883">
        <f>$A647*Q647</f>
        <v>0</v>
      </c>
      <c r="S647" s="503"/>
      <c r="T647" s="884">
        <f>$A647*S647*$T$1</f>
        <v>0</v>
      </c>
    </row>
    <row r="648" spans="1:41" s="504" customFormat="1" ht="12.6" thickBot="1">
      <c r="A648" s="885" t="s">
        <v>142</v>
      </c>
      <c r="B648" s="886">
        <f>(R647+T647)</f>
        <v>0</v>
      </c>
      <c r="C648" s="887"/>
      <c r="D648" s="887"/>
      <c r="E648" s="887"/>
      <c r="F648" s="888"/>
      <c r="G648" s="887" t="s">
        <v>143</v>
      </c>
      <c r="H648" s="887"/>
      <c r="I648" s="889"/>
      <c r="J648" s="887"/>
      <c r="K648" s="887" t="s">
        <v>3</v>
      </c>
      <c r="L648" s="890" t="s">
        <v>140</v>
      </c>
      <c r="M648" s="890"/>
      <c r="N648" s="890"/>
      <c r="O648" s="890"/>
      <c r="P648" s="890"/>
      <c r="Q648" s="891"/>
      <c r="R648" s="892">
        <f ca="1">SUM(R644:R647)</f>
        <v>1.1000000000000001</v>
      </c>
      <c r="S648" s="887"/>
      <c r="T648" s="892">
        <f ca="1">SUM(T644:T647)</f>
        <v>0.37</v>
      </c>
      <c r="U648" s="514"/>
      <c r="V648" s="514"/>
      <c r="W648" s="514"/>
      <c r="X648" s="514"/>
      <c r="Y648" s="514"/>
      <c r="Z648" s="514"/>
      <c r="AA648" s="514"/>
      <c r="AB648" s="514"/>
      <c r="AC648" s="514"/>
      <c r="AD648" s="514"/>
      <c r="AE648" s="514"/>
      <c r="AF648" s="514"/>
      <c r="AG648" s="514"/>
      <c r="AH648" s="514"/>
      <c r="AI648" s="514"/>
      <c r="AJ648" s="514"/>
      <c r="AK648" s="514"/>
      <c r="AL648" s="514"/>
      <c r="AM648" s="514"/>
      <c r="AN648" s="514"/>
      <c r="AO648" s="514"/>
    </row>
    <row r="649" spans="1:41" s="504" customFormat="1" ht="12" thickTop="1">
      <c r="A649" s="50"/>
      <c r="B649" s="40"/>
      <c r="C649" s="50"/>
      <c r="E649" s="41" t="s">
        <v>136</v>
      </c>
      <c r="F649" s="41" t="s">
        <v>137</v>
      </c>
      <c r="G649" s="50"/>
      <c r="H649" s="50"/>
      <c r="I649" s="50"/>
      <c r="J649" s="50"/>
      <c r="K649" s="50" t="s">
        <v>138</v>
      </c>
      <c r="L649" s="50"/>
      <c r="M649" s="50"/>
      <c r="N649" s="50"/>
      <c r="O649" s="51"/>
      <c r="P649" s="50"/>
      <c r="Q649" s="50"/>
      <c r="R649" s="50"/>
      <c r="S649" s="50"/>
      <c r="T649" s="40"/>
      <c r="AG649" s="867" t="s">
        <v>241</v>
      </c>
      <c r="AH649" s="867" t="s">
        <v>242</v>
      </c>
      <c r="AI649" s="867" t="s">
        <v>243</v>
      </c>
      <c r="AJ649" s="867" t="s">
        <v>244</v>
      </c>
      <c r="AK649" s="867" t="s">
        <v>245</v>
      </c>
      <c r="AM649" s="868" t="s">
        <v>254</v>
      </c>
      <c r="AN649" s="869" t="s">
        <v>255</v>
      </c>
      <c r="AO649" s="505" t="s">
        <v>251</v>
      </c>
    </row>
    <row r="650" spans="1:41" s="504" customFormat="1" ht="12" customHeight="1">
      <c r="A650" s="870">
        <v>4</v>
      </c>
      <c r="B650" s="871" t="s">
        <v>335</v>
      </c>
      <c r="C650" s="872"/>
      <c r="D650" s="873" t="s">
        <v>812</v>
      </c>
      <c r="E650" s="874">
        <f ca="1">IF(AND($A650=0,$A$1="DIF"),0, ROUND(ROUND(($R655*$S$2+($T655*$T$2))/A650,2)*$C$2,2))</f>
        <v>11.35</v>
      </c>
      <c r="F650" s="875">
        <f ca="1">ROUND($A650*$E650,2)</f>
        <v>45.4</v>
      </c>
      <c r="G650" s="876" t="s">
        <v>139</v>
      </c>
      <c r="H650" s="877"/>
      <c r="I650" s="878"/>
      <c r="J650" s="877"/>
      <c r="K650" s="877" t="s">
        <v>3</v>
      </c>
      <c r="L650" s="879" t="s">
        <v>140</v>
      </c>
      <c r="M650" s="879"/>
      <c r="N650" s="879"/>
      <c r="O650" s="879"/>
      <c r="P650" s="879"/>
      <c r="Q650" s="50"/>
      <c r="T650" s="880" t="str">
        <f ca="1">IF(AND($R655=0,$T655=0),"0.00","mu :" &amp; ROUND($F650/$C$2/($R655+$T655*$D$9),2))</f>
        <v>mu :1.22</v>
      </c>
      <c r="W650" s="507"/>
      <c r="AG650" s="465">
        <f ca="1">IF($E650=0,0,ROUND($R655*$S$2*$C$2/$A650,2))</f>
        <v>0.1</v>
      </c>
      <c r="AH650" s="465">
        <f ca="1">$AG650*$A650</f>
        <v>0.4</v>
      </c>
      <c r="AI650" s="508">
        <f ca="1">$E650-$AG650</f>
        <v>11.25</v>
      </c>
      <c r="AJ650" s="508">
        <f ca="1">$A650*$AI650</f>
        <v>45</v>
      </c>
      <c r="AK650" s="509">
        <f ca="1">ROUND(($AG650+$AI650)*$A650,2)</f>
        <v>45.4</v>
      </c>
      <c r="AM650" s="510">
        <f ca="1">ROUND(R655,2)</f>
        <v>0.32</v>
      </c>
      <c r="AN650" s="511">
        <f ca="1">ROUND(T655,2)</f>
        <v>1.28</v>
      </c>
      <c r="AO650" s="512">
        <f ca="1">ROUND(AM650+AN650,2)*A650</f>
        <v>6.4</v>
      </c>
    </row>
    <row r="651" spans="1:41" s="504" customFormat="1" ht="13.2">
      <c r="A651" s="872"/>
      <c r="B651"/>
      <c r="C651" s="872"/>
      <c r="D651" s="873" t="s">
        <v>356</v>
      </c>
      <c r="F651" s="877"/>
      <c r="G651" s="3"/>
      <c r="H651" s="877"/>
      <c r="I651" s="878"/>
      <c r="J651" s="877"/>
      <c r="K651" s="877" t="s">
        <v>141</v>
      </c>
      <c r="L651" s="877"/>
      <c r="M651" s="877"/>
      <c r="N651" s="877"/>
      <c r="O651" s="877"/>
      <c r="P651" s="877"/>
      <c r="Q651" s="50"/>
      <c r="R651" s="513"/>
      <c r="S651" s="881"/>
      <c r="T651" s="877"/>
    </row>
    <row r="652" spans="1:41" s="997" customFormat="1" ht="13.2">
      <c r="A652"/>
      <c r="B652" s="1065"/>
      <c r="C652" s="1065" t="s">
        <v>1006</v>
      </c>
      <c r="D652" s="1065" t="str">
        <f ca="1">CELL("Address",Elec_Rates!D$322)</f>
        <v>[EL25_0662B_Brittania_Hotel_Elec_Revised_Estim_B.xlsx]Elec_Rates!$D$322</v>
      </c>
      <c r="E652" s="1066"/>
      <c r="F652" s="1066"/>
      <c r="G652" s="1067" t="s">
        <v>1007</v>
      </c>
      <c r="H652" s="1067"/>
      <c r="I652" s="1067"/>
      <c r="J652" s="1067"/>
      <c r="K652" s="1068"/>
      <c r="L652" s="1066"/>
      <c r="M652" s="1066"/>
      <c r="N652" s="1066"/>
      <c r="O652" s="1069"/>
      <c r="P652" s="1066"/>
      <c r="Q652" s="1070"/>
      <c r="R652" s="1071"/>
      <c r="S652" s="1070"/>
      <c r="T652" s="1072"/>
      <c r="U652" s="1073"/>
    </row>
    <row r="653" spans="1:41" s="997" customFormat="1" ht="11.4">
      <c r="A653" s="1074">
        <v>4</v>
      </c>
      <c r="B653" s="1075">
        <v>1</v>
      </c>
      <c r="C653" s="1075">
        <f>$A653*$B653</f>
        <v>4</v>
      </c>
      <c r="D653" s="1076" t="str">
        <f>Elec_Rates!$D$322</f>
        <v>036# Install and connect Only - Type 'LD-11' - Hallway Wall Light</v>
      </c>
      <c r="E653" s="1076"/>
      <c r="F653" s="1076"/>
      <c r="G653" s="1077" t="s">
        <v>1008</v>
      </c>
      <c r="H653" s="1077"/>
      <c r="I653" s="1077"/>
      <c r="J653" s="1077"/>
      <c r="K653" s="1078"/>
      <c r="L653" s="1073"/>
      <c r="M653" s="1073"/>
      <c r="N653" s="1073"/>
      <c r="O653" s="1079"/>
      <c r="P653" s="1076"/>
      <c r="Q653" s="1080">
        <f ca="1">$B653*Elec_Rates!$R$322</f>
        <v>0.08</v>
      </c>
      <c r="R653" s="1071">
        <f ca="1">$A653*Q653</f>
        <v>0.32</v>
      </c>
      <c r="S653" s="1080">
        <f ca="1">$B653*Elec_Rates!$T$322</f>
        <v>0.32</v>
      </c>
      <c r="T653" s="1072">
        <f ca="1">$A653*S653</f>
        <v>1.28</v>
      </c>
      <c r="U653" s="1081"/>
    </row>
    <row r="654" spans="1:41" s="504" customFormat="1" ht="12">
      <c r="A654" s="882"/>
      <c r="B654" s="882"/>
      <c r="C654" s="882"/>
      <c r="D654" s="882"/>
      <c r="E654" s="882"/>
      <c r="F654" s="877"/>
      <c r="G654" s="882"/>
      <c r="H654" s="882"/>
      <c r="I654" s="503"/>
      <c r="J654" s="882"/>
      <c r="K654" s="882"/>
      <c r="L654" s="882"/>
      <c r="M654" s="882"/>
      <c r="N654" s="882"/>
      <c r="O654" s="882"/>
      <c r="P654" s="882"/>
      <c r="Q654" s="503"/>
      <c r="R654" s="883">
        <f>$A654*Q654</f>
        <v>0</v>
      </c>
      <c r="S654" s="503"/>
      <c r="T654" s="884">
        <f>$A654*S654*$T$1</f>
        <v>0</v>
      </c>
    </row>
    <row r="655" spans="1:41" s="504" customFormat="1" ht="12.6" thickBot="1">
      <c r="A655" s="885" t="s">
        <v>142</v>
      </c>
      <c r="B655" s="886">
        <f>(R654+T654)</f>
        <v>0</v>
      </c>
      <c r="C655" s="887"/>
      <c r="D655" s="887"/>
      <c r="E655" s="887"/>
      <c r="F655" s="888"/>
      <c r="G655" s="887" t="s">
        <v>143</v>
      </c>
      <c r="H655" s="887"/>
      <c r="I655" s="889"/>
      <c r="J655" s="887"/>
      <c r="K655" s="887" t="s">
        <v>3</v>
      </c>
      <c r="L655" s="890" t="s">
        <v>140</v>
      </c>
      <c r="M655" s="890"/>
      <c r="N655" s="890"/>
      <c r="O655" s="890"/>
      <c r="P655" s="890"/>
      <c r="Q655" s="891"/>
      <c r="R655" s="892">
        <f ca="1">SUM(R651:R654)</f>
        <v>0.32</v>
      </c>
      <c r="S655" s="887"/>
      <c r="T655" s="892">
        <f ca="1">SUM(T651:T654)</f>
        <v>1.28</v>
      </c>
      <c r="U655" s="514"/>
      <c r="V655" s="514"/>
      <c r="W655" s="514"/>
      <c r="X655" s="514"/>
      <c r="Y655" s="514"/>
      <c r="Z655" s="514"/>
      <c r="AA655" s="514"/>
      <c r="AB655" s="514"/>
      <c r="AC655" s="514"/>
      <c r="AD655" s="514"/>
      <c r="AE655" s="514"/>
      <c r="AF655" s="514"/>
      <c r="AG655" s="514"/>
      <c r="AH655" s="514"/>
      <c r="AI655" s="514"/>
      <c r="AJ655" s="514"/>
      <c r="AK655" s="514"/>
      <c r="AL655" s="514"/>
      <c r="AM655" s="514"/>
      <c r="AN655" s="514"/>
      <c r="AO655" s="514"/>
    </row>
    <row r="656" spans="1:41" s="504" customFormat="1" ht="12" thickTop="1">
      <c r="A656" s="50"/>
      <c r="B656" s="40"/>
      <c r="C656" s="50"/>
      <c r="E656" s="41" t="s">
        <v>136</v>
      </c>
      <c r="F656" s="41" t="s">
        <v>137</v>
      </c>
      <c r="G656" s="50"/>
      <c r="H656" s="50"/>
      <c r="I656" s="50"/>
      <c r="J656" s="50"/>
      <c r="K656" s="50" t="s">
        <v>138</v>
      </c>
      <c r="L656" s="50"/>
      <c r="M656" s="50"/>
      <c r="N656" s="50"/>
      <c r="O656" s="51"/>
      <c r="P656" s="50"/>
      <c r="Q656" s="50"/>
      <c r="R656" s="50"/>
      <c r="S656" s="50"/>
      <c r="T656" s="40"/>
      <c r="AG656" s="867" t="s">
        <v>241</v>
      </c>
      <c r="AH656" s="867" t="s">
        <v>242</v>
      </c>
      <c r="AI656" s="867" t="s">
        <v>243</v>
      </c>
      <c r="AJ656" s="867" t="s">
        <v>244</v>
      </c>
      <c r="AK656" s="867" t="s">
        <v>245</v>
      </c>
      <c r="AM656" s="868" t="s">
        <v>254</v>
      </c>
      <c r="AN656" s="869" t="s">
        <v>255</v>
      </c>
      <c r="AO656" s="505" t="s">
        <v>251</v>
      </c>
    </row>
    <row r="657" spans="1:41" s="504" customFormat="1" ht="12" customHeight="1">
      <c r="A657" s="870">
        <v>3</v>
      </c>
      <c r="B657" s="871" t="s">
        <v>335</v>
      </c>
      <c r="C657" s="872"/>
      <c r="D657" s="873" t="s">
        <v>819</v>
      </c>
      <c r="E657" s="874">
        <f ca="1">IF(AND($A657=0,$A$1="DIF"),0, ROUND(ROUND(($R662*$S$2+($T662*$T$2))/A657,2)*$C$2,2))</f>
        <v>11.35</v>
      </c>
      <c r="F657" s="875">
        <f ca="1">ROUND($A657*$E657,2)</f>
        <v>34.049999999999997</v>
      </c>
      <c r="G657" s="876" t="s">
        <v>139</v>
      </c>
      <c r="H657" s="877"/>
      <c r="I657" s="878"/>
      <c r="J657" s="877"/>
      <c r="K657" s="877" t="s">
        <v>3</v>
      </c>
      <c r="L657" s="879" t="s">
        <v>140</v>
      </c>
      <c r="M657" s="879"/>
      <c r="N657" s="879"/>
      <c r="O657" s="879"/>
      <c r="P657" s="879"/>
      <c r="Q657" s="50"/>
      <c r="T657" s="880" t="str">
        <f ca="1">IF(AND($R662=0,$T662=0),"0.00","mu :" &amp; ROUND($F657/$C$2/($R662+$T662*$D$9),2))</f>
        <v>mu :1.22</v>
      </c>
      <c r="W657" s="507"/>
      <c r="AG657" s="465">
        <f ca="1">IF($E657=0,0,ROUND($R662*$S$2*$C$2/$A657,2))</f>
        <v>0.1</v>
      </c>
      <c r="AH657" s="465">
        <f ca="1">$AG657*$A657</f>
        <v>0.30000000000000004</v>
      </c>
      <c r="AI657" s="508">
        <f ca="1">$E657-$AG657</f>
        <v>11.25</v>
      </c>
      <c r="AJ657" s="508">
        <f ca="1">$A657*$AI657</f>
        <v>33.75</v>
      </c>
      <c r="AK657" s="509">
        <f ca="1">ROUND(($AG657+$AI657)*$A657,2)</f>
        <v>34.049999999999997</v>
      </c>
      <c r="AM657" s="510">
        <f ca="1">ROUND(R662,2)</f>
        <v>0.24</v>
      </c>
      <c r="AN657" s="511">
        <f ca="1">ROUND(T662,2)</f>
        <v>0.96</v>
      </c>
      <c r="AO657" s="512">
        <f ca="1">ROUND(AM657+AN657,2)*A657</f>
        <v>3.5999999999999996</v>
      </c>
    </row>
    <row r="658" spans="1:41" s="504" customFormat="1" ht="13.2">
      <c r="A658" s="872"/>
      <c r="B658"/>
      <c r="C658" s="872"/>
      <c r="D658" s="873" t="s">
        <v>357</v>
      </c>
      <c r="F658" s="877"/>
      <c r="G658" s="3"/>
      <c r="H658" s="877"/>
      <c r="I658" s="878"/>
      <c r="J658" s="877"/>
      <c r="K658" s="877" t="s">
        <v>141</v>
      </c>
      <c r="L658" s="877"/>
      <c r="M658" s="877"/>
      <c r="N658" s="877"/>
      <c r="O658" s="877"/>
      <c r="P658" s="877"/>
      <c r="Q658" s="50"/>
      <c r="R658" s="513"/>
      <c r="S658" s="881"/>
      <c r="T658" s="877"/>
    </row>
    <row r="659" spans="1:41" s="997" customFormat="1" ht="13.2">
      <c r="A659"/>
      <c r="B659" s="1065"/>
      <c r="C659" s="1065" t="s">
        <v>1006</v>
      </c>
      <c r="D659" s="1065" t="str">
        <f ca="1">CELL("Address",Elec_Rates!D$361)</f>
        <v>[EL25_0662B_Brittania_Hotel_Elec_Revised_Estim_B.xlsx]Elec_Rates!$D$361</v>
      </c>
      <c r="E659" s="1066"/>
      <c r="F659" s="1066"/>
      <c r="G659" s="1067" t="s">
        <v>1007</v>
      </c>
      <c r="H659" s="1067"/>
      <c r="I659" s="1067"/>
      <c r="J659" s="1067"/>
      <c r="K659" s="1068"/>
      <c r="L659" s="1066"/>
      <c r="M659" s="1066"/>
      <c r="N659" s="1066"/>
      <c r="O659" s="1069"/>
      <c r="P659" s="1066"/>
      <c r="Q659" s="1070"/>
      <c r="R659" s="1071"/>
      <c r="S659" s="1070"/>
      <c r="T659" s="1072"/>
      <c r="U659" s="1073"/>
    </row>
    <row r="660" spans="1:41" s="997" customFormat="1" ht="11.4">
      <c r="A660" s="1074">
        <v>3</v>
      </c>
      <c r="B660" s="1075">
        <v>1</v>
      </c>
      <c r="C660" s="1075">
        <f>$A660*$B660</f>
        <v>3</v>
      </c>
      <c r="D660" s="1076" t="str">
        <f>Elec_Rates!$D$361</f>
        <v>041# Install and connect Only - Type 'LD-16' - Toilets Wall Light</v>
      </c>
      <c r="E660" s="1076"/>
      <c r="F660" s="1076"/>
      <c r="G660" s="1077" t="s">
        <v>1008</v>
      </c>
      <c r="H660" s="1077"/>
      <c r="I660" s="1077"/>
      <c r="J660" s="1077"/>
      <c r="K660" s="1078"/>
      <c r="L660" s="1073"/>
      <c r="M660" s="1073"/>
      <c r="N660" s="1073"/>
      <c r="O660" s="1079"/>
      <c r="P660" s="1076"/>
      <c r="Q660" s="1080">
        <f ca="1">$B660*Elec_Rates!$R$361</f>
        <v>0.08</v>
      </c>
      <c r="R660" s="1071">
        <f ca="1">$A660*Q660</f>
        <v>0.24</v>
      </c>
      <c r="S660" s="1080">
        <f ca="1">$B660*Elec_Rates!$T$361</f>
        <v>0.32</v>
      </c>
      <c r="T660" s="1072">
        <f ca="1">$A660*S660</f>
        <v>0.96</v>
      </c>
      <c r="U660" s="1081"/>
    </row>
    <row r="661" spans="1:41" s="504" customFormat="1" ht="12">
      <c r="A661" s="882"/>
      <c r="B661" s="882"/>
      <c r="C661" s="882"/>
      <c r="D661" s="882"/>
      <c r="E661" s="882"/>
      <c r="F661" s="877"/>
      <c r="G661" s="882"/>
      <c r="H661" s="882"/>
      <c r="I661" s="503"/>
      <c r="J661" s="882"/>
      <c r="K661" s="882"/>
      <c r="L661" s="882"/>
      <c r="M661" s="882"/>
      <c r="N661" s="882"/>
      <c r="O661" s="882"/>
      <c r="P661" s="882"/>
      <c r="Q661" s="503"/>
      <c r="R661" s="883">
        <f>$A661*Q661</f>
        <v>0</v>
      </c>
      <c r="S661" s="503"/>
      <c r="T661" s="884">
        <f>$A661*S661*$T$1</f>
        <v>0</v>
      </c>
    </row>
    <row r="662" spans="1:41" s="504" customFormat="1" ht="12.6" thickBot="1">
      <c r="A662" s="885" t="s">
        <v>142</v>
      </c>
      <c r="B662" s="886">
        <f>(R661+T661)</f>
        <v>0</v>
      </c>
      <c r="C662" s="887"/>
      <c r="D662" s="887"/>
      <c r="E662" s="887"/>
      <c r="F662" s="888"/>
      <c r="G662" s="887" t="s">
        <v>143</v>
      </c>
      <c r="H662" s="887"/>
      <c r="I662" s="889"/>
      <c r="J662" s="887"/>
      <c r="K662" s="887" t="s">
        <v>3</v>
      </c>
      <c r="L662" s="890" t="s">
        <v>140</v>
      </c>
      <c r="M662" s="890"/>
      <c r="N662" s="890"/>
      <c r="O662" s="890"/>
      <c r="P662" s="890"/>
      <c r="Q662" s="891"/>
      <c r="R662" s="892">
        <f ca="1">SUM(R658:R661)</f>
        <v>0.24</v>
      </c>
      <c r="S662" s="887"/>
      <c r="T662" s="892">
        <f ca="1">SUM(T658:T661)</f>
        <v>0.96</v>
      </c>
      <c r="U662" s="514"/>
      <c r="V662" s="514"/>
      <c r="W662" s="514"/>
      <c r="X662" s="514"/>
      <c r="Y662" s="514"/>
      <c r="Z662" s="514"/>
      <c r="AA662" s="514"/>
      <c r="AB662" s="514"/>
      <c r="AC662" s="514"/>
      <c r="AD662" s="514"/>
      <c r="AE662" s="514"/>
      <c r="AF662" s="514"/>
      <c r="AG662" s="514"/>
      <c r="AH662" s="514"/>
      <c r="AI662" s="514"/>
      <c r="AJ662" s="514"/>
      <c r="AK662" s="514"/>
      <c r="AL662" s="514"/>
      <c r="AM662" s="514"/>
      <c r="AN662" s="514"/>
      <c r="AO662" s="514"/>
    </row>
    <row r="663" spans="1:41" s="504" customFormat="1" ht="12" thickTop="1">
      <c r="A663" s="50"/>
      <c r="B663" s="40"/>
      <c r="C663" s="50"/>
      <c r="E663" s="41" t="s">
        <v>136</v>
      </c>
      <c r="F663" s="41" t="s">
        <v>137</v>
      </c>
      <c r="G663" s="50"/>
      <c r="H663" s="50"/>
      <c r="I663" s="50"/>
      <c r="J663" s="50"/>
      <c r="K663" s="50" t="s">
        <v>138</v>
      </c>
      <c r="L663" s="50"/>
      <c r="M663" s="50"/>
      <c r="N663" s="50"/>
      <c r="O663" s="51"/>
      <c r="P663" s="50"/>
      <c r="Q663" s="50"/>
      <c r="R663" s="50"/>
      <c r="S663" s="50"/>
      <c r="T663" s="40"/>
      <c r="AG663" s="867" t="s">
        <v>241</v>
      </c>
      <c r="AH663" s="867" t="s">
        <v>242</v>
      </c>
      <c r="AI663" s="867" t="s">
        <v>243</v>
      </c>
      <c r="AJ663" s="867" t="s">
        <v>244</v>
      </c>
      <c r="AK663" s="867" t="s">
        <v>245</v>
      </c>
      <c r="AM663" s="868" t="s">
        <v>254</v>
      </c>
      <c r="AN663" s="869" t="s">
        <v>255</v>
      </c>
      <c r="AO663" s="505" t="s">
        <v>251</v>
      </c>
    </row>
    <row r="664" spans="1:41" s="504" customFormat="1" ht="12" customHeight="1">
      <c r="A664" s="870">
        <v>8</v>
      </c>
      <c r="B664" s="871" t="s">
        <v>335</v>
      </c>
      <c r="C664" s="872"/>
      <c r="D664" s="873" t="s">
        <v>820</v>
      </c>
      <c r="E664" s="874">
        <f ca="1">IF(AND($A664=0,$A$1="DIF"),0, ROUND(ROUND(($R669*$S$2+($T669*$T$2))/A664,2)*$C$2,2))</f>
        <v>21.74</v>
      </c>
      <c r="F664" s="875">
        <f ca="1">ROUND($A664*$E664,2)</f>
        <v>173.92</v>
      </c>
      <c r="G664" s="876" t="s">
        <v>139</v>
      </c>
      <c r="H664" s="877"/>
      <c r="I664" s="878"/>
      <c r="J664" s="877"/>
      <c r="K664" s="877" t="s">
        <v>3</v>
      </c>
      <c r="L664" s="879" t="s">
        <v>140</v>
      </c>
      <c r="M664" s="879"/>
      <c r="N664" s="879"/>
      <c r="O664" s="879"/>
      <c r="P664" s="879"/>
      <c r="Q664" s="50"/>
      <c r="T664" s="880" t="str">
        <f ca="1">IF(AND($R669=0,$T669=0),"0.00","mu :" &amp; ROUND($F664/$C$2/($R669+$T669*$D$9),2))</f>
        <v>mu :1.22</v>
      </c>
      <c r="W664" s="507"/>
      <c r="AG664" s="465">
        <f ca="1">IF($E664=0,0,ROUND($R669*$S$2*$C$2/$A664,2))</f>
        <v>1.34</v>
      </c>
      <c r="AH664" s="465">
        <f ca="1">$AG664*$A664</f>
        <v>10.72</v>
      </c>
      <c r="AI664" s="508">
        <f ca="1">$E664-$AG664</f>
        <v>20.399999999999999</v>
      </c>
      <c r="AJ664" s="508">
        <f ca="1">$A664*$AI664</f>
        <v>163.19999999999999</v>
      </c>
      <c r="AK664" s="509">
        <f ca="1">ROUND(($AG664+$AI664)*$A664,2)</f>
        <v>173.92</v>
      </c>
      <c r="AM664" s="510">
        <f ca="1">ROUND(R669,2)</f>
        <v>8.8000000000000007</v>
      </c>
      <c r="AN664" s="511">
        <f ca="1">ROUND(T669,2)</f>
        <v>4.6399999999999997</v>
      </c>
      <c r="AO664" s="512">
        <f ca="1">ROUND(AM664+AN664,2)*A664</f>
        <v>107.52</v>
      </c>
    </row>
    <row r="665" spans="1:41" s="504" customFormat="1" ht="13.2">
      <c r="A665" s="872"/>
      <c r="B665"/>
      <c r="C665" s="872"/>
      <c r="D665" s="873" t="s">
        <v>346</v>
      </c>
      <c r="F665" s="877"/>
      <c r="G665" s="3"/>
      <c r="H665" s="877"/>
      <c r="I665" s="878"/>
      <c r="J665" s="877"/>
      <c r="K665" s="877" t="s">
        <v>141</v>
      </c>
      <c r="L665" s="877"/>
      <c r="M665" s="877"/>
      <c r="N665" s="877"/>
      <c r="O665" s="877"/>
      <c r="P665" s="877"/>
      <c r="Q665" s="50"/>
      <c r="R665" s="513"/>
      <c r="S665" s="881"/>
      <c r="T665" s="877"/>
    </row>
    <row r="666" spans="1:41" s="997" customFormat="1" ht="13.2">
      <c r="A666"/>
      <c r="B666" s="1065"/>
      <c r="C666" s="1065" t="s">
        <v>1006</v>
      </c>
      <c r="D666" s="1065" t="str">
        <f ca="1">CELL("Address",Elec_Rates!D$240)</f>
        <v>[EL25_0662B_Brittania_Hotel_Elec_Revised_Estim_B.xlsx]Elec_Rates!$D$240</v>
      </c>
      <c r="E666" s="1066"/>
      <c r="F666" s="1066"/>
      <c r="G666" s="1067" t="s">
        <v>1007</v>
      </c>
      <c r="H666" s="1067"/>
      <c r="I666" s="1067"/>
      <c r="J666" s="1067"/>
      <c r="K666" s="1068"/>
      <c r="L666" s="1066"/>
      <c r="M666" s="1066"/>
      <c r="N666" s="1066"/>
      <c r="O666" s="1069"/>
      <c r="P666" s="1066"/>
      <c r="Q666" s="1070"/>
      <c r="R666" s="1071"/>
      <c r="S666" s="1070"/>
      <c r="T666" s="1072"/>
      <c r="U666" s="1073"/>
    </row>
    <row r="667" spans="1:41" s="997" customFormat="1" ht="11.4">
      <c r="A667" s="1074">
        <v>8</v>
      </c>
      <c r="B667" s="1075">
        <v>1</v>
      </c>
      <c r="C667" s="1075">
        <f>$A667*$B667</f>
        <v>8</v>
      </c>
      <c r="D667" s="1076" t="str">
        <f>Elec_Rates!$D$240</f>
        <v>025# Install and connect Only - Type 600x600mm, 40W Soffit Recessed LED Panel</v>
      </c>
      <c r="E667" s="1076"/>
      <c r="F667" s="1076"/>
      <c r="G667" s="1077" t="s">
        <v>1008</v>
      </c>
      <c r="H667" s="1077"/>
      <c r="I667" s="1077"/>
      <c r="J667" s="1077"/>
      <c r="K667" s="1078"/>
      <c r="L667" s="1073"/>
      <c r="M667" s="1073"/>
      <c r="N667" s="1073"/>
      <c r="O667" s="1079"/>
      <c r="P667" s="1076"/>
      <c r="Q667" s="1080">
        <f ca="1">$B667*Elec_Rates!$R$240</f>
        <v>1.1000000000000001</v>
      </c>
      <c r="R667" s="1071">
        <f ca="1">$A667*Q667</f>
        <v>8.8000000000000007</v>
      </c>
      <c r="S667" s="1080">
        <f ca="1">$B667*Elec_Rates!$T$240</f>
        <v>0.57999999999999996</v>
      </c>
      <c r="T667" s="1072">
        <f ca="1">$A667*S667</f>
        <v>4.6399999999999997</v>
      </c>
      <c r="U667" s="1081"/>
    </row>
    <row r="668" spans="1:41" s="504" customFormat="1" ht="12">
      <c r="A668" s="882"/>
      <c r="B668" s="882"/>
      <c r="C668" s="882"/>
      <c r="D668" s="882"/>
      <c r="E668" s="882"/>
      <c r="F668" s="877"/>
      <c r="G668" s="882"/>
      <c r="H668" s="882"/>
      <c r="I668" s="503"/>
      <c r="J668" s="882"/>
      <c r="K668" s="882"/>
      <c r="L668" s="882"/>
      <c r="M668" s="882"/>
      <c r="N668" s="882"/>
      <c r="O668" s="882"/>
      <c r="P668" s="882"/>
      <c r="Q668" s="503"/>
      <c r="R668" s="883">
        <f>$A668*Q668</f>
        <v>0</v>
      </c>
      <c r="S668" s="503"/>
      <c r="T668" s="884">
        <f>$A668*S668*$T$1</f>
        <v>0</v>
      </c>
    </row>
    <row r="669" spans="1:41" s="504" customFormat="1" ht="12.6" thickBot="1">
      <c r="A669" s="885" t="s">
        <v>142</v>
      </c>
      <c r="B669" s="886">
        <f>(R668+T668)</f>
        <v>0</v>
      </c>
      <c r="C669" s="887"/>
      <c r="D669" s="887"/>
      <c r="E669" s="887"/>
      <c r="F669" s="888"/>
      <c r="G669" s="887" t="s">
        <v>143</v>
      </c>
      <c r="H669" s="887"/>
      <c r="I669" s="889"/>
      <c r="J669" s="887"/>
      <c r="K669" s="887" t="s">
        <v>3</v>
      </c>
      <c r="L669" s="890" t="s">
        <v>140</v>
      </c>
      <c r="M669" s="890"/>
      <c r="N669" s="890"/>
      <c r="O669" s="890"/>
      <c r="P669" s="890"/>
      <c r="Q669" s="891"/>
      <c r="R669" s="892">
        <f ca="1">SUM(R665:R668)</f>
        <v>8.8000000000000007</v>
      </c>
      <c r="S669" s="887"/>
      <c r="T669" s="892">
        <f ca="1">SUM(T665:T668)</f>
        <v>4.6399999999999997</v>
      </c>
      <c r="U669" s="514"/>
      <c r="V669" s="514"/>
      <c r="W669" s="514"/>
      <c r="X669" s="514"/>
      <c r="Y669" s="514"/>
      <c r="Z669" s="514"/>
      <c r="AA669" s="514"/>
      <c r="AB669" s="514"/>
      <c r="AC669" s="514"/>
      <c r="AD669" s="514"/>
      <c r="AE669" s="514"/>
      <c r="AF669" s="514"/>
      <c r="AG669" s="514"/>
      <c r="AH669" s="514"/>
      <c r="AI669" s="514"/>
      <c r="AJ669" s="514"/>
      <c r="AK669" s="514"/>
      <c r="AL669" s="514"/>
      <c r="AM669" s="514"/>
      <c r="AN669" s="514"/>
      <c r="AO669" s="514"/>
    </row>
    <row r="670" spans="1:41" s="504" customFormat="1" ht="12" thickTop="1">
      <c r="A670" s="50"/>
      <c r="B670" s="40"/>
      <c r="C670" s="50"/>
      <c r="E670" s="41" t="s">
        <v>136</v>
      </c>
      <c r="F670" s="41" t="s">
        <v>137</v>
      </c>
      <c r="G670" s="50"/>
      <c r="H670" s="50"/>
      <c r="I670" s="50"/>
      <c r="J670" s="50"/>
      <c r="K670" s="50" t="s">
        <v>138</v>
      </c>
      <c r="L670" s="50"/>
      <c r="M670" s="50"/>
      <c r="N670" s="50"/>
      <c r="O670" s="51"/>
      <c r="P670" s="50"/>
      <c r="Q670" s="50"/>
      <c r="R670" s="50"/>
      <c r="S670" s="50"/>
      <c r="T670" s="40"/>
      <c r="AG670" s="867" t="s">
        <v>241</v>
      </c>
      <c r="AH670" s="867" t="s">
        <v>242</v>
      </c>
      <c r="AI670" s="867" t="s">
        <v>243</v>
      </c>
      <c r="AJ670" s="867" t="s">
        <v>244</v>
      </c>
      <c r="AK670" s="867" t="s">
        <v>245</v>
      </c>
      <c r="AM670" s="868" t="s">
        <v>254</v>
      </c>
      <c r="AN670" s="869" t="s">
        <v>255</v>
      </c>
      <c r="AO670" s="505" t="s">
        <v>251</v>
      </c>
    </row>
    <row r="671" spans="1:41" s="504" customFormat="1" ht="12" customHeight="1">
      <c r="A671" s="870">
        <v>5</v>
      </c>
      <c r="B671" s="871" t="s">
        <v>335</v>
      </c>
      <c r="C671" s="872"/>
      <c r="D671" s="873" t="s">
        <v>821</v>
      </c>
      <c r="E671" s="874">
        <f ca="1">IF(AND($A671=0,$A$1="DIF"),0, ROUND(ROUND(($R676*$S$2+($T676*$T$2))/A671,2)*$C$2,2))</f>
        <v>13.21</v>
      </c>
      <c r="F671" s="875">
        <f ca="1">ROUND($A671*$E671,2)</f>
        <v>66.05</v>
      </c>
      <c r="G671" s="876" t="s">
        <v>139</v>
      </c>
      <c r="H671" s="877"/>
      <c r="I671" s="878"/>
      <c r="J671" s="877"/>
      <c r="K671" s="877" t="s">
        <v>3</v>
      </c>
      <c r="L671" s="879" t="s">
        <v>140</v>
      </c>
      <c r="M671" s="879"/>
      <c r="N671" s="879"/>
      <c r="O671" s="879"/>
      <c r="P671" s="879"/>
      <c r="Q671" s="50"/>
      <c r="T671" s="880" t="str">
        <f ca="1">IF(AND($R676=0,$T676=0),"0.00","mu :" &amp; ROUND($F671/$C$2/($R676+$T676*$D$9),2))</f>
        <v>mu :1.22</v>
      </c>
      <c r="W671" s="507"/>
      <c r="AG671" s="465">
        <f ca="1">IF($E671=0,0,ROUND($R676*$S$2*$C$2/$A671,2))</f>
        <v>0.2</v>
      </c>
      <c r="AH671" s="465">
        <f ca="1">$AG671*$A671</f>
        <v>1</v>
      </c>
      <c r="AI671" s="508">
        <f ca="1">$E671-$AG671</f>
        <v>13.010000000000002</v>
      </c>
      <c r="AJ671" s="508">
        <f ca="1">$A671*$AI671</f>
        <v>65.050000000000011</v>
      </c>
      <c r="AK671" s="509">
        <f ca="1">ROUND(($AG671+$AI671)*$A671,2)</f>
        <v>66.05</v>
      </c>
      <c r="AM671" s="510">
        <f ca="1">ROUND(R676,2)</f>
        <v>0.8</v>
      </c>
      <c r="AN671" s="511">
        <f ca="1">ROUND(T676,2)</f>
        <v>1.85</v>
      </c>
      <c r="AO671" s="512">
        <f ca="1">ROUND(AM671+AN671,2)*A671</f>
        <v>13.25</v>
      </c>
    </row>
    <row r="672" spans="1:41" s="504" customFormat="1" ht="13.2">
      <c r="A672" s="872"/>
      <c r="B672"/>
      <c r="C672" s="872"/>
      <c r="D672" s="873" t="s">
        <v>348</v>
      </c>
      <c r="F672" s="877"/>
      <c r="G672" s="3"/>
      <c r="H672" s="877"/>
      <c r="I672" s="878"/>
      <c r="J672" s="877"/>
      <c r="K672" s="877" t="s">
        <v>141</v>
      </c>
      <c r="L672" s="877"/>
      <c r="M672" s="877"/>
      <c r="N672" s="877"/>
      <c r="O672" s="877"/>
      <c r="P672" s="877"/>
      <c r="Q672" s="50"/>
      <c r="R672" s="513"/>
      <c r="S672" s="881"/>
      <c r="T672" s="877"/>
    </row>
    <row r="673" spans="1:41" s="997" customFormat="1" ht="13.2">
      <c r="A673"/>
      <c r="B673" s="1065"/>
      <c r="C673" s="1065" t="s">
        <v>1006</v>
      </c>
      <c r="D673" s="1065" t="str">
        <f ca="1">CELL("Address",Elec_Rates!D$247)</f>
        <v>[EL25_0662B_Brittania_Hotel_Elec_Revised_Estim_B.xlsx]Elec_Rates!$D$247</v>
      </c>
      <c r="E673" s="1066"/>
      <c r="F673" s="1066"/>
      <c r="G673" s="1067" t="s">
        <v>1007</v>
      </c>
      <c r="H673" s="1067"/>
      <c r="I673" s="1067"/>
      <c r="J673" s="1067"/>
      <c r="K673" s="1068"/>
      <c r="L673" s="1066"/>
      <c r="M673" s="1066"/>
      <c r="N673" s="1066"/>
      <c r="O673" s="1069"/>
      <c r="P673" s="1066"/>
      <c r="Q673" s="1070"/>
      <c r="R673" s="1071"/>
      <c r="S673" s="1070"/>
      <c r="T673" s="1072"/>
      <c r="U673" s="1073"/>
    </row>
    <row r="674" spans="1:41" s="997" customFormat="1" ht="11.4">
      <c r="A674" s="1074">
        <v>5</v>
      </c>
      <c r="B674" s="1075">
        <v>1</v>
      </c>
      <c r="C674" s="1075">
        <f>$A674*$B674</f>
        <v>5</v>
      </c>
      <c r="D674" s="1076" t="str">
        <f>Elec_Rates!$D$247</f>
        <v>026# Install and connect Only - Type 'E1' - Single Sided, Wall Mounted, Directional Exit Signage</v>
      </c>
      <c r="E674" s="1076"/>
      <c r="F674" s="1076"/>
      <c r="G674" s="1077" t="s">
        <v>1008</v>
      </c>
      <c r="H674" s="1077"/>
      <c r="I674" s="1077"/>
      <c r="J674" s="1077"/>
      <c r="K674" s="1078"/>
      <c r="L674" s="1073"/>
      <c r="M674" s="1073"/>
      <c r="N674" s="1073"/>
      <c r="O674" s="1079"/>
      <c r="P674" s="1076"/>
      <c r="Q674" s="1080">
        <f ca="1">$B674*Elec_Rates!$R$247</f>
        <v>0.16</v>
      </c>
      <c r="R674" s="1071">
        <f ca="1">$A674*Q674</f>
        <v>0.8</v>
      </c>
      <c r="S674" s="1080">
        <f ca="1">$B674*Elec_Rates!$T$247</f>
        <v>0.37</v>
      </c>
      <c r="T674" s="1072">
        <f ca="1">$A674*S674</f>
        <v>1.85</v>
      </c>
      <c r="U674" s="1081"/>
    </row>
    <row r="675" spans="1:41" s="504" customFormat="1" ht="12">
      <c r="A675" s="882"/>
      <c r="B675" s="882"/>
      <c r="C675" s="882"/>
      <c r="D675" s="882"/>
      <c r="E675" s="882"/>
      <c r="F675" s="877"/>
      <c r="G675" s="882"/>
      <c r="H675" s="882"/>
      <c r="I675" s="503"/>
      <c r="J675" s="882"/>
      <c r="K675" s="882"/>
      <c r="L675" s="882"/>
      <c r="M675" s="882"/>
      <c r="N675" s="882"/>
      <c r="O675" s="882"/>
      <c r="P675" s="882"/>
      <c r="Q675" s="503"/>
      <c r="R675" s="883">
        <f>$A675*Q675</f>
        <v>0</v>
      </c>
      <c r="S675" s="503"/>
      <c r="T675" s="884">
        <f>$A675*S675*$T$1</f>
        <v>0</v>
      </c>
    </row>
    <row r="676" spans="1:41" s="504" customFormat="1" ht="12.6" thickBot="1">
      <c r="A676" s="885" t="s">
        <v>142</v>
      </c>
      <c r="B676" s="886">
        <f>(R675+T675)</f>
        <v>0</v>
      </c>
      <c r="C676" s="887"/>
      <c r="D676" s="887"/>
      <c r="E676" s="887"/>
      <c r="F676" s="888"/>
      <c r="G676" s="887" t="s">
        <v>143</v>
      </c>
      <c r="H676" s="887"/>
      <c r="I676" s="889"/>
      <c r="J676" s="887"/>
      <c r="K676" s="887" t="s">
        <v>3</v>
      </c>
      <c r="L676" s="890" t="s">
        <v>140</v>
      </c>
      <c r="M676" s="890"/>
      <c r="N676" s="890"/>
      <c r="O676" s="890"/>
      <c r="P676" s="890"/>
      <c r="Q676" s="891"/>
      <c r="R676" s="892">
        <f ca="1">SUM(R672:R675)</f>
        <v>0.8</v>
      </c>
      <c r="S676" s="887"/>
      <c r="T676" s="892">
        <f ca="1">SUM(T672:T675)</f>
        <v>1.85</v>
      </c>
      <c r="U676" s="514"/>
      <c r="V676" s="514"/>
      <c r="W676" s="514"/>
      <c r="X676" s="514"/>
      <c r="Y676" s="514"/>
      <c r="Z676" s="514"/>
      <c r="AA676" s="514"/>
      <c r="AB676" s="514"/>
      <c r="AC676" s="514"/>
      <c r="AD676" s="514"/>
      <c r="AE676" s="514"/>
      <c r="AF676" s="514"/>
      <c r="AG676" s="514"/>
      <c r="AH676" s="514"/>
      <c r="AI676" s="514"/>
      <c r="AJ676" s="514"/>
      <c r="AK676" s="514"/>
      <c r="AL676" s="514"/>
      <c r="AM676" s="514"/>
      <c r="AN676" s="514"/>
      <c r="AO676" s="514"/>
    </row>
    <row r="677" spans="1:41" s="504" customFormat="1" ht="12" thickTop="1">
      <c r="A677" s="50"/>
      <c r="B677" s="40"/>
      <c r="C677" s="50"/>
      <c r="E677" s="41" t="s">
        <v>136</v>
      </c>
      <c r="F677" s="41" t="s">
        <v>137</v>
      </c>
      <c r="G677" s="50"/>
      <c r="H677" s="50"/>
      <c r="I677" s="50"/>
      <c r="J677" s="50"/>
      <c r="K677" s="50" t="s">
        <v>138</v>
      </c>
      <c r="L677" s="50"/>
      <c r="M677" s="50"/>
      <c r="N677" s="50"/>
      <c r="O677" s="51"/>
      <c r="P677" s="50"/>
      <c r="Q677" s="50"/>
      <c r="R677" s="50"/>
      <c r="S677" s="50"/>
      <c r="T677" s="40"/>
      <c r="AG677" s="867" t="s">
        <v>241</v>
      </c>
      <c r="AH677" s="867" t="s">
        <v>242</v>
      </c>
      <c r="AI677" s="867" t="s">
        <v>243</v>
      </c>
      <c r="AJ677" s="867" t="s">
        <v>244</v>
      </c>
      <c r="AK677" s="867" t="s">
        <v>245</v>
      </c>
      <c r="AM677" s="868" t="s">
        <v>254</v>
      </c>
      <c r="AN677" s="869" t="s">
        <v>255</v>
      </c>
      <c r="AO677" s="505" t="s">
        <v>251</v>
      </c>
    </row>
    <row r="678" spans="1:41" s="504" customFormat="1" ht="12" customHeight="1">
      <c r="A678" s="870">
        <v>1</v>
      </c>
      <c r="B678" s="871" t="s">
        <v>335</v>
      </c>
      <c r="C678" s="872"/>
      <c r="D678" s="873" t="s">
        <v>822</v>
      </c>
      <c r="E678" s="874">
        <f ca="1">IF(AND($A678=0,$A$1="DIF"),0, ROUND(ROUND(($R683*$S$2+($T683*$T$2))/A678,2)*$C$2,2))</f>
        <v>17.87</v>
      </c>
      <c r="F678" s="875">
        <f ca="1">ROUND($A678*$E678,2)</f>
        <v>17.87</v>
      </c>
      <c r="G678" s="876" t="s">
        <v>139</v>
      </c>
      <c r="H678" s="877"/>
      <c r="I678" s="878"/>
      <c r="J678" s="877"/>
      <c r="K678" s="877" t="s">
        <v>3</v>
      </c>
      <c r="L678" s="879" t="s">
        <v>140</v>
      </c>
      <c r="M678" s="879"/>
      <c r="N678" s="879"/>
      <c r="O678" s="879"/>
      <c r="P678" s="879"/>
      <c r="Q678" s="50"/>
      <c r="T678" s="880" t="str">
        <f ca="1">IF(AND($R683=0,$T683=0),"0.00","mu :" &amp; ROUND($F678/$C$2/($R683+$T683*$D$9),2))</f>
        <v>mu :1.22</v>
      </c>
      <c r="W678" s="507"/>
      <c r="AG678" s="465">
        <f ca="1">IF($E678=0,0,ROUND($R683*$S$2*$C$2/$A678,2))</f>
        <v>1.34</v>
      </c>
      <c r="AH678" s="465">
        <f ca="1">$AG678*$A678</f>
        <v>1.34</v>
      </c>
      <c r="AI678" s="508">
        <f ca="1">$E678-$AG678</f>
        <v>16.53</v>
      </c>
      <c r="AJ678" s="508">
        <f ca="1">$A678*$AI678</f>
        <v>16.53</v>
      </c>
      <c r="AK678" s="509">
        <f ca="1">ROUND(($AG678+$AI678)*$A678,2)</f>
        <v>17.87</v>
      </c>
      <c r="AM678" s="510">
        <f ca="1">ROUND(R683,2)</f>
        <v>1.1000000000000001</v>
      </c>
      <c r="AN678" s="511">
        <f ca="1">ROUND(T683,2)</f>
        <v>0.47</v>
      </c>
      <c r="AO678" s="512">
        <f ca="1">ROUND(AM678+AN678,2)*A678</f>
        <v>1.57</v>
      </c>
    </row>
    <row r="679" spans="1:41" s="504" customFormat="1" ht="13.2">
      <c r="A679" s="872"/>
      <c r="B679"/>
      <c r="C679" s="872"/>
      <c r="D679" s="916" t="s">
        <v>349</v>
      </c>
      <c r="E679" s="917"/>
      <c r="F679" s="918"/>
      <c r="G679" s="919"/>
      <c r="H679" s="918"/>
      <c r="I679" s="920"/>
      <c r="J679" s="918"/>
      <c r="K679" s="918" t="s">
        <v>141</v>
      </c>
      <c r="L679" s="918"/>
      <c r="M679" s="918"/>
      <c r="N679" s="918"/>
      <c r="O679" s="918"/>
      <c r="P679" s="918"/>
      <c r="Q679" s="921"/>
      <c r="R679" s="513"/>
      <c r="S679" s="881"/>
      <c r="T679" s="877"/>
    </row>
    <row r="680" spans="1:41" s="997" customFormat="1" ht="13.2">
      <c r="A680"/>
      <c r="B680" s="1065"/>
      <c r="C680" s="1065" t="s">
        <v>1006</v>
      </c>
      <c r="D680" s="1065" t="str">
        <f ca="1">CELL("Address",Elec_Rates!D$255)</f>
        <v>[EL25_0662B_Brittania_Hotel_Elec_Revised_Estim_B.xlsx]Elec_Rates!$D$255</v>
      </c>
      <c r="E680" s="1066"/>
      <c r="F680" s="1066"/>
      <c r="G680" s="1067" t="s">
        <v>1007</v>
      </c>
      <c r="H680" s="1067"/>
      <c r="I680" s="1067"/>
      <c r="J680" s="1067"/>
      <c r="K680" s="1068"/>
      <c r="L680" s="1066"/>
      <c r="M680" s="1066"/>
      <c r="N680" s="1066"/>
      <c r="O680" s="1069"/>
      <c r="P680" s="1066"/>
      <c r="Q680" s="1070"/>
      <c r="R680" s="1071"/>
      <c r="S680" s="1070"/>
      <c r="T680" s="1072"/>
      <c r="U680" s="1073"/>
    </row>
    <row r="681" spans="1:41" s="997" customFormat="1" ht="11.4">
      <c r="A681" s="1074">
        <v>1</v>
      </c>
      <c r="B681" s="1075">
        <v>1</v>
      </c>
      <c r="C681" s="1075">
        <f>$A681*$B681</f>
        <v>1</v>
      </c>
      <c r="D681" s="1076" t="str">
        <f>Elec_Rates!$D$255</f>
        <v>027# Install and connect Only - Type 'E2' - Double Sided, Ceiling Mounted/ Soffit Recessed, Directional Exit Signage.</v>
      </c>
      <c r="E681" s="1076"/>
      <c r="F681" s="1076"/>
      <c r="G681" s="1077" t="s">
        <v>1008</v>
      </c>
      <c r="H681" s="1077"/>
      <c r="I681" s="1077"/>
      <c r="J681" s="1077"/>
      <c r="K681" s="1078"/>
      <c r="L681" s="1073"/>
      <c r="M681" s="1073"/>
      <c r="N681" s="1073"/>
      <c r="O681" s="1079"/>
      <c r="P681" s="1076"/>
      <c r="Q681" s="1080">
        <f ca="1">$B681*Elec_Rates!$R$255</f>
        <v>1.1000000000000001</v>
      </c>
      <c r="R681" s="1071">
        <f ca="1">$A681*Q681</f>
        <v>1.1000000000000001</v>
      </c>
      <c r="S681" s="1080">
        <f ca="1">$B681*Elec_Rates!$T$255</f>
        <v>0.47</v>
      </c>
      <c r="T681" s="1072">
        <f ca="1">$A681*S681</f>
        <v>0.47</v>
      </c>
      <c r="U681" s="1081"/>
    </row>
    <row r="682" spans="1:41" s="504" customFormat="1" ht="12">
      <c r="A682" s="882"/>
      <c r="B682" s="882"/>
      <c r="C682" s="882"/>
      <c r="D682" s="882"/>
      <c r="E682" s="882"/>
      <c r="F682" s="877"/>
      <c r="G682" s="882"/>
      <c r="H682" s="882"/>
      <c r="I682" s="503"/>
      <c r="J682" s="882"/>
      <c r="K682" s="882"/>
      <c r="L682" s="882"/>
      <c r="M682" s="882"/>
      <c r="N682" s="882"/>
      <c r="O682" s="882"/>
      <c r="P682" s="882"/>
      <c r="Q682" s="503"/>
      <c r="R682" s="883">
        <f>$A682*Q682</f>
        <v>0</v>
      </c>
      <c r="S682" s="503"/>
      <c r="T682" s="884">
        <f>$A682*S682*$T$1</f>
        <v>0</v>
      </c>
    </row>
    <row r="683" spans="1:41" s="504" customFormat="1" ht="12.6" thickBot="1">
      <c r="A683" s="885" t="s">
        <v>142</v>
      </c>
      <c r="B683" s="886">
        <f>(R682+T682)</f>
        <v>0</v>
      </c>
      <c r="C683" s="887"/>
      <c r="D683" s="887"/>
      <c r="E683" s="887"/>
      <c r="F683" s="888"/>
      <c r="G683" s="887" t="s">
        <v>143</v>
      </c>
      <c r="H683" s="887"/>
      <c r="I683" s="889"/>
      <c r="J683" s="887"/>
      <c r="K683" s="887" t="s">
        <v>3</v>
      </c>
      <c r="L683" s="890" t="s">
        <v>140</v>
      </c>
      <c r="M683" s="890"/>
      <c r="N683" s="890"/>
      <c r="O683" s="890"/>
      <c r="P683" s="890"/>
      <c r="Q683" s="891"/>
      <c r="R683" s="892">
        <f ca="1">SUM(R679:R682)</f>
        <v>1.1000000000000001</v>
      </c>
      <c r="S683" s="887"/>
      <c r="T683" s="892">
        <f ca="1">SUM(T679:T682)</f>
        <v>0.47</v>
      </c>
      <c r="U683" s="514"/>
      <c r="V683" s="514"/>
      <c r="W683" s="514"/>
      <c r="X683" s="514"/>
      <c r="Y683" s="514"/>
      <c r="Z683" s="514"/>
      <c r="AA683" s="514"/>
      <c r="AB683" s="514"/>
      <c r="AC683" s="514"/>
      <c r="AD683" s="514"/>
      <c r="AE683" s="514"/>
      <c r="AF683" s="514"/>
      <c r="AG683" s="514"/>
      <c r="AH683" s="514"/>
      <c r="AI683" s="514"/>
      <c r="AJ683" s="514"/>
      <c r="AK683" s="514"/>
      <c r="AL683" s="514"/>
      <c r="AM683" s="514"/>
      <c r="AN683" s="514"/>
      <c r="AO683" s="514"/>
    </row>
    <row r="684" spans="1:41" s="504" customFormat="1" ht="12" thickTop="1">
      <c r="A684" s="50"/>
      <c r="B684" s="40"/>
      <c r="C684" s="50"/>
      <c r="E684" s="41" t="s">
        <v>136</v>
      </c>
      <c r="F684" s="41" t="s">
        <v>137</v>
      </c>
      <c r="G684" s="50"/>
      <c r="H684" s="50"/>
      <c r="I684" s="50"/>
      <c r="J684" s="50"/>
      <c r="K684" s="50" t="s">
        <v>138</v>
      </c>
      <c r="L684" s="50"/>
      <c r="M684" s="50"/>
      <c r="N684" s="50"/>
      <c r="O684" s="51"/>
      <c r="P684" s="50"/>
      <c r="Q684" s="50"/>
      <c r="R684" s="50"/>
      <c r="S684" s="50"/>
      <c r="T684" s="40"/>
      <c r="AG684" s="867" t="s">
        <v>241</v>
      </c>
      <c r="AH684" s="867" t="s">
        <v>242</v>
      </c>
      <c r="AI684" s="867" t="s">
        <v>243</v>
      </c>
      <c r="AJ684" s="867" t="s">
        <v>244</v>
      </c>
      <c r="AK684" s="867" t="s">
        <v>245</v>
      </c>
      <c r="AM684" s="868" t="s">
        <v>254</v>
      </c>
      <c r="AN684" s="869" t="s">
        <v>255</v>
      </c>
      <c r="AO684" s="505" t="s">
        <v>251</v>
      </c>
    </row>
    <row r="685" spans="1:41" s="504" customFormat="1" ht="12" customHeight="1">
      <c r="A685" s="870">
        <v>7</v>
      </c>
      <c r="B685" s="871" t="s">
        <v>335</v>
      </c>
      <c r="C685" s="872"/>
      <c r="D685" s="873" t="s">
        <v>823</v>
      </c>
      <c r="E685" s="874">
        <f ca="1">IF(AND($A685=0,$A$1="DIF"),0, ROUND(ROUND(($R690*$S$2+($T690*$T$2))/A685,2)*$C$2,2))</f>
        <v>16.12</v>
      </c>
      <c r="F685" s="875">
        <f ca="1">ROUND($A685*$E685,2)</f>
        <v>112.84</v>
      </c>
      <c r="G685" s="876" t="s">
        <v>139</v>
      </c>
      <c r="H685" s="877"/>
      <c r="I685" s="878"/>
      <c r="J685" s="877"/>
      <c r="K685" s="877" t="s">
        <v>3</v>
      </c>
      <c r="L685" s="879" t="s">
        <v>140</v>
      </c>
      <c r="M685" s="879"/>
      <c r="N685" s="879"/>
      <c r="O685" s="879"/>
      <c r="P685" s="879"/>
      <c r="Q685" s="50"/>
      <c r="T685" s="880" t="str">
        <f ca="1">IF(AND($R690=0,$T690=0),"0.00","mu :" &amp; ROUND($F685/$C$2/($R690+$T690*$D$9),2))</f>
        <v>mu :1.22</v>
      </c>
      <c r="W685" s="507"/>
      <c r="AG685" s="465">
        <f ca="1">IF($E685=0,0,ROUND($R690*$S$2*$C$2/$A685,2))</f>
        <v>1.34</v>
      </c>
      <c r="AH685" s="465">
        <f ca="1">$AG685*$A685</f>
        <v>9.3800000000000008</v>
      </c>
      <c r="AI685" s="508">
        <f ca="1">$E685-$AG685</f>
        <v>14.780000000000001</v>
      </c>
      <c r="AJ685" s="508">
        <f ca="1">$A685*$AI685</f>
        <v>103.46000000000001</v>
      </c>
      <c r="AK685" s="509">
        <f ca="1">ROUND(($AG685+$AI685)*$A685,2)</f>
        <v>112.84</v>
      </c>
      <c r="AM685" s="510">
        <f ca="1">ROUND(R690,2)</f>
        <v>7.7</v>
      </c>
      <c r="AN685" s="511">
        <f ca="1">ROUND(T690,2)</f>
        <v>2.94</v>
      </c>
      <c r="AO685" s="512">
        <f ca="1">ROUND(AM685+AN685,2)*A685</f>
        <v>74.48</v>
      </c>
    </row>
    <row r="686" spans="1:41" s="504" customFormat="1" ht="13.2">
      <c r="A686" s="872"/>
      <c r="B686"/>
      <c r="C686" s="872"/>
      <c r="D686" s="873" t="s">
        <v>841</v>
      </c>
      <c r="F686" s="877"/>
      <c r="G686" s="3"/>
      <c r="H686" s="877"/>
      <c r="I686" s="878"/>
      <c r="J686" s="877"/>
      <c r="K686" s="877" t="s">
        <v>141</v>
      </c>
      <c r="L686" s="877"/>
      <c r="M686" s="877"/>
      <c r="N686" s="877"/>
      <c r="O686" s="877"/>
      <c r="P686" s="877"/>
      <c r="Q686" s="50"/>
      <c r="R686" s="513"/>
      <c r="S686" s="881"/>
      <c r="T686" s="877"/>
    </row>
    <row r="687" spans="1:41" s="997" customFormat="1" ht="13.2">
      <c r="A687"/>
      <c r="B687" s="1065"/>
      <c r="C687" s="1065" t="s">
        <v>1006</v>
      </c>
      <c r="D687" s="1065" t="str">
        <f ca="1">CELL("Address",Elec_Rates!D$270)</f>
        <v>[EL25_0662B_Brittania_Hotel_Elec_Revised_Estim_B.xlsx]Elec_Rates!$D$270</v>
      </c>
      <c r="E687" s="1066"/>
      <c r="F687" s="1066"/>
      <c r="G687" s="1067" t="s">
        <v>1007</v>
      </c>
      <c r="H687" s="1067"/>
      <c r="I687" s="1067"/>
      <c r="J687" s="1067"/>
      <c r="K687" s="1068"/>
      <c r="L687" s="1066"/>
      <c r="M687" s="1066"/>
      <c r="N687" s="1066"/>
      <c r="O687" s="1069"/>
      <c r="P687" s="1066"/>
      <c r="Q687" s="1070"/>
      <c r="R687" s="1071"/>
      <c r="S687" s="1070"/>
      <c r="T687" s="1072"/>
      <c r="U687" s="1073"/>
    </row>
    <row r="688" spans="1:41" s="997" customFormat="1" ht="11.4">
      <c r="A688" s="1074">
        <v>7</v>
      </c>
      <c r="B688" s="1075">
        <v>1</v>
      </c>
      <c r="C688" s="1075">
        <f>$A688*$B688</f>
        <v>7</v>
      </c>
      <c r="D688" s="1076" t="str">
        <f>Elec_Rates!$D$270</f>
        <v>029# Install and connect Only - Battery Backup Kit for the light fittings supplied by others</v>
      </c>
      <c r="E688" s="1076"/>
      <c r="F688" s="1076"/>
      <c r="G688" s="1077" t="s">
        <v>1008</v>
      </c>
      <c r="H688" s="1077"/>
      <c r="I688" s="1077"/>
      <c r="J688" s="1077"/>
      <c r="K688" s="1078"/>
      <c r="L688" s="1073"/>
      <c r="M688" s="1073"/>
      <c r="N688" s="1073"/>
      <c r="O688" s="1079"/>
      <c r="P688" s="1076"/>
      <c r="Q688" s="1080">
        <f ca="1">$B688*Elec_Rates!$R$270</f>
        <v>1.1000000000000001</v>
      </c>
      <c r="R688" s="1071">
        <f ca="1">$A688*Q688</f>
        <v>7.7000000000000011</v>
      </c>
      <c r="S688" s="1080">
        <f ca="1">$B688*Elec_Rates!$T$270</f>
        <v>0.42</v>
      </c>
      <c r="T688" s="1072">
        <f ca="1">$A688*S688</f>
        <v>2.94</v>
      </c>
      <c r="U688" s="1081"/>
    </row>
    <row r="689" spans="1:41" s="504" customFormat="1" ht="12">
      <c r="A689" s="882"/>
      <c r="B689" s="882"/>
      <c r="C689" s="882"/>
      <c r="D689" s="882"/>
      <c r="E689" s="882"/>
      <c r="F689" s="877"/>
      <c r="G689" s="882"/>
      <c r="H689" s="882"/>
      <c r="I689" s="503"/>
      <c r="J689" s="882"/>
      <c r="K689" s="882"/>
      <c r="L689" s="882"/>
      <c r="M689" s="882"/>
      <c r="N689" s="882"/>
      <c r="O689" s="882"/>
      <c r="P689" s="882"/>
      <c r="Q689" s="503"/>
      <c r="R689" s="883">
        <f>$A689*Q689</f>
        <v>0</v>
      </c>
      <c r="S689" s="503"/>
      <c r="T689" s="884">
        <f>$A689*S689*$T$1</f>
        <v>0</v>
      </c>
    </row>
    <row r="690" spans="1:41" s="504" customFormat="1" ht="12.6" thickBot="1">
      <c r="A690" s="885" t="s">
        <v>142</v>
      </c>
      <c r="B690" s="886">
        <f>(R689+T689)</f>
        <v>0</v>
      </c>
      <c r="C690" s="887"/>
      <c r="D690" s="887"/>
      <c r="E690" s="887"/>
      <c r="F690" s="888"/>
      <c r="G690" s="887" t="s">
        <v>143</v>
      </c>
      <c r="H690" s="887"/>
      <c r="I690" s="889"/>
      <c r="J690" s="887"/>
      <c r="K690" s="887" t="s">
        <v>3</v>
      </c>
      <c r="L690" s="890" t="s">
        <v>140</v>
      </c>
      <c r="M690" s="890"/>
      <c r="N690" s="890"/>
      <c r="O690" s="890"/>
      <c r="P690" s="890"/>
      <c r="Q690" s="891"/>
      <c r="R690" s="892">
        <f ca="1">SUM(R686:R689)</f>
        <v>7.7000000000000011</v>
      </c>
      <c r="S690" s="887"/>
      <c r="T690" s="892">
        <f ca="1">SUM(T686:T689)</f>
        <v>2.94</v>
      </c>
      <c r="U690" s="514"/>
      <c r="V690" s="514"/>
      <c r="W690" s="514"/>
      <c r="X690" s="514"/>
      <c r="Y690" s="514"/>
      <c r="Z690" s="514"/>
      <c r="AA690" s="514"/>
      <c r="AB690" s="514"/>
      <c r="AC690" s="514"/>
      <c r="AD690" s="514"/>
      <c r="AE690" s="514"/>
      <c r="AF690" s="514"/>
      <c r="AG690" s="514"/>
      <c r="AH690" s="514"/>
      <c r="AI690" s="514"/>
      <c r="AJ690" s="514"/>
      <c r="AK690" s="514"/>
      <c r="AL690" s="514"/>
      <c r="AM690" s="514"/>
      <c r="AN690" s="514"/>
      <c r="AO690" s="514"/>
    </row>
    <row r="691" spans="1:41" s="504" customFormat="1" thickTop="1">
      <c r="A691" s="50"/>
      <c r="B691" s="50"/>
      <c r="C691" s="3"/>
      <c r="D691" s="3"/>
      <c r="E691" s="50"/>
      <c r="F691" s="50"/>
      <c r="G691" s="50"/>
      <c r="H691" s="50"/>
      <c r="I691" s="50"/>
      <c r="J691" s="50"/>
      <c r="K691" s="50" t="s">
        <v>133</v>
      </c>
      <c r="L691" s="50"/>
      <c r="M691" s="50"/>
      <c r="N691" s="50"/>
      <c r="O691" s="51"/>
      <c r="P691" s="50"/>
      <c r="Q691" s="50"/>
      <c r="R691" s="50"/>
      <c r="S691" s="50"/>
      <c r="T691" s="50"/>
    </row>
    <row r="692" spans="1:41" s="504" customFormat="1" ht="12">
      <c r="A692" s="50"/>
      <c r="B692" s="50"/>
      <c r="C692" s="50" t="s">
        <v>134</v>
      </c>
      <c r="D692" s="37"/>
      <c r="E692" s="50"/>
      <c r="F692" s="50"/>
      <c r="G692" s="50"/>
      <c r="H692" s="50"/>
      <c r="I692" s="50"/>
      <c r="J692" s="50"/>
      <c r="K692" s="50"/>
      <c r="L692" s="50"/>
      <c r="M692" s="50"/>
      <c r="N692" s="50"/>
      <c r="O692" s="51"/>
      <c r="P692" s="50"/>
      <c r="Q692" s="50"/>
      <c r="R692" s="50"/>
      <c r="S692" s="50"/>
      <c r="T692" s="50"/>
    </row>
    <row r="693" spans="1:41" s="504" customFormat="1" ht="12">
      <c r="A693" s="50"/>
      <c r="B693" s="50"/>
      <c r="C693" s="50"/>
      <c r="D693" s="37" t="s">
        <v>358</v>
      </c>
      <c r="E693" s="50"/>
      <c r="F693" s="50"/>
      <c r="G693" s="50"/>
      <c r="H693" s="50"/>
      <c r="I693" s="50"/>
      <c r="J693" s="50"/>
      <c r="K693" s="50"/>
      <c r="L693" s="50"/>
      <c r="M693" s="50"/>
      <c r="N693" s="50"/>
      <c r="O693" s="51"/>
      <c r="P693" s="50"/>
      <c r="Q693" s="50"/>
      <c r="R693" s="50"/>
      <c r="S693" s="38"/>
      <c r="T693" s="38"/>
    </row>
    <row r="694" spans="1:41" s="3" customFormat="1" thickBot="1">
      <c r="A694" s="514"/>
      <c r="O694" s="103"/>
    </row>
    <row r="695" spans="1:41" s="504" customFormat="1" thickTop="1">
      <c r="A695" s="50"/>
      <c r="B695" s="50"/>
      <c r="C695" s="3"/>
      <c r="D695" s="3"/>
      <c r="E695" s="50"/>
      <c r="F695" s="50"/>
      <c r="G695" s="50"/>
      <c r="H695" s="50"/>
      <c r="I695" s="50"/>
      <c r="J695" s="50"/>
      <c r="K695" s="50" t="s">
        <v>133</v>
      </c>
      <c r="L695" s="50"/>
      <c r="M695" s="50"/>
      <c r="N695" s="50"/>
      <c r="O695" s="51"/>
      <c r="P695" s="50"/>
      <c r="Q695" s="50"/>
      <c r="R695" s="50"/>
      <c r="S695" s="50"/>
      <c r="T695" s="50"/>
    </row>
    <row r="696" spans="1:41" s="504" customFormat="1" ht="12">
      <c r="A696" s="50"/>
      <c r="B696" s="50"/>
      <c r="C696" s="50" t="s">
        <v>134</v>
      </c>
      <c r="D696" s="37" t="s">
        <v>843</v>
      </c>
      <c r="E696" s="50"/>
      <c r="F696" s="50"/>
      <c r="G696" s="50"/>
      <c r="H696" s="50"/>
      <c r="I696" s="50"/>
      <c r="J696" s="50"/>
      <c r="K696" s="50"/>
      <c r="L696" s="50"/>
      <c r="M696" s="50"/>
      <c r="N696" s="50"/>
      <c r="O696" s="51"/>
      <c r="P696" s="50"/>
      <c r="Q696" s="50"/>
      <c r="R696" s="50"/>
      <c r="S696" s="50"/>
      <c r="T696" s="50"/>
    </row>
    <row r="697" spans="1:41" s="504" customFormat="1" ht="12">
      <c r="A697" s="50"/>
      <c r="B697" s="50"/>
      <c r="C697" s="50"/>
      <c r="D697" s="37" t="s">
        <v>720</v>
      </c>
      <c r="E697" s="50"/>
      <c r="F697" s="50"/>
      <c r="G697" s="50"/>
      <c r="H697" s="50"/>
      <c r="I697" s="50"/>
      <c r="J697" s="50"/>
      <c r="K697" s="50"/>
      <c r="L697" s="50"/>
      <c r="M697" s="50"/>
      <c r="N697" s="50"/>
      <c r="O697" s="51"/>
      <c r="P697" s="50"/>
      <c r="Q697" s="50"/>
      <c r="R697" s="50"/>
      <c r="S697" s="38"/>
      <c r="T697" s="38"/>
    </row>
    <row r="698" spans="1:41" s="3" customFormat="1" thickBot="1">
      <c r="A698" s="514"/>
      <c r="O698" s="103"/>
    </row>
    <row r="699" spans="1:41" s="504" customFormat="1" ht="12" thickTop="1">
      <c r="A699" s="50"/>
      <c r="B699" s="40"/>
      <c r="C699" s="50"/>
      <c r="E699" s="41" t="s">
        <v>136</v>
      </c>
      <c r="F699" s="41" t="s">
        <v>137</v>
      </c>
      <c r="G699" s="50"/>
      <c r="H699" s="50"/>
      <c r="I699" s="50"/>
      <c r="J699" s="50"/>
      <c r="K699" s="50" t="s">
        <v>138</v>
      </c>
      <c r="L699" s="50"/>
      <c r="M699" s="50"/>
      <c r="N699" s="50"/>
      <c r="O699" s="51"/>
      <c r="P699" s="50"/>
      <c r="Q699" s="50"/>
      <c r="R699" s="50"/>
      <c r="S699" s="50"/>
      <c r="T699" s="40"/>
      <c r="AG699" s="867" t="s">
        <v>241</v>
      </c>
      <c r="AH699" s="867" t="s">
        <v>242</v>
      </c>
      <c r="AI699" s="867" t="s">
        <v>243</v>
      </c>
      <c r="AJ699" s="867" t="s">
        <v>244</v>
      </c>
      <c r="AK699" s="867" t="s">
        <v>245</v>
      </c>
      <c r="AM699" s="868" t="s">
        <v>254</v>
      </c>
      <c r="AN699" s="869" t="s">
        <v>255</v>
      </c>
      <c r="AO699" s="505" t="s">
        <v>251</v>
      </c>
    </row>
    <row r="700" spans="1:41" s="504" customFormat="1" ht="12" customHeight="1">
      <c r="A700" s="870">
        <v>6</v>
      </c>
      <c r="B700" s="871" t="s">
        <v>335</v>
      </c>
      <c r="C700" s="872"/>
      <c r="D700" s="873" t="s">
        <v>804</v>
      </c>
      <c r="E700" s="874">
        <f ca="1">IF(AND($A700=0,$A$1="DIF"),0, ROUND(ROUND(($R706*$S$2+($T706*$T$2))/A700,2)*$C$2,2))</f>
        <v>77.31</v>
      </c>
      <c r="F700" s="875">
        <f ca="1">ROUND($A700*$E700,2)</f>
        <v>463.86</v>
      </c>
      <c r="G700" s="876" t="s">
        <v>139</v>
      </c>
      <c r="H700" s="877"/>
      <c r="I700" s="878"/>
      <c r="J700" s="877"/>
      <c r="K700" s="877" t="s">
        <v>3</v>
      </c>
      <c r="L700" s="879" t="s">
        <v>140</v>
      </c>
      <c r="M700" s="879"/>
      <c r="N700" s="879"/>
      <c r="O700" s="879"/>
      <c r="P700" s="879"/>
      <c r="Q700" s="50"/>
      <c r="T700" s="880" t="str">
        <f ca="1">IF(AND($R706=0,$T706=0),"0.00","mu :" &amp; ROUND($F700/$C$2/($R706+$T706*$D$9),2))</f>
        <v>mu :1.22</v>
      </c>
      <c r="W700" s="507"/>
      <c r="AG700" s="465">
        <f ca="1">IF($E700=0,0,ROUND($R706*$S$2*$C$2/$A700,2))</f>
        <v>20.73</v>
      </c>
      <c r="AH700" s="465">
        <f ca="1">$AG700*$A700</f>
        <v>124.38</v>
      </c>
      <c r="AI700" s="508">
        <f ca="1">$E700-$AG700</f>
        <v>56.58</v>
      </c>
      <c r="AJ700" s="508">
        <f ca="1">$A700*$AI700</f>
        <v>339.48</v>
      </c>
      <c r="AK700" s="509">
        <f ca="1">ROUND(($AG700+$AI700)*$A700,2)</f>
        <v>463.86</v>
      </c>
      <c r="AM700" s="510">
        <f ca="1">ROUND(R706,2)</f>
        <v>101.94</v>
      </c>
      <c r="AN700" s="511">
        <f ca="1">ROUND(T706,2)</f>
        <v>9.65</v>
      </c>
      <c r="AO700" s="512">
        <f ca="1">ROUND(AM700+AN700,2)*A700</f>
        <v>669.54</v>
      </c>
    </row>
    <row r="701" spans="1:41" s="504" customFormat="1" ht="13.2">
      <c r="A701" s="872"/>
      <c r="B701"/>
      <c r="C701" s="872"/>
      <c r="D701" s="873" t="s">
        <v>359</v>
      </c>
      <c r="F701" s="877"/>
      <c r="G701" s="3"/>
      <c r="H701" s="877"/>
      <c r="I701" s="878"/>
      <c r="J701" s="877"/>
      <c r="K701" s="877" t="s">
        <v>141</v>
      </c>
      <c r="L701" s="877"/>
      <c r="M701" s="877"/>
      <c r="N701" s="877"/>
      <c r="O701" s="877"/>
      <c r="P701" s="877"/>
      <c r="Q701" s="50"/>
      <c r="R701" s="513"/>
      <c r="S701" s="881"/>
      <c r="T701" s="877"/>
    </row>
    <row r="702" spans="1:41" s="997" customFormat="1" ht="13.2">
      <c r="A702"/>
      <c r="B702" s="1065"/>
      <c r="C702" s="1065" t="s">
        <v>1006</v>
      </c>
      <c r="D702" s="1065" t="str">
        <f ca="1">CELL("Address",Elec_Rates!D$486)</f>
        <v>[EL25_0662B_Brittania_Hotel_Elec_Revised_Estim_B.xlsx]Elec_Rates!$D$486</v>
      </c>
      <c r="E702" s="1066"/>
      <c r="F702" s="1066"/>
      <c r="G702" s="1067" t="s">
        <v>1007</v>
      </c>
      <c r="H702" s="1067"/>
      <c r="I702" s="1067"/>
      <c r="J702" s="1067"/>
      <c r="K702" s="1068"/>
      <c r="L702" s="1066"/>
      <c r="M702" s="1066"/>
      <c r="N702" s="1066"/>
      <c r="O702" s="1069"/>
      <c r="P702" s="1066"/>
      <c r="Q702" s="1070"/>
      <c r="R702" s="1071"/>
      <c r="S702" s="1070"/>
      <c r="T702" s="1072"/>
      <c r="U702" s="1073"/>
    </row>
    <row r="703" spans="1:41" s="997" customFormat="1" ht="11.4">
      <c r="A703" s="1074">
        <v>6</v>
      </c>
      <c r="B703" s="1075">
        <v>1</v>
      </c>
      <c r="C703" s="1075">
        <f>$A703*$B703</f>
        <v>6</v>
      </c>
      <c r="D703" s="1076" t="str">
        <f>Elec_Rates!$D$486</f>
        <v>058# General Power Point in LSZH Conduit</v>
      </c>
      <c r="E703" s="1076"/>
      <c r="F703" s="1076"/>
      <c r="G703" s="1077" t="s">
        <v>1008</v>
      </c>
      <c r="H703" s="1077"/>
      <c r="I703" s="1077"/>
      <c r="J703" s="1077"/>
      <c r="K703" s="1078"/>
      <c r="L703" s="1073"/>
      <c r="M703" s="1073"/>
      <c r="N703" s="1073"/>
      <c r="O703" s="1079"/>
      <c r="P703" s="1076"/>
      <c r="Q703" s="1080">
        <f ca="1">$B703*Elec_Rates!$R$486</f>
        <v>13.92</v>
      </c>
      <c r="R703" s="1071">
        <f ca="1">$A703*Q703</f>
        <v>83.52</v>
      </c>
      <c r="S703" s="1080">
        <f ca="1">$B703*Elec_Rates!$T$486</f>
        <v>1.43</v>
      </c>
      <c r="T703" s="1072">
        <f ca="1">$A703*S703</f>
        <v>8.58</v>
      </c>
      <c r="U703" s="1081"/>
    </row>
    <row r="704" spans="1:41" s="1039" customFormat="1" ht="13.2">
      <c r="A704" s="112">
        <v>6</v>
      </c>
      <c r="B704" s="1039" t="s">
        <v>949</v>
      </c>
      <c r="D704" s="1039" t="s">
        <v>1233</v>
      </c>
      <c r="F704" s="1039" t="s">
        <v>1506</v>
      </c>
      <c r="G704" s="1040" t="s">
        <v>1231</v>
      </c>
      <c r="H704" s="1041">
        <v>705</v>
      </c>
      <c r="I704" s="1039" t="s">
        <v>1183</v>
      </c>
      <c r="J704" s="1039" t="s">
        <v>1232</v>
      </c>
      <c r="O704" s="1042">
        <v>3</v>
      </c>
      <c r="P704" s="1043">
        <v>34669</v>
      </c>
      <c r="Q704" s="1044">
        <v>3.07</v>
      </c>
      <c r="R704" s="1045">
        <f>$A704*Q704</f>
        <v>18.419999999999998</v>
      </c>
      <c r="S704" s="1044">
        <v>0.17</v>
      </c>
      <c r="T704" s="1046">
        <f>$A704*S704*$T$1</f>
        <v>1.0710000000000002</v>
      </c>
    </row>
    <row r="705" spans="1:41" s="504" customFormat="1" ht="12">
      <c r="A705" s="882"/>
      <c r="B705" s="882"/>
      <c r="C705" s="882"/>
      <c r="D705" s="882"/>
      <c r="E705" s="882"/>
      <c r="F705" s="877"/>
      <c r="G705" s="882"/>
      <c r="H705" s="882"/>
      <c r="I705" s="503"/>
      <c r="J705" s="882"/>
      <c r="K705" s="882"/>
      <c r="L705" s="882"/>
      <c r="M705" s="882"/>
      <c r="N705" s="882"/>
      <c r="O705" s="882"/>
      <c r="P705" s="882"/>
      <c r="Q705" s="503"/>
      <c r="R705" s="883">
        <f>$A705*Q705</f>
        <v>0</v>
      </c>
      <c r="S705" s="503"/>
      <c r="T705" s="884">
        <f>$A705*S705*$T$1</f>
        <v>0</v>
      </c>
    </row>
    <row r="706" spans="1:41" s="504" customFormat="1" ht="12.6" thickBot="1">
      <c r="A706" s="885" t="s">
        <v>142</v>
      </c>
      <c r="B706" s="886">
        <f>(R705+T705)</f>
        <v>0</v>
      </c>
      <c r="C706" s="887"/>
      <c r="D706" s="887"/>
      <c r="E706" s="887"/>
      <c r="F706" s="888"/>
      <c r="G706" s="887" t="s">
        <v>143</v>
      </c>
      <c r="H706" s="887"/>
      <c r="I706" s="889"/>
      <c r="J706" s="887"/>
      <c r="K706" s="887" t="s">
        <v>3</v>
      </c>
      <c r="L706" s="890" t="s">
        <v>140</v>
      </c>
      <c r="M706" s="890"/>
      <c r="N706" s="890"/>
      <c r="O706" s="890"/>
      <c r="P706" s="890"/>
      <c r="Q706" s="891"/>
      <c r="R706" s="892">
        <f ca="1">SUM(R701:R705)</f>
        <v>101.94</v>
      </c>
      <c r="S706" s="887"/>
      <c r="T706" s="892">
        <f ca="1">SUM(T701:T705)</f>
        <v>9.6509999999999998</v>
      </c>
      <c r="U706" s="514"/>
      <c r="V706" s="514"/>
      <c r="W706" s="514"/>
      <c r="X706" s="514"/>
      <c r="Y706" s="514"/>
      <c r="Z706" s="514"/>
      <c r="AA706" s="514"/>
      <c r="AB706" s="514"/>
      <c r="AC706" s="514"/>
      <c r="AD706" s="514"/>
      <c r="AE706" s="514"/>
      <c r="AF706" s="514"/>
      <c r="AG706" s="514"/>
      <c r="AH706" s="514"/>
      <c r="AI706" s="514"/>
      <c r="AJ706" s="514"/>
      <c r="AK706" s="514"/>
      <c r="AL706" s="514"/>
      <c r="AM706" s="514"/>
      <c r="AN706" s="514"/>
      <c r="AO706" s="514"/>
    </row>
    <row r="707" spans="1:41" s="504" customFormat="1" ht="12" thickTop="1">
      <c r="A707" s="50"/>
      <c r="B707" s="40"/>
      <c r="C707" s="50"/>
      <c r="E707" s="41" t="s">
        <v>136</v>
      </c>
      <c r="F707" s="41" t="s">
        <v>137</v>
      </c>
      <c r="G707" s="50"/>
      <c r="H707" s="50"/>
      <c r="I707" s="50"/>
      <c r="J707" s="50"/>
      <c r="K707" s="50" t="s">
        <v>138</v>
      </c>
      <c r="L707" s="50"/>
      <c r="M707" s="50"/>
      <c r="N707" s="50"/>
      <c r="O707" s="51"/>
      <c r="P707" s="50"/>
      <c r="Q707" s="50"/>
      <c r="R707" s="50"/>
      <c r="S707" s="50"/>
      <c r="T707" s="40"/>
      <c r="AG707" s="867" t="s">
        <v>241</v>
      </c>
      <c r="AH707" s="867" t="s">
        <v>242</v>
      </c>
      <c r="AI707" s="867" t="s">
        <v>243</v>
      </c>
      <c r="AJ707" s="867" t="s">
        <v>244</v>
      </c>
      <c r="AK707" s="867" t="s">
        <v>245</v>
      </c>
      <c r="AM707" s="868" t="s">
        <v>254</v>
      </c>
      <c r="AN707" s="869" t="s">
        <v>255</v>
      </c>
      <c r="AO707" s="505" t="s">
        <v>251</v>
      </c>
    </row>
    <row r="708" spans="1:41" s="504" customFormat="1" ht="12" customHeight="1">
      <c r="A708" s="870">
        <v>3</v>
      </c>
      <c r="B708" s="871" t="s">
        <v>335</v>
      </c>
      <c r="C708" s="872"/>
      <c r="D708" s="873" t="s">
        <v>806</v>
      </c>
      <c r="E708" s="874">
        <f ca="1">IF(AND($A708=0,$A$1="DIF"),0, ROUND(ROUND(($R714*$S$2+($T714*$T$2))/A708,2)*$C$2,2))</f>
        <v>79.36</v>
      </c>
      <c r="F708" s="875">
        <f ca="1">ROUND($A708*$E708,2)</f>
        <v>238.08</v>
      </c>
      <c r="G708" s="876" t="s">
        <v>139</v>
      </c>
      <c r="H708" s="877"/>
      <c r="I708" s="878"/>
      <c r="J708" s="877"/>
      <c r="K708" s="877" t="s">
        <v>3</v>
      </c>
      <c r="L708" s="879" t="s">
        <v>140</v>
      </c>
      <c r="M708" s="879"/>
      <c r="N708" s="879"/>
      <c r="O708" s="879"/>
      <c r="P708" s="879"/>
      <c r="Q708" s="50"/>
      <c r="T708" s="880" t="str">
        <f ca="1">IF(AND($R714=0,$T714=0),"0.00","mu :" &amp; ROUND($F708/$C$2/($R714+$T714*$D$9),2))</f>
        <v>mu :1.22</v>
      </c>
      <c r="W708" s="507"/>
      <c r="AG708" s="465">
        <f ca="1">IF($E708=0,0,ROUND($R714*$S$2*$C$2/$A708,2))</f>
        <v>22.78</v>
      </c>
      <c r="AH708" s="465">
        <f ca="1">$AG708*$A708</f>
        <v>68.34</v>
      </c>
      <c r="AI708" s="508">
        <f ca="1">$E708-$AG708</f>
        <v>56.58</v>
      </c>
      <c r="AJ708" s="508">
        <f ca="1">$A708*$AI708</f>
        <v>169.74</v>
      </c>
      <c r="AK708" s="509">
        <f ca="1">ROUND(($AG708+$AI708)*$A708,2)</f>
        <v>238.08</v>
      </c>
      <c r="AM708" s="510">
        <f ca="1">ROUND(R714,2)</f>
        <v>56.01</v>
      </c>
      <c r="AN708" s="511">
        <f ca="1">ROUND(T714,2)</f>
        <v>4.83</v>
      </c>
      <c r="AO708" s="512">
        <f ca="1">ROUND(AM708+AN708,2)*A708</f>
        <v>182.52</v>
      </c>
    </row>
    <row r="709" spans="1:41" s="504" customFormat="1" ht="13.2">
      <c r="A709" s="872"/>
      <c r="B709"/>
      <c r="C709" s="872"/>
      <c r="D709" s="873" t="s">
        <v>360</v>
      </c>
      <c r="F709" s="877"/>
      <c r="G709" s="3"/>
      <c r="H709" s="877"/>
      <c r="I709" s="878"/>
      <c r="J709" s="877"/>
      <c r="K709" s="877" t="s">
        <v>141</v>
      </c>
      <c r="L709" s="877"/>
      <c r="M709" s="877"/>
      <c r="N709" s="877"/>
      <c r="O709" s="877"/>
      <c r="P709" s="877"/>
      <c r="Q709" s="50"/>
      <c r="R709" s="513"/>
      <c r="S709" s="881"/>
      <c r="T709" s="877"/>
    </row>
    <row r="710" spans="1:41" s="997" customFormat="1" ht="13.2">
      <c r="A710"/>
      <c r="B710" s="1065"/>
      <c r="C710" s="1065" t="s">
        <v>1006</v>
      </c>
      <c r="D710" s="1065" t="str">
        <f ca="1">CELL("Address",Elec_Rates!D$486)</f>
        <v>[EL25_0662B_Brittania_Hotel_Elec_Revised_Estim_B.xlsx]Elec_Rates!$D$486</v>
      </c>
      <c r="E710" s="1066"/>
      <c r="F710" s="1066"/>
      <c r="G710" s="1067" t="s">
        <v>1007</v>
      </c>
      <c r="H710" s="1067"/>
      <c r="I710" s="1067"/>
      <c r="J710" s="1067"/>
      <c r="K710" s="1068"/>
      <c r="L710" s="1066"/>
      <c r="M710" s="1066"/>
      <c r="N710" s="1066"/>
      <c r="O710" s="1069"/>
      <c r="P710" s="1066"/>
      <c r="Q710" s="1070"/>
      <c r="R710" s="1071"/>
      <c r="S710" s="1070"/>
      <c r="T710" s="1072"/>
      <c r="U710" s="1073"/>
    </row>
    <row r="711" spans="1:41" s="997" customFormat="1" ht="11.4">
      <c r="A711" s="1074">
        <v>3</v>
      </c>
      <c r="B711" s="1075">
        <v>1</v>
      </c>
      <c r="C711" s="1075">
        <f>$A711*$B711</f>
        <v>3</v>
      </c>
      <c r="D711" s="1076" t="str">
        <f>Elec_Rates!$D$486</f>
        <v>058# General Power Point in LSZH Conduit</v>
      </c>
      <c r="E711" s="1076"/>
      <c r="F711" s="1076"/>
      <c r="G711" s="1077" t="s">
        <v>1008</v>
      </c>
      <c r="H711" s="1077"/>
      <c r="I711" s="1077"/>
      <c r="J711" s="1077"/>
      <c r="K711" s="1078"/>
      <c r="L711" s="1073"/>
      <c r="M711" s="1073"/>
      <c r="N711" s="1073"/>
      <c r="O711" s="1079"/>
      <c r="P711" s="1076"/>
      <c r="Q711" s="1080">
        <f ca="1">$B711*Elec_Rates!$R$486</f>
        <v>13.92</v>
      </c>
      <c r="R711" s="1071">
        <f ca="1">$A711*Q711</f>
        <v>41.76</v>
      </c>
      <c r="S711" s="1080">
        <f ca="1">$B711*Elec_Rates!$T$486</f>
        <v>1.43</v>
      </c>
      <c r="T711" s="1072">
        <f ca="1">$A711*S711</f>
        <v>4.29</v>
      </c>
      <c r="U711" s="1081"/>
    </row>
    <row r="712" spans="1:41" s="1039" customFormat="1" ht="13.2">
      <c r="A712" s="112">
        <v>3</v>
      </c>
      <c r="B712" s="1039" t="s">
        <v>949</v>
      </c>
      <c r="D712" s="1039" t="s">
        <v>1234</v>
      </c>
      <c r="G712" s="1040" t="s">
        <v>1231</v>
      </c>
      <c r="H712" s="1041">
        <v>705</v>
      </c>
      <c r="I712" s="1039" t="s">
        <v>1183</v>
      </c>
      <c r="J712" s="1039" t="s">
        <v>1232</v>
      </c>
      <c r="O712" s="1042">
        <v>3</v>
      </c>
      <c r="P712" s="1043">
        <v>34669</v>
      </c>
      <c r="Q712" s="1044">
        <v>4.75</v>
      </c>
      <c r="R712" s="1045">
        <f>$A712*Q712</f>
        <v>14.25</v>
      </c>
      <c r="S712" s="1044">
        <v>0.17</v>
      </c>
      <c r="T712" s="1046">
        <f>$A712*S712*$T$1</f>
        <v>0.53550000000000009</v>
      </c>
    </row>
    <row r="713" spans="1:41" s="504" customFormat="1" ht="12">
      <c r="A713" s="882"/>
      <c r="B713" s="882"/>
      <c r="C713" s="882"/>
      <c r="D713" s="882"/>
      <c r="E713" s="882"/>
      <c r="F713" s="877"/>
      <c r="G713" s="882"/>
      <c r="H713" s="882"/>
      <c r="I713" s="503"/>
      <c r="J713" s="882"/>
      <c r="K713" s="882"/>
      <c r="L713" s="882"/>
      <c r="M713" s="882"/>
      <c r="N713" s="882"/>
      <c r="O713" s="882"/>
      <c r="P713" s="882"/>
      <c r="Q713" s="503"/>
      <c r="R713" s="883">
        <f>$A713*Q713</f>
        <v>0</v>
      </c>
      <c r="S713" s="503"/>
      <c r="T713" s="884">
        <f>$A713*S713*$T$1</f>
        <v>0</v>
      </c>
    </row>
    <row r="714" spans="1:41" s="504" customFormat="1" ht="12.6" thickBot="1">
      <c r="A714" s="885" t="s">
        <v>142</v>
      </c>
      <c r="B714" s="886">
        <f>(R713+T713)</f>
        <v>0</v>
      </c>
      <c r="C714" s="887"/>
      <c r="D714" s="887"/>
      <c r="E714" s="887"/>
      <c r="F714" s="888"/>
      <c r="G714" s="887" t="s">
        <v>143</v>
      </c>
      <c r="H714" s="887"/>
      <c r="I714" s="889"/>
      <c r="J714" s="887"/>
      <c r="K714" s="887" t="s">
        <v>3</v>
      </c>
      <c r="L714" s="890" t="s">
        <v>140</v>
      </c>
      <c r="M714" s="890"/>
      <c r="N714" s="890"/>
      <c r="O714" s="890"/>
      <c r="P714" s="890"/>
      <c r="Q714" s="891"/>
      <c r="R714" s="892">
        <f ca="1">SUM(R709:R713)</f>
        <v>56.01</v>
      </c>
      <c r="S714" s="887"/>
      <c r="T714" s="892">
        <f ca="1">SUM(T709:T713)</f>
        <v>4.8254999999999999</v>
      </c>
      <c r="U714" s="514"/>
      <c r="V714" s="514"/>
      <c r="W714" s="514"/>
      <c r="X714" s="514"/>
      <c r="Y714" s="514"/>
      <c r="Z714" s="514"/>
      <c r="AA714" s="514"/>
      <c r="AB714" s="514"/>
      <c r="AC714" s="514"/>
      <c r="AD714" s="514"/>
      <c r="AE714" s="514"/>
      <c r="AF714" s="514"/>
      <c r="AG714" s="514"/>
      <c r="AH714" s="514"/>
      <c r="AI714" s="514"/>
      <c r="AJ714" s="514"/>
      <c r="AK714" s="514"/>
      <c r="AL714" s="514"/>
      <c r="AM714" s="514"/>
      <c r="AN714" s="514"/>
      <c r="AO714" s="514"/>
    </row>
    <row r="715" spans="1:41" s="504" customFormat="1" ht="12" thickTop="1">
      <c r="A715" s="50"/>
      <c r="B715" s="40"/>
      <c r="C715" s="50"/>
      <c r="E715" s="41" t="s">
        <v>136</v>
      </c>
      <c r="F715" s="41" t="s">
        <v>137</v>
      </c>
      <c r="G715" s="50"/>
      <c r="H715" s="50"/>
      <c r="I715" s="50"/>
      <c r="J715" s="50"/>
      <c r="K715" s="50" t="s">
        <v>138</v>
      </c>
      <c r="L715" s="50"/>
      <c r="M715" s="50"/>
      <c r="N715" s="50"/>
      <c r="O715" s="51"/>
      <c r="P715" s="50"/>
      <c r="Q715" s="50"/>
      <c r="R715" s="50"/>
      <c r="S715" s="50"/>
      <c r="T715" s="40"/>
      <c r="AG715" s="867" t="s">
        <v>241</v>
      </c>
      <c r="AH715" s="867" t="s">
        <v>242</v>
      </c>
      <c r="AI715" s="867" t="s">
        <v>243</v>
      </c>
      <c r="AJ715" s="867" t="s">
        <v>244</v>
      </c>
      <c r="AK715" s="867" t="s">
        <v>245</v>
      </c>
      <c r="AM715" s="868" t="s">
        <v>254</v>
      </c>
      <c r="AN715" s="869" t="s">
        <v>255</v>
      </c>
      <c r="AO715" s="505" t="s">
        <v>251</v>
      </c>
    </row>
    <row r="716" spans="1:41" s="504" customFormat="1" ht="12" customHeight="1">
      <c r="A716" s="870">
        <v>2</v>
      </c>
      <c r="B716" s="871" t="s">
        <v>335</v>
      </c>
      <c r="C716" s="872"/>
      <c r="D716" s="873" t="s">
        <v>808</v>
      </c>
      <c r="E716" s="874">
        <f ca="1">IF(AND($A716=0,$A$1="DIF"),0, ROUND(ROUND(($R722*$S$2+($T722*$T$2))/A716,2)*$C$2,2))</f>
        <v>119.8</v>
      </c>
      <c r="F716" s="875">
        <f ca="1">ROUND($A716*$E716,2)</f>
        <v>239.6</v>
      </c>
      <c r="G716" s="876" t="s">
        <v>139</v>
      </c>
      <c r="H716" s="877"/>
      <c r="I716" s="878"/>
      <c r="J716" s="877"/>
      <c r="K716" s="877" t="s">
        <v>3</v>
      </c>
      <c r="L716" s="879" t="s">
        <v>140</v>
      </c>
      <c r="M716" s="879"/>
      <c r="N716" s="879"/>
      <c r="O716" s="879"/>
      <c r="P716" s="879"/>
      <c r="Q716" s="50"/>
      <c r="T716" s="880" t="str">
        <f ca="1">IF(AND($R722=0,$T722=0),"0.00","mu :" &amp; ROUND($F716/$C$2/($R722+$T722*$D$9),2))</f>
        <v>mu :1.22</v>
      </c>
      <c r="W716" s="507"/>
      <c r="AG716" s="465">
        <f ca="1">IF($E716=0,0,ROUND($R722*$S$2*$C$2/$A716,2))</f>
        <v>63.22</v>
      </c>
      <c r="AH716" s="465">
        <f ca="1">$AG716*$A716</f>
        <v>126.44</v>
      </c>
      <c r="AI716" s="508">
        <f ca="1">$E716-$AG716</f>
        <v>56.58</v>
      </c>
      <c r="AJ716" s="508">
        <f ca="1">$A716*$AI716</f>
        <v>113.16</v>
      </c>
      <c r="AK716" s="509">
        <f ca="1">ROUND(($AG716+$AI716)*$A716,2)</f>
        <v>239.6</v>
      </c>
      <c r="AM716" s="510">
        <f ca="1">ROUND(R722,2)</f>
        <v>103.64</v>
      </c>
      <c r="AN716" s="511">
        <f ca="1">ROUND(T722,2)</f>
        <v>3.22</v>
      </c>
      <c r="AO716" s="512">
        <f ca="1">ROUND(AM716+AN716,2)*A716</f>
        <v>213.72</v>
      </c>
    </row>
    <row r="717" spans="1:41" s="504" customFormat="1" ht="13.2">
      <c r="A717" s="872"/>
      <c r="B717"/>
      <c r="C717" s="872"/>
      <c r="D717" s="873" t="s">
        <v>361</v>
      </c>
      <c r="F717" s="877"/>
      <c r="G717" s="3"/>
      <c r="H717" s="877"/>
      <c r="I717" s="878"/>
      <c r="J717" s="877"/>
      <c r="K717" s="877" t="s">
        <v>141</v>
      </c>
      <c r="L717" s="877"/>
      <c r="M717" s="877"/>
      <c r="N717" s="877"/>
      <c r="O717" s="877"/>
      <c r="P717" s="877"/>
      <c r="Q717" s="50"/>
      <c r="R717" s="513"/>
      <c r="S717" s="881"/>
      <c r="T717" s="877"/>
    </row>
    <row r="718" spans="1:41" s="997" customFormat="1" ht="13.2">
      <c r="A718"/>
      <c r="B718" s="1065"/>
      <c r="C718" s="1065" t="s">
        <v>1006</v>
      </c>
      <c r="D718" s="1065" t="str">
        <f ca="1">CELL("Address",Elec_Rates!D$486)</f>
        <v>[EL25_0662B_Brittania_Hotel_Elec_Revised_Estim_B.xlsx]Elec_Rates!$D$486</v>
      </c>
      <c r="E718" s="1066"/>
      <c r="F718" s="1066"/>
      <c r="G718" s="1067" t="s">
        <v>1007</v>
      </c>
      <c r="H718" s="1067"/>
      <c r="I718" s="1067"/>
      <c r="J718" s="1067"/>
      <c r="K718" s="1068"/>
      <c r="L718" s="1066"/>
      <c r="M718" s="1066"/>
      <c r="N718" s="1066"/>
      <c r="O718" s="1069"/>
      <c r="P718" s="1066"/>
      <c r="Q718" s="1070"/>
      <c r="R718" s="1071"/>
      <c r="S718" s="1070"/>
      <c r="T718" s="1072"/>
      <c r="U718" s="1073"/>
    </row>
    <row r="719" spans="1:41" s="997" customFormat="1" ht="11.4">
      <c r="A719" s="1074">
        <v>2</v>
      </c>
      <c r="B719" s="1075">
        <v>1</v>
      </c>
      <c r="C719" s="1075">
        <f>$A719*$B719</f>
        <v>2</v>
      </c>
      <c r="D719" s="1076" t="str">
        <f>Elec_Rates!$D$486</f>
        <v>058# General Power Point in LSZH Conduit</v>
      </c>
      <c r="E719" s="1076"/>
      <c r="F719" s="1076"/>
      <c r="G719" s="1077" t="s">
        <v>1008</v>
      </c>
      <c r="H719" s="1077"/>
      <c r="I719" s="1077"/>
      <c r="J719" s="1077"/>
      <c r="K719" s="1078"/>
      <c r="L719" s="1073"/>
      <c r="M719" s="1073"/>
      <c r="N719" s="1073"/>
      <c r="O719" s="1079"/>
      <c r="P719" s="1076"/>
      <c r="Q719" s="1080">
        <f ca="1">$B719*Elec_Rates!$R$486</f>
        <v>13.92</v>
      </c>
      <c r="R719" s="1071">
        <f ca="1">$A719*Q719</f>
        <v>27.84</v>
      </c>
      <c r="S719" s="1080">
        <f ca="1">$B719*Elec_Rates!$T$486</f>
        <v>1.43</v>
      </c>
      <c r="T719" s="1072">
        <f ca="1">$A719*S719</f>
        <v>2.86</v>
      </c>
      <c r="U719" s="1081"/>
    </row>
    <row r="720" spans="1:41" s="1039" customFormat="1" ht="13.2">
      <c r="A720" s="112">
        <v>2</v>
      </c>
      <c r="B720" s="1039" t="s">
        <v>949</v>
      </c>
      <c r="D720" s="1039" t="s">
        <v>1235</v>
      </c>
      <c r="G720" s="1040" t="s">
        <v>1231</v>
      </c>
      <c r="H720" s="1041">
        <v>705</v>
      </c>
      <c r="I720" s="1039" t="s">
        <v>1183</v>
      </c>
      <c r="J720" s="1039" t="s">
        <v>1232</v>
      </c>
      <c r="O720" s="1042">
        <v>3</v>
      </c>
      <c r="P720" s="1043">
        <v>34669</v>
      </c>
      <c r="Q720" s="1044">
        <v>37.9</v>
      </c>
      <c r="R720" s="1045">
        <f>$A720*Q720</f>
        <v>75.8</v>
      </c>
      <c r="S720" s="1044">
        <v>0.17</v>
      </c>
      <c r="T720" s="1046">
        <f>$A720*S720*$T$1</f>
        <v>0.35700000000000004</v>
      </c>
    </row>
    <row r="721" spans="1:41" s="504" customFormat="1" ht="12">
      <c r="A721" s="882"/>
      <c r="B721" s="882"/>
      <c r="C721" s="882"/>
      <c r="D721" s="882"/>
      <c r="E721" s="882"/>
      <c r="F721" s="877"/>
      <c r="G721" s="882"/>
      <c r="H721" s="882"/>
      <c r="I721" s="503"/>
      <c r="J721" s="882"/>
      <c r="K721" s="882"/>
      <c r="L721" s="882"/>
      <c r="M721" s="882"/>
      <c r="N721" s="882"/>
      <c r="O721" s="882"/>
      <c r="P721" s="882"/>
      <c r="Q721" s="503"/>
      <c r="R721" s="883">
        <f>$A721*Q721</f>
        <v>0</v>
      </c>
      <c r="S721" s="503"/>
      <c r="T721" s="884">
        <f>$A721*S721*$T$1</f>
        <v>0</v>
      </c>
    </row>
    <row r="722" spans="1:41" s="504" customFormat="1" ht="12.6" thickBot="1">
      <c r="A722" s="885" t="s">
        <v>142</v>
      </c>
      <c r="B722" s="886">
        <f>(R721+T721)</f>
        <v>0</v>
      </c>
      <c r="C722" s="887"/>
      <c r="D722" s="887"/>
      <c r="E722" s="887"/>
      <c r="F722" s="888"/>
      <c r="G722" s="887" t="s">
        <v>143</v>
      </c>
      <c r="H722" s="887"/>
      <c r="I722" s="889"/>
      <c r="J722" s="887"/>
      <c r="K722" s="887" t="s">
        <v>3</v>
      </c>
      <c r="L722" s="890" t="s">
        <v>140</v>
      </c>
      <c r="M722" s="890"/>
      <c r="N722" s="890"/>
      <c r="O722" s="890"/>
      <c r="P722" s="890"/>
      <c r="Q722" s="891"/>
      <c r="R722" s="892">
        <f ca="1">SUM(R717:R721)</f>
        <v>103.64</v>
      </c>
      <c r="S722" s="887"/>
      <c r="T722" s="892">
        <f ca="1">SUM(T717:T721)</f>
        <v>3.2170000000000001</v>
      </c>
      <c r="U722" s="514"/>
      <c r="V722" s="514"/>
      <c r="W722" s="514"/>
      <c r="X722" s="514"/>
      <c r="Y722" s="514"/>
      <c r="Z722" s="514"/>
      <c r="AA722" s="514"/>
      <c r="AB722" s="514"/>
      <c r="AC722" s="514"/>
      <c r="AD722" s="514"/>
      <c r="AE722" s="514"/>
      <c r="AF722" s="514"/>
      <c r="AG722" s="514"/>
      <c r="AH722" s="514"/>
      <c r="AI722" s="514"/>
      <c r="AJ722" s="514"/>
      <c r="AK722" s="514"/>
      <c r="AL722" s="514"/>
      <c r="AM722" s="514"/>
      <c r="AN722" s="514"/>
      <c r="AO722" s="514"/>
    </row>
    <row r="723" spans="1:41" s="504" customFormat="1" ht="12" thickTop="1">
      <c r="A723" s="50"/>
      <c r="B723" s="40"/>
      <c r="C723" s="50"/>
      <c r="E723" s="41" t="s">
        <v>136</v>
      </c>
      <c r="F723" s="41" t="s">
        <v>137</v>
      </c>
      <c r="G723" s="50"/>
      <c r="H723" s="50"/>
      <c r="I723" s="50"/>
      <c r="J723" s="50"/>
      <c r="K723" s="50" t="s">
        <v>138</v>
      </c>
      <c r="L723" s="50"/>
      <c r="M723" s="50"/>
      <c r="N723" s="50"/>
      <c r="O723" s="51"/>
      <c r="P723" s="50"/>
      <c r="Q723" s="50"/>
      <c r="R723" s="50"/>
      <c r="S723" s="50"/>
      <c r="T723" s="40"/>
      <c r="AG723" s="867" t="s">
        <v>241</v>
      </c>
      <c r="AH723" s="867" t="s">
        <v>242</v>
      </c>
      <c r="AI723" s="867" t="s">
        <v>243</v>
      </c>
      <c r="AJ723" s="867" t="s">
        <v>244</v>
      </c>
      <c r="AK723" s="867" t="s">
        <v>245</v>
      </c>
      <c r="AM723" s="868" t="s">
        <v>254</v>
      </c>
      <c r="AN723" s="869" t="s">
        <v>255</v>
      </c>
      <c r="AO723" s="505" t="s">
        <v>251</v>
      </c>
    </row>
    <row r="724" spans="1:41" s="504" customFormat="1" ht="12" customHeight="1">
      <c r="A724" s="870">
        <v>10</v>
      </c>
      <c r="B724" s="871" t="s">
        <v>335</v>
      </c>
      <c r="C724" s="872"/>
      <c r="D724" s="873" t="s">
        <v>810</v>
      </c>
      <c r="E724" s="874">
        <f ca="1">IF(AND($A724=0,$A$1="DIF"),0, ROUND(ROUND(($R730*$S$2+($T730*$T$2))/A724,2)*$C$2,2))</f>
        <v>115.17</v>
      </c>
      <c r="F724" s="875">
        <f ca="1">ROUND($A724*$E724,2)</f>
        <v>1151.7</v>
      </c>
      <c r="G724" s="876" t="s">
        <v>139</v>
      </c>
      <c r="H724" s="877"/>
      <c r="I724" s="878"/>
      <c r="J724" s="877"/>
      <c r="K724" s="877" t="s">
        <v>3</v>
      </c>
      <c r="L724" s="879" t="s">
        <v>140</v>
      </c>
      <c r="M724" s="879"/>
      <c r="N724" s="879"/>
      <c r="O724" s="879"/>
      <c r="P724" s="879"/>
      <c r="Q724" s="50"/>
      <c r="T724" s="880" t="str">
        <f ca="1">IF(AND($R730=0,$T730=0),"0.00","mu :" &amp; ROUND($F724/$C$2/($R730+$T730*$D$9),2))</f>
        <v>mu :1.22</v>
      </c>
      <c r="W724" s="507"/>
      <c r="AG724" s="465">
        <f ca="1">IF($E724=0,0,ROUND($R730*$S$2*$C$2/$A724,2))</f>
        <v>58.58</v>
      </c>
      <c r="AH724" s="465">
        <f ca="1">$AG724*$A724</f>
        <v>585.79999999999995</v>
      </c>
      <c r="AI724" s="508">
        <f ca="1">$E724-$AG724</f>
        <v>56.59</v>
      </c>
      <c r="AJ724" s="508">
        <f ca="1">$A724*$AI724</f>
        <v>565.90000000000009</v>
      </c>
      <c r="AK724" s="509">
        <f ca="1">ROUND(($AG724+$AI724)*$A724,2)</f>
        <v>1151.7</v>
      </c>
      <c r="AM724" s="510">
        <f ca="1">ROUND(R730,2)</f>
        <v>480.2</v>
      </c>
      <c r="AN724" s="511">
        <f ca="1">ROUND(T730,2)</f>
        <v>16.09</v>
      </c>
      <c r="AO724" s="512">
        <f ca="1">ROUND(AM724+AN724,2)*A724</f>
        <v>4962.9000000000005</v>
      </c>
    </row>
    <row r="725" spans="1:41" s="504" customFormat="1" ht="13.2">
      <c r="A725" s="872"/>
      <c r="B725"/>
      <c r="C725" s="872"/>
      <c r="D725" s="873" t="s">
        <v>362</v>
      </c>
      <c r="F725" s="877"/>
      <c r="G725" s="3"/>
      <c r="H725" s="877"/>
      <c r="I725" s="878"/>
      <c r="J725" s="877"/>
      <c r="K725" s="877" t="s">
        <v>141</v>
      </c>
      <c r="L725" s="877"/>
      <c r="M725" s="877"/>
      <c r="N725" s="877"/>
      <c r="O725" s="877"/>
      <c r="P725" s="877"/>
      <c r="Q725" s="50"/>
      <c r="R725" s="513"/>
      <c r="S725" s="881"/>
      <c r="T725" s="877"/>
    </row>
    <row r="726" spans="1:41" s="997" customFormat="1" ht="13.2">
      <c r="A726"/>
      <c r="B726" s="1065"/>
      <c r="C726" s="1065" t="s">
        <v>1006</v>
      </c>
      <c r="D726" s="1065" t="str">
        <f ca="1">CELL("Address",Elec_Rates!D$486)</f>
        <v>[EL25_0662B_Brittania_Hotel_Elec_Revised_Estim_B.xlsx]Elec_Rates!$D$486</v>
      </c>
      <c r="E726" s="1066"/>
      <c r="F726" s="1066"/>
      <c r="G726" s="1067" t="s">
        <v>1007</v>
      </c>
      <c r="H726" s="1067"/>
      <c r="I726" s="1067"/>
      <c r="J726" s="1067"/>
      <c r="K726" s="1068"/>
      <c r="L726" s="1066"/>
      <c r="M726" s="1066"/>
      <c r="N726" s="1066"/>
      <c r="O726" s="1069"/>
      <c r="P726" s="1066"/>
      <c r="Q726" s="1070"/>
      <c r="R726" s="1071"/>
      <c r="S726" s="1070"/>
      <c r="T726" s="1072"/>
      <c r="U726" s="1073"/>
    </row>
    <row r="727" spans="1:41" s="997" customFormat="1" ht="11.4">
      <c r="A727" s="1074">
        <v>10</v>
      </c>
      <c r="B727" s="1075">
        <v>1</v>
      </c>
      <c r="C727" s="1075">
        <f>$A727*$B727</f>
        <v>10</v>
      </c>
      <c r="D727" s="1076" t="str">
        <f>Elec_Rates!$D$486</f>
        <v>058# General Power Point in LSZH Conduit</v>
      </c>
      <c r="E727" s="1076"/>
      <c r="F727" s="1076"/>
      <c r="G727" s="1077" t="s">
        <v>1008</v>
      </c>
      <c r="H727" s="1077"/>
      <c r="I727" s="1077"/>
      <c r="J727" s="1077"/>
      <c r="K727" s="1078"/>
      <c r="L727" s="1073"/>
      <c r="M727" s="1073"/>
      <c r="N727" s="1073"/>
      <c r="O727" s="1079"/>
      <c r="P727" s="1076"/>
      <c r="Q727" s="1080">
        <f ca="1">$B727*Elec_Rates!$R$486</f>
        <v>13.92</v>
      </c>
      <c r="R727" s="1071">
        <f ca="1">$A727*Q727</f>
        <v>139.19999999999999</v>
      </c>
      <c r="S727" s="1080">
        <f ca="1">$B727*Elec_Rates!$T$486</f>
        <v>1.43</v>
      </c>
      <c r="T727" s="1072">
        <f ca="1">$A727*S727</f>
        <v>14.299999999999999</v>
      </c>
      <c r="U727" s="1081"/>
    </row>
    <row r="728" spans="1:41" s="1039" customFormat="1" ht="13.2">
      <c r="A728" s="112">
        <v>10</v>
      </c>
      <c r="B728" s="1039" t="s">
        <v>949</v>
      </c>
      <c r="D728" s="1039" t="s">
        <v>1236</v>
      </c>
      <c r="G728" s="1040" t="s">
        <v>1231</v>
      </c>
      <c r="H728" s="1041">
        <v>705</v>
      </c>
      <c r="I728" s="1039" t="s">
        <v>1183</v>
      </c>
      <c r="J728" s="1039" t="s">
        <v>1232</v>
      </c>
      <c r="O728" s="1042">
        <v>3</v>
      </c>
      <c r="P728" s="1043">
        <v>34669</v>
      </c>
      <c r="Q728" s="1044">
        <v>34.1</v>
      </c>
      <c r="R728" s="1045">
        <f>$A728*Q728</f>
        <v>341</v>
      </c>
      <c r="S728" s="1044">
        <v>0.17</v>
      </c>
      <c r="T728" s="1046">
        <f>$A728*S728*$T$1</f>
        <v>1.7850000000000004</v>
      </c>
    </row>
    <row r="729" spans="1:41" s="504" customFormat="1" ht="12">
      <c r="A729" s="882"/>
      <c r="B729" s="882"/>
      <c r="C729" s="882"/>
      <c r="D729" s="882"/>
      <c r="E729" s="882"/>
      <c r="F729" s="877"/>
      <c r="G729" s="882"/>
      <c r="H729" s="882"/>
      <c r="I729" s="503"/>
      <c r="J729" s="882"/>
      <c r="K729" s="882"/>
      <c r="L729" s="882"/>
      <c r="M729" s="882"/>
      <c r="N729" s="882"/>
      <c r="O729" s="882"/>
      <c r="P729" s="882"/>
      <c r="Q729" s="503"/>
      <c r="R729" s="883">
        <f>$A729*Q729</f>
        <v>0</v>
      </c>
      <c r="S729" s="503"/>
      <c r="T729" s="884">
        <f>$A729*S729*$T$1</f>
        <v>0</v>
      </c>
    </row>
    <row r="730" spans="1:41" s="504" customFormat="1" ht="12.6" thickBot="1">
      <c r="A730" s="885" t="s">
        <v>142</v>
      </c>
      <c r="B730" s="886">
        <f>(R729+T729)</f>
        <v>0</v>
      </c>
      <c r="C730" s="887"/>
      <c r="D730" s="887"/>
      <c r="E730" s="887"/>
      <c r="F730" s="888"/>
      <c r="G730" s="887" t="s">
        <v>143</v>
      </c>
      <c r="H730" s="887"/>
      <c r="I730" s="889"/>
      <c r="J730" s="887"/>
      <c r="K730" s="887" t="s">
        <v>3</v>
      </c>
      <c r="L730" s="890" t="s">
        <v>140</v>
      </c>
      <c r="M730" s="890"/>
      <c r="N730" s="890"/>
      <c r="O730" s="890"/>
      <c r="P730" s="890"/>
      <c r="Q730" s="891"/>
      <c r="R730" s="892">
        <f ca="1">SUM(R725:R729)</f>
        <v>480.2</v>
      </c>
      <c r="S730" s="887"/>
      <c r="T730" s="892">
        <f ca="1">SUM(T725:T729)</f>
        <v>16.085000000000001</v>
      </c>
      <c r="U730" s="514"/>
      <c r="V730" s="514"/>
      <c r="W730" s="514"/>
      <c r="X730" s="514"/>
      <c r="Y730" s="514"/>
      <c r="Z730" s="514"/>
      <c r="AA730" s="514"/>
      <c r="AB730" s="514"/>
      <c r="AC730" s="514"/>
      <c r="AD730" s="514"/>
      <c r="AE730" s="514"/>
      <c r="AF730" s="514"/>
      <c r="AG730" s="514"/>
      <c r="AH730" s="514"/>
      <c r="AI730" s="514"/>
      <c r="AJ730" s="514"/>
      <c r="AK730" s="514"/>
      <c r="AL730" s="514"/>
      <c r="AM730" s="514"/>
      <c r="AN730" s="514"/>
      <c r="AO730" s="514"/>
    </row>
    <row r="731" spans="1:41" s="504" customFormat="1" ht="12" thickTop="1">
      <c r="A731" s="50"/>
      <c r="B731" s="40"/>
      <c r="C731" s="50"/>
      <c r="E731" s="41" t="s">
        <v>136</v>
      </c>
      <c r="F731" s="41" t="s">
        <v>137</v>
      </c>
      <c r="G731" s="50"/>
      <c r="H731" s="50"/>
      <c r="I731" s="50"/>
      <c r="J731" s="50"/>
      <c r="K731" s="50" t="s">
        <v>138</v>
      </c>
      <c r="L731" s="50"/>
      <c r="M731" s="50"/>
      <c r="N731" s="50"/>
      <c r="O731" s="51"/>
      <c r="P731" s="50"/>
      <c r="Q731" s="50"/>
      <c r="R731" s="50"/>
      <c r="S731" s="50"/>
      <c r="T731" s="40"/>
      <c r="AG731" s="867" t="s">
        <v>241</v>
      </c>
      <c r="AH731" s="867" t="s">
        <v>242</v>
      </c>
      <c r="AI731" s="867" t="s">
        <v>243</v>
      </c>
      <c r="AJ731" s="867" t="s">
        <v>244</v>
      </c>
      <c r="AK731" s="867" t="s">
        <v>245</v>
      </c>
      <c r="AM731" s="868" t="s">
        <v>254</v>
      </c>
      <c r="AN731" s="869" t="s">
        <v>255</v>
      </c>
      <c r="AO731" s="505" t="s">
        <v>251</v>
      </c>
    </row>
    <row r="732" spans="1:41" s="504" customFormat="1" ht="12" customHeight="1">
      <c r="A732" s="870">
        <v>6</v>
      </c>
      <c r="B732" s="871" t="s">
        <v>335</v>
      </c>
      <c r="C732" s="872"/>
      <c r="D732" s="873" t="s">
        <v>812</v>
      </c>
      <c r="E732" s="874">
        <f ca="1">IF(AND($A732=0,$A$1="DIF"),0, ROUND(ROUND(($R738*$S$2+($T738*$T$2))/A732,2)*$C$2,2))</f>
        <v>79.88</v>
      </c>
      <c r="F732" s="875">
        <f ca="1">ROUND($A732*$E732,2)</f>
        <v>479.28</v>
      </c>
      <c r="G732" s="876" t="s">
        <v>139</v>
      </c>
      <c r="H732" s="877"/>
      <c r="I732" s="878"/>
      <c r="J732" s="877"/>
      <c r="K732" s="877" t="s">
        <v>3</v>
      </c>
      <c r="L732" s="879" t="s">
        <v>140</v>
      </c>
      <c r="M732" s="879"/>
      <c r="N732" s="879"/>
      <c r="O732" s="879"/>
      <c r="P732" s="879"/>
      <c r="Q732" s="50"/>
      <c r="T732" s="880" t="str">
        <f ca="1">IF(AND($R738=0,$T738=0),"0.00","mu :" &amp; ROUND($F732/$C$2/($R738+$T738*$D$9),2))</f>
        <v>mu :1.22</v>
      </c>
      <c r="W732" s="507"/>
      <c r="AG732" s="465">
        <f ca="1">IF($E732=0,0,ROUND($R738*$S$2*$C$2/$A732,2))</f>
        <v>23.3</v>
      </c>
      <c r="AH732" s="465">
        <f ca="1">$AG732*$A732</f>
        <v>139.80000000000001</v>
      </c>
      <c r="AI732" s="508">
        <f ca="1">$E732-$AG732</f>
        <v>56.58</v>
      </c>
      <c r="AJ732" s="508">
        <f ca="1">$A732*$AI732</f>
        <v>339.48</v>
      </c>
      <c r="AK732" s="509">
        <f ca="1">ROUND(($AG732+$AI732)*$A732,2)</f>
        <v>479.28</v>
      </c>
      <c r="AM732" s="510">
        <f ca="1">ROUND(R738,2)</f>
        <v>114.6</v>
      </c>
      <c r="AN732" s="511">
        <f ca="1">ROUND(T738,2)</f>
        <v>9.65</v>
      </c>
      <c r="AO732" s="512">
        <f ca="1">ROUND(AM732+AN732,2)*A732</f>
        <v>745.5</v>
      </c>
    </row>
    <row r="733" spans="1:41" s="504" customFormat="1" ht="13.2">
      <c r="A733" s="872"/>
      <c r="B733"/>
      <c r="C733" s="872"/>
      <c r="D733" s="873" t="s">
        <v>363</v>
      </c>
      <c r="F733" s="877"/>
      <c r="G733" s="3"/>
      <c r="H733" s="877"/>
      <c r="I733" s="878"/>
      <c r="J733" s="877"/>
      <c r="K733" s="877" t="s">
        <v>141</v>
      </c>
      <c r="L733" s="877"/>
      <c r="M733" s="877"/>
      <c r="N733" s="877"/>
      <c r="O733" s="877"/>
      <c r="P733" s="877"/>
      <c r="Q733" s="50"/>
      <c r="R733" s="513"/>
      <c r="S733" s="881"/>
      <c r="T733" s="877"/>
    </row>
    <row r="734" spans="1:41" s="997" customFormat="1" ht="13.2">
      <c r="A734"/>
      <c r="B734" s="1065"/>
      <c r="C734" s="1065" t="s">
        <v>1006</v>
      </c>
      <c r="D734" s="1065" t="str">
        <f ca="1">CELL("Address",Elec_Rates!D$486)</f>
        <v>[EL25_0662B_Brittania_Hotel_Elec_Revised_Estim_B.xlsx]Elec_Rates!$D$486</v>
      </c>
      <c r="E734" s="1066"/>
      <c r="F734" s="1066"/>
      <c r="G734" s="1067" t="s">
        <v>1007</v>
      </c>
      <c r="H734" s="1067"/>
      <c r="I734" s="1067"/>
      <c r="J734" s="1067"/>
      <c r="K734" s="1068"/>
      <c r="L734" s="1066"/>
      <c r="M734" s="1066"/>
      <c r="N734" s="1066"/>
      <c r="O734" s="1069"/>
      <c r="P734" s="1066"/>
      <c r="Q734" s="1070"/>
      <c r="R734" s="1071"/>
      <c r="S734" s="1070"/>
      <c r="T734" s="1072"/>
      <c r="U734" s="1073"/>
    </row>
    <row r="735" spans="1:41" s="997" customFormat="1" ht="11.4">
      <c r="A735" s="1074">
        <v>6</v>
      </c>
      <c r="B735" s="1075">
        <v>1</v>
      </c>
      <c r="C735" s="1075">
        <f>$A735*$B735</f>
        <v>6</v>
      </c>
      <c r="D735" s="1076" t="str">
        <f>Elec_Rates!$D$486</f>
        <v>058# General Power Point in LSZH Conduit</v>
      </c>
      <c r="E735" s="1076"/>
      <c r="F735" s="1076"/>
      <c r="G735" s="1077" t="s">
        <v>1008</v>
      </c>
      <c r="H735" s="1077"/>
      <c r="I735" s="1077"/>
      <c r="J735" s="1077"/>
      <c r="K735" s="1078"/>
      <c r="L735" s="1073"/>
      <c r="M735" s="1073"/>
      <c r="N735" s="1073"/>
      <c r="O735" s="1079"/>
      <c r="P735" s="1076"/>
      <c r="Q735" s="1080">
        <f ca="1">$B735*Elec_Rates!$R$486</f>
        <v>13.92</v>
      </c>
      <c r="R735" s="1071">
        <f ca="1">$A735*Q735</f>
        <v>83.52</v>
      </c>
      <c r="S735" s="1080">
        <f ca="1">$B735*Elec_Rates!$T$486</f>
        <v>1.43</v>
      </c>
      <c r="T735" s="1072">
        <f ca="1">$A735*S735</f>
        <v>8.58</v>
      </c>
      <c r="U735" s="1081"/>
    </row>
    <row r="736" spans="1:41" s="1039" customFormat="1" ht="13.2">
      <c r="A736" s="112">
        <v>6</v>
      </c>
      <c r="B736" s="1039" t="s">
        <v>949</v>
      </c>
      <c r="D736" s="1039" t="s">
        <v>1237</v>
      </c>
      <c r="G736" s="1040" t="s">
        <v>1231</v>
      </c>
      <c r="H736" s="1041">
        <v>705</v>
      </c>
      <c r="I736" s="1039" t="s">
        <v>1183</v>
      </c>
      <c r="J736" s="1039" t="s">
        <v>1232</v>
      </c>
      <c r="O736" s="1042">
        <v>3</v>
      </c>
      <c r="P736" s="1043">
        <v>34669</v>
      </c>
      <c r="Q736" s="1044">
        <v>5.18</v>
      </c>
      <c r="R736" s="1045">
        <f>$A736*Q736</f>
        <v>31.08</v>
      </c>
      <c r="S736" s="1044">
        <v>0.17</v>
      </c>
      <c r="T736" s="1046">
        <f>$A736*S736*$T$1</f>
        <v>1.0710000000000002</v>
      </c>
    </row>
    <row r="737" spans="1:41" s="504" customFormat="1" ht="12">
      <c r="A737" s="882"/>
      <c r="B737" s="882"/>
      <c r="C737" s="882"/>
      <c r="D737" s="882"/>
      <c r="E737" s="882"/>
      <c r="F737" s="877"/>
      <c r="G737" s="882"/>
      <c r="H737" s="882"/>
      <c r="I737" s="503"/>
      <c r="J737" s="882"/>
      <c r="K737" s="882"/>
      <c r="L737" s="882"/>
      <c r="M737" s="882"/>
      <c r="N737" s="882"/>
      <c r="O737" s="882"/>
      <c r="P737" s="882"/>
      <c r="Q737" s="503"/>
      <c r="R737" s="883">
        <f>$A737*Q737</f>
        <v>0</v>
      </c>
      <c r="S737" s="503"/>
      <c r="T737" s="884">
        <f>$A737*S737*$T$1</f>
        <v>0</v>
      </c>
    </row>
    <row r="738" spans="1:41" s="504" customFormat="1" ht="12.6" thickBot="1">
      <c r="A738" s="885" t="s">
        <v>142</v>
      </c>
      <c r="B738" s="886">
        <f>(R737+T737)</f>
        <v>0</v>
      </c>
      <c r="C738" s="887"/>
      <c r="D738" s="887"/>
      <c r="E738" s="887"/>
      <c r="F738" s="888"/>
      <c r="G738" s="887" t="s">
        <v>143</v>
      </c>
      <c r="H738" s="887"/>
      <c r="I738" s="889"/>
      <c r="J738" s="887"/>
      <c r="K738" s="887" t="s">
        <v>3</v>
      </c>
      <c r="L738" s="890" t="s">
        <v>140</v>
      </c>
      <c r="M738" s="890"/>
      <c r="N738" s="890"/>
      <c r="O738" s="890"/>
      <c r="P738" s="890"/>
      <c r="Q738" s="891"/>
      <c r="R738" s="892">
        <f ca="1">SUM(R733:R737)</f>
        <v>114.6</v>
      </c>
      <c r="S738" s="887"/>
      <c r="T738" s="892">
        <f ca="1">SUM(T733:T737)</f>
        <v>9.6509999999999998</v>
      </c>
      <c r="U738" s="514"/>
      <c r="V738" s="514"/>
      <c r="W738" s="514"/>
      <c r="X738" s="514"/>
      <c r="Y738" s="514"/>
      <c r="Z738" s="514"/>
      <c r="AA738" s="514"/>
      <c r="AB738" s="514"/>
      <c r="AC738" s="514"/>
      <c r="AD738" s="514"/>
      <c r="AE738" s="514"/>
      <c r="AF738" s="514"/>
      <c r="AG738" s="514"/>
      <c r="AH738" s="514"/>
      <c r="AI738" s="514"/>
      <c r="AJ738" s="514"/>
      <c r="AK738" s="514"/>
      <c r="AL738" s="514"/>
      <c r="AM738" s="514"/>
      <c r="AN738" s="514"/>
      <c r="AO738" s="514"/>
    </row>
    <row r="739" spans="1:41" s="504" customFormat="1" ht="12" thickTop="1">
      <c r="A739" s="50"/>
      <c r="B739" s="40"/>
      <c r="C739" s="50"/>
      <c r="E739" s="41" t="s">
        <v>136</v>
      </c>
      <c r="F739" s="41" t="s">
        <v>137</v>
      </c>
      <c r="G739" s="50"/>
      <c r="H739" s="50"/>
      <c r="I739" s="50"/>
      <c r="J739" s="50"/>
      <c r="K739" s="50" t="s">
        <v>138</v>
      </c>
      <c r="L739" s="50"/>
      <c r="M739" s="50"/>
      <c r="N739" s="50"/>
      <c r="O739" s="51"/>
      <c r="P739" s="50"/>
      <c r="Q739" s="50"/>
      <c r="R739" s="50"/>
      <c r="S739" s="50"/>
      <c r="T739" s="40"/>
      <c r="AG739" s="867" t="s">
        <v>241</v>
      </c>
      <c r="AH739" s="867" t="s">
        <v>242</v>
      </c>
      <c r="AI739" s="867" t="s">
        <v>243</v>
      </c>
      <c r="AJ739" s="867" t="s">
        <v>244</v>
      </c>
      <c r="AK739" s="867" t="s">
        <v>245</v>
      </c>
      <c r="AM739" s="868" t="s">
        <v>254</v>
      </c>
      <c r="AN739" s="869" t="s">
        <v>255</v>
      </c>
      <c r="AO739" s="505" t="s">
        <v>251</v>
      </c>
    </row>
    <row r="740" spans="1:41" s="504" customFormat="1" ht="12" customHeight="1">
      <c r="A740" s="870">
        <v>6</v>
      </c>
      <c r="B740" s="871" t="s">
        <v>335</v>
      </c>
      <c r="C740" s="872"/>
      <c r="D740" s="873" t="s">
        <v>819</v>
      </c>
      <c r="E740" s="874">
        <f ca="1">IF(AND($A740=0,$A$1="DIF"),0, ROUND(ROUND(($R746*$S$2+($T746*$T$2))/A740,2)*$C$2,2))</f>
        <v>79.88</v>
      </c>
      <c r="F740" s="875">
        <f ca="1">ROUND($A740*$E740,2)</f>
        <v>479.28</v>
      </c>
      <c r="G740" s="876" t="s">
        <v>139</v>
      </c>
      <c r="H740" s="877"/>
      <c r="I740" s="878"/>
      <c r="J740" s="877"/>
      <c r="K740" s="877" t="s">
        <v>3</v>
      </c>
      <c r="L740" s="879" t="s">
        <v>140</v>
      </c>
      <c r="M740" s="879"/>
      <c r="N740" s="879"/>
      <c r="O740" s="879"/>
      <c r="P740" s="879"/>
      <c r="Q740" s="50"/>
      <c r="T740" s="880" t="str">
        <f ca="1">IF(AND($R746=0,$T746=0),"0.00","mu :" &amp; ROUND($F740/$C$2/($R746+$T746*$D$9),2))</f>
        <v>mu :1.22</v>
      </c>
      <c r="W740" s="507"/>
      <c r="AG740" s="465">
        <f ca="1">IF($E740=0,0,ROUND($R746*$S$2*$C$2/$A740,2))</f>
        <v>23.3</v>
      </c>
      <c r="AH740" s="465">
        <f ca="1">$AG740*$A740</f>
        <v>139.80000000000001</v>
      </c>
      <c r="AI740" s="508">
        <f ca="1">$E740-$AG740</f>
        <v>56.58</v>
      </c>
      <c r="AJ740" s="508">
        <f ca="1">$A740*$AI740</f>
        <v>339.48</v>
      </c>
      <c r="AK740" s="509">
        <f ca="1">ROUND(($AG740+$AI740)*$A740,2)</f>
        <v>479.28</v>
      </c>
      <c r="AM740" s="510">
        <f ca="1">ROUND(R746,2)</f>
        <v>114.6</v>
      </c>
      <c r="AN740" s="511">
        <f ca="1">ROUND(T746,2)</f>
        <v>9.65</v>
      </c>
      <c r="AO740" s="512">
        <f ca="1">ROUND(AM740+AN740,2)*A740</f>
        <v>745.5</v>
      </c>
    </row>
    <row r="741" spans="1:41" s="504" customFormat="1" ht="13.2">
      <c r="A741" s="872"/>
      <c r="B741"/>
      <c r="C741" s="872"/>
      <c r="D741" s="873" t="s">
        <v>364</v>
      </c>
      <c r="F741" s="877"/>
      <c r="G741" s="3"/>
      <c r="H741" s="877"/>
      <c r="I741" s="878"/>
      <c r="J741" s="877"/>
      <c r="K741" s="877" t="s">
        <v>141</v>
      </c>
      <c r="L741" s="877"/>
      <c r="M741" s="877"/>
      <c r="N741" s="877"/>
      <c r="O741" s="877"/>
      <c r="P741" s="877"/>
      <c r="Q741" s="50"/>
      <c r="R741" s="513"/>
      <c r="S741" s="881"/>
      <c r="T741" s="877"/>
    </row>
    <row r="742" spans="1:41" s="997" customFormat="1" ht="13.2">
      <c r="A742"/>
      <c r="B742" s="1065"/>
      <c r="C742" s="1065" t="s">
        <v>1006</v>
      </c>
      <c r="D742" s="1065" t="str">
        <f ca="1">CELL("Address",Elec_Rates!D$486)</f>
        <v>[EL25_0662B_Brittania_Hotel_Elec_Revised_Estim_B.xlsx]Elec_Rates!$D$486</v>
      </c>
      <c r="E742" s="1066"/>
      <c r="F742" s="1066"/>
      <c r="G742" s="1067" t="s">
        <v>1007</v>
      </c>
      <c r="H742" s="1067"/>
      <c r="I742" s="1067"/>
      <c r="J742" s="1067"/>
      <c r="K742" s="1068"/>
      <c r="L742" s="1066"/>
      <c r="M742" s="1066"/>
      <c r="N742" s="1066"/>
      <c r="O742" s="1069"/>
      <c r="P742" s="1066"/>
      <c r="Q742" s="1070"/>
      <c r="R742" s="1071"/>
      <c r="S742" s="1070"/>
      <c r="T742" s="1072"/>
      <c r="U742" s="1073"/>
    </row>
    <row r="743" spans="1:41" s="997" customFormat="1" ht="11.4">
      <c r="A743" s="1074">
        <v>6</v>
      </c>
      <c r="B743" s="1075">
        <v>1</v>
      </c>
      <c r="C743" s="1075">
        <f>$A743*$B743</f>
        <v>6</v>
      </c>
      <c r="D743" s="1076" t="str">
        <f>Elec_Rates!$D$486</f>
        <v>058# General Power Point in LSZH Conduit</v>
      </c>
      <c r="E743" s="1076"/>
      <c r="F743" s="1076"/>
      <c r="G743" s="1077" t="s">
        <v>1008</v>
      </c>
      <c r="H743" s="1077"/>
      <c r="I743" s="1077"/>
      <c r="J743" s="1077"/>
      <c r="K743" s="1078"/>
      <c r="L743" s="1073"/>
      <c r="M743" s="1073"/>
      <c r="N743" s="1073"/>
      <c r="O743" s="1079"/>
      <c r="P743" s="1076"/>
      <c r="Q743" s="1080">
        <f ca="1">$B743*Elec_Rates!$R$486</f>
        <v>13.92</v>
      </c>
      <c r="R743" s="1071">
        <f ca="1">$A743*Q743</f>
        <v>83.52</v>
      </c>
      <c r="S743" s="1080">
        <f ca="1">$B743*Elec_Rates!$T$486</f>
        <v>1.43</v>
      </c>
      <c r="T743" s="1072">
        <f ca="1">$A743*S743</f>
        <v>8.58</v>
      </c>
      <c r="U743" s="1081"/>
    </row>
    <row r="744" spans="1:41" s="1039" customFormat="1" ht="13.2">
      <c r="A744" s="112">
        <v>6</v>
      </c>
      <c r="B744" s="1039" t="s">
        <v>949</v>
      </c>
      <c r="D744" s="1039" t="s">
        <v>1238</v>
      </c>
      <c r="G744" s="1040" t="s">
        <v>1231</v>
      </c>
      <c r="H744" s="1041">
        <v>705</v>
      </c>
      <c r="I744" s="1039" t="s">
        <v>1183</v>
      </c>
      <c r="J744" s="1039" t="s">
        <v>1232</v>
      </c>
      <c r="O744" s="1042">
        <v>3</v>
      </c>
      <c r="P744" s="1043">
        <v>34669</v>
      </c>
      <c r="Q744" s="1044">
        <v>5.18</v>
      </c>
      <c r="R744" s="1045">
        <f>$A744*Q744</f>
        <v>31.08</v>
      </c>
      <c r="S744" s="1044">
        <v>0.17</v>
      </c>
      <c r="T744" s="1046">
        <f>$A744*S744*$T$1</f>
        <v>1.0710000000000002</v>
      </c>
    </row>
    <row r="745" spans="1:41" s="504" customFormat="1" ht="12">
      <c r="A745" s="882"/>
      <c r="B745" s="882"/>
      <c r="C745" s="882"/>
      <c r="D745" s="882"/>
      <c r="E745" s="882"/>
      <c r="F745" s="877"/>
      <c r="G745" s="882"/>
      <c r="H745" s="882"/>
      <c r="I745" s="503"/>
      <c r="J745" s="882"/>
      <c r="K745" s="882"/>
      <c r="L745" s="882"/>
      <c r="M745" s="882"/>
      <c r="N745" s="882"/>
      <c r="O745" s="882"/>
      <c r="P745" s="882"/>
      <c r="Q745" s="503"/>
      <c r="R745" s="883">
        <f>$A745*Q745</f>
        <v>0</v>
      </c>
      <c r="S745" s="503"/>
      <c r="T745" s="884">
        <f>$A745*S745*$T$1</f>
        <v>0</v>
      </c>
    </row>
    <row r="746" spans="1:41" s="504" customFormat="1" ht="12.6" thickBot="1">
      <c r="A746" s="885" t="s">
        <v>142</v>
      </c>
      <c r="B746" s="886">
        <f>(R745+T745)</f>
        <v>0</v>
      </c>
      <c r="C746" s="887"/>
      <c r="D746" s="887"/>
      <c r="E746" s="887"/>
      <c r="F746" s="888"/>
      <c r="G746" s="887" t="s">
        <v>143</v>
      </c>
      <c r="H746" s="887"/>
      <c r="I746" s="889"/>
      <c r="J746" s="887"/>
      <c r="K746" s="887" t="s">
        <v>3</v>
      </c>
      <c r="L746" s="890" t="s">
        <v>140</v>
      </c>
      <c r="M746" s="890"/>
      <c r="N746" s="890"/>
      <c r="O746" s="890"/>
      <c r="P746" s="890"/>
      <c r="Q746" s="891"/>
      <c r="R746" s="892">
        <f ca="1">SUM(R741:R745)</f>
        <v>114.6</v>
      </c>
      <c r="S746" s="887"/>
      <c r="T746" s="892">
        <f ca="1">SUM(T741:T745)</f>
        <v>9.6509999999999998</v>
      </c>
      <c r="U746" s="514"/>
      <c r="V746" s="514"/>
      <c r="W746" s="514"/>
      <c r="X746" s="514"/>
      <c r="Y746" s="514"/>
      <c r="Z746" s="514"/>
      <c r="AA746" s="514"/>
      <c r="AB746" s="514"/>
      <c r="AC746" s="514"/>
      <c r="AD746" s="514"/>
      <c r="AE746" s="514"/>
      <c r="AF746" s="514"/>
      <c r="AG746" s="514"/>
      <c r="AH746" s="514"/>
      <c r="AI746" s="514"/>
      <c r="AJ746" s="514"/>
      <c r="AK746" s="514"/>
      <c r="AL746" s="514"/>
      <c r="AM746" s="514"/>
      <c r="AN746" s="514"/>
      <c r="AO746" s="514"/>
    </row>
    <row r="747" spans="1:41" s="504" customFormat="1" thickTop="1">
      <c r="A747" s="50"/>
      <c r="B747" s="50"/>
      <c r="C747" s="3"/>
      <c r="D747" s="3"/>
      <c r="E747" s="50"/>
      <c r="F747" s="50"/>
      <c r="G747" s="50"/>
      <c r="H747" s="50"/>
      <c r="I747" s="50"/>
      <c r="J747" s="50"/>
      <c r="K747" s="50" t="s">
        <v>133</v>
      </c>
      <c r="L747" s="50"/>
      <c r="M747" s="50"/>
      <c r="N747" s="50"/>
      <c r="O747" s="51"/>
      <c r="P747" s="50"/>
      <c r="Q747" s="50"/>
      <c r="R747" s="50"/>
      <c r="S747" s="50"/>
      <c r="T747" s="50"/>
    </row>
    <row r="748" spans="1:41" s="504" customFormat="1" ht="12">
      <c r="A748" s="50"/>
      <c r="B748" s="50"/>
      <c r="C748" s="50" t="s">
        <v>134</v>
      </c>
      <c r="D748" s="37"/>
      <c r="E748" s="50"/>
      <c r="F748" s="50"/>
      <c r="G748" s="50"/>
      <c r="H748" s="50"/>
      <c r="I748" s="50"/>
      <c r="J748" s="50"/>
      <c r="K748" s="50"/>
      <c r="L748" s="50"/>
      <c r="M748" s="50"/>
      <c r="N748" s="50"/>
      <c r="O748" s="51"/>
      <c r="P748" s="50"/>
      <c r="Q748" s="50"/>
      <c r="R748" s="50"/>
      <c r="S748" s="50"/>
      <c r="T748" s="50"/>
    </row>
    <row r="749" spans="1:41" s="504" customFormat="1" ht="12">
      <c r="A749" s="50"/>
      <c r="B749" s="50"/>
      <c r="C749" s="50"/>
      <c r="D749" s="37" t="s">
        <v>802</v>
      </c>
      <c r="E749" s="50"/>
      <c r="F749" s="50"/>
      <c r="G749" s="50"/>
      <c r="H749" s="50"/>
      <c r="I749" s="50"/>
      <c r="J749" s="50"/>
      <c r="K749" s="50"/>
      <c r="L749" s="50"/>
      <c r="M749" s="50"/>
      <c r="N749" s="50"/>
      <c r="O749" s="51"/>
      <c r="P749" s="50"/>
      <c r="Q749" s="50"/>
      <c r="R749" s="50"/>
      <c r="S749" s="38"/>
      <c r="T749" s="38"/>
    </row>
    <row r="750" spans="1:41" s="3" customFormat="1" thickBot="1">
      <c r="A750" s="514"/>
      <c r="O750" s="103"/>
    </row>
    <row r="751" spans="1:41" s="504" customFormat="1" thickTop="1">
      <c r="A751" s="50"/>
      <c r="B751" s="50"/>
      <c r="C751" s="3"/>
      <c r="D751" s="3"/>
      <c r="E751" s="50"/>
      <c r="F751" s="50"/>
      <c r="G751" s="50"/>
      <c r="H751" s="50"/>
      <c r="I751" s="50"/>
      <c r="J751" s="50"/>
      <c r="K751" s="50" t="s">
        <v>133</v>
      </c>
      <c r="L751" s="50"/>
      <c r="M751" s="50"/>
      <c r="N751" s="50"/>
      <c r="O751" s="51"/>
      <c r="P751" s="50"/>
      <c r="Q751" s="50"/>
      <c r="R751" s="50"/>
      <c r="S751" s="50"/>
      <c r="T751" s="50"/>
    </row>
    <row r="752" spans="1:41" s="504" customFormat="1" ht="12">
      <c r="A752" s="50"/>
      <c r="B752" s="50"/>
      <c r="C752" s="50" t="s">
        <v>134</v>
      </c>
      <c r="D752" s="873" t="s">
        <v>844</v>
      </c>
      <c r="E752" s="50"/>
      <c r="F752" s="50"/>
      <c r="G752" s="50"/>
      <c r="H752" s="50"/>
      <c r="I752" s="50"/>
      <c r="J752" s="50"/>
      <c r="K752" s="50"/>
      <c r="L752" s="50"/>
      <c r="M752" s="50"/>
      <c r="N752" s="50"/>
      <c r="O752" s="51"/>
      <c r="P752" s="50"/>
      <c r="Q752" s="50"/>
      <c r="R752" s="50"/>
      <c r="S752" s="50"/>
      <c r="T752" s="50"/>
    </row>
    <row r="753" spans="1:41" s="504" customFormat="1" ht="12">
      <c r="A753" s="50"/>
      <c r="B753" s="50"/>
      <c r="C753" s="50"/>
      <c r="D753" s="873" t="s">
        <v>293</v>
      </c>
      <c r="E753" s="50"/>
      <c r="F753" s="50"/>
      <c r="G753" s="50"/>
      <c r="H753" s="50"/>
      <c r="I753" s="50"/>
      <c r="J753" s="50"/>
      <c r="K753" s="50"/>
      <c r="L753" s="50"/>
      <c r="M753" s="50"/>
      <c r="N753" s="50"/>
      <c r="O753" s="51"/>
      <c r="P753" s="50"/>
      <c r="Q753" s="50"/>
      <c r="R753" s="50"/>
      <c r="S753" s="38"/>
      <c r="T753" s="38"/>
    </row>
    <row r="754" spans="1:41" s="3" customFormat="1" thickBot="1">
      <c r="A754" s="514"/>
      <c r="O754" s="103"/>
    </row>
    <row r="755" spans="1:41" s="504" customFormat="1" ht="12" thickTop="1">
      <c r="A755" s="50"/>
      <c r="B755" s="40"/>
      <c r="C755" s="50"/>
      <c r="E755" s="41" t="s">
        <v>136</v>
      </c>
      <c r="F755" s="41" t="s">
        <v>137</v>
      </c>
      <c r="G755" s="50"/>
      <c r="H755" s="50"/>
      <c r="I755" s="50"/>
      <c r="J755" s="50"/>
      <c r="K755" s="50" t="s">
        <v>138</v>
      </c>
      <c r="L755" s="50"/>
      <c r="M755" s="50"/>
      <c r="N755" s="50"/>
      <c r="O755" s="51"/>
      <c r="P755" s="50"/>
      <c r="Q755" s="50"/>
      <c r="R755" s="50"/>
      <c r="S755" s="50"/>
      <c r="T755" s="40"/>
      <c r="AG755" s="867" t="s">
        <v>241</v>
      </c>
      <c r="AH755" s="867" t="s">
        <v>242</v>
      </c>
      <c r="AI755" s="867" t="s">
        <v>243</v>
      </c>
      <c r="AJ755" s="867" t="s">
        <v>244</v>
      </c>
      <c r="AK755" s="867" t="s">
        <v>245</v>
      </c>
      <c r="AM755" s="868" t="s">
        <v>254</v>
      </c>
      <c r="AN755" s="869" t="s">
        <v>255</v>
      </c>
      <c r="AO755" s="505" t="s">
        <v>251</v>
      </c>
    </row>
    <row r="756" spans="1:41" s="504" customFormat="1" ht="12" customHeight="1">
      <c r="A756" s="870">
        <v>1</v>
      </c>
      <c r="B756" s="871" t="s">
        <v>335</v>
      </c>
      <c r="C756" s="872"/>
      <c r="D756" s="873" t="s">
        <v>804</v>
      </c>
      <c r="E756" s="874">
        <f>IF(AND($A756=0,$A$1="DIF"),0, ROUND(ROUND(($R760*$S$2+($T760*$T$2))/A756,2)*$C$2,2))</f>
        <v>996.39</v>
      </c>
      <c r="F756" s="875">
        <f>ROUND($A756*$E756,2)</f>
        <v>996.39</v>
      </c>
      <c r="G756" s="876" t="s">
        <v>139</v>
      </c>
      <c r="H756" s="877"/>
      <c r="I756" s="878"/>
      <c r="J756" s="877"/>
      <c r="K756" s="877" t="s">
        <v>3</v>
      </c>
      <c r="L756" s="879" t="s">
        <v>140</v>
      </c>
      <c r="M756" s="879"/>
      <c r="N756" s="879"/>
      <c r="O756" s="879"/>
      <c r="P756" s="879"/>
      <c r="Q756" s="50"/>
      <c r="T756" s="880" t="str">
        <f>IF(AND($R760=0,$T760=0),"0.00","mu :" &amp; ROUND($F756/$C$2/($R760+$T760*$D$9),2))</f>
        <v>mu :1.22</v>
      </c>
      <c r="W756" s="507"/>
      <c r="AG756" s="465">
        <f>IF($E756=0,0,ROUND($R760*$S$2*$C$2/$A756,2))</f>
        <v>996.39</v>
      </c>
      <c r="AH756" s="465">
        <f>$AG756*$A756</f>
        <v>996.39</v>
      </c>
      <c r="AI756" s="508">
        <f>$E756-$AG756</f>
        <v>0</v>
      </c>
      <c r="AJ756" s="508">
        <f>$A756*$AI756</f>
        <v>0</v>
      </c>
      <c r="AK756" s="509">
        <f>ROUND(($AG756+$AI756)*$A756,2)</f>
        <v>996.39</v>
      </c>
      <c r="AM756" s="510">
        <f>ROUND(R760,2)</f>
        <v>816.71</v>
      </c>
      <c r="AN756" s="511">
        <f>ROUND(T760,2)</f>
        <v>0</v>
      </c>
      <c r="AO756" s="512">
        <f>ROUND(AM756+AN756,2)*A756</f>
        <v>816.71</v>
      </c>
    </row>
    <row r="757" spans="1:41" s="504" customFormat="1" ht="13.2">
      <c r="A757" s="872"/>
      <c r="B757"/>
      <c r="C757" s="872"/>
      <c r="D757" s="873" t="s">
        <v>365</v>
      </c>
      <c r="F757" s="877"/>
      <c r="G757" s="3"/>
      <c r="H757" s="877"/>
      <c r="I757" s="878"/>
      <c r="J757" s="877"/>
      <c r="K757" s="877" t="s">
        <v>141</v>
      </c>
      <c r="L757" s="877"/>
      <c r="M757" s="877"/>
      <c r="N757" s="877"/>
      <c r="O757" s="877"/>
      <c r="P757" s="877"/>
      <c r="Q757" s="50"/>
      <c r="R757" s="513"/>
      <c r="S757" s="881"/>
      <c r="T757" s="877"/>
    </row>
    <row r="758" spans="1:41" s="504" customFormat="1" ht="13.2">
      <c r="A758">
        <v>1</v>
      </c>
      <c r="B758" s="1039" t="s">
        <v>949</v>
      </c>
      <c r="C758" s="1039"/>
      <c r="D758" s="1039" t="s">
        <v>1257</v>
      </c>
      <c r="E758" s="1039"/>
      <c r="F758" s="1039"/>
      <c r="G758" s="1040" t="s">
        <v>950</v>
      </c>
      <c r="H758" s="1041">
        <v>510</v>
      </c>
      <c r="I758" s="1039" t="s">
        <v>951</v>
      </c>
      <c r="J758" s="1039"/>
      <c r="K758" s="882"/>
      <c r="L758" s="1039"/>
      <c r="M758" s="1039"/>
      <c r="N758" s="1039"/>
      <c r="O758" s="1042">
        <v>2</v>
      </c>
      <c r="P758" s="1043"/>
      <c r="Q758" s="1044">
        <v>816.71</v>
      </c>
      <c r="R758" s="883">
        <f>$A758*Q758</f>
        <v>816.71</v>
      </c>
      <c r="S758" s="1044"/>
      <c r="T758" s="1046">
        <f>$A758*S758*$T$1</f>
        <v>0</v>
      </c>
    </row>
    <row r="759" spans="1:41" s="504" customFormat="1" ht="12">
      <c r="A759" s="882"/>
      <c r="B759" s="882"/>
      <c r="C759" s="882"/>
      <c r="D759" s="882"/>
      <c r="E759" s="882"/>
      <c r="F759" s="877"/>
      <c r="G759" s="882"/>
      <c r="H759" s="882"/>
      <c r="I759" s="503"/>
      <c r="J759" s="882"/>
      <c r="K759" s="882"/>
      <c r="L759" s="882"/>
      <c r="M759" s="882"/>
      <c r="N759" s="882"/>
      <c r="O759" s="882"/>
      <c r="P759" s="882"/>
      <c r="Q759" s="503"/>
      <c r="R759" s="883">
        <f>$A759*Q759</f>
        <v>0</v>
      </c>
      <c r="S759" s="503"/>
      <c r="T759" s="884">
        <f>$A759*S759*$T$1</f>
        <v>0</v>
      </c>
    </row>
    <row r="760" spans="1:41" s="504" customFormat="1" ht="12.6" thickBot="1">
      <c r="A760" s="885" t="s">
        <v>142</v>
      </c>
      <c r="B760" s="886">
        <f>(R759+T759)</f>
        <v>0</v>
      </c>
      <c r="C760" s="887"/>
      <c r="D760" s="887"/>
      <c r="E760" s="887"/>
      <c r="F760" s="888"/>
      <c r="G760" s="887" t="s">
        <v>143</v>
      </c>
      <c r="H760" s="887"/>
      <c r="I760" s="889"/>
      <c r="J760" s="887"/>
      <c r="K760" s="887" t="s">
        <v>3</v>
      </c>
      <c r="L760" s="890" t="s">
        <v>140</v>
      </c>
      <c r="M760" s="890"/>
      <c r="N760" s="890"/>
      <c r="O760" s="890"/>
      <c r="P760" s="890"/>
      <c r="Q760" s="891"/>
      <c r="R760" s="892">
        <f>SUM(R757:R759)</f>
        <v>816.71</v>
      </c>
      <c r="S760" s="887"/>
      <c r="T760" s="892">
        <f>SUM(T757:T759)</f>
        <v>0</v>
      </c>
      <c r="U760" s="514"/>
      <c r="V760" s="514"/>
      <c r="W760" s="514"/>
      <c r="X760" s="514"/>
      <c r="Y760" s="514"/>
      <c r="Z760" s="514"/>
      <c r="AA760" s="514"/>
      <c r="AB760" s="514"/>
      <c r="AC760" s="514"/>
      <c r="AD760" s="514"/>
      <c r="AE760" s="514"/>
      <c r="AF760" s="514"/>
      <c r="AG760" s="514"/>
      <c r="AH760" s="514"/>
      <c r="AI760" s="514"/>
      <c r="AJ760" s="514"/>
      <c r="AK760" s="514"/>
      <c r="AL760" s="514"/>
      <c r="AM760" s="514"/>
      <c r="AN760" s="514"/>
      <c r="AO760" s="514"/>
    </row>
    <row r="761" spans="1:41" s="504" customFormat="1" ht="12" thickTop="1">
      <c r="A761" s="50"/>
      <c r="B761" s="40"/>
      <c r="C761" s="50"/>
      <c r="E761" s="41" t="s">
        <v>136</v>
      </c>
      <c r="F761" s="41" t="s">
        <v>137</v>
      </c>
      <c r="G761" s="50"/>
      <c r="H761" s="50"/>
      <c r="I761" s="50"/>
      <c r="J761" s="50"/>
      <c r="K761" s="50" t="s">
        <v>138</v>
      </c>
      <c r="L761" s="50"/>
      <c r="M761" s="50"/>
      <c r="N761" s="50"/>
      <c r="O761" s="51"/>
      <c r="P761" s="50"/>
      <c r="Q761" s="50"/>
      <c r="R761" s="50"/>
      <c r="S761" s="50"/>
      <c r="T761" s="40"/>
      <c r="AG761" s="867" t="s">
        <v>241</v>
      </c>
      <c r="AH761" s="867" t="s">
        <v>242</v>
      </c>
      <c r="AI761" s="867" t="s">
        <v>243</v>
      </c>
      <c r="AJ761" s="867" t="s">
        <v>244</v>
      </c>
      <c r="AK761" s="867" t="s">
        <v>245</v>
      </c>
      <c r="AM761" s="868" t="s">
        <v>254</v>
      </c>
      <c r="AN761" s="869" t="s">
        <v>255</v>
      </c>
      <c r="AO761" s="505" t="s">
        <v>251</v>
      </c>
    </row>
    <row r="762" spans="1:41" s="504" customFormat="1" ht="12" customHeight="1">
      <c r="A762" s="870">
        <v>1</v>
      </c>
      <c r="B762" s="871" t="s">
        <v>335</v>
      </c>
      <c r="C762" s="872"/>
      <c r="D762" s="873" t="s">
        <v>806</v>
      </c>
      <c r="E762" s="874">
        <f>IF(AND($A762=0,$A$1="DIF"),0, ROUND(ROUND(($R766*$S$2+($T766*$T$2))/A762,2)*$C$2,2))</f>
        <v>947.59</v>
      </c>
      <c r="F762" s="875">
        <f>ROUND($A762*$E762,2)</f>
        <v>947.59</v>
      </c>
      <c r="G762" s="876" t="s">
        <v>139</v>
      </c>
      <c r="H762" s="877"/>
      <c r="I762" s="878"/>
      <c r="J762" s="877"/>
      <c r="K762" s="877" t="s">
        <v>3</v>
      </c>
      <c r="L762" s="879" t="s">
        <v>140</v>
      </c>
      <c r="M762" s="879"/>
      <c r="N762" s="879"/>
      <c r="O762" s="879"/>
      <c r="P762" s="879"/>
      <c r="Q762" s="50"/>
      <c r="T762" s="880" t="str">
        <f>IF(AND($R766=0,$T766=0),"0.00","mu :" &amp; ROUND($F762/$C$2/($R766+$T766*$D$9),2))</f>
        <v>mu :1.22</v>
      </c>
      <c r="W762" s="507"/>
      <c r="AG762" s="465">
        <f>IF($E762=0,0,ROUND($R766*$S$2*$C$2/$A762,2))</f>
        <v>947.59</v>
      </c>
      <c r="AH762" s="465">
        <f>$AG762*$A762</f>
        <v>947.59</v>
      </c>
      <c r="AI762" s="508">
        <f>$E762-$AG762</f>
        <v>0</v>
      </c>
      <c r="AJ762" s="508">
        <f>$A762*$AI762</f>
        <v>0</v>
      </c>
      <c r="AK762" s="509">
        <f>ROUND(($AG762+$AI762)*$A762,2)</f>
        <v>947.59</v>
      </c>
      <c r="AM762" s="510">
        <f>ROUND(R766,2)</f>
        <v>776.71</v>
      </c>
      <c r="AN762" s="511">
        <f>ROUND(T766,2)</f>
        <v>0</v>
      </c>
      <c r="AO762" s="512">
        <f>ROUND(AM762+AN762,2)*A762</f>
        <v>776.71</v>
      </c>
    </row>
    <row r="763" spans="1:41" s="504" customFormat="1" ht="13.2">
      <c r="A763" s="872"/>
      <c r="B763"/>
      <c r="C763" s="872"/>
      <c r="D763" s="873" t="s">
        <v>366</v>
      </c>
      <c r="F763" s="877"/>
      <c r="G763" s="3"/>
      <c r="H763" s="877"/>
      <c r="I763" s="878"/>
      <c r="J763" s="877"/>
      <c r="K763" s="877" t="s">
        <v>141</v>
      </c>
      <c r="L763" s="877"/>
      <c r="M763" s="877"/>
      <c r="N763" s="877"/>
      <c r="O763" s="877"/>
      <c r="P763" s="877"/>
      <c r="Q763" s="50"/>
      <c r="R763" s="513"/>
      <c r="S763" s="881"/>
      <c r="T763" s="877"/>
    </row>
    <row r="764" spans="1:41" s="504" customFormat="1" ht="13.2">
      <c r="A764">
        <v>1</v>
      </c>
      <c r="B764" s="1039" t="s">
        <v>949</v>
      </c>
      <c r="C764" s="1039"/>
      <c r="D764" s="1039" t="s">
        <v>1436</v>
      </c>
      <c r="E764" s="1039"/>
      <c r="F764" s="1039"/>
      <c r="G764" s="1040" t="s">
        <v>950</v>
      </c>
      <c r="H764" s="1041">
        <v>510</v>
      </c>
      <c r="I764" s="1039" t="s">
        <v>951</v>
      </c>
      <c r="J764" s="1039"/>
      <c r="K764" s="882"/>
      <c r="L764" s="1039"/>
      <c r="M764" s="1039"/>
      <c r="N764" s="1039"/>
      <c r="O764" s="1042">
        <v>2</v>
      </c>
      <c r="P764" s="1043"/>
      <c r="Q764" s="1044">
        <v>776.71</v>
      </c>
      <c r="R764" s="883">
        <f>$A764*Q764</f>
        <v>776.71</v>
      </c>
      <c r="S764" s="1044"/>
      <c r="T764" s="1046">
        <f>$A764*S764*$T$1</f>
        <v>0</v>
      </c>
    </row>
    <row r="765" spans="1:41" s="504" customFormat="1" ht="12">
      <c r="A765" s="882"/>
      <c r="B765" s="882"/>
      <c r="C765" s="882"/>
      <c r="D765" s="882"/>
      <c r="E765" s="882"/>
      <c r="F765" s="877"/>
      <c r="G765" s="882"/>
      <c r="H765" s="882"/>
      <c r="I765" s="503"/>
      <c r="J765" s="882"/>
      <c r="K765" s="882"/>
      <c r="L765" s="882"/>
      <c r="M765" s="882"/>
      <c r="N765" s="882"/>
      <c r="O765" s="882"/>
      <c r="P765" s="882"/>
      <c r="Q765" s="503"/>
      <c r="R765" s="883">
        <f>$A765*Q765</f>
        <v>0</v>
      </c>
      <c r="S765" s="503"/>
      <c r="T765" s="884">
        <f>$A765*S765*$T$1</f>
        <v>0</v>
      </c>
    </row>
    <row r="766" spans="1:41" s="504" customFormat="1" ht="12.6" thickBot="1">
      <c r="A766" s="885" t="s">
        <v>142</v>
      </c>
      <c r="B766" s="886">
        <f>(R765+T765)</f>
        <v>0</v>
      </c>
      <c r="C766" s="887"/>
      <c r="D766" s="887"/>
      <c r="E766" s="887"/>
      <c r="F766" s="888"/>
      <c r="G766" s="887" t="s">
        <v>143</v>
      </c>
      <c r="H766" s="887"/>
      <c r="I766" s="889"/>
      <c r="J766" s="887"/>
      <c r="K766" s="887" t="s">
        <v>3</v>
      </c>
      <c r="L766" s="890" t="s">
        <v>140</v>
      </c>
      <c r="M766" s="890"/>
      <c r="N766" s="890"/>
      <c r="O766" s="890"/>
      <c r="P766" s="890"/>
      <c r="Q766" s="891"/>
      <c r="R766" s="892">
        <f>SUM(R763:R765)</f>
        <v>776.71</v>
      </c>
      <c r="S766" s="887"/>
      <c r="T766" s="892">
        <f>SUM(T763:T765)</f>
        <v>0</v>
      </c>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row>
    <row r="767" spans="1:41" s="504" customFormat="1" ht="12" thickTop="1">
      <c r="A767" s="50"/>
      <c r="B767" s="40"/>
      <c r="C767" s="50"/>
      <c r="E767" s="41" t="s">
        <v>136</v>
      </c>
      <c r="F767" s="41" t="s">
        <v>137</v>
      </c>
      <c r="G767" s="50"/>
      <c r="H767" s="50"/>
      <c r="I767" s="50"/>
      <c r="J767" s="50"/>
      <c r="K767" s="50" t="s">
        <v>138</v>
      </c>
      <c r="L767" s="50"/>
      <c r="M767" s="50"/>
      <c r="N767" s="50"/>
      <c r="O767" s="51"/>
      <c r="P767" s="50"/>
      <c r="Q767" s="50"/>
      <c r="R767" s="50"/>
      <c r="S767" s="50"/>
      <c r="T767" s="40"/>
      <c r="AG767" s="867" t="s">
        <v>241</v>
      </c>
      <c r="AH767" s="867" t="s">
        <v>242</v>
      </c>
      <c r="AI767" s="867" t="s">
        <v>243</v>
      </c>
      <c r="AJ767" s="867" t="s">
        <v>244</v>
      </c>
      <c r="AK767" s="867" t="s">
        <v>245</v>
      </c>
      <c r="AM767" s="868" t="s">
        <v>254</v>
      </c>
      <c r="AN767" s="869" t="s">
        <v>255</v>
      </c>
      <c r="AO767" s="505" t="s">
        <v>251</v>
      </c>
    </row>
    <row r="768" spans="1:41" s="504" customFormat="1" ht="12" customHeight="1">
      <c r="A768" s="870">
        <v>6</v>
      </c>
      <c r="B768" s="871" t="s">
        <v>335</v>
      </c>
      <c r="C768" s="872"/>
      <c r="D768" s="873" t="s">
        <v>808</v>
      </c>
      <c r="E768" s="874">
        <f>IF(AND($A768=0,$A$1="DIF"),0, ROUND(ROUND(($R772*$S$2+($T772*$T$2))/A768,2)*$C$2,2))</f>
        <v>23.42</v>
      </c>
      <c r="F768" s="875">
        <f>ROUND($A768*$E768,2)</f>
        <v>140.52000000000001</v>
      </c>
      <c r="G768" s="876" t="s">
        <v>139</v>
      </c>
      <c r="H768" s="877"/>
      <c r="I768" s="878"/>
      <c r="J768" s="877"/>
      <c r="K768" s="877" t="s">
        <v>3</v>
      </c>
      <c r="L768" s="879" t="s">
        <v>140</v>
      </c>
      <c r="M768" s="879"/>
      <c r="N768" s="879"/>
      <c r="O768" s="879"/>
      <c r="P768" s="879"/>
      <c r="Q768" s="50"/>
      <c r="T768" s="880" t="str">
        <f>IF(AND($R772=0,$T772=0),"0.00","mu :" &amp; ROUND($F768/$C$2/($R772+$T772*$D$9),2))</f>
        <v>mu :1.22</v>
      </c>
      <c r="W768" s="507"/>
      <c r="AG768" s="465">
        <f>IF($E768=0,0,ROUND($R772*$S$2*$C$2/$A768,2))</f>
        <v>23.42</v>
      </c>
      <c r="AH768" s="465">
        <f>$AG768*$A768</f>
        <v>140.52000000000001</v>
      </c>
      <c r="AI768" s="508">
        <f>$E768-$AG768</f>
        <v>0</v>
      </c>
      <c r="AJ768" s="508">
        <f>$A768*$AI768</f>
        <v>0</v>
      </c>
      <c r="AK768" s="509">
        <f>ROUND(($AG768+$AI768)*$A768,2)</f>
        <v>140.52000000000001</v>
      </c>
      <c r="AM768" s="510">
        <f>ROUND(R772,2)</f>
        <v>115.2</v>
      </c>
      <c r="AN768" s="511">
        <f>ROUND(T772,2)</f>
        <v>0</v>
      </c>
      <c r="AO768" s="512">
        <f>ROUND(AM768+AN768,2)*A768</f>
        <v>691.2</v>
      </c>
    </row>
    <row r="769" spans="1:41" s="504" customFormat="1" ht="13.2">
      <c r="A769" s="872"/>
      <c r="B769"/>
      <c r="C769" s="872"/>
      <c r="D769" s="873" t="s">
        <v>367</v>
      </c>
      <c r="F769" s="877"/>
      <c r="G769" s="3"/>
      <c r="H769" s="877"/>
      <c r="I769" s="878"/>
      <c r="J769" s="877"/>
      <c r="K769" s="877" t="s">
        <v>141</v>
      </c>
      <c r="L769" s="877"/>
      <c r="M769" s="877"/>
      <c r="N769" s="877"/>
      <c r="O769" s="877"/>
      <c r="P769" s="877"/>
      <c r="Q769" s="50"/>
      <c r="R769" s="513"/>
      <c r="S769" s="881"/>
      <c r="T769" s="877"/>
    </row>
    <row r="770" spans="1:41" s="504" customFormat="1" ht="13.2">
      <c r="A770" s="112">
        <v>6</v>
      </c>
      <c r="B770" s="1039" t="s">
        <v>949</v>
      </c>
      <c r="C770" s="1039"/>
      <c r="D770" s="1039" t="s">
        <v>1260</v>
      </c>
      <c r="E770" s="1039" t="s">
        <v>1251</v>
      </c>
      <c r="F770" s="1039" t="s">
        <v>1252</v>
      </c>
      <c r="G770" s="1040" t="s">
        <v>1245</v>
      </c>
      <c r="H770" s="1041">
        <v>510</v>
      </c>
      <c r="I770" s="1039" t="s">
        <v>1246</v>
      </c>
      <c r="J770" s="1039" t="s">
        <v>1247</v>
      </c>
      <c r="K770" s="882"/>
      <c r="L770" s="1039"/>
      <c r="M770" s="1039"/>
      <c r="N770" s="1039"/>
      <c r="O770" s="1042">
        <v>2</v>
      </c>
      <c r="P770" s="1043">
        <v>36880</v>
      </c>
      <c r="Q770" s="1044">
        <v>19.2</v>
      </c>
      <c r="R770" s="1072">
        <f>$A770*Q770</f>
        <v>115.19999999999999</v>
      </c>
      <c r="S770" s="1044"/>
      <c r="T770" s="1046">
        <f>$A770*S770*$T$1</f>
        <v>0</v>
      </c>
    </row>
    <row r="771" spans="1:41" s="504" customFormat="1" ht="12">
      <c r="A771" s="882"/>
      <c r="B771" s="882"/>
      <c r="C771" s="882"/>
      <c r="D771" s="882"/>
      <c r="E771" s="882"/>
      <c r="F771" s="877"/>
      <c r="G771" s="882"/>
      <c r="H771" s="882"/>
      <c r="I771" s="503"/>
      <c r="J771" s="882"/>
      <c r="K771" s="882"/>
      <c r="L771" s="882"/>
      <c r="M771" s="882"/>
      <c r="N771" s="882"/>
      <c r="O771" s="882"/>
      <c r="P771" s="882"/>
      <c r="Q771" s="503"/>
      <c r="R771" s="883">
        <f>$A771*Q771</f>
        <v>0</v>
      </c>
      <c r="S771" s="503"/>
      <c r="T771" s="884">
        <f>$A771*S771*$T$1</f>
        <v>0</v>
      </c>
    </row>
    <row r="772" spans="1:41" s="504" customFormat="1" ht="12.6" thickBot="1">
      <c r="A772" s="885" t="s">
        <v>142</v>
      </c>
      <c r="B772" s="886">
        <f>(R771+T771)</f>
        <v>0</v>
      </c>
      <c r="C772" s="887"/>
      <c r="D772" s="887"/>
      <c r="E772" s="887"/>
      <c r="F772" s="888"/>
      <c r="G772" s="887" t="s">
        <v>143</v>
      </c>
      <c r="H772" s="887"/>
      <c r="I772" s="889"/>
      <c r="J772" s="887"/>
      <c r="K772" s="887" t="s">
        <v>3</v>
      </c>
      <c r="L772" s="890" t="s">
        <v>140</v>
      </c>
      <c r="M772" s="890"/>
      <c r="N772" s="890"/>
      <c r="O772" s="890"/>
      <c r="P772" s="890"/>
      <c r="Q772" s="891"/>
      <c r="R772" s="892">
        <f>SUM(R769:R771)</f>
        <v>115.19999999999999</v>
      </c>
      <c r="S772" s="887"/>
      <c r="T772" s="892">
        <f>SUM(T769:T771)</f>
        <v>0</v>
      </c>
      <c r="U772" s="514"/>
      <c r="V772" s="514"/>
      <c r="W772" s="514"/>
      <c r="X772" s="514"/>
      <c r="Y772" s="514"/>
      <c r="Z772" s="514"/>
      <c r="AA772" s="514"/>
      <c r="AB772" s="514"/>
      <c r="AC772" s="514"/>
      <c r="AD772" s="514"/>
      <c r="AE772" s="514"/>
      <c r="AF772" s="514"/>
      <c r="AG772" s="514"/>
      <c r="AH772" s="514"/>
      <c r="AI772" s="514"/>
      <c r="AJ772" s="514"/>
      <c r="AK772" s="514"/>
      <c r="AL772" s="514"/>
      <c r="AM772" s="514"/>
      <c r="AN772" s="514"/>
      <c r="AO772" s="514"/>
    </row>
    <row r="773" spans="1:41" s="504" customFormat="1" ht="12" thickTop="1">
      <c r="A773" s="50"/>
      <c r="B773" s="40"/>
      <c r="C773" s="50"/>
      <c r="E773" s="41" t="s">
        <v>136</v>
      </c>
      <c r="F773" s="41" t="s">
        <v>137</v>
      </c>
      <c r="G773" s="50"/>
      <c r="H773" s="50"/>
      <c r="I773" s="50"/>
      <c r="J773" s="50"/>
      <c r="K773" s="50" t="s">
        <v>138</v>
      </c>
      <c r="L773" s="50"/>
      <c r="M773" s="50"/>
      <c r="N773" s="50"/>
      <c r="O773" s="51"/>
      <c r="P773" s="50"/>
      <c r="Q773" s="50"/>
      <c r="R773" s="50"/>
      <c r="S773" s="50"/>
      <c r="T773" s="40"/>
      <c r="AG773" s="867" t="s">
        <v>241</v>
      </c>
      <c r="AH773" s="867" t="s">
        <v>242</v>
      </c>
      <c r="AI773" s="867" t="s">
        <v>243</v>
      </c>
      <c r="AJ773" s="867" t="s">
        <v>244</v>
      </c>
      <c r="AK773" s="867" t="s">
        <v>245</v>
      </c>
      <c r="AM773" s="868" t="s">
        <v>254</v>
      </c>
      <c r="AN773" s="869" t="s">
        <v>255</v>
      </c>
      <c r="AO773" s="505" t="s">
        <v>251</v>
      </c>
    </row>
    <row r="774" spans="1:41" s="504" customFormat="1" ht="12" customHeight="1">
      <c r="A774" s="870">
        <v>2</v>
      </c>
      <c r="B774" s="871" t="s">
        <v>335</v>
      </c>
      <c r="C774" s="872"/>
      <c r="D774" s="873" t="s">
        <v>810</v>
      </c>
      <c r="E774" s="874">
        <f>IF(AND($A774=0,$A$1="DIF"),0, ROUND(ROUND(($R778*$S$2+($T778*$T$2))/A774,2)*$C$2,2))</f>
        <v>25.03</v>
      </c>
      <c r="F774" s="875">
        <f>ROUND($A774*$E774,2)</f>
        <v>50.06</v>
      </c>
      <c r="G774" s="876" t="s">
        <v>139</v>
      </c>
      <c r="H774" s="877"/>
      <c r="I774" s="878"/>
      <c r="J774" s="877"/>
      <c r="K774" s="877" t="s">
        <v>3</v>
      </c>
      <c r="L774" s="879" t="s">
        <v>140</v>
      </c>
      <c r="M774" s="879"/>
      <c r="N774" s="879"/>
      <c r="O774" s="879"/>
      <c r="P774" s="879"/>
      <c r="Q774" s="50"/>
      <c r="T774" s="880" t="str">
        <f>IF(AND($R778=0,$T778=0),"0.00","mu :" &amp; ROUND($F774/$C$2/($R778+$T778*$D$9),2))</f>
        <v>mu :1.22</v>
      </c>
      <c r="W774" s="507"/>
      <c r="AG774" s="465">
        <f>IF($E774=0,0,ROUND($R778*$S$2*$C$2/$A774,2))</f>
        <v>25.03</v>
      </c>
      <c r="AH774" s="465">
        <f>$AG774*$A774</f>
        <v>50.06</v>
      </c>
      <c r="AI774" s="508">
        <f>$E774-$AG774</f>
        <v>0</v>
      </c>
      <c r="AJ774" s="508">
        <f>$A774*$AI774</f>
        <v>0</v>
      </c>
      <c r="AK774" s="509">
        <f>ROUND(($AG774+$AI774)*$A774,2)</f>
        <v>50.06</v>
      </c>
      <c r="AM774" s="510">
        <f>ROUND(R778,2)</f>
        <v>41.04</v>
      </c>
      <c r="AN774" s="511">
        <f>ROUND(T778,2)</f>
        <v>0</v>
      </c>
      <c r="AO774" s="512">
        <f>ROUND(AM774+AN774,2)*A774</f>
        <v>82.08</v>
      </c>
    </row>
    <row r="775" spans="1:41" s="504" customFormat="1" ht="13.2">
      <c r="A775" s="872"/>
      <c r="B775"/>
      <c r="C775" s="872"/>
      <c r="D775" s="873" t="s">
        <v>368</v>
      </c>
      <c r="F775" s="877"/>
      <c r="G775" s="3"/>
      <c r="H775" s="877"/>
      <c r="I775" s="878"/>
      <c r="J775" s="877"/>
      <c r="K775" s="877" t="s">
        <v>141</v>
      </c>
      <c r="L775" s="877"/>
      <c r="M775" s="877"/>
      <c r="N775" s="877"/>
      <c r="O775" s="877"/>
      <c r="P775" s="877"/>
      <c r="Q775" s="50"/>
      <c r="R775" s="513"/>
      <c r="S775" s="881"/>
      <c r="T775" s="877"/>
    </row>
    <row r="776" spans="1:41" s="504" customFormat="1" ht="13.2">
      <c r="A776" s="112">
        <v>2</v>
      </c>
      <c r="B776" s="1039" t="s">
        <v>949</v>
      </c>
      <c r="C776" s="1039"/>
      <c r="D776" s="1039" t="s">
        <v>1261</v>
      </c>
      <c r="E776" s="1039" t="s">
        <v>1253</v>
      </c>
      <c r="F776" s="1039" t="s">
        <v>1252</v>
      </c>
      <c r="G776" s="1040" t="s">
        <v>1245</v>
      </c>
      <c r="H776" s="1041">
        <v>510</v>
      </c>
      <c r="I776" s="1039" t="s">
        <v>1246</v>
      </c>
      <c r="J776" s="1039" t="s">
        <v>1247</v>
      </c>
      <c r="K776" s="882"/>
      <c r="L776" s="1039"/>
      <c r="M776" s="1039"/>
      <c r="N776" s="1039"/>
      <c r="O776" s="1042">
        <v>2</v>
      </c>
      <c r="P776" s="1043">
        <v>36880</v>
      </c>
      <c r="Q776" s="1044">
        <v>20.52</v>
      </c>
      <c r="R776" s="1072">
        <f>$A776*Q776</f>
        <v>41.04</v>
      </c>
      <c r="S776" s="1044"/>
      <c r="T776" s="1046">
        <f>$A776*S776*$T$1</f>
        <v>0</v>
      </c>
    </row>
    <row r="777" spans="1:41" s="504" customFormat="1" ht="12">
      <c r="A777" s="882"/>
      <c r="B777" s="882"/>
      <c r="C777" s="882"/>
      <c r="D777" s="882"/>
      <c r="E777" s="882"/>
      <c r="F777" s="877"/>
      <c r="G777" s="882"/>
      <c r="H777" s="882"/>
      <c r="I777" s="503"/>
      <c r="J777" s="882"/>
      <c r="K777" s="882"/>
      <c r="L777" s="882"/>
      <c r="M777" s="882"/>
      <c r="N777" s="882"/>
      <c r="O777" s="882"/>
      <c r="P777" s="882"/>
      <c r="Q777" s="503"/>
      <c r="R777" s="883">
        <f>$A777*Q777</f>
        <v>0</v>
      </c>
      <c r="S777" s="503"/>
      <c r="T777" s="884">
        <f>$A777*S777*$T$1</f>
        <v>0</v>
      </c>
    </row>
    <row r="778" spans="1:41" s="504" customFormat="1" ht="12.6" thickBot="1">
      <c r="A778" s="885" t="s">
        <v>142</v>
      </c>
      <c r="B778" s="886">
        <f>(R777+T777)</f>
        <v>0</v>
      </c>
      <c r="C778" s="887"/>
      <c r="D778" s="887"/>
      <c r="E778" s="887"/>
      <c r="F778" s="888"/>
      <c r="G778" s="887" t="s">
        <v>143</v>
      </c>
      <c r="H778" s="887"/>
      <c r="I778" s="889"/>
      <c r="J778" s="887"/>
      <c r="K778" s="887" t="s">
        <v>3</v>
      </c>
      <c r="L778" s="890" t="s">
        <v>140</v>
      </c>
      <c r="M778" s="890"/>
      <c r="N778" s="890"/>
      <c r="O778" s="890"/>
      <c r="P778" s="890"/>
      <c r="Q778" s="891"/>
      <c r="R778" s="892">
        <f>SUM(R775:R777)</f>
        <v>41.04</v>
      </c>
      <c r="S778" s="887"/>
      <c r="T778" s="892">
        <f>SUM(T775:T777)</f>
        <v>0</v>
      </c>
      <c r="U778" s="514"/>
      <c r="V778" s="514"/>
      <c r="W778" s="514"/>
      <c r="X778" s="514"/>
      <c r="Y778" s="514"/>
      <c r="Z778" s="514"/>
      <c r="AA778" s="514"/>
      <c r="AB778" s="514"/>
      <c r="AC778" s="514"/>
      <c r="AD778" s="514"/>
      <c r="AE778" s="514"/>
      <c r="AF778" s="514"/>
      <c r="AG778" s="514"/>
      <c r="AH778" s="514"/>
      <c r="AI778" s="514"/>
      <c r="AJ778" s="514"/>
      <c r="AK778" s="514"/>
      <c r="AL778" s="514"/>
      <c r="AM778" s="514"/>
      <c r="AN778" s="514"/>
      <c r="AO778" s="514"/>
    </row>
    <row r="779" spans="1:41" s="504" customFormat="1" ht="12" thickTop="1">
      <c r="A779" s="47" t="s">
        <v>145</v>
      </c>
      <c r="D779" s="13"/>
      <c r="E779" s="41"/>
      <c r="O779" s="893"/>
    </row>
    <row r="780" spans="1:41" s="504" customFormat="1" ht="13.2">
      <c r="B780" s="3"/>
      <c r="O780" s="893"/>
    </row>
    <row r="781" spans="1:41" s="504" customFormat="1" ht="12">
      <c r="B781" s="894">
        <f ca="1">$F781/$C$2-($R781*$S$2+$T781*$T$2)</f>
        <v>-4.4681529998342739E-2</v>
      </c>
      <c r="D781" s="895" t="s">
        <v>817</v>
      </c>
      <c r="E781" s="896"/>
      <c r="F781" s="897">
        <f ca="1">SUMIF($L642:$L779,"ITEM",F642:F779)</f>
        <v>5650.8500000000013</v>
      </c>
      <c r="G781" s="882"/>
      <c r="H781" s="882"/>
      <c r="I781" s="503"/>
      <c r="J781" s="882"/>
      <c r="K781" s="882"/>
      <c r="L781" s="879" t="s">
        <v>154</v>
      </c>
      <c r="M781" s="879"/>
      <c r="N781" s="879"/>
      <c r="O781" s="879"/>
      <c r="P781" s="879"/>
      <c r="R781" s="897">
        <f ca="1">SUMIF($L642:$L779,"ITEM",R642:R779)</f>
        <v>2740.71</v>
      </c>
      <c r="S781" s="898"/>
      <c r="T781" s="897">
        <f ca="1">SUMIF($L642:$L779,"ITEM",T642:T779)</f>
        <v>65.590499999999992</v>
      </c>
    </row>
    <row r="782" spans="1:41" s="504" customFormat="1" ht="13.2">
      <c r="A782" s="50"/>
      <c r="B782" s="48" t="s">
        <v>816</v>
      </c>
      <c r="C782" s="50"/>
      <c r="D782" s="3"/>
      <c r="F782" s="899" t="s">
        <v>155</v>
      </c>
      <c r="G782" s="882"/>
      <c r="H782" s="882"/>
      <c r="I782" s="503"/>
      <c r="J782" s="882"/>
      <c r="K782" s="882"/>
      <c r="L782" s="882"/>
      <c r="M782" s="882"/>
      <c r="N782" s="882"/>
      <c r="O782" s="882"/>
      <c r="P782" s="882"/>
      <c r="Q782" s="900"/>
      <c r="R782" s="899" t="s">
        <v>156</v>
      </c>
      <c r="S782" s="38"/>
      <c r="T782" s="899" t="s">
        <v>157</v>
      </c>
    </row>
    <row r="783" spans="1:41" s="504" customFormat="1" ht="13.2">
      <c r="A783" s="882"/>
      <c r="B783" s="3"/>
      <c r="C783" s="882"/>
      <c r="D783" s="3"/>
      <c r="E783" s="3"/>
      <c r="G783" s="3"/>
      <c r="H783" s="3"/>
      <c r="I783" s="3"/>
      <c r="J783" s="3"/>
      <c r="K783" s="3"/>
      <c r="L783" s="3"/>
      <c r="M783" s="3"/>
      <c r="N783" s="3"/>
      <c r="O783" s="103"/>
      <c r="P783" s="3"/>
      <c r="Q783" s="3"/>
      <c r="R783" s="3"/>
      <c r="S783" s="3"/>
      <c r="T783" s="3"/>
    </row>
    <row r="784" spans="1:41" s="504" customFormat="1" ht="12" thickBot="1">
      <c r="A784" s="514"/>
      <c r="B784" s="887"/>
      <c r="C784" s="887"/>
      <c r="D784" s="514"/>
      <c r="E784" s="39"/>
      <c r="F784" s="901"/>
      <c r="G784" s="887"/>
      <c r="H784" s="887"/>
      <c r="I784" s="889"/>
      <c r="J784" s="887"/>
      <c r="K784" s="887"/>
      <c r="L784" s="890"/>
      <c r="M784" s="890"/>
      <c r="N784" s="890"/>
      <c r="O784" s="890"/>
      <c r="P784" s="890"/>
      <c r="Q784" s="891"/>
      <c r="R784" s="901"/>
      <c r="S784" s="902"/>
      <c r="T784" s="901"/>
      <c r="U784" s="514"/>
      <c r="V784" s="514"/>
      <c r="W784" s="514"/>
      <c r="X784" s="514"/>
      <c r="Y784" s="514"/>
      <c r="Z784" s="514"/>
      <c r="AA784" s="514"/>
      <c r="AB784" s="514"/>
      <c r="AC784" s="514"/>
      <c r="AD784" s="514"/>
      <c r="AE784" s="514"/>
      <c r="AF784" s="514"/>
      <c r="AG784" s="514"/>
      <c r="AH784" s="514"/>
      <c r="AI784" s="514"/>
      <c r="AJ784" s="514"/>
      <c r="AK784" s="514"/>
    </row>
    <row r="785" spans="1:41" s="504" customFormat="1" ht="12" thickTop="1">
      <c r="A785" s="50"/>
      <c r="B785" s="40"/>
      <c r="C785" s="50"/>
      <c r="E785" s="41" t="s">
        <v>136</v>
      </c>
      <c r="F785" s="41" t="s">
        <v>137</v>
      </c>
      <c r="G785" s="50"/>
      <c r="H785" s="50"/>
      <c r="I785" s="50"/>
      <c r="J785" s="50"/>
      <c r="K785" s="50" t="s">
        <v>138</v>
      </c>
      <c r="L785" s="50"/>
      <c r="M785" s="50"/>
      <c r="N785" s="50"/>
      <c r="O785" s="51"/>
      <c r="P785" s="50"/>
      <c r="Q785" s="50"/>
      <c r="R785" s="50"/>
      <c r="S785" s="50"/>
      <c r="T785" s="40"/>
      <c r="AG785" s="867" t="s">
        <v>241</v>
      </c>
      <c r="AH785" s="867" t="s">
        <v>242</v>
      </c>
      <c r="AI785" s="867" t="s">
        <v>243</v>
      </c>
      <c r="AJ785" s="867" t="s">
        <v>244</v>
      </c>
      <c r="AK785" s="867" t="s">
        <v>245</v>
      </c>
      <c r="AM785" s="868" t="s">
        <v>254</v>
      </c>
      <c r="AN785" s="869" t="s">
        <v>255</v>
      </c>
      <c r="AO785" s="505" t="s">
        <v>251</v>
      </c>
    </row>
    <row r="786" spans="1:41" s="504" customFormat="1" ht="12" customHeight="1">
      <c r="A786" s="870">
        <v>3</v>
      </c>
      <c r="B786" s="871" t="s">
        <v>335</v>
      </c>
      <c r="C786" s="872"/>
      <c r="D786" s="873" t="s">
        <v>812</v>
      </c>
      <c r="E786" s="874">
        <f>IF(AND($A786=0,$A$1="DIF"),0, ROUND(ROUND(($R790*$S$2+($T790*$T$2))/A786,2)*$C$2,2))</f>
        <v>26.84</v>
      </c>
      <c r="F786" s="875">
        <f>ROUND($A786*$E786,2)</f>
        <v>80.52</v>
      </c>
      <c r="G786" s="876" t="s">
        <v>139</v>
      </c>
      <c r="H786" s="877"/>
      <c r="I786" s="878"/>
      <c r="J786" s="877"/>
      <c r="K786" s="877" t="s">
        <v>3</v>
      </c>
      <c r="L786" s="879" t="s">
        <v>140</v>
      </c>
      <c r="M786" s="879"/>
      <c r="N786" s="879"/>
      <c r="O786" s="879"/>
      <c r="P786" s="879"/>
      <c r="Q786" s="50"/>
      <c r="T786" s="880" t="str">
        <f>IF(AND($R790=0,$T790=0),"0.00","mu :" &amp; ROUND($F786/$C$2/($R790+$T790*$D$9),2))</f>
        <v>mu :1.22</v>
      </c>
      <c r="W786" s="507"/>
      <c r="AG786" s="465">
        <f>IF($E786=0,0,ROUND($R790*$S$2*$C$2/$A786,2))</f>
        <v>26.84</v>
      </c>
      <c r="AH786" s="465">
        <f>$AG786*$A786</f>
        <v>80.52</v>
      </c>
      <c r="AI786" s="508">
        <f>$E786-$AG786</f>
        <v>0</v>
      </c>
      <c r="AJ786" s="508">
        <f>$A786*$AI786</f>
        <v>0</v>
      </c>
      <c r="AK786" s="509">
        <f>ROUND(($AG786+$AI786)*$A786,2)</f>
        <v>80.52</v>
      </c>
      <c r="AM786" s="510">
        <f>ROUND(R790,2)</f>
        <v>66</v>
      </c>
      <c r="AN786" s="511">
        <f>ROUND(T790,2)</f>
        <v>0</v>
      </c>
      <c r="AO786" s="512">
        <f>ROUND(AM786+AN786,2)*A786</f>
        <v>198</v>
      </c>
    </row>
    <row r="787" spans="1:41" s="504" customFormat="1" ht="13.2">
      <c r="A787" s="872"/>
      <c r="B787"/>
      <c r="C787" s="872"/>
      <c r="D787" s="873" t="s">
        <v>369</v>
      </c>
      <c r="F787" s="877"/>
      <c r="G787" s="3"/>
      <c r="H787" s="877"/>
      <c r="I787" s="878"/>
      <c r="J787" s="877"/>
      <c r="K787" s="877" t="s">
        <v>141</v>
      </c>
      <c r="L787" s="877"/>
      <c r="M787" s="877"/>
      <c r="N787" s="877"/>
      <c r="O787" s="877"/>
      <c r="P787" s="877"/>
      <c r="Q787" s="50"/>
      <c r="R787" s="513"/>
      <c r="S787" s="881"/>
      <c r="T787" s="877"/>
    </row>
    <row r="788" spans="1:41" s="504" customFormat="1" ht="13.2">
      <c r="A788" s="112">
        <v>3</v>
      </c>
      <c r="B788" s="1039" t="s">
        <v>949</v>
      </c>
      <c r="C788" s="1039"/>
      <c r="D788" s="1039" t="s">
        <v>1261</v>
      </c>
      <c r="E788" s="1039" t="s">
        <v>1254</v>
      </c>
      <c r="F788" s="1039" t="s">
        <v>1252</v>
      </c>
      <c r="G788" s="1040" t="s">
        <v>1245</v>
      </c>
      <c r="H788" s="1041">
        <v>510</v>
      </c>
      <c r="I788" s="1039" t="s">
        <v>1246</v>
      </c>
      <c r="J788" s="1039" t="s">
        <v>1247</v>
      </c>
      <c r="K788" s="882"/>
      <c r="L788" s="1039"/>
      <c r="M788" s="1039"/>
      <c r="N788" s="1039"/>
      <c r="O788" s="1042">
        <v>2</v>
      </c>
      <c r="P788" s="1043">
        <v>36880</v>
      </c>
      <c r="Q788" s="1044">
        <v>22</v>
      </c>
      <c r="R788" s="1072">
        <f>$A788*Q788</f>
        <v>66</v>
      </c>
      <c r="S788" s="1044"/>
      <c r="T788" s="1046">
        <f>$A788*S788*$T$1</f>
        <v>0</v>
      </c>
    </row>
    <row r="789" spans="1:41" s="504" customFormat="1" ht="12">
      <c r="A789" s="882"/>
      <c r="B789" s="882"/>
      <c r="C789" s="882"/>
      <c r="D789" s="882"/>
      <c r="E789" s="882"/>
      <c r="F789" s="877"/>
      <c r="G789" s="882"/>
      <c r="H789" s="882"/>
      <c r="I789" s="503"/>
      <c r="J789" s="882"/>
      <c r="K789" s="882"/>
      <c r="L789" s="882"/>
      <c r="M789" s="882"/>
      <c r="N789" s="882"/>
      <c r="O789" s="882"/>
      <c r="P789" s="882"/>
      <c r="Q789" s="503"/>
      <c r="R789" s="883">
        <f>$A789*Q789</f>
        <v>0</v>
      </c>
      <c r="S789" s="503"/>
      <c r="T789" s="884">
        <f>$A789*S789*$T$1</f>
        <v>0</v>
      </c>
    </row>
    <row r="790" spans="1:41" s="504" customFormat="1" ht="12.6" thickBot="1">
      <c r="A790" s="885" t="s">
        <v>142</v>
      </c>
      <c r="B790" s="886">
        <f>(R789+T789)</f>
        <v>0</v>
      </c>
      <c r="C790" s="887"/>
      <c r="D790" s="887"/>
      <c r="E790" s="887"/>
      <c r="F790" s="888"/>
      <c r="G790" s="887" t="s">
        <v>143</v>
      </c>
      <c r="H790" s="887"/>
      <c r="I790" s="889"/>
      <c r="J790" s="887"/>
      <c r="K790" s="887" t="s">
        <v>3</v>
      </c>
      <c r="L790" s="890" t="s">
        <v>140</v>
      </c>
      <c r="M790" s="890"/>
      <c r="N790" s="890"/>
      <c r="O790" s="890"/>
      <c r="P790" s="890"/>
      <c r="Q790" s="891"/>
      <c r="R790" s="892">
        <f>SUM(R787:R789)</f>
        <v>66</v>
      </c>
      <c r="S790" s="887"/>
      <c r="T790" s="892">
        <f>SUM(T787:T789)</f>
        <v>0</v>
      </c>
      <c r="U790" s="514"/>
      <c r="V790" s="514"/>
      <c r="W790" s="514"/>
      <c r="X790" s="514"/>
      <c r="Y790" s="514"/>
      <c r="Z790" s="514"/>
      <c r="AA790" s="514"/>
      <c r="AB790" s="514"/>
      <c r="AC790" s="514"/>
      <c r="AD790" s="514"/>
      <c r="AE790" s="514"/>
      <c r="AF790" s="514"/>
      <c r="AG790" s="514"/>
      <c r="AH790" s="514"/>
      <c r="AI790" s="514"/>
      <c r="AJ790" s="514"/>
      <c r="AK790" s="514"/>
      <c r="AL790" s="514"/>
      <c r="AM790" s="514"/>
      <c r="AN790" s="514"/>
      <c r="AO790" s="514"/>
    </row>
    <row r="791" spans="1:41" s="504" customFormat="1" ht="12" thickTop="1">
      <c r="A791" s="50"/>
      <c r="B791" s="40"/>
      <c r="C791" s="50"/>
      <c r="E791" s="41" t="s">
        <v>136</v>
      </c>
      <c r="F791" s="41" t="s">
        <v>137</v>
      </c>
      <c r="G791" s="50"/>
      <c r="H791" s="50"/>
      <c r="I791" s="50"/>
      <c r="J791" s="50"/>
      <c r="K791" s="50" t="s">
        <v>138</v>
      </c>
      <c r="L791" s="50"/>
      <c r="M791" s="50"/>
      <c r="N791" s="50"/>
      <c r="O791" s="51"/>
      <c r="P791" s="50"/>
      <c r="Q791" s="50"/>
      <c r="R791" s="50"/>
      <c r="S791" s="50"/>
      <c r="T791" s="40"/>
      <c r="AG791" s="867" t="s">
        <v>241</v>
      </c>
      <c r="AH791" s="867" t="s">
        <v>242</v>
      </c>
      <c r="AI791" s="867" t="s">
        <v>243</v>
      </c>
      <c r="AJ791" s="867" t="s">
        <v>244</v>
      </c>
      <c r="AK791" s="867" t="s">
        <v>245</v>
      </c>
      <c r="AM791" s="868" t="s">
        <v>254</v>
      </c>
      <c r="AN791" s="869" t="s">
        <v>255</v>
      </c>
      <c r="AO791" s="505" t="s">
        <v>251</v>
      </c>
    </row>
    <row r="792" spans="1:41" s="504" customFormat="1" ht="12" customHeight="1">
      <c r="A792" s="870">
        <v>2</v>
      </c>
      <c r="B792" s="871" t="s">
        <v>335</v>
      </c>
      <c r="C792" s="872"/>
      <c r="D792" s="873" t="s">
        <v>819</v>
      </c>
      <c r="E792" s="874">
        <f>IF(AND($A792=0,$A$1="DIF"),0, ROUND(ROUND(($R796*$S$2+($T796*$T$2))/A792,2)*$C$2,2))</f>
        <v>6.91</v>
      </c>
      <c r="F792" s="875">
        <f>ROUND($A792*$E792,2)</f>
        <v>13.82</v>
      </c>
      <c r="G792" s="876" t="s">
        <v>139</v>
      </c>
      <c r="H792" s="877"/>
      <c r="I792" s="878"/>
      <c r="J792" s="877"/>
      <c r="K792" s="877" t="s">
        <v>3</v>
      </c>
      <c r="L792" s="879" t="s">
        <v>140</v>
      </c>
      <c r="M792" s="879"/>
      <c r="N792" s="879"/>
      <c r="O792" s="879"/>
      <c r="P792" s="879"/>
      <c r="Q792" s="50"/>
      <c r="T792" s="880" t="str">
        <f>IF(AND($R796=0,$T796=0),"0.00","mu :" &amp; ROUND($F792/$C$2/($R796+$T796*$D$9),2))</f>
        <v>mu :1.22</v>
      </c>
      <c r="W792" s="507"/>
      <c r="AG792" s="465">
        <f>IF($E792=0,0,ROUND($R796*$S$2*$C$2/$A792,2))</f>
        <v>6.91</v>
      </c>
      <c r="AH792" s="465">
        <f>$AG792*$A792</f>
        <v>13.82</v>
      </c>
      <c r="AI792" s="508">
        <f>$E792-$AG792</f>
        <v>0</v>
      </c>
      <c r="AJ792" s="508">
        <f>$A792*$AI792</f>
        <v>0</v>
      </c>
      <c r="AK792" s="509">
        <f>ROUND(($AG792+$AI792)*$A792,2)</f>
        <v>13.82</v>
      </c>
      <c r="AM792" s="510">
        <f>ROUND(R796,2)</f>
        <v>11.32</v>
      </c>
      <c r="AN792" s="511">
        <f>ROUND(T796,2)</f>
        <v>0</v>
      </c>
      <c r="AO792" s="512">
        <f>ROUND(AM792+AN792,2)*A792</f>
        <v>22.64</v>
      </c>
    </row>
    <row r="793" spans="1:41" s="504" customFormat="1" ht="13.2">
      <c r="A793" s="872"/>
      <c r="B793"/>
      <c r="C793" s="872"/>
      <c r="D793" s="873" t="s">
        <v>370</v>
      </c>
      <c r="F793" s="877"/>
      <c r="G793" s="3"/>
      <c r="H793" s="877"/>
      <c r="I793" s="878"/>
      <c r="J793" s="877"/>
      <c r="K793" s="877" t="s">
        <v>141</v>
      </c>
      <c r="L793" s="877"/>
      <c r="M793" s="877"/>
      <c r="N793" s="877"/>
      <c r="O793" s="877"/>
      <c r="P793" s="877"/>
      <c r="Q793" s="50"/>
      <c r="R793" s="513"/>
      <c r="S793" s="881"/>
      <c r="T793" s="877"/>
    </row>
    <row r="794" spans="1:41" s="1039" customFormat="1" ht="13.2">
      <c r="A794" s="112">
        <v>2</v>
      </c>
      <c r="B794" s="1039" t="s">
        <v>949</v>
      </c>
      <c r="D794" s="1039" t="s">
        <v>1265</v>
      </c>
      <c r="E794" s="1039" t="s">
        <v>1255</v>
      </c>
      <c r="F794" s="1039" t="s">
        <v>1252</v>
      </c>
      <c r="G794" s="1040" t="s">
        <v>1248</v>
      </c>
      <c r="H794" s="1041">
        <v>705</v>
      </c>
      <c r="I794" s="1039" t="s">
        <v>1249</v>
      </c>
      <c r="J794" s="1039" t="s">
        <v>1250</v>
      </c>
      <c r="O794" s="1042">
        <v>3</v>
      </c>
      <c r="P794" s="1043">
        <v>34669</v>
      </c>
      <c r="Q794" s="1044">
        <v>5.66</v>
      </c>
      <c r="R794" s="1045">
        <f>$A794*Q794</f>
        <v>11.32</v>
      </c>
      <c r="S794" s="1044"/>
      <c r="T794" s="1046">
        <f>$A794*S794*$T$1</f>
        <v>0</v>
      </c>
    </row>
    <row r="795" spans="1:41" s="504" customFormat="1" ht="12">
      <c r="A795" s="882"/>
      <c r="B795" s="882"/>
      <c r="C795" s="882"/>
      <c r="D795" s="882"/>
      <c r="E795" s="882"/>
      <c r="F795" s="877"/>
      <c r="G795" s="882"/>
      <c r="H795" s="882"/>
      <c r="I795" s="503"/>
      <c r="J795" s="882"/>
      <c r="K795" s="882"/>
      <c r="L795" s="882"/>
      <c r="M795" s="882"/>
      <c r="N795" s="882"/>
      <c r="O795" s="882"/>
      <c r="P795" s="882"/>
      <c r="Q795" s="503"/>
      <c r="R795" s="883">
        <f>$A795*Q795</f>
        <v>0</v>
      </c>
      <c r="S795" s="503"/>
      <c r="T795" s="884">
        <f>$A795*S795*$T$1</f>
        <v>0</v>
      </c>
    </row>
    <row r="796" spans="1:41" s="504" customFormat="1" ht="12.6" thickBot="1">
      <c r="A796" s="885" t="s">
        <v>142</v>
      </c>
      <c r="B796" s="886">
        <f>(R795+T795)</f>
        <v>0</v>
      </c>
      <c r="C796" s="887"/>
      <c r="D796" s="887"/>
      <c r="E796" s="887"/>
      <c r="F796" s="888"/>
      <c r="G796" s="887" t="s">
        <v>143</v>
      </c>
      <c r="H796" s="887"/>
      <c r="I796" s="889"/>
      <c r="J796" s="887"/>
      <c r="K796" s="887" t="s">
        <v>3</v>
      </c>
      <c r="L796" s="890" t="s">
        <v>140</v>
      </c>
      <c r="M796" s="890"/>
      <c r="N796" s="890"/>
      <c r="O796" s="890"/>
      <c r="P796" s="890"/>
      <c r="Q796" s="891"/>
      <c r="R796" s="892">
        <f>SUM(R793:R795)</f>
        <v>11.32</v>
      </c>
      <c r="S796" s="887"/>
      <c r="T796" s="892">
        <f>SUM(T793:T795)</f>
        <v>0</v>
      </c>
      <c r="U796" s="514"/>
      <c r="V796" s="514"/>
      <c r="W796" s="514"/>
      <c r="X796" s="514"/>
      <c r="Y796" s="514"/>
      <c r="Z796" s="514"/>
      <c r="AA796" s="514"/>
      <c r="AB796" s="514"/>
      <c r="AC796" s="514"/>
      <c r="AD796" s="514"/>
      <c r="AE796" s="514"/>
      <c r="AF796" s="514"/>
      <c r="AG796" s="514"/>
      <c r="AH796" s="514"/>
      <c r="AI796" s="514"/>
      <c r="AJ796" s="514"/>
      <c r="AK796" s="514"/>
      <c r="AL796" s="514"/>
      <c r="AM796" s="514"/>
      <c r="AN796" s="514"/>
      <c r="AO796" s="514"/>
    </row>
    <row r="797" spans="1:41" s="504" customFormat="1" ht="12" thickTop="1">
      <c r="A797" s="50"/>
      <c r="B797" s="40"/>
      <c r="C797" s="50"/>
      <c r="E797" s="41" t="s">
        <v>136</v>
      </c>
      <c r="F797" s="41" t="s">
        <v>137</v>
      </c>
      <c r="G797" s="50"/>
      <c r="H797" s="50"/>
      <c r="I797" s="50"/>
      <c r="J797" s="50"/>
      <c r="K797" s="50" t="s">
        <v>138</v>
      </c>
      <c r="L797" s="50"/>
      <c r="M797" s="50"/>
      <c r="N797" s="50"/>
      <c r="O797" s="51"/>
      <c r="P797" s="50"/>
      <c r="Q797" s="50"/>
      <c r="R797" s="50"/>
      <c r="S797" s="50"/>
      <c r="T797" s="40"/>
      <c r="AG797" s="867" t="s">
        <v>241</v>
      </c>
      <c r="AH797" s="867" t="s">
        <v>242</v>
      </c>
      <c r="AI797" s="867" t="s">
        <v>243</v>
      </c>
      <c r="AJ797" s="867" t="s">
        <v>244</v>
      </c>
      <c r="AK797" s="867" t="s">
        <v>245</v>
      </c>
      <c r="AM797" s="868" t="s">
        <v>254</v>
      </c>
      <c r="AN797" s="869" t="s">
        <v>255</v>
      </c>
      <c r="AO797" s="505" t="s">
        <v>251</v>
      </c>
    </row>
    <row r="798" spans="1:41" s="504" customFormat="1" ht="12" customHeight="1">
      <c r="A798" s="870">
        <v>3</v>
      </c>
      <c r="B798" s="871" t="s">
        <v>335</v>
      </c>
      <c r="C798" s="872"/>
      <c r="D798" s="873" t="s">
        <v>820</v>
      </c>
      <c r="E798" s="874">
        <f>IF(AND($A798=0,$A$1="DIF"),0, ROUND(ROUND(($R802*$S$2+($T802*$T$2))/A798,2)*$C$2,2))</f>
        <v>19.12</v>
      </c>
      <c r="F798" s="875">
        <f>ROUND($A798*$E798,2)</f>
        <v>57.36</v>
      </c>
      <c r="G798" s="876" t="s">
        <v>139</v>
      </c>
      <c r="H798" s="877"/>
      <c r="I798" s="878"/>
      <c r="J798" s="877"/>
      <c r="K798" s="877" t="s">
        <v>3</v>
      </c>
      <c r="L798" s="879" t="s">
        <v>140</v>
      </c>
      <c r="M798" s="879"/>
      <c r="N798" s="879"/>
      <c r="O798" s="879"/>
      <c r="P798" s="879"/>
      <c r="Q798" s="50"/>
      <c r="T798" s="880" t="str">
        <f>IF(AND($R802=0,$T802=0),"0.00","mu :" &amp; ROUND($F798/$C$2/($R802+$T802*$D$9),2))</f>
        <v>mu :1.22</v>
      </c>
      <c r="W798" s="507"/>
      <c r="AG798" s="465">
        <f>IF($E798=0,0,ROUND($R802*$S$2*$C$2/$A798,2))</f>
        <v>19.12</v>
      </c>
      <c r="AH798" s="465">
        <f>$AG798*$A798</f>
        <v>57.36</v>
      </c>
      <c r="AI798" s="508">
        <f>$E798-$AG798</f>
        <v>0</v>
      </c>
      <c r="AJ798" s="508">
        <f>$A798*$AI798</f>
        <v>0</v>
      </c>
      <c r="AK798" s="509">
        <f>ROUND(($AG798+$AI798)*$A798,2)</f>
        <v>57.36</v>
      </c>
      <c r="AM798" s="510">
        <f>ROUND(R802,2)</f>
        <v>47.01</v>
      </c>
      <c r="AN798" s="511">
        <f>ROUND(T802,2)</f>
        <v>0</v>
      </c>
      <c r="AO798" s="512">
        <f>ROUND(AM798+AN798,2)*A798</f>
        <v>141.03</v>
      </c>
    </row>
    <row r="799" spans="1:41" s="504" customFormat="1" ht="13.2">
      <c r="A799" s="872"/>
      <c r="B799"/>
      <c r="C799" s="872"/>
      <c r="D799" s="873" t="s">
        <v>371</v>
      </c>
      <c r="F799" s="877"/>
      <c r="G799" s="3"/>
      <c r="H799" s="877"/>
      <c r="I799" s="878"/>
      <c r="J799" s="877"/>
      <c r="K799" s="877" t="s">
        <v>141</v>
      </c>
      <c r="L799" s="877"/>
      <c r="M799" s="877"/>
      <c r="N799" s="877"/>
      <c r="O799" s="877"/>
      <c r="P799" s="877"/>
      <c r="Q799" s="50"/>
      <c r="R799" s="513"/>
      <c r="S799" s="881"/>
      <c r="T799" s="877"/>
    </row>
    <row r="800" spans="1:41" s="1039" customFormat="1" ht="13.2">
      <c r="A800" s="112">
        <v>3</v>
      </c>
      <c r="B800" s="1039" t="s">
        <v>949</v>
      </c>
      <c r="D800" s="1039" t="s">
        <v>1266</v>
      </c>
      <c r="E800" s="1039" t="s">
        <v>1256</v>
      </c>
      <c r="F800" s="1039" t="s">
        <v>1252</v>
      </c>
      <c r="G800" s="1040" t="s">
        <v>1248</v>
      </c>
      <c r="H800" s="1041">
        <v>705</v>
      </c>
      <c r="I800" s="1039" t="s">
        <v>1249</v>
      </c>
      <c r="J800" s="1039" t="s">
        <v>1250</v>
      </c>
      <c r="O800" s="1042">
        <v>3</v>
      </c>
      <c r="P800" s="1043">
        <v>34669</v>
      </c>
      <c r="Q800" s="1044">
        <v>15.67</v>
      </c>
      <c r="R800" s="1045">
        <f>$A800*Q800</f>
        <v>47.01</v>
      </c>
      <c r="S800" s="1044"/>
      <c r="T800" s="1046">
        <f>$A800*S800*$T$1</f>
        <v>0</v>
      </c>
    </row>
    <row r="801" spans="1:41" s="504" customFormat="1" ht="12">
      <c r="A801" s="882"/>
      <c r="B801" s="882"/>
      <c r="C801" s="882"/>
      <c r="D801" s="882"/>
      <c r="E801" s="882"/>
      <c r="F801" s="877"/>
      <c r="G801" s="882"/>
      <c r="H801" s="882"/>
      <c r="I801" s="503"/>
      <c r="J801" s="882"/>
      <c r="K801" s="882"/>
      <c r="L801" s="882"/>
      <c r="M801" s="882"/>
      <c r="N801" s="882"/>
      <c r="O801" s="882"/>
      <c r="P801" s="882"/>
      <c r="Q801" s="503"/>
      <c r="R801" s="883">
        <f>$A801*Q801</f>
        <v>0</v>
      </c>
      <c r="S801" s="503"/>
      <c r="T801" s="884">
        <f>$A801*S801*$T$1</f>
        <v>0</v>
      </c>
    </row>
    <row r="802" spans="1:41" s="504" customFormat="1" ht="12.6" thickBot="1">
      <c r="A802" s="885" t="s">
        <v>142</v>
      </c>
      <c r="B802" s="886">
        <f>(R801+T801)</f>
        <v>0</v>
      </c>
      <c r="C802" s="887"/>
      <c r="D802" s="887"/>
      <c r="E802" s="887"/>
      <c r="F802" s="888"/>
      <c r="G802" s="887" t="s">
        <v>143</v>
      </c>
      <c r="H802" s="887"/>
      <c r="I802" s="889"/>
      <c r="J802" s="887"/>
      <c r="K802" s="887" t="s">
        <v>3</v>
      </c>
      <c r="L802" s="890" t="s">
        <v>140</v>
      </c>
      <c r="M802" s="890"/>
      <c r="N802" s="890"/>
      <c r="O802" s="890"/>
      <c r="P802" s="890"/>
      <c r="Q802" s="891"/>
      <c r="R802" s="892">
        <f>SUM(R799:R801)</f>
        <v>47.01</v>
      </c>
      <c r="S802" s="887"/>
      <c r="T802" s="892">
        <f>SUM(T799:T801)</f>
        <v>0</v>
      </c>
      <c r="U802" s="514"/>
      <c r="V802" s="514"/>
      <c r="W802" s="514"/>
      <c r="X802" s="514"/>
      <c r="Y802" s="514"/>
      <c r="Z802" s="514"/>
      <c r="AA802" s="514"/>
      <c r="AB802" s="514"/>
      <c r="AC802" s="514"/>
      <c r="AD802" s="514"/>
      <c r="AE802" s="514"/>
      <c r="AF802" s="514"/>
      <c r="AG802" s="514"/>
      <c r="AH802" s="514"/>
      <c r="AI802" s="514"/>
      <c r="AJ802" s="514"/>
      <c r="AK802" s="514"/>
      <c r="AL802" s="514"/>
      <c r="AM802" s="514"/>
      <c r="AN802" s="514"/>
      <c r="AO802" s="514"/>
    </row>
    <row r="803" spans="1:41" s="504" customFormat="1" thickTop="1">
      <c r="A803" s="50"/>
      <c r="B803" s="50"/>
      <c r="C803" s="3"/>
      <c r="D803" s="3"/>
      <c r="E803" s="50"/>
      <c r="F803" s="50"/>
      <c r="G803" s="50"/>
      <c r="H803" s="50"/>
      <c r="I803" s="50"/>
      <c r="J803" s="50"/>
      <c r="K803" s="50" t="s">
        <v>133</v>
      </c>
      <c r="L803" s="50"/>
      <c r="M803" s="50"/>
      <c r="N803" s="50"/>
      <c r="O803" s="51"/>
      <c r="P803" s="50"/>
      <c r="Q803" s="50"/>
      <c r="R803" s="50"/>
      <c r="S803" s="50"/>
      <c r="T803" s="50"/>
    </row>
    <row r="804" spans="1:41" s="504" customFormat="1" ht="12">
      <c r="A804" s="50"/>
      <c r="B804" s="50"/>
      <c r="C804" s="50" t="s">
        <v>134</v>
      </c>
      <c r="D804" s="37" t="s">
        <v>845</v>
      </c>
      <c r="E804" s="50"/>
      <c r="F804" s="50"/>
      <c r="G804" s="50"/>
      <c r="H804" s="50"/>
      <c r="I804" s="50"/>
      <c r="J804" s="50"/>
      <c r="K804" s="50"/>
      <c r="L804" s="50"/>
      <c r="M804" s="50"/>
      <c r="N804" s="50"/>
      <c r="O804" s="51"/>
      <c r="P804" s="50"/>
      <c r="Q804" s="50"/>
      <c r="R804" s="50"/>
      <c r="S804" s="50"/>
      <c r="T804" s="50"/>
    </row>
    <row r="805" spans="1:41" s="504" customFormat="1" ht="12">
      <c r="A805" s="50"/>
      <c r="B805" s="50"/>
      <c r="C805" s="50"/>
      <c r="D805" s="37" t="s">
        <v>304</v>
      </c>
      <c r="E805" s="50"/>
      <c r="F805" s="50"/>
      <c r="G805" s="50"/>
      <c r="H805" s="50"/>
      <c r="I805" s="50"/>
      <c r="J805" s="50"/>
      <c r="K805" s="50"/>
      <c r="L805" s="50"/>
      <c r="M805" s="50"/>
      <c r="N805" s="50"/>
      <c r="O805" s="51"/>
      <c r="P805" s="50"/>
      <c r="Q805" s="50"/>
      <c r="R805" s="50"/>
      <c r="S805" s="38"/>
      <c r="T805" s="38"/>
    </row>
    <row r="806" spans="1:41" s="3" customFormat="1" thickBot="1">
      <c r="A806" s="514"/>
      <c r="O806" s="103"/>
    </row>
    <row r="807" spans="1:41" s="504" customFormat="1" ht="12" thickTop="1">
      <c r="A807" s="50"/>
      <c r="B807" s="40"/>
      <c r="C807" s="50"/>
      <c r="E807" s="41" t="s">
        <v>136</v>
      </c>
      <c r="F807" s="41" t="s">
        <v>137</v>
      </c>
      <c r="G807" s="50"/>
      <c r="H807" s="50"/>
      <c r="I807" s="50"/>
      <c r="J807" s="50"/>
      <c r="K807" s="50" t="s">
        <v>138</v>
      </c>
      <c r="L807" s="50"/>
      <c r="M807" s="50"/>
      <c r="N807" s="50"/>
      <c r="O807" s="51"/>
      <c r="P807" s="50"/>
      <c r="Q807" s="50"/>
      <c r="R807" s="50"/>
      <c r="S807" s="50"/>
      <c r="T807" s="40"/>
      <c r="AG807" s="867" t="s">
        <v>241</v>
      </c>
      <c r="AH807" s="867" t="s">
        <v>242</v>
      </c>
      <c r="AI807" s="867" t="s">
        <v>243</v>
      </c>
      <c r="AJ807" s="867" t="s">
        <v>244</v>
      </c>
      <c r="AK807" s="867" t="s">
        <v>245</v>
      </c>
      <c r="AM807" s="868" t="s">
        <v>254</v>
      </c>
      <c r="AN807" s="869" t="s">
        <v>255</v>
      </c>
      <c r="AO807" s="505" t="s">
        <v>251</v>
      </c>
    </row>
    <row r="808" spans="1:41" s="504" customFormat="1" ht="12" customHeight="1">
      <c r="A808" s="870">
        <v>1</v>
      </c>
      <c r="B808" s="871" t="s">
        <v>335</v>
      </c>
      <c r="C808" s="872"/>
      <c r="D808" s="873" t="s">
        <v>804</v>
      </c>
      <c r="E808" s="874">
        <f>IF(AND($A808=0,$A$1="DIF"),0, ROUND(ROUND(($R815*$S$2+($T815*$T$2))/A808,2)*$C$2,2))</f>
        <v>272.55</v>
      </c>
      <c r="F808" s="875">
        <f>ROUND($A808*$E808,2)</f>
        <v>272.55</v>
      </c>
      <c r="G808" s="876" t="s">
        <v>139</v>
      </c>
      <c r="H808" s="877"/>
      <c r="I808" s="878"/>
      <c r="J808" s="877"/>
      <c r="K808" s="877" t="s">
        <v>3</v>
      </c>
      <c r="L808" s="879" t="s">
        <v>140</v>
      </c>
      <c r="M808" s="879"/>
      <c r="N808" s="879"/>
      <c r="O808" s="879"/>
      <c r="P808" s="879"/>
      <c r="Q808" s="50"/>
      <c r="T808" s="880" t="str">
        <f>IF(AND($R815=0,$T815=0),"0.00","mu :" &amp; ROUND($F808/$C$2/($R815+$T815*$D$9),2))</f>
        <v>mu :1.22</v>
      </c>
      <c r="W808" s="507"/>
      <c r="AG808" s="465">
        <f>IF($E808=0,0,ROUND($R815*$S$2*$C$2/$A808,2))</f>
        <v>12.34</v>
      </c>
      <c r="AH808" s="465">
        <f>$AG808*$A808</f>
        <v>12.34</v>
      </c>
      <c r="AI808" s="508">
        <f>$E808-$AG808</f>
        <v>260.21000000000004</v>
      </c>
      <c r="AJ808" s="508">
        <f>$A808*$AI808</f>
        <v>260.21000000000004</v>
      </c>
      <c r="AK808" s="509">
        <f>ROUND(($AG808+$AI808)*$A808,2)</f>
        <v>272.55</v>
      </c>
      <c r="AM808" s="510">
        <f>ROUND(R815,2)</f>
        <v>10.119999999999999</v>
      </c>
      <c r="AN808" s="511">
        <f>ROUND(T815,2)</f>
        <v>7.4</v>
      </c>
      <c r="AO808" s="512">
        <f>ROUND(AM808+AN808,2)*A808</f>
        <v>17.52</v>
      </c>
    </row>
    <row r="809" spans="1:41" s="504" customFormat="1" ht="13.2">
      <c r="A809" s="872"/>
      <c r="B809"/>
      <c r="C809" s="872"/>
      <c r="D809" s="873" t="s">
        <v>365</v>
      </c>
      <c r="F809" s="877"/>
      <c r="G809" s="3"/>
      <c r="H809" s="877"/>
      <c r="I809" s="878"/>
      <c r="J809" s="877"/>
      <c r="K809" s="877" t="s">
        <v>141</v>
      </c>
      <c r="L809" s="877"/>
      <c r="M809" s="877"/>
      <c r="N809" s="877"/>
      <c r="O809" s="877"/>
      <c r="P809" s="877"/>
      <c r="Q809" s="50"/>
      <c r="R809" s="513"/>
      <c r="S809" s="881"/>
      <c r="T809" s="877"/>
    </row>
    <row r="810" spans="1:41" s="504" customFormat="1" ht="13.2">
      <c r="A810">
        <v>1</v>
      </c>
      <c r="B810" s="1039" t="s">
        <v>949</v>
      </c>
      <c r="C810" s="1039"/>
      <c r="D810" s="1039" t="s">
        <v>1258</v>
      </c>
      <c r="E810" s="1039"/>
      <c r="F810" s="1039"/>
      <c r="G810" s="1040" t="s">
        <v>950</v>
      </c>
      <c r="H810" s="1041">
        <v>510</v>
      </c>
      <c r="I810" s="1039" t="s">
        <v>951</v>
      </c>
      <c r="J810" s="1039"/>
      <c r="K810" s="882"/>
      <c r="L810" s="1039"/>
      <c r="M810" s="1039"/>
      <c r="N810" s="1039"/>
      <c r="O810" s="1042">
        <v>2</v>
      </c>
      <c r="P810" s="1043"/>
      <c r="Q810" s="1044">
        <v>0</v>
      </c>
      <c r="R810" s="883">
        <f>$A810*Q810</f>
        <v>0</v>
      </c>
      <c r="S810" s="1044">
        <f>2+(10*0.5)</f>
        <v>7</v>
      </c>
      <c r="T810" s="1046">
        <f>$A810*S810*$T$1</f>
        <v>7.3500000000000005</v>
      </c>
    </row>
    <row r="811" spans="1:41" s="504" customFormat="1" ht="13.2">
      <c r="A811" s="112">
        <v>1</v>
      </c>
      <c r="B811" s="1039" t="s">
        <v>949</v>
      </c>
      <c r="C811" s="1039"/>
      <c r="D811" s="1039" t="s">
        <v>957</v>
      </c>
      <c r="E811" s="1039"/>
      <c r="F811" s="1039"/>
      <c r="G811" s="1040" t="s">
        <v>958</v>
      </c>
      <c r="H811" s="1041">
        <v>875</v>
      </c>
      <c r="I811" s="1039" t="s">
        <v>951</v>
      </c>
      <c r="J811" s="1039"/>
      <c r="K811" s="882"/>
      <c r="L811" s="1039"/>
      <c r="M811" s="1039"/>
      <c r="N811" s="1039"/>
      <c r="O811" s="1042">
        <v>3</v>
      </c>
      <c r="P811" s="1043">
        <v>34820</v>
      </c>
      <c r="Q811" s="1044">
        <f>0.9 *(5.82)</f>
        <v>5.2380000000000004</v>
      </c>
      <c r="R811" s="883">
        <f>$A811*Q811</f>
        <v>5.2380000000000004</v>
      </c>
      <c r="S811" s="1044">
        <f>0.9 *(0.05)</f>
        <v>4.5000000000000005E-2</v>
      </c>
      <c r="T811" s="1046">
        <f>$A811*S811*$T$1</f>
        <v>4.7250000000000007E-2</v>
      </c>
    </row>
    <row r="812" spans="1:41" s="504" customFormat="1" ht="13.2">
      <c r="A812" s="112">
        <v>1</v>
      </c>
      <c r="B812" s="1039" t="s">
        <v>949</v>
      </c>
      <c r="C812" s="1039"/>
      <c r="D812" s="1039" t="s">
        <v>1239</v>
      </c>
      <c r="E812" s="1039"/>
      <c r="F812" s="1039"/>
      <c r="G812" s="1040" t="s">
        <v>1240</v>
      </c>
      <c r="H812" s="1041">
        <v>880</v>
      </c>
      <c r="I812" s="1039" t="s">
        <v>951</v>
      </c>
      <c r="J812" s="1039"/>
      <c r="K812" s="882"/>
      <c r="L812" s="1039"/>
      <c r="M812" s="1039"/>
      <c r="N812" s="1039"/>
      <c r="O812" s="1042">
        <v>3</v>
      </c>
      <c r="P812" s="1043">
        <v>35443</v>
      </c>
      <c r="Q812" s="1044">
        <f>0.9 *(4.66)</f>
        <v>4.194</v>
      </c>
      <c r="R812" s="883">
        <f>$A812*Q812</f>
        <v>4.194</v>
      </c>
      <c r="S812" s="1044"/>
      <c r="T812" s="1046">
        <f>$A812*S812*$T$1</f>
        <v>0</v>
      </c>
    </row>
    <row r="813" spans="1:41" s="504" customFormat="1" ht="13.2">
      <c r="A813" s="112">
        <v>4</v>
      </c>
      <c r="B813" s="1039" t="s">
        <v>949</v>
      </c>
      <c r="C813" s="1039"/>
      <c r="D813" s="1039" t="s">
        <v>1241</v>
      </c>
      <c r="E813" s="1039"/>
      <c r="F813" s="1039"/>
      <c r="G813" s="1040" t="s">
        <v>1242</v>
      </c>
      <c r="H813" s="1041">
        <v>875</v>
      </c>
      <c r="I813" s="1039" t="s">
        <v>1243</v>
      </c>
      <c r="J813" s="1039" t="s">
        <v>1244</v>
      </c>
      <c r="K813" s="882"/>
      <c r="L813" s="1039"/>
      <c r="M813" s="1039"/>
      <c r="N813" s="1039"/>
      <c r="O813" s="1042">
        <v>1</v>
      </c>
      <c r="P813" s="1043">
        <v>36175</v>
      </c>
      <c r="Q813" s="1044">
        <f>0.9 *(0.19)</f>
        <v>0.17100000000000001</v>
      </c>
      <c r="R813" s="883">
        <f>$A813*Q813</f>
        <v>0.68400000000000005</v>
      </c>
      <c r="S813" s="1044"/>
      <c r="T813" s="1046">
        <f>$A813*S813*$T$1</f>
        <v>0</v>
      </c>
    </row>
    <row r="814" spans="1:41" s="504" customFormat="1" ht="12">
      <c r="A814" s="882"/>
      <c r="B814" s="882"/>
      <c r="C814" s="882"/>
      <c r="D814" s="882"/>
      <c r="E814" s="882"/>
      <c r="F814" s="877"/>
      <c r="G814" s="882"/>
      <c r="H814" s="882"/>
      <c r="I814" s="503"/>
      <c r="J814" s="882"/>
      <c r="K814" s="882"/>
      <c r="L814" s="882"/>
      <c r="M814" s="882"/>
      <c r="N814" s="882"/>
      <c r="O814" s="882"/>
      <c r="P814" s="882"/>
      <c r="Q814" s="503"/>
      <c r="R814" s="883">
        <f>$A814*Q814</f>
        <v>0</v>
      </c>
      <c r="S814" s="503"/>
      <c r="T814" s="884">
        <f>$A814*S814*$T$1</f>
        <v>0</v>
      </c>
    </row>
    <row r="815" spans="1:41" s="504" customFormat="1" ht="12.6" thickBot="1">
      <c r="A815" s="885" t="s">
        <v>142</v>
      </c>
      <c r="B815" s="886">
        <f>(R814+T814)</f>
        <v>0</v>
      </c>
      <c r="C815" s="887"/>
      <c r="D815" s="887"/>
      <c r="E815" s="887"/>
      <c r="F815" s="888"/>
      <c r="G815" s="887" t="s">
        <v>143</v>
      </c>
      <c r="H815" s="887"/>
      <c r="I815" s="889"/>
      <c r="J815" s="887"/>
      <c r="K815" s="887" t="s">
        <v>3</v>
      </c>
      <c r="L815" s="890" t="s">
        <v>140</v>
      </c>
      <c r="M815" s="890"/>
      <c r="N815" s="890"/>
      <c r="O815" s="890"/>
      <c r="P815" s="890"/>
      <c r="Q815" s="891"/>
      <c r="R815" s="892">
        <f>SUM(R809:R814)</f>
        <v>10.116</v>
      </c>
      <c r="S815" s="887"/>
      <c r="T815" s="892">
        <f>SUM(T809:T814)</f>
        <v>7.3972500000000005</v>
      </c>
      <c r="U815" s="514"/>
      <c r="V815" s="514"/>
      <c r="W815" s="514"/>
      <c r="X815" s="514"/>
      <c r="Y815" s="514"/>
      <c r="Z815" s="514"/>
      <c r="AA815" s="514"/>
      <c r="AB815" s="514"/>
      <c r="AC815" s="514"/>
      <c r="AD815" s="514"/>
      <c r="AE815" s="514"/>
      <c r="AF815" s="514"/>
      <c r="AG815" s="514"/>
      <c r="AH815" s="514"/>
      <c r="AI815" s="514"/>
      <c r="AJ815" s="514"/>
      <c r="AK815" s="514"/>
      <c r="AL815" s="514"/>
      <c r="AM815" s="514"/>
      <c r="AN815" s="514"/>
      <c r="AO815" s="514"/>
    </row>
    <row r="816" spans="1:41" s="504" customFormat="1" ht="12" thickTop="1">
      <c r="A816" s="50"/>
      <c r="B816" s="40"/>
      <c r="C816" s="50"/>
      <c r="E816" s="41" t="s">
        <v>136</v>
      </c>
      <c r="F816" s="41" t="s">
        <v>137</v>
      </c>
      <c r="G816" s="50"/>
      <c r="H816" s="50"/>
      <c r="I816" s="50"/>
      <c r="J816" s="50"/>
      <c r="K816" s="50" t="s">
        <v>138</v>
      </c>
      <c r="L816" s="50"/>
      <c r="M816" s="50"/>
      <c r="N816" s="50"/>
      <c r="O816" s="51"/>
      <c r="P816" s="50"/>
      <c r="Q816" s="50"/>
      <c r="R816" s="50"/>
      <c r="S816" s="50"/>
      <c r="T816" s="40"/>
      <c r="AG816" s="867" t="s">
        <v>241</v>
      </c>
      <c r="AH816" s="867" t="s">
        <v>242</v>
      </c>
      <c r="AI816" s="867" t="s">
        <v>243</v>
      </c>
      <c r="AJ816" s="867" t="s">
        <v>244</v>
      </c>
      <c r="AK816" s="867" t="s">
        <v>245</v>
      </c>
      <c r="AM816" s="868" t="s">
        <v>254</v>
      </c>
      <c r="AN816" s="869" t="s">
        <v>255</v>
      </c>
      <c r="AO816" s="505" t="s">
        <v>251</v>
      </c>
    </row>
    <row r="817" spans="1:41" s="504" customFormat="1" ht="12" customHeight="1">
      <c r="A817" s="870">
        <v>1</v>
      </c>
      <c r="B817" s="871" t="s">
        <v>335</v>
      </c>
      <c r="C817" s="872"/>
      <c r="D817" s="873" t="s">
        <v>806</v>
      </c>
      <c r="E817" s="874">
        <f>IF(AND($A817=0,$A$1="DIF"),0, ROUND(ROUND(($R824*$S$2+($T824*$T$2))/A817,2)*$C$2,2))</f>
        <v>272.55</v>
      </c>
      <c r="F817" s="875">
        <f>ROUND($A817*$E817,2)</f>
        <v>272.55</v>
      </c>
      <c r="G817" s="876" t="s">
        <v>139</v>
      </c>
      <c r="H817" s="877"/>
      <c r="I817" s="878"/>
      <c r="J817" s="877"/>
      <c r="K817" s="877" t="s">
        <v>3</v>
      </c>
      <c r="L817" s="879" t="s">
        <v>140</v>
      </c>
      <c r="M817" s="879"/>
      <c r="N817" s="879"/>
      <c r="O817" s="879"/>
      <c r="P817" s="879"/>
      <c r="Q817" s="50"/>
      <c r="T817" s="880" t="str">
        <f>IF(AND($R824=0,$T824=0),"0.00","mu :" &amp; ROUND($F817/$C$2/($R824+$T824*$D$9),2))</f>
        <v>mu :1.22</v>
      </c>
      <c r="W817" s="507"/>
      <c r="AG817" s="465">
        <f>IF($E817=0,0,ROUND($R824*$S$2*$C$2/$A817,2))</f>
        <v>12.34</v>
      </c>
      <c r="AH817" s="465">
        <f>$AG817*$A817</f>
        <v>12.34</v>
      </c>
      <c r="AI817" s="508">
        <f>$E817-$AG817</f>
        <v>260.21000000000004</v>
      </c>
      <c r="AJ817" s="508">
        <f>$A817*$AI817</f>
        <v>260.21000000000004</v>
      </c>
      <c r="AK817" s="509">
        <f>ROUND(($AG817+$AI817)*$A817,2)</f>
        <v>272.55</v>
      </c>
      <c r="AM817" s="510">
        <f>ROUND(R824,2)</f>
        <v>10.119999999999999</v>
      </c>
      <c r="AN817" s="511">
        <f>ROUND(T824,2)</f>
        <v>7.4</v>
      </c>
      <c r="AO817" s="512">
        <f>ROUND(AM817+AN817,2)*A817</f>
        <v>17.52</v>
      </c>
    </row>
    <row r="818" spans="1:41" s="504" customFormat="1" ht="13.2">
      <c r="A818" s="872"/>
      <c r="B818"/>
      <c r="C818" s="872"/>
      <c r="D818" s="873" t="s">
        <v>366</v>
      </c>
      <c r="F818" s="877"/>
      <c r="G818" s="3"/>
      <c r="H818" s="877"/>
      <c r="I818" s="878"/>
      <c r="J818" s="877"/>
      <c r="K818" s="877" t="s">
        <v>141</v>
      </c>
      <c r="L818" s="877"/>
      <c r="M818" s="877"/>
      <c r="N818" s="877"/>
      <c r="O818" s="877"/>
      <c r="P818" s="877"/>
      <c r="Q818" s="50"/>
      <c r="R818" s="513"/>
      <c r="S818" s="881"/>
      <c r="T818" s="877"/>
    </row>
    <row r="819" spans="1:41" s="504" customFormat="1" ht="13.2">
      <c r="A819">
        <v>1</v>
      </c>
      <c r="B819" s="1039" t="s">
        <v>949</v>
      </c>
      <c r="C819" s="1039"/>
      <c r="D819" s="1039" t="s">
        <v>1259</v>
      </c>
      <c r="E819" s="1039"/>
      <c r="F819" s="1039"/>
      <c r="G819" s="1040" t="s">
        <v>950</v>
      </c>
      <c r="H819" s="1041">
        <v>510</v>
      </c>
      <c r="I819" s="1039" t="s">
        <v>951</v>
      </c>
      <c r="J819" s="1039"/>
      <c r="K819" s="882"/>
      <c r="L819" s="1039"/>
      <c r="M819" s="1039"/>
      <c r="N819" s="1039"/>
      <c r="O819" s="1042">
        <v>2</v>
      </c>
      <c r="P819" s="1043"/>
      <c r="Q819" s="1044">
        <v>0</v>
      </c>
      <c r="R819" s="883">
        <f>$A819*Q819</f>
        <v>0</v>
      </c>
      <c r="S819" s="1044">
        <f>2+(10*0.5)</f>
        <v>7</v>
      </c>
      <c r="T819" s="1046">
        <f>$A819*S819*$T$1</f>
        <v>7.3500000000000005</v>
      </c>
    </row>
    <row r="820" spans="1:41" s="504" customFormat="1" ht="13.2">
      <c r="A820" s="112">
        <v>1</v>
      </c>
      <c r="B820" s="1039" t="s">
        <v>949</v>
      </c>
      <c r="C820" s="1039"/>
      <c r="D820" s="1039" t="s">
        <v>957</v>
      </c>
      <c r="E820" s="1039"/>
      <c r="F820" s="1039"/>
      <c r="G820" s="1040" t="s">
        <v>958</v>
      </c>
      <c r="H820" s="1041">
        <v>875</v>
      </c>
      <c r="I820" s="1039" t="s">
        <v>951</v>
      </c>
      <c r="J820" s="1039"/>
      <c r="K820" s="882"/>
      <c r="L820" s="1039"/>
      <c r="M820" s="1039"/>
      <c r="N820" s="1039"/>
      <c r="O820" s="1042">
        <v>3</v>
      </c>
      <c r="P820" s="1043">
        <v>34820</v>
      </c>
      <c r="Q820" s="1044">
        <f>0.9 *(5.82)</f>
        <v>5.2380000000000004</v>
      </c>
      <c r="R820" s="883">
        <f>$A820*Q820</f>
        <v>5.2380000000000004</v>
      </c>
      <c r="S820" s="1044">
        <f>0.9 *(0.05)</f>
        <v>4.5000000000000005E-2</v>
      </c>
      <c r="T820" s="1046">
        <f>$A820*S820*$T$1</f>
        <v>4.7250000000000007E-2</v>
      </c>
    </row>
    <row r="821" spans="1:41" s="504" customFormat="1" ht="13.2">
      <c r="A821" s="112">
        <v>1</v>
      </c>
      <c r="B821" s="1039" t="s">
        <v>949</v>
      </c>
      <c r="C821" s="1039"/>
      <c r="D821" s="1039" t="s">
        <v>1239</v>
      </c>
      <c r="E821" s="1039"/>
      <c r="F821" s="1039"/>
      <c r="G821" s="1040" t="s">
        <v>1240</v>
      </c>
      <c r="H821" s="1041">
        <v>880</v>
      </c>
      <c r="I821" s="1039" t="s">
        <v>951</v>
      </c>
      <c r="J821" s="1039"/>
      <c r="K821" s="882"/>
      <c r="L821" s="1039"/>
      <c r="M821" s="1039"/>
      <c r="N821" s="1039"/>
      <c r="O821" s="1042">
        <v>3</v>
      </c>
      <c r="P821" s="1043">
        <v>35443</v>
      </c>
      <c r="Q821" s="1044">
        <f>0.9 *(4.66)</f>
        <v>4.194</v>
      </c>
      <c r="R821" s="883">
        <f>$A821*Q821</f>
        <v>4.194</v>
      </c>
      <c r="S821" s="1044"/>
      <c r="T821" s="1046">
        <f>$A821*S821*$T$1</f>
        <v>0</v>
      </c>
    </row>
    <row r="822" spans="1:41" s="504" customFormat="1" ht="13.2">
      <c r="A822" s="112">
        <v>4</v>
      </c>
      <c r="B822" s="1039" t="s">
        <v>949</v>
      </c>
      <c r="C822" s="1039"/>
      <c r="D822" s="1039" t="s">
        <v>1241</v>
      </c>
      <c r="E822" s="1039"/>
      <c r="F822" s="1039"/>
      <c r="G822" s="1040" t="s">
        <v>1242</v>
      </c>
      <c r="H822" s="1041">
        <v>875</v>
      </c>
      <c r="I822" s="1039" t="s">
        <v>1243</v>
      </c>
      <c r="J822" s="1039" t="s">
        <v>1244</v>
      </c>
      <c r="K822" s="882"/>
      <c r="L822" s="1039"/>
      <c r="M822" s="1039"/>
      <c r="N822" s="1039"/>
      <c r="O822" s="1042">
        <v>1</v>
      </c>
      <c r="P822" s="1043">
        <v>36175</v>
      </c>
      <c r="Q822" s="1044">
        <f>0.9 *(0.19)</f>
        <v>0.17100000000000001</v>
      </c>
      <c r="R822" s="883">
        <f>$A822*Q822</f>
        <v>0.68400000000000005</v>
      </c>
      <c r="S822" s="1044"/>
      <c r="T822" s="1046">
        <f>$A822*S822*$T$1</f>
        <v>0</v>
      </c>
    </row>
    <row r="823" spans="1:41" s="504" customFormat="1" ht="12">
      <c r="A823" s="882"/>
      <c r="B823" s="882"/>
      <c r="C823" s="882"/>
      <c r="D823" s="882"/>
      <c r="E823" s="882"/>
      <c r="F823" s="877"/>
      <c r="G823" s="882"/>
      <c r="H823" s="882"/>
      <c r="I823" s="503"/>
      <c r="J823" s="882"/>
      <c r="K823" s="882"/>
      <c r="L823" s="882"/>
      <c r="M823" s="882"/>
      <c r="N823" s="882"/>
      <c r="O823" s="882"/>
      <c r="P823" s="882"/>
      <c r="Q823" s="503"/>
      <c r="R823" s="883">
        <f>$A823*Q823</f>
        <v>0</v>
      </c>
      <c r="S823" s="503"/>
      <c r="T823" s="884">
        <f>$A823*S823*$T$1</f>
        <v>0</v>
      </c>
    </row>
    <row r="824" spans="1:41" s="504" customFormat="1" ht="12.6" thickBot="1">
      <c r="A824" s="885" t="s">
        <v>142</v>
      </c>
      <c r="B824" s="886">
        <f>(R823+T823)</f>
        <v>0</v>
      </c>
      <c r="C824" s="887"/>
      <c r="D824" s="887"/>
      <c r="E824" s="887"/>
      <c r="F824" s="888"/>
      <c r="G824" s="887" t="s">
        <v>143</v>
      </c>
      <c r="H824" s="887"/>
      <c r="I824" s="889"/>
      <c r="J824" s="887"/>
      <c r="K824" s="887" t="s">
        <v>3</v>
      </c>
      <c r="L824" s="890" t="s">
        <v>140</v>
      </c>
      <c r="M824" s="890"/>
      <c r="N824" s="890"/>
      <c r="O824" s="890"/>
      <c r="P824" s="890"/>
      <c r="Q824" s="891"/>
      <c r="R824" s="892">
        <f>SUM(R818:R823)</f>
        <v>10.116</v>
      </c>
      <c r="S824" s="887"/>
      <c r="T824" s="892">
        <f>SUM(T818:T823)</f>
        <v>7.3972500000000005</v>
      </c>
      <c r="U824" s="514"/>
      <c r="V824" s="514"/>
      <c r="W824" s="514"/>
      <c r="X824" s="514"/>
      <c r="Y824" s="514"/>
      <c r="Z824" s="514"/>
      <c r="AA824" s="514"/>
      <c r="AB824" s="514"/>
      <c r="AC824" s="514"/>
      <c r="AD824" s="514"/>
      <c r="AE824" s="514"/>
      <c r="AF824" s="514"/>
      <c r="AG824" s="514"/>
      <c r="AH824" s="514"/>
      <c r="AI824" s="514"/>
      <c r="AJ824" s="514"/>
      <c r="AK824" s="514"/>
      <c r="AL824" s="514"/>
      <c r="AM824" s="514"/>
      <c r="AN824" s="514"/>
      <c r="AO824" s="514"/>
    </row>
    <row r="825" spans="1:41" s="504" customFormat="1" ht="12" thickTop="1">
      <c r="A825" s="50"/>
      <c r="B825" s="40"/>
      <c r="C825" s="50"/>
      <c r="E825" s="41" t="s">
        <v>136</v>
      </c>
      <c r="F825" s="41" t="s">
        <v>137</v>
      </c>
      <c r="G825" s="50"/>
      <c r="H825" s="50"/>
      <c r="I825" s="50"/>
      <c r="J825" s="50"/>
      <c r="K825" s="50" t="s">
        <v>138</v>
      </c>
      <c r="L825" s="50"/>
      <c r="M825" s="50"/>
      <c r="N825" s="50"/>
      <c r="O825" s="51"/>
      <c r="P825" s="50"/>
      <c r="Q825" s="50"/>
      <c r="R825" s="50"/>
      <c r="S825" s="50"/>
      <c r="T825" s="40"/>
      <c r="AG825" s="867" t="s">
        <v>241</v>
      </c>
      <c r="AH825" s="867" t="s">
        <v>242</v>
      </c>
      <c r="AI825" s="867" t="s">
        <v>243</v>
      </c>
      <c r="AJ825" s="867" t="s">
        <v>244</v>
      </c>
      <c r="AK825" s="867" t="s">
        <v>245</v>
      </c>
      <c r="AM825" s="868" t="s">
        <v>254</v>
      </c>
      <c r="AN825" s="869" t="s">
        <v>255</v>
      </c>
      <c r="AO825" s="505" t="s">
        <v>251</v>
      </c>
    </row>
    <row r="826" spans="1:41" s="504" customFormat="1" ht="12" customHeight="1">
      <c r="A826" s="870">
        <v>6</v>
      </c>
      <c r="B826" s="871" t="s">
        <v>335</v>
      </c>
      <c r="C826" s="872"/>
      <c r="D826" s="873" t="s">
        <v>808</v>
      </c>
      <c r="E826" s="874">
        <f>IF(AND($A826=0,$A$1="DIF"),0, ROUND(ROUND(($R833*$S$2+($T833*$T$2))/A826,2)*$C$2,2))</f>
        <v>13.69</v>
      </c>
      <c r="F826" s="875">
        <f>ROUND($A826*$E826,2)</f>
        <v>82.14</v>
      </c>
      <c r="G826" s="876" t="s">
        <v>139</v>
      </c>
      <c r="H826" s="877"/>
      <c r="I826" s="878"/>
      <c r="J826" s="877"/>
      <c r="K826" s="877" t="s">
        <v>3</v>
      </c>
      <c r="L826" s="879" t="s">
        <v>140</v>
      </c>
      <c r="M826" s="879"/>
      <c r="N826" s="879"/>
      <c r="O826" s="879"/>
      <c r="P826" s="879"/>
      <c r="Q826" s="50"/>
      <c r="T826" s="880" t="str">
        <f>IF(AND($R833=0,$T833=0),"0.00","mu :" &amp; ROUND($F826/$C$2/($R833+$T833*$D$9),2))</f>
        <v>mu :1.22</v>
      </c>
      <c r="W826" s="507"/>
      <c r="AG826" s="465">
        <f>IF($E826=0,0,ROUND($R833*$S$2*$C$2/$A826,2))</f>
        <v>4.45</v>
      </c>
      <c r="AH826" s="465">
        <f>$AG826*$A826</f>
        <v>26.700000000000003</v>
      </c>
      <c r="AI826" s="508">
        <f>$E826-$AG826</f>
        <v>9.2399999999999984</v>
      </c>
      <c r="AJ826" s="508">
        <f>$A826*$AI826</f>
        <v>55.439999999999991</v>
      </c>
      <c r="AK826" s="509">
        <f>ROUND(($AG826+$AI826)*$A826,2)</f>
        <v>82.14</v>
      </c>
      <c r="AM826" s="510">
        <f>ROUND(R833,2)</f>
        <v>21.9</v>
      </c>
      <c r="AN826" s="511">
        <f>ROUND(T833,2)</f>
        <v>1.58</v>
      </c>
      <c r="AO826" s="512">
        <f>ROUND(AM826+AN826,2)*A826</f>
        <v>140.88</v>
      </c>
    </row>
    <row r="827" spans="1:41" s="504" customFormat="1" ht="13.2">
      <c r="A827" s="872"/>
      <c r="B827"/>
      <c r="C827" s="872"/>
      <c r="D827" s="873" t="s">
        <v>367</v>
      </c>
      <c r="F827" s="877"/>
      <c r="G827" s="3"/>
      <c r="H827" s="877"/>
      <c r="I827" s="878"/>
      <c r="J827" s="877"/>
      <c r="K827" s="877" t="s">
        <v>141</v>
      </c>
      <c r="L827" s="877"/>
      <c r="M827" s="877"/>
      <c r="N827" s="877"/>
      <c r="O827" s="877"/>
      <c r="P827" s="877"/>
      <c r="Q827" s="50"/>
      <c r="R827" s="513"/>
      <c r="S827" s="881"/>
      <c r="T827" s="877"/>
    </row>
    <row r="828" spans="1:41" s="504" customFormat="1" ht="13.2">
      <c r="A828" s="112">
        <v>6</v>
      </c>
      <c r="B828" s="1039" t="s">
        <v>949</v>
      </c>
      <c r="C828" s="1039"/>
      <c r="D828" s="1039" t="s">
        <v>1262</v>
      </c>
      <c r="E828" s="1039" t="s">
        <v>1251</v>
      </c>
      <c r="F828" s="1039" t="s">
        <v>1252</v>
      </c>
      <c r="G828" s="1040" t="s">
        <v>1245</v>
      </c>
      <c r="H828" s="1041">
        <v>510</v>
      </c>
      <c r="I828" s="1039" t="s">
        <v>1246</v>
      </c>
      <c r="J828" s="1039" t="s">
        <v>1247</v>
      </c>
      <c r="K828" s="882"/>
      <c r="L828" s="1039"/>
      <c r="M828" s="1039"/>
      <c r="N828" s="1039"/>
      <c r="O828" s="1042">
        <v>2</v>
      </c>
      <c r="P828" s="1043">
        <v>36880</v>
      </c>
      <c r="Q828" s="1044">
        <v>0</v>
      </c>
      <c r="R828" s="1072">
        <f>$A828*Q828</f>
        <v>0</v>
      </c>
      <c r="S828" s="1044">
        <v>0.25</v>
      </c>
      <c r="T828" s="1046">
        <f>$A828*S828*$T$1</f>
        <v>1.5750000000000002</v>
      </c>
    </row>
    <row r="829" spans="1:41" s="504" customFormat="1" ht="13.2">
      <c r="A829" s="112">
        <v>24</v>
      </c>
      <c r="B829" s="1039" t="s">
        <v>949</v>
      </c>
      <c r="C829" s="1039"/>
      <c r="D829" s="1039" t="s">
        <v>965</v>
      </c>
      <c r="E829" s="1039"/>
      <c r="F829" s="1039"/>
      <c r="G829" s="1040" t="s">
        <v>966</v>
      </c>
      <c r="H829" s="1041">
        <v>875</v>
      </c>
      <c r="I829" s="1039" t="s">
        <v>951</v>
      </c>
      <c r="J829" s="1039"/>
      <c r="K829" s="882"/>
      <c r="L829" s="1039"/>
      <c r="M829" s="1039"/>
      <c r="N829" s="1039"/>
      <c r="O829" s="1042">
        <v>1</v>
      </c>
      <c r="P829" s="1043">
        <v>34669</v>
      </c>
      <c r="Q829" s="1044">
        <v>0.02</v>
      </c>
      <c r="R829" s="1072">
        <f>$A829*Q829</f>
        <v>0.48</v>
      </c>
      <c r="S829" s="1044"/>
      <c r="T829" s="1046">
        <f>$A829*S829*$T$1</f>
        <v>0</v>
      </c>
    </row>
    <row r="830" spans="1:41" s="504" customFormat="1" ht="13.2">
      <c r="A830" s="112">
        <v>24</v>
      </c>
      <c r="B830" s="1039" t="s">
        <v>949</v>
      </c>
      <c r="C830" s="1039"/>
      <c r="D830" s="1039" t="s">
        <v>968</v>
      </c>
      <c r="E830" s="1039"/>
      <c r="F830" s="1039"/>
      <c r="G830" s="1040" t="s">
        <v>969</v>
      </c>
      <c r="H830" s="1041">
        <v>875</v>
      </c>
      <c r="I830" s="1039" t="s">
        <v>951</v>
      </c>
      <c r="J830" s="1039"/>
      <c r="K830" s="882"/>
      <c r="L830" s="1039"/>
      <c r="M830" s="1039"/>
      <c r="N830" s="1039"/>
      <c r="O830" s="1042">
        <v>1</v>
      </c>
      <c r="P830" s="1043">
        <v>34669</v>
      </c>
      <c r="Q830" s="1044">
        <v>0.02</v>
      </c>
      <c r="R830" s="1072">
        <f>$A830*Q830</f>
        <v>0.48</v>
      </c>
      <c r="S830" s="1044"/>
      <c r="T830" s="1046">
        <f>$A830*S830*$T$1</f>
        <v>0</v>
      </c>
    </row>
    <row r="831" spans="1:41" s="504" customFormat="1" ht="13.2">
      <c r="A831" s="112">
        <v>6</v>
      </c>
      <c r="B831" s="1039" t="s">
        <v>949</v>
      </c>
      <c r="C831" s="1039"/>
      <c r="D831" s="1039" t="s">
        <v>961</v>
      </c>
      <c r="E831" s="1039"/>
      <c r="F831" s="1039"/>
      <c r="G831" s="1040" t="s">
        <v>962</v>
      </c>
      <c r="H831" s="1041">
        <v>875</v>
      </c>
      <c r="I831" s="1039" t="s">
        <v>951</v>
      </c>
      <c r="J831" s="1039"/>
      <c r="K831" s="882"/>
      <c r="L831" s="1039"/>
      <c r="M831" s="1039"/>
      <c r="N831" s="1039"/>
      <c r="O831" s="1042">
        <v>3</v>
      </c>
      <c r="P831" s="1043">
        <v>34820</v>
      </c>
      <c r="Q831" s="1044">
        <v>3.49</v>
      </c>
      <c r="R831" s="1072">
        <f>$A831*Q831</f>
        <v>20.94</v>
      </c>
      <c r="S831" s="1044"/>
      <c r="T831" s="1046">
        <f>$A831*S831*$T$1</f>
        <v>0</v>
      </c>
    </row>
    <row r="832" spans="1:41" s="504" customFormat="1" ht="12">
      <c r="A832" s="882"/>
      <c r="B832" s="882"/>
      <c r="C832" s="882"/>
      <c r="D832" s="882"/>
      <c r="E832" s="882"/>
      <c r="F832" s="877"/>
      <c r="G832" s="882"/>
      <c r="H832" s="882"/>
      <c r="I832" s="503"/>
      <c r="J832" s="882"/>
      <c r="K832" s="882"/>
      <c r="L832" s="882"/>
      <c r="M832" s="882"/>
      <c r="N832" s="882"/>
      <c r="O832" s="882"/>
      <c r="P832" s="882"/>
      <c r="Q832" s="503"/>
      <c r="R832" s="883">
        <f>$A832*Q832</f>
        <v>0</v>
      </c>
      <c r="S832" s="503"/>
      <c r="T832" s="884">
        <f>$A832*S832*$T$1</f>
        <v>0</v>
      </c>
    </row>
    <row r="833" spans="1:41" s="504" customFormat="1" ht="12.6" thickBot="1">
      <c r="A833" s="885" t="s">
        <v>142</v>
      </c>
      <c r="B833" s="886">
        <f>(R832+T832)</f>
        <v>0</v>
      </c>
      <c r="C833" s="887"/>
      <c r="D833" s="887"/>
      <c r="E833" s="887"/>
      <c r="F833" s="888"/>
      <c r="G833" s="887" t="s">
        <v>143</v>
      </c>
      <c r="H833" s="887"/>
      <c r="I833" s="889"/>
      <c r="J833" s="887"/>
      <c r="K833" s="887" t="s">
        <v>3</v>
      </c>
      <c r="L833" s="890" t="s">
        <v>140</v>
      </c>
      <c r="M833" s="890"/>
      <c r="N833" s="890"/>
      <c r="O833" s="890"/>
      <c r="P833" s="890"/>
      <c r="Q833" s="891"/>
      <c r="R833" s="892">
        <f>SUM(R827:R832)</f>
        <v>21.900000000000002</v>
      </c>
      <c r="S833" s="887"/>
      <c r="T833" s="892">
        <f>SUM(T827:T832)</f>
        <v>1.5750000000000002</v>
      </c>
      <c r="U833" s="514"/>
      <c r="V833" s="514"/>
      <c r="W833" s="514"/>
      <c r="X833" s="514"/>
      <c r="Y833" s="514"/>
      <c r="Z833" s="514"/>
      <c r="AA833" s="514"/>
      <c r="AB833" s="514"/>
      <c r="AC833" s="514"/>
      <c r="AD833" s="514"/>
      <c r="AE833" s="514"/>
      <c r="AF833" s="514"/>
      <c r="AG833" s="514"/>
      <c r="AH833" s="514"/>
      <c r="AI833" s="514"/>
      <c r="AJ833" s="514"/>
      <c r="AK833" s="514"/>
      <c r="AL833" s="514"/>
      <c r="AM833" s="514"/>
      <c r="AN833" s="514"/>
      <c r="AO833" s="514"/>
    </row>
    <row r="834" spans="1:41" s="504" customFormat="1" ht="12" thickTop="1">
      <c r="A834" s="50"/>
      <c r="B834" s="40"/>
      <c r="C834" s="50"/>
      <c r="E834" s="41" t="s">
        <v>136</v>
      </c>
      <c r="F834" s="41" t="s">
        <v>137</v>
      </c>
      <c r="G834" s="50"/>
      <c r="H834" s="50"/>
      <c r="I834" s="50"/>
      <c r="J834" s="50"/>
      <c r="K834" s="50" t="s">
        <v>138</v>
      </c>
      <c r="L834" s="50"/>
      <c r="M834" s="50"/>
      <c r="N834" s="50"/>
      <c r="O834" s="51"/>
      <c r="P834" s="50"/>
      <c r="Q834" s="50"/>
      <c r="R834" s="50"/>
      <c r="S834" s="50"/>
      <c r="T834" s="40"/>
      <c r="AG834" s="867" t="s">
        <v>241</v>
      </c>
      <c r="AH834" s="867" t="s">
        <v>242</v>
      </c>
      <c r="AI834" s="867" t="s">
        <v>243</v>
      </c>
      <c r="AJ834" s="867" t="s">
        <v>244</v>
      </c>
      <c r="AK834" s="867" t="s">
        <v>245</v>
      </c>
      <c r="AM834" s="868" t="s">
        <v>254</v>
      </c>
      <c r="AN834" s="869" t="s">
        <v>255</v>
      </c>
      <c r="AO834" s="505" t="s">
        <v>251</v>
      </c>
    </row>
    <row r="835" spans="1:41" s="504" customFormat="1" ht="12" customHeight="1">
      <c r="A835" s="870">
        <v>2</v>
      </c>
      <c r="B835" s="871" t="s">
        <v>335</v>
      </c>
      <c r="C835" s="872"/>
      <c r="D835" s="873" t="s">
        <v>810</v>
      </c>
      <c r="E835" s="874">
        <f>IF(AND($A835=0,$A$1="DIF"),0, ROUND(ROUND(($R842*$S$2+($T842*$T$2))/A835,2)*$C$2,2))</f>
        <v>13.69</v>
      </c>
      <c r="F835" s="875">
        <f>ROUND($A835*$E835,2)</f>
        <v>27.38</v>
      </c>
      <c r="G835" s="876" t="s">
        <v>139</v>
      </c>
      <c r="H835" s="877"/>
      <c r="I835" s="878"/>
      <c r="J835" s="877"/>
      <c r="K835" s="877" t="s">
        <v>3</v>
      </c>
      <c r="L835" s="879" t="s">
        <v>140</v>
      </c>
      <c r="M835" s="879"/>
      <c r="N835" s="879"/>
      <c r="O835" s="879"/>
      <c r="P835" s="879"/>
      <c r="Q835" s="50"/>
      <c r="T835" s="880" t="str">
        <f>IF(AND($R842=0,$T842=0),"0.00","mu :" &amp; ROUND($F835/$C$2/($R842+$T842*$D$9),2))</f>
        <v>mu :1.22</v>
      </c>
      <c r="W835" s="507"/>
      <c r="AG835" s="465">
        <f>IF($E835=0,0,ROUND($R842*$S$2*$C$2/$A835,2))</f>
        <v>4.45</v>
      </c>
      <c r="AH835" s="465">
        <f>$AG835*$A835</f>
        <v>8.9</v>
      </c>
      <c r="AI835" s="508">
        <f>$E835-$AG835</f>
        <v>9.2399999999999984</v>
      </c>
      <c r="AJ835" s="508">
        <f>$A835*$AI835</f>
        <v>18.479999999999997</v>
      </c>
      <c r="AK835" s="509">
        <f>ROUND(($AG835+$AI835)*$A835,2)</f>
        <v>27.38</v>
      </c>
      <c r="AM835" s="510">
        <f>ROUND(R842,2)</f>
        <v>7.3</v>
      </c>
      <c r="AN835" s="511">
        <f>ROUND(T842,2)</f>
        <v>0.53</v>
      </c>
      <c r="AO835" s="512">
        <f>ROUND(AM835+AN835,2)*A835</f>
        <v>15.66</v>
      </c>
    </row>
    <row r="836" spans="1:41" s="504" customFormat="1" ht="13.2">
      <c r="A836" s="872"/>
      <c r="B836"/>
      <c r="C836" s="872"/>
      <c r="D836" s="873" t="s">
        <v>368</v>
      </c>
      <c r="F836" s="877"/>
      <c r="G836" s="3"/>
      <c r="H836" s="877"/>
      <c r="I836" s="878"/>
      <c r="J836" s="877"/>
      <c r="K836" s="877" t="s">
        <v>141</v>
      </c>
      <c r="L836" s="877"/>
      <c r="M836" s="877"/>
      <c r="N836" s="877"/>
      <c r="O836" s="877"/>
      <c r="P836" s="877"/>
      <c r="Q836" s="50"/>
      <c r="R836" s="513"/>
      <c r="S836" s="881"/>
      <c r="T836" s="877"/>
    </row>
    <row r="837" spans="1:41" s="504" customFormat="1" ht="13.2">
      <c r="A837" s="112">
        <v>2</v>
      </c>
      <c r="B837" s="1039" t="s">
        <v>949</v>
      </c>
      <c r="C837" s="1039"/>
      <c r="D837" s="1039" t="s">
        <v>1263</v>
      </c>
      <c r="E837" s="1039" t="s">
        <v>1253</v>
      </c>
      <c r="F837" s="1039" t="s">
        <v>1252</v>
      </c>
      <c r="G837" s="1040" t="s">
        <v>1245</v>
      </c>
      <c r="H837" s="1041">
        <v>510</v>
      </c>
      <c r="I837" s="1039" t="s">
        <v>1246</v>
      </c>
      <c r="J837" s="1039" t="s">
        <v>1247</v>
      </c>
      <c r="K837" s="882"/>
      <c r="L837" s="1039"/>
      <c r="M837" s="1039"/>
      <c r="N837" s="1039"/>
      <c r="O837" s="1042">
        <v>2</v>
      </c>
      <c r="P837" s="1043">
        <v>36880</v>
      </c>
      <c r="Q837" s="1044">
        <v>0</v>
      </c>
      <c r="R837" s="1072">
        <f>$A837*Q837</f>
        <v>0</v>
      </c>
      <c r="S837" s="1044">
        <v>0.25</v>
      </c>
      <c r="T837" s="1046">
        <f>$A837*S837*$T$1</f>
        <v>0.52500000000000002</v>
      </c>
    </row>
    <row r="838" spans="1:41" s="504" customFormat="1" ht="13.2">
      <c r="A838" s="112">
        <v>8</v>
      </c>
      <c r="B838" s="1039" t="s">
        <v>949</v>
      </c>
      <c r="C838" s="1039"/>
      <c r="D838" s="1039" t="s">
        <v>965</v>
      </c>
      <c r="E838" s="1039"/>
      <c r="F838" s="1039"/>
      <c r="G838" s="1040" t="s">
        <v>966</v>
      </c>
      <c r="H838" s="1041">
        <v>875</v>
      </c>
      <c r="I838" s="1039" t="s">
        <v>951</v>
      </c>
      <c r="J838" s="1039"/>
      <c r="K838" s="882"/>
      <c r="L838" s="1039"/>
      <c r="M838" s="1039"/>
      <c r="N838" s="1039"/>
      <c r="O838" s="1042">
        <v>1</v>
      </c>
      <c r="P838" s="1043">
        <v>34669</v>
      </c>
      <c r="Q838" s="1044">
        <v>0.02</v>
      </c>
      <c r="R838" s="1072">
        <f>$A838*Q838</f>
        <v>0.16</v>
      </c>
      <c r="S838" s="1044"/>
      <c r="T838" s="1046">
        <f>$A838*S838*$T$1</f>
        <v>0</v>
      </c>
    </row>
    <row r="839" spans="1:41" s="504" customFormat="1" ht="13.2">
      <c r="A839" s="112">
        <v>8</v>
      </c>
      <c r="B839" s="1039" t="s">
        <v>949</v>
      </c>
      <c r="C839" s="1039"/>
      <c r="D839" s="1039" t="s">
        <v>968</v>
      </c>
      <c r="E839" s="1039"/>
      <c r="F839" s="1039"/>
      <c r="G839" s="1040" t="s">
        <v>969</v>
      </c>
      <c r="H839" s="1041">
        <v>875</v>
      </c>
      <c r="I839" s="1039" t="s">
        <v>951</v>
      </c>
      <c r="J839" s="1039"/>
      <c r="K839" s="882"/>
      <c r="L839" s="1039"/>
      <c r="M839" s="1039"/>
      <c r="N839" s="1039"/>
      <c r="O839" s="1042">
        <v>1</v>
      </c>
      <c r="P839" s="1043">
        <v>34669</v>
      </c>
      <c r="Q839" s="1044">
        <v>0.02</v>
      </c>
      <c r="R839" s="1072">
        <f>$A839*Q839</f>
        <v>0.16</v>
      </c>
      <c r="S839" s="1044"/>
      <c r="T839" s="1046">
        <f>$A839*S839*$T$1</f>
        <v>0</v>
      </c>
    </row>
    <row r="840" spans="1:41" s="504" customFormat="1" ht="13.2">
      <c r="A840" s="112">
        <v>2</v>
      </c>
      <c r="B840" s="1039" t="s">
        <v>949</v>
      </c>
      <c r="C840" s="1039"/>
      <c r="D840" s="1039" t="s">
        <v>961</v>
      </c>
      <c r="E840" s="1039"/>
      <c r="F840" s="1039"/>
      <c r="G840" s="1040" t="s">
        <v>962</v>
      </c>
      <c r="H840" s="1041">
        <v>875</v>
      </c>
      <c r="I840" s="1039" t="s">
        <v>951</v>
      </c>
      <c r="J840" s="1039"/>
      <c r="K840" s="882"/>
      <c r="L840" s="1039"/>
      <c r="M840" s="1039"/>
      <c r="N840" s="1039"/>
      <c r="O840" s="1042">
        <v>3</v>
      </c>
      <c r="P840" s="1043">
        <v>34820</v>
      </c>
      <c r="Q840" s="1044">
        <v>3.49</v>
      </c>
      <c r="R840" s="1072">
        <f>$A840*Q840</f>
        <v>6.98</v>
      </c>
      <c r="S840" s="1044"/>
      <c r="T840" s="1046">
        <f>$A840*S840*$T$1</f>
        <v>0</v>
      </c>
    </row>
    <row r="841" spans="1:41" s="504" customFormat="1" ht="12">
      <c r="A841" s="882"/>
      <c r="B841" s="882"/>
      <c r="C841" s="882"/>
      <c r="D841" s="882"/>
      <c r="E841" s="882"/>
      <c r="F841" s="877"/>
      <c r="G841" s="882"/>
      <c r="H841" s="882"/>
      <c r="I841" s="503"/>
      <c r="J841" s="882"/>
      <c r="K841" s="882"/>
      <c r="L841" s="882"/>
      <c r="M841" s="882"/>
      <c r="N841" s="882"/>
      <c r="O841" s="882"/>
      <c r="P841" s="882"/>
      <c r="Q841" s="503"/>
      <c r="R841" s="883">
        <f>$A841*Q841</f>
        <v>0</v>
      </c>
      <c r="S841" s="503"/>
      <c r="T841" s="884">
        <f>$A841*S841*$T$1</f>
        <v>0</v>
      </c>
    </row>
    <row r="842" spans="1:41" s="504" customFormat="1" ht="12.6" thickBot="1">
      <c r="A842" s="885" t="s">
        <v>142</v>
      </c>
      <c r="B842" s="886">
        <f>(R841+T841)</f>
        <v>0</v>
      </c>
      <c r="C842" s="887"/>
      <c r="D842" s="887"/>
      <c r="E842" s="887"/>
      <c r="F842" s="888"/>
      <c r="G842" s="887" t="s">
        <v>143</v>
      </c>
      <c r="H842" s="887"/>
      <c r="I842" s="889"/>
      <c r="J842" s="887"/>
      <c r="K842" s="887" t="s">
        <v>3</v>
      </c>
      <c r="L842" s="890" t="s">
        <v>140</v>
      </c>
      <c r="M842" s="890"/>
      <c r="N842" s="890"/>
      <c r="O842" s="890"/>
      <c r="P842" s="890"/>
      <c r="Q842" s="891"/>
      <c r="R842" s="892">
        <f>SUM(R836:R841)</f>
        <v>7.3000000000000007</v>
      </c>
      <c r="S842" s="887"/>
      <c r="T842" s="892">
        <f>SUM(T836:T841)</f>
        <v>0.52500000000000002</v>
      </c>
      <c r="U842" s="514"/>
      <c r="V842" s="514"/>
      <c r="W842" s="514"/>
      <c r="X842" s="514"/>
      <c r="Y842" s="514"/>
      <c r="Z842" s="514"/>
      <c r="AA842" s="514"/>
      <c r="AB842" s="514"/>
      <c r="AC842" s="514"/>
      <c r="AD842" s="514"/>
      <c r="AE842" s="514"/>
      <c r="AF842" s="514"/>
      <c r="AG842" s="514"/>
      <c r="AH842" s="514"/>
      <c r="AI842" s="514"/>
      <c r="AJ842" s="514"/>
      <c r="AK842" s="514"/>
      <c r="AL842" s="514"/>
      <c r="AM842" s="514"/>
      <c r="AN842" s="514"/>
      <c r="AO842" s="514"/>
    </row>
    <row r="843" spans="1:41" s="504" customFormat="1" ht="12" thickTop="1">
      <c r="A843" s="50"/>
      <c r="B843" s="40"/>
      <c r="C843" s="50"/>
      <c r="E843" s="41" t="s">
        <v>136</v>
      </c>
      <c r="F843" s="41" t="s">
        <v>137</v>
      </c>
      <c r="G843" s="50"/>
      <c r="H843" s="50"/>
      <c r="I843" s="50"/>
      <c r="J843" s="50"/>
      <c r="K843" s="50" t="s">
        <v>138</v>
      </c>
      <c r="L843" s="50"/>
      <c r="M843" s="50"/>
      <c r="N843" s="50"/>
      <c r="O843" s="51"/>
      <c r="P843" s="50"/>
      <c r="Q843" s="50"/>
      <c r="R843" s="50"/>
      <c r="S843" s="50"/>
      <c r="T843" s="40"/>
      <c r="AG843" s="867" t="s">
        <v>241</v>
      </c>
      <c r="AH843" s="867" t="s">
        <v>242</v>
      </c>
      <c r="AI843" s="867" t="s">
        <v>243</v>
      </c>
      <c r="AJ843" s="867" t="s">
        <v>244</v>
      </c>
      <c r="AK843" s="867" t="s">
        <v>245</v>
      </c>
      <c r="AM843" s="868" t="s">
        <v>254</v>
      </c>
      <c r="AN843" s="869" t="s">
        <v>255</v>
      </c>
      <c r="AO843" s="505" t="s">
        <v>251</v>
      </c>
    </row>
    <row r="844" spans="1:41" s="504" customFormat="1" ht="12" customHeight="1">
      <c r="A844" s="870">
        <v>3</v>
      </c>
      <c r="B844" s="871" t="s">
        <v>335</v>
      </c>
      <c r="C844" s="872"/>
      <c r="D844" s="873" t="s">
        <v>812</v>
      </c>
      <c r="E844" s="874">
        <f>IF(AND($A844=0,$A$1="DIF"),0, ROUND(ROUND(($R851*$S$2+($T851*$T$2))/A844,2)*$C$2,2))</f>
        <v>13.69</v>
      </c>
      <c r="F844" s="875">
        <f>ROUND($A844*$E844,2)</f>
        <v>41.07</v>
      </c>
      <c r="G844" s="876" t="s">
        <v>139</v>
      </c>
      <c r="H844" s="877"/>
      <c r="I844" s="878"/>
      <c r="J844" s="877"/>
      <c r="K844" s="877" t="s">
        <v>3</v>
      </c>
      <c r="L844" s="879" t="s">
        <v>140</v>
      </c>
      <c r="M844" s="879"/>
      <c r="N844" s="879"/>
      <c r="O844" s="879"/>
      <c r="P844" s="879"/>
      <c r="Q844" s="50"/>
      <c r="T844" s="880" t="str">
        <f>IF(AND($R851=0,$T851=0),"0.00","mu :" &amp; ROUND($F844/$C$2/($R851+$T851*$D$9),2))</f>
        <v>mu :1.22</v>
      </c>
      <c r="W844" s="507"/>
      <c r="AG844" s="465">
        <f>IF($E844=0,0,ROUND($R851*$S$2*$C$2/$A844,2))</f>
        <v>4.45</v>
      </c>
      <c r="AH844" s="465">
        <f>$AG844*$A844</f>
        <v>13.350000000000001</v>
      </c>
      <c r="AI844" s="508">
        <f>$E844-$AG844</f>
        <v>9.2399999999999984</v>
      </c>
      <c r="AJ844" s="508">
        <f>$A844*$AI844</f>
        <v>27.719999999999995</v>
      </c>
      <c r="AK844" s="509">
        <f>ROUND(($AG844+$AI844)*$A844,2)</f>
        <v>41.07</v>
      </c>
      <c r="AM844" s="510">
        <f>ROUND(R851,2)</f>
        <v>10.95</v>
      </c>
      <c r="AN844" s="511">
        <f>ROUND(T851,2)</f>
        <v>0.79</v>
      </c>
      <c r="AO844" s="512">
        <f>ROUND(AM844+AN844,2)*A844</f>
        <v>35.22</v>
      </c>
    </row>
    <row r="845" spans="1:41" s="504" customFormat="1" ht="13.2">
      <c r="A845" s="872"/>
      <c r="B845"/>
      <c r="C845" s="872"/>
      <c r="D845" s="873" t="s">
        <v>369</v>
      </c>
      <c r="F845" s="877"/>
      <c r="G845" s="3"/>
      <c r="H845" s="877"/>
      <c r="I845" s="878"/>
      <c r="J845" s="877"/>
      <c r="K845" s="877" t="s">
        <v>141</v>
      </c>
      <c r="L845" s="877"/>
      <c r="M845" s="877"/>
      <c r="N845" s="877"/>
      <c r="O845" s="877"/>
      <c r="P845" s="877"/>
      <c r="Q845" s="50"/>
      <c r="R845" s="513"/>
      <c r="S845" s="881"/>
      <c r="T845" s="877"/>
    </row>
    <row r="846" spans="1:41" s="504" customFormat="1" ht="13.2">
      <c r="A846" s="112">
        <v>3</v>
      </c>
      <c r="B846" s="1039" t="s">
        <v>949</v>
      </c>
      <c r="C846" s="1039"/>
      <c r="D846" s="1039" t="s">
        <v>1263</v>
      </c>
      <c r="E846" s="1039" t="s">
        <v>1254</v>
      </c>
      <c r="F846" s="1039" t="s">
        <v>1252</v>
      </c>
      <c r="G846" s="1040" t="s">
        <v>1245</v>
      </c>
      <c r="H846" s="1041">
        <v>510</v>
      </c>
      <c r="I846" s="1039" t="s">
        <v>1246</v>
      </c>
      <c r="J846" s="1039" t="s">
        <v>1247</v>
      </c>
      <c r="K846" s="882"/>
      <c r="L846" s="1039"/>
      <c r="M846" s="1039"/>
      <c r="N846" s="1039"/>
      <c r="O846" s="1042">
        <v>2</v>
      </c>
      <c r="P846" s="1043">
        <v>36880</v>
      </c>
      <c r="Q846" s="1044">
        <v>0</v>
      </c>
      <c r="R846" s="1072">
        <f>$A846*Q846</f>
        <v>0</v>
      </c>
      <c r="S846" s="1044">
        <v>0.25</v>
      </c>
      <c r="T846" s="1046">
        <f>$A846*S846*$T$1</f>
        <v>0.78750000000000009</v>
      </c>
    </row>
    <row r="847" spans="1:41" s="504" customFormat="1" ht="13.2">
      <c r="A847" s="112">
        <v>12</v>
      </c>
      <c r="B847" s="1039" t="s">
        <v>949</v>
      </c>
      <c r="C847" s="1039"/>
      <c r="D847" s="1039" t="s">
        <v>965</v>
      </c>
      <c r="E847" s="1039"/>
      <c r="F847" s="1039"/>
      <c r="G847" s="1040" t="s">
        <v>966</v>
      </c>
      <c r="H847" s="1041">
        <v>875</v>
      </c>
      <c r="I847" s="1039" t="s">
        <v>951</v>
      </c>
      <c r="J847" s="1039"/>
      <c r="K847" s="882"/>
      <c r="L847" s="1039"/>
      <c r="M847" s="1039"/>
      <c r="N847" s="1039"/>
      <c r="O847" s="1042">
        <v>1</v>
      </c>
      <c r="P847" s="1043">
        <v>34669</v>
      </c>
      <c r="Q847" s="1044">
        <v>0.02</v>
      </c>
      <c r="R847" s="1072">
        <f>$A847*Q847</f>
        <v>0.24</v>
      </c>
      <c r="S847" s="1044"/>
      <c r="T847" s="1046">
        <f>$A847*S847*$T$1</f>
        <v>0</v>
      </c>
    </row>
    <row r="848" spans="1:41" s="504" customFormat="1" ht="13.2">
      <c r="A848" s="112">
        <v>12</v>
      </c>
      <c r="B848" s="1039" t="s">
        <v>949</v>
      </c>
      <c r="C848" s="1039"/>
      <c r="D848" s="1039" t="s">
        <v>968</v>
      </c>
      <c r="E848" s="1039"/>
      <c r="F848" s="1039"/>
      <c r="G848" s="1040" t="s">
        <v>969</v>
      </c>
      <c r="H848" s="1041">
        <v>875</v>
      </c>
      <c r="I848" s="1039" t="s">
        <v>951</v>
      </c>
      <c r="J848" s="1039"/>
      <c r="K848" s="882"/>
      <c r="L848" s="1039"/>
      <c r="M848" s="1039"/>
      <c r="N848" s="1039"/>
      <c r="O848" s="1042">
        <v>1</v>
      </c>
      <c r="P848" s="1043">
        <v>34669</v>
      </c>
      <c r="Q848" s="1044">
        <v>0.02</v>
      </c>
      <c r="R848" s="1072">
        <f>$A848*Q848</f>
        <v>0.24</v>
      </c>
      <c r="S848" s="1044"/>
      <c r="T848" s="1046">
        <f>$A848*S848*$T$1</f>
        <v>0</v>
      </c>
    </row>
    <row r="849" spans="1:41" s="504" customFormat="1" ht="13.2">
      <c r="A849" s="112">
        <v>3</v>
      </c>
      <c r="B849" s="1039" t="s">
        <v>949</v>
      </c>
      <c r="C849" s="1039"/>
      <c r="D849" s="1039" t="s">
        <v>961</v>
      </c>
      <c r="E849" s="1039"/>
      <c r="F849" s="1039"/>
      <c r="G849" s="1040" t="s">
        <v>962</v>
      </c>
      <c r="H849" s="1041">
        <v>875</v>
      </c>
      <c r="I849" s="1039" t="s">
        <v>951</v>
      </c>
      <c r="J849" s="1039"/>
      <c r="K849" s="882"/>
      <c r="L849" s="1039"/>
      <c r="M849" s="1039"/>
      <c r="N849" s="1039"/>
      <c r="O849" s="1042">
        <v>3</v>
      </c>
      <c r="P849" s="1043">
        <v>34820</v>
      </c>
      <c r="Q849" s="1044">
        <v>3.49</v>
      </c>
      <c r="R849" s="1072">
        <f>$A849*Q849</f>
        <v>10.47</v>
      </c>
      <c r="S849" s="1044"/>
      <c r="T849" s="1046">
        <f>$A849*S849*$T$1</f>
        <v>0</v>
      </c>
    </row>
    <row r="850" spans="1:41" s="504" customFormat="1" ht="12">
      <c r="A850" s="882"/>
      <c r="B850" s="882"/>
      <c r="C850" s="882"/>
      <c r="D850" s="882"/>
      <c r="E850" s="882"/>
      <c r="F850" s="877"/>
      <c r="G850" s="882"/>
      <c r="H850" s="882"/>
      <c r="I850" s="503"/>
      <c r="J850" s="882"/>
      <c r="K850" s="882"/>
      <c r="L850" s="882"/>
      <c r="M850" s="882"/>
      <c r="N850" s="882"/>
      <c r="O850" s="882"/>
      <c r="P850" s="882"/>
      <c r="Q850" s="503"/>
      <c r="R850" s="883">
        <f>$A850*Q850</f>
        <v>0</v>
      </c>
      <c r="S850" s="503"/>
      <c r="T850" s="884">
        <f>$A850*S850*$T$1</f>
        <v>0</v>
      </c>
    </row>
    <row r="851" spans="1:41" s="504" customFormat="1" ht="12.6" thickBot="1">
      <c r="A851" s="885" t="s">
        <v>142</v>
      </c>
      <c r="B851" s="886">
        <f>(R850+T850)</f>
        <v>0</v>
      </c>
      <c r="C851" s="887"/>
      <c r="D851" s="887"/>
      <c r="E851" s="887"/>
      <c r="F851" s="888"/>
      <c r="G851" s="887" t="s">
        <v>143</v>
      </c>
      <c r="H851" s="887"/>
      <c r="I851" s="889"/>
      <c r="J851" s="887"/>
      <c r="K851" s="887" t="s">
        <v>3</v>
      </c>
      <c r="L851" s="890" t="s">
        <v>140</v>
      </c>
      <c r="M851" s="890"/>
      <c r="N851" s="890"/>
      <c r="O851" s="890"/>
      <c r="P851" s="890"/>
      <c r="Q851" s="891"/>
      <c r="R851" s="892">
        <f>SUM(R845:R850)</f>
        <v>10.950000000000001</v>
      </c>
      <c r="S851" s="887"/>
      <c r="T851" s="892">
        <f>SUM(T845:T850)</f>
        <v>0.78750000000000009</v>
      </c>
      <c r="U851" s="514"/>
      <c r="V851" s="514"/>
      <c r="W851" s="514"/>
      <c r="X851" s="514"/>
      <c r="Y851" s="514"/>
      <c r="Z851" s="514"/>
      <c r="AA851" s="514"/>
      <c r="AB851" s="514"/>
      <c r="AC851" s="514"/>
      <c r="AD851" s="514"/>
      <c r="AE851" s="514"/>
      <c r="AF851" s="514"/>
      <c r="AG851" s="514"/>
      <c r="AH851" s="514"/>
      <c r="AI851" s="514"/>
      <c r="AJ851" s="514"/>
      <c r="AK851" s="514"/>
      <c r="AL851" s="514"/>
      <c r="AM851" s="514"/>
      <c r="AN851" s="514"/>
      <c r="AO851" s="514"/>
    </row>
    <row r="852" spans="1:41" s="504" customFormat="1" ht="12" thickTop="1">
      <c r="A852" s="50"/>
      <c r="B852" s="40"/>
      <c r="C852" s="50"/>
      <c r="E852" s="41" t="s">
        <v>136</v>
      </c>
      <c r="F852" s="41" t="s">
        <v>137</v>
      </c>
      <c r="G852" s="50"/>
      <c r="H852" s="50"/>
      <c r="I852" s="50"/>
      <c r="J852" s="50"/>
      <c r="K852" s="50" t="s">
        <v>138</v>
      </c>
      <c r="L852" s="50"/>
      <c r="M852" s="50"/>
      <c r="N852" s="50"/>
      <c r="O852" s="51"/>
      <c r="P852" s="50"/>
      <c r="Q852" s="50"/>
      <c r="R852" s="50"/>
      <c r="S852" s="50"/>
      <c r="T852" s="40"/>
      <c r="AG852" s="867" t="s">
        <v>241</v>
      </c>
      <c r="AH852" s="867" t="s">
        <v>242</v>
      </c>
      <c r="AI852" s="867" t="s">
        <v>243</v>
      </c>
      <c r="AJ852" s="867" t="s">
        <v>244</v>
      </c>
      <c r="AK852" s="867" t="s">
        <v>245</v>
      </c>
      <c r="AM852" s="868" t="s">
        <v>254</v>
      </c>
      <c r="AN852" s="869" t="s">
        <v>255</v>
      </c>
      <c r="AO852" s="505" t="s">
        <v>251</v>
      </c>
    </row>
    <row r="853" spans="1:41" s="504" customFormat="1" ht="12" customHeight="1">
      <c r="A853" s="870">
        <v>2</v>
      </c>
      <c r="B853" s="871" t="s">
        <v>335</v>
      </c>
      <c r="C853" s="872"/>
      <c r="D853" s="873" t="s">
        <v>819</v>
      </c>
      <c r="E853" s="874">
        <f>IF(AND($A853=0,$A$1="DIF"),0, ROUND(ROUND(($R857*$S$2+($T857*$T$2))/A853,2)*$C$2,2))</f>
        <v>6.28</v>
      </c>
      <c r="F853" s="875">
        <f>ROUND($A853*$E853,2)</f>
        <v>12.56</v>
      </c>
      <c r="G853" s="876" t="s">
        <v>139</v>
      </c>
      <c r="H853" s="877"/>
      <c r="I853" s="878"/>
      <c r="J853" s="877"/>
      <c r="K853" s="877" t="s">
        <v>3</v>
      </c>
      <c r="L853" s="879" t="s">
        <v>140</v>
      </c>
      <c r="M853" s="879"/>
      <c r="N853" s="879"/>
      <c r="O853" s="879"/>
      <c r="P853" s="879"/>
      <c r="Q853" s="50"/>
      <c r="T853" s="880" t="str">
        <f>IF(AND($R857=0,$T857=0),"0.00","mu :" &amp; ROUND($F853/$C$2/($R857+$T857*$D$9),2))</f>
        <v>mu :1.22</v>
      </c>
      <c r="W853" s="507"/>
      <c r="AG853" s="465">
        <f>IF($E853=0,0,ROUND($R857*$S$2*$C$2/$A853,2))</f>
        <v>0</v>
      </c>
      <c r="AH853" s="465">
        <f>$AG853*$A853</f>
        <v>0</v>
      </c>
      <c r="AI853" s="508">
        <f>$E853-$AG853</f>
        <v>6.28</v>
      </c>
      <c r="AJ853" s="508">
        <f>$A853*$AI853</f>
        <v>12.56</v>
      </c>
      <c r="AK853" s="509">
        <f>ROUND(($AG853+$AI853)*$A853,2)</f>
        <v>12.56</v>
      </c>
      <c r="AM853" s="510">
        <f>ROUND(R857,2)</f>
        <v>0</v>
      </c>
      <c r="AN853" s="511">
        <f>ROUND(T857,2)</f>
        <v>0.36</v>
      </c>
      <c r="AO853" s="512">
        <f>ROUND(AM853+AN853,2)*A853</f>
        <v>0.72</v>
      </c>
    </row>
    <row r="854" spans="1:41" s="504" customFormat="1" ht="13.2">
      <c r="A854" s="872"/>
      <c r="B854"/>
      <c r="C854" s="872"/>
      <c r="D854" s="873" t="s">
        <v>370</v>
      </c>
      <c r="F854" s="877"/>
      <c r="G854" s="3"/>
      <c r="H854" s="877"/>
      <c r="I854" s="878"/>
      <c r="J854" s="877"/>
      <c r="K854" s="877" t="s">
        <v>141</v>
      </c>
      <c r="L854" s="877"/>
      <c r="M854" s="877"/>
      <c r="N854" s="877"/>
      <c r="O854" s="877"/>
      <c r="P854" s="877"/>
      <c r="Q854" s="50"/>
      <c r="R854" s="513"/>
      <c r="S854" s="881"/>
      <c r="T854" s="877"/>
    </row>
    <row r="855" spans="1:41" s="1039" customFormat="1" ht="13.2">
      <c r="A855" s="112">
        <v>2</v>
      </c>
      <c r="B855" s="1039" t="s">
        <v>949</v>
      </c>
      <c r="D855" s="1039" t="s">
        <v>1264</v>
      </c>
      <c r="E855" s="1039" t="s">
        <v>1255</v>
      </c>
      <c r="F855" s="1039" t="s">
        <v>1252</v>
      </c>
      <c r="G855" s="1040" t="s">
        <v>1248</v>
      </c>
      <c r="H855" s="1041">
        <v>705</v>
      </c>
      <c r="I855" s="1039" t="s">
        <v>1249</v>
      </c>
      <c r="J855" s="1039" t="s">
        <v>1250</v>
      </c>
      <c r="O855" s="1042">
        <v>3</v>
      </c>
      <c r="P855" s="1043">
        <v>34669</v>
      </c>
      <c r="Q855" s="1044">
        <v>0</v>
      </c>
      <c r="R855" s="1045">
        <f>$A855*Q855</f>
        <v>0</v>
      </c>
      <c r="S855" s="1044">
        <v>0.17</v>
      </c>
      <c r="T855" s="1046">
        <f>$A855*S855*$T$1</f>
        <v>0.35700000000000004</v>
      </c>
    </row>
    <row r="856" spans="1:41" s="504" customFormat="1" ht="12">
      <c r="A856" s="882"/>
      <c r="B856" s="882"/>
      <c r="C856" s="882"/>
      <c r="D856" s="882"/>
      <c r="E856" s="882"/>
      <c r="F856" s="877"/>
      <c r="G856" s="882"/>
      <c r="H856" s="882"/>
      <c r="I856" s="503"/>
      <c r="J856" s="882"/>
      <c r="K856" s="882"/>
      <c r="L856" s="882"/>
      <c r="M856" s="882"/>
      <c r="N856" s="882"/>
      <c r="O856" s="882"/>
      <c r="P856" s="882"/>
      <c r="Q856" s="503"/>
      <c r="R856" s="883">
        <f>$A856*Q856</f>
        <v>0</v>
      </c>
      <c r="S856" s="503"/>
      <c r="T856" s="884">
        <f>$A856*S856*$T$1</f>
        <v>0</v>
      </c>
    </row>
    <row r="857" spans="1:41" s="504" customFormat="1" ht="12.6" thickBot="1">
      <c r="A857" s="885" t="s">
        <v>142</v>
      </c>
      <c r="B857" s="886">
        <f>(R856+T856)</f>
        <v>0</v>
      </c>
      <c r="C857" s="887"/>
      <c r="D857" s="887"/>
      <c r="E857" s="887"/>
      <c r="F857" s="888"/>
      <c r="G857" s="887" t="s">
        <v>143</v>
      </c>
      <c r="H857" s="887"/>
      <c r="I857" s="889"/>
      <c r="J857" s="887"/>
      <c r="K857" s="887" t="s">
        <v>3</v>
      </c>
      <c r="L857" s="890" t="s">
        <v>140</v>
      </c>
      <c r="M857" s="890"/>
      <c r="N857" s="890"/>
      <c r="O857" s="890"/>
      <c r="P857" s="890"/>
      <c r="Q857" s="891"/>
      <c r="R857" s="892">
        <f>SUM(R854:R856)</f>
        <v>0</v>
      </c>
      <c r="S857" s="887"/>
      <c r="T857" s="892">
        <f>SUM(T854:T856)</f>
        <v>0.35700000000000004</v>
      </c>
      <c r="U857" s="514"/>
      <c r="V857" s="514"/>
      <c r="W857" s="514"/>
      <c r="X857" s="514"/>
      <c r="Y857" s="514"/>
      <c r="Z857" s="514"/>
      <c r="AA857" s="514"/>
      <c r="AB857" s="514"/>
      <c r="AC857" s="514"/>
      <c r="AD857" s="514"/>
      <c r="AE857" s="514"/>
      <c r="AF857" s="514"/>
      <c r="AG857" s="514"/>
      <c r="AH857" s="514"/>
      <c r="AI857" s="514"/>
      <c r="AJ857" s="514"/>
      <c r="AK857" s="514"/>
      <c r="AL857" s="514"/>
      <c r="AM857" s="514"/>
      <c r="AN857" s="514"/>
      <c r="AO857" s="514"/>
    </row>
    <row r="858" spans="1:41" s="504" customFormat="1" ht="12" thickTop="1">
      <c r="A858" s="50"/>
      <c r="B858" s="40"/>
      <c r="C858" s="50"/>
      <c r="E858" s="41" t="s">
        <v>136</v>
      </c>
      <c r="F858" s="41" t="s">
        <v>137</v>
      </c>
      <c r="G858" s="50"/>
      <c r="H858" s="50"/>
      <c r="I858" s="50"/>
      <c r="J858" s="50"/>
      <c r="K858" s="50" t="s">
        <v>138</v>
      </c>
      <c r="L858" s="50"/>
      <c r="M858" s="50"/>
      <c r="N858" s="50"/>
      <c r="O858" s="51"/>
      <c r="P858" s="50"/>
      <c r="Q858" s="50"/>
      <c r="R858" s="50"/>
      <c r="S858" s="50"/>
      <c r="T858" s="40"/>
      <c r="AG858" s="867" t="s">
        <v>241</v>
      </c>
      <c r="AH858" s="867" t="s">
        <v>242</v>
      </c>
      <c r="AI858" s="867" t="s">
        <v>243</v>
      </c>
      <c r="AJ858" s="867" t="s">
        <v>244</v>
      </c>
      <c r="AK858" s="867" t="s">
        <v>245</v>
      </c>
      <c r="AM858" s="868" t="s">
        <v>254</v>
      </c>
      <c r="AN858" s="869" t="s">
        <v>255</v>
      </c>
      <c r="AO858" s="505" t="s">
        <v>251</v>
      </c>
    </row>
    <row r="859" spans="1:41" s="504" customFormat="1" ht="12" customHeight="1">
      <c r="A859" s="870">
        <v>3</v>
      </c>
      <c r="B859" s="871" t="s">
        <v>335</v>
      </c>
      <c r="C859" s="872"/>
      <c r="D859" s="873" t="s">
        <v>820</v>
      </c>
      <c r="E859" s="874">
        <f>IF(AND($A859=0,$A$1="DIF"),0, ROUND(ROUND(($R863*$S$2+($T863*$T$2))/A859,2)*$C$2,2))</f>
        <v>7.39</v>
      </c>
      <c r="F859" s="875">
        <f>ROUND($A859*$E859,2)</f>
        <v>22.17</v>
      </c>
      <c r="G859" s="876" t="s">
        <v>139</v>
      </c>
      <c r="H859" s="877"/>
      <c r="I859" s="878"/>
      <c r="J859" s="877"/>
      <c r="K859" s="877" t="s">
        <v>3</v>
      </c>
      <c r="L859" s="879" t="s">
        <v>140</v>
      </c>
      <c r="M859" s="879"/>
      <c r="N859" s="879"/>
      <c r="O859" s="879"/>
      <c r="P859" s="879"/>
      <c r="Q859" s="50"/>
      <c r="T859" s="880" t="str">
        <f>IF(AND($R863=0,$T863=0),"0.00","mu :" &amp; ROUND($F859/$C$2/($R863+$T863*$D$9),2))</f>
        <v>mu :1.22</v>
      </c>
      <c r="W859" s="507"/>
      <c r="AG859" s="465">
        <f>IF($E859=0,0,ROUND($R863*$S$2*$C$2/$A859,2))</f>
        <v>0</v>
      </c>
      <c r="AH859" s="465">
        <f>$AG859*$A859</f>
        <v>0</v>
      </c>
      <c r="AI859" s="508">
        <f>$E859-$AG859</f>
        <v>7.39</v>
      </c>
      <c r="AJ859" s="508">
        <f>$A859*$AI859</f>
        <v>22.169999999999998</v>
      </c>
      <c r="AK859" s="509">
        <f>ROUND(($AG859+$AI859)*$A859,2)</f>
        <v>22.17</v>
      </c>
      <c r="AM859" s="510">
        <f>ROUND(R863,2)</f>
        <v>0</v>
      </c>
      <c r="AN859" s="511">
        <f>ROUND(T863,2)</f>
        <v>0.63</v>
      </c>
      <c r="AO859" s="512">
        <f>ROUND(AM859+AN859,2)*A859</f>
        <v>1.8900000000000001</v>
      </c>
    </row>
    <row r="860" spans="1:41" s="504" customFormat="1" ht="13.2">
      <c r="A860" s="872"/>
      <c r="B860"/>
      <c r="C860" s="872"/>
      <c r="D860" s="873" t="s">
        <v>371</v>
      </c>
      <c r="F860" s="877"/>
      <c r="G860" s="3"/>
      <c r="H860" s="877"/>
      <c r="I860" s="878"/>
      <c r="J860" s="877"/>
      <c r="K860" s="877" t="s">
        <v>141</v>
      </c>
      <c r="L860" s="877"/>
      <c r="M860" s="877"/>
      <c r="N860" s="877"/>
      <c r="O860" s="877"/>
      <c r="P860" s="877"/>
      <c r="Q860" s="50"/>
      <c r="R860" s="513"/>
      <c r="S860" s="881"/>
      <c r="T860" s="877"/>
    </row>
    <row r="861" spans="1:41" s="1039" customFormat="1" ht="13.2">
      <c r="A861" s="112">
        <v>3</v>
      </c>
      <c r="B861" s="1039" t="s">
        <v>949</v>
      </c>
      <c r="D861" s="1039" t="s">
        <v>1267</v>
      </c>
      <c r="E861" s="1039" t="s">
        <v>1256</v>
      </c>
      <c r="F861" s="1039" t="s">
        <v>1252</v>
      </c>
      <c r="G861" s="1040" t="s">
        <v>1248</v>
      </c>
      <c r="H861" s="1041">
        <v>705</v>
      </c>
      <c r="I861" s="1039" t="s">
        <v>1249</v>
      </c>
      <c r="J861" s="1039" t="s">
        <v>1250</v>
      </c>
      <c r="O861" s="1042">
        <v>3</v>
      </c>
      <c r="P861" s="1043">
        <v>34669</v>
      </c>
      <c r="Q861" s="1044">
        <v>0</v>
      </c>
      <c r="R861" s="1045">
        <f>$A861*Q861</f>
        <v>0</v>
      </c>
      <c r="S861" s="1044">
        <v>0.2</v>
      </c>
      <c r="T861" s="1046">
        <f>$A861*S861*$T$1</f>
        <v>0.63000000000000012</v>
      </c>
    </row>
    <row r="862" spans="1:41" s="504" customFormat="1" ht="12">
      <c r="A862" s="882"/>
      <c r="B862" s="882"/>
      <c r="C862" s="882"/>
      <c r="D862" s="882"/>
      <c r="E862" s="882"/>
      <c r="F862" s="877"/>
      <c r="G862" s="882"/>
      <c r="H862" s="882"/>
      <c r="I862" s="503"/>
      <c r="J862" s="882"/>
      <c r="K862" s="882"/>
      <c r="L862" s="882"/>
      <c r="M862" s="882"/>
      <c r="N862" s="882"/>
      <c r="O862" s="882"/>
      <c r="P862" s="882"/>
      <c r="Q862" s="503"/>
      <c r="R862" s="883">
        <f>$A862*Q862</f>
        <v>0</v>
      </c>
      <c r="S862" s="503"/>
      <c r="T862" s="884">
        <f>$A862*S862*$T$1</f>
        <v>0</v>
      </c>
    </row>
    <row r="863" spans="1:41" s="504" customFormat="1" ht="12.6" thickBot="1">
      <c r="A863" s="885" t="s">
        <v>142</v>
      </c>
      <c r="B863" s="886">
        <f>(R862+T862)</f>
        <v>0</v>
      </c>
      <c r="C863" s="887"/>
      <c r="D863" s="887"/>
      <c r="E863" s="887"/>
      <c r="F863" s="888"/>
      <c r="G863" s="887" t="s">
        <v>143</v>
      </c>
      <c r="H863" s="887"/>
      <c r="I863" s="889"/>
      <c r="J863" s="887"/>
      <c r="K863" s="887" t="s">
        <v>3</v>
      </c>
      <c r="L863" s="890" t="s">
        <v>140</v>
      </c>
      <c r="M863" s="890"/>
      <c r="N863" s="890"/>
      <c r="O863" s="890"/>
      <c r="P863" s="890"/>
      <c r="Q863" s="891"/>
      <c r="R863" s="892">
        <f>SUM(R860:R862)</f>
        <v>0</v>
      </c>
      <c r="S863" s="887"/>
      <c r="T863" s="892">
        <f>SUM(T860:T862)</f>
        <v>0.63000000000000012</v>
      </c>
      <c r="U863" s="514"/>
      <c r="V863" s="514"/>
      <c r="W863" s="514"/>
      <c r="X863" s="514"/>
      <c r="Y863" s="514"/>
      <c r="Z863" s="514"/>
      <c r="AA863" s="514"/>
      <c r="AB863" s="514"/>
      <c r="AC863" s="514"/>
      <c r="AD863" s="514"/>
      <c r="AE863" s="514"/>
      <c r="AF863" s="514"/>
      <c r="AG863" s="514"/>
      <c r="AH863" s="514"/>
      <c r="AI863" s="514"/>
      <c r="AJ863" s="514"/>
      <c r="AK863" s="514"/>
      <c r="AL863" s="514"/>
      <c r="AM863" s="514"/>
      <c r="AN863" s="514"/>
      <c r="AO863" s="514"/>
    </row>
    <row r="864" spans="1:41" s="504" customFormat="1" thickTop="1">
      <c r="A864" s="50"/>
      <c r="B864" s="50"/>
      <c r="C864" s="3"/>
      <c r="D864" s="3"/>
      <c r="E864" s="50"/>
      <c r="F864" s="50"/>
      <c r="G864" s="50"/>
      <c r="H864" s="50"/>
      <c r="I864" s="50"/>
      <c r="J864" s="50"/>
      <c r="K864" s="50" t="s">
        <v>133</v>
      </c>
      <c r="L864" s="50"/>
      <c r="M864" s="50"/>
      <c r="N864" s="50"/>
      <c r="O864" s="51"/>
      <c r="P864" s="50"/>
      <c r="Q864" s="50"/>
      <c r="R864" s="50"/>
      <c r="S864" s="50"/>
      <c r="T864" s="50"/>
    </row>
    <row r="865" spans="1:41" s="504" customFormat="1" ht="12">
      <c r="A865" s="50"/>
      <c r="B865" s="50"/>
      <c r="C865" s="50" t="s">
        <v>134</v>
      </c>
      <c r="D865" s="37"/>
      <c r="E865" s="50"/>
      <c r="F865" s="50"/>
      <c r="G865" s="50"/>
      <c r="H865" s="50"/>
      <c r="I865" s="50"/>
      <c r="J865" s="50"/>
      <c r="K865" s="50"/>
      <c r="L865" s="50"/>
      <c r="M865" s="50"/>
      <c r="N865" s="50"/>
      <c r="O865" s="51"/>
      <c r="P865" s="50"/>
      <c r="Q865" s="50"/>
      <c r="R865" s="50"/>
      <c r="S865" s="50"/>
      <c r="T865" s="50"/>
    </row>
    <row r="866" spans="1:41" s="504" customFormat="1" ht="12">
      <c r="A866" s="50"/>
      <c r="B866" s="50"/>
      <c r="C866" s="50"/>
      <c r="D866" s="37" t="s">
        <v>305</v>
      </c>
      <c r="E866" s="50"/>
      <c r="F866" s="50"/>
      <c r="G866" s="50"/>
      <c r="H866" s="50"/>
      <c r="I866" s="50"/>
      <c r="J866" s="50"/>
      <c r="K866" s="50"/>
      <c r="L866" s="50"/>
      <c r="M866" s="50"/>
      <c r="N866" s="50"/>
      <c r="O866" s="51"/>
      <c r="P866" s="50"/>
      <c r="Q866" s="50"/>
      <c r="R866" s="50"/>
      <c r="S866" s="38"/>
      <c r="T866" s="38"/>
    </row>
    <row r="867" spans="1:41" s="3" customFormat="1" thickBot="1">
      <c r="A867" s="514"/>
      <c r="O867" s="103"/>
    </row>
    <row r="868" spans="1:41" s="504" customFormat="1" thickTop="1">
      <c r="A868" s="50"/>
      <c r="B868" s="50"/>
      <c r="C868" s="3"/>
      <c r="D868" s="3"/>
      <c r="E868" s="50"/>
      <c r="F868" s="50"/>
      <c r="G868" s="50"/>
      <c r="H868" s="50"/>
      <c r="I868" s="50"/>
      <c r="J868" s="50"/>
      <c r="K868" s="50" t="s">
        <v>133</v>
      </c>
      <c r="L868" s="50"/>
      <c r="M868" s="50"/>
      <c r="N868" s="50"/>
      <c r="O868" s="51"/>
      <c r="P868" s="50"/>
      <c r="Q868" s="50"/>
      <c r="R868" s="50"/>
      <c r="S868" s="50"/>
      <c r="T868" s="50"/>
    </row>
    <row r="869" spans="1:41" s="504" customFormat="1" ht="12">
      <c r="A869" s="50"/>
      <c r="B869" s="50"/>
      <c r="C869" s="50" t="s">
        <v>134</v>
      </c>
      <c r="D869" s="37" t="s">
        <v>846</v>
      </c>
      <c r="E869" s="50"/>
      <c r="F869" s="50"/>
      <c r="G869" s="50"/>
      <c r="H869" s="50"/>
      <c r="I869" s="50"/>
      <c r="J869" s="50"/>
      <c r="K869" s="50"/>
      <c r="L869" s="50"/>
      <c r="M869" s="50"/>
      <c r="N869" s="50"/>
      <c r="O869" s="51"/>
      <c r="P869" s="50"/>
      <c r="Q869" s="50"/>
      <c r="R869" s="50"/>
      <c r="S869" s="50"/>
      <c r="T869" s="50"/>
    </row>
    <row r="870" spans="1:41" s="504" customFormat="1" ht="13.2">
      <c r="A870" s="872"/>
      <c r="B870"/>
      <c r="C870" s="872"/>
      <c r="D870" s="916" t="s">
        <v>687</v>
      </c>
      <c r="E870" s="917"/>
      <c r="F870" s="918"/>
      <c r="G870" s="919"/>
      <c r="H870" s="918"/>
      <c r="I870" s="920"/>
      <c r="J870" s="918"/>
      <c r="K870" s="918"/>
      <c r="L870" s="918"/>
      <c r="M870" s="918"/>
      <c r="N870" s="918"/>
      <c r="O870" s="918"/>
      <c r="P870" s="918"/>
      <c r="Q870" s="921"/>
      <c r="R870" s="513"/>
      <c r="S870" s="881"/>
      <c r="T870" s="877"/>
    </row>
    <row r="871" spans="1:41" s="3" customFormat="1" thickBot="1">
      <c r="A871" s="514"/>
      <c r="O871" s="103"/>
    </row>
    <row r="872" spans="1:41" s="504" customFormat="1" ht="12" thickTop="1">
      <c r="A872" s="50"/>
      <c r="B872" s="40"/>
      <c r="C872" s="50"/>
      <c r="E872" s="41" t="s">
        <v>136</v>
      </c>
      <c r="F872" s="41" t="s">
        <v>137</v>
      </c>
      <c r="G872" s="50"/>
      <c r="H872" s="50"/>
      <c r="I872" s="50"/>
      <c r="J872" s="50"/>
      <c r="K872" s="50" t="s">
        <v>138</v>
      </c>
      <c r="L872" s="50"/>
      <c r="M872" s="50"/>
      <c r="N872" s="50"/>
      <c r="O872" s="51"/>
      <c r="P872" s="50"/>
      <c r="Q872" s="50"/>
      <c r="R872" s="50"/>
      <c r="S872" s="50"/>
      <c r="T872" s="40"/>
      <c r="AG872" s="867" t="s">
        <v>241</v>
      </c>
      <c r="AH872" s="867" t="s">
        <v>242</v>
      </c>
      <c r="AI872" s="867" t="s">
        <v>243</v>
      </c>
      <c r="AJ872" s="867" t="s">
        <v>244</v>
      </c>
      <c r="AK872" s="867" t="s">
        <v>245</v>
      </c>
      <c r="AM872" s="868" t="s">
        <v>254</v>
      </c>
      <c r="AN872" s="869" t="s">
        <v>255</v>
      </c>
      <c r="AO872" s="505" t="s">
        <v>251</v>
      </c>
    </row>
    <row r="873" spans="1:41" s="504" customFormat="1" ht="12" customHeight="1">
      <c r="A873" s="870">
        <v>20</v>
      </c>
      <c r="B873" s="871" t="s">
        <v>306</v>
      </c>
      <c r="C873" s="872"/>
      <c r="D873" s="873" t="s">
        <v>804</v>
      </c>
      <c r="E873" s="874">
        <f ca="1">IF(AND($A873=0,$A$1="DIF"),0, ROUND(ROUND(($R878*$S$2+($T878*$T$2))/A873,2)*$C$2,2))</f>
        <v>4.5</v>
      </c>
      <c r="F873" s="875">
        <f ca="1">ROUND($A873*$E873,2)</f>
        <v>90</v>
      </c>
      <c r="G873" s="876" t="s">
        <v>139</v>
      </c>
      <c r="H873" s="877"/>
      <c r="I873" s="878"/>
      <c r="J873" s="877"/>
      <c r="K873" s="877" t="s">
        <v>3</v>
      </c>
      <c r="L873" s="879" t="s">
        <v>140</v>
      </c>
      <c r="M873" s="879"/>
      <c r="N873" s="879"/>
      <c r="O873" s="879"/>
      <c r="P873" s="879"/>
      <c r="Q873" s="50"/>
      <c r="T873" s="880" t="str">
        <f ca="1">IF(AND($R878=0,$T878=0),"0.00","mu :" &amp; ROUND($F873/$C$2/($R878+$T878*$D$9),2))</f>
        <v>mu :1.22</v>
      </c>
      <c r="W873" s="507"/>
      <c r="AG873" s="465">
        <f ca="1">IF($E873=0,0,ROUND($R878*$S$2*$C$2/$A873,2))</f>
        <v>1.68</v>
      </c>
      <c r="AH873" s="465">
        <f ca="1">$AG873*$A873</f>
        <v>33.6</v>
      </c>
      <c r="AI873" s="508">
        <f ca="1">$E873-$AG873</f>
        <v>2.8200000000000003</v>
      </c>
      <c r="AJ873" s="508">
        <f ca="1">$A873*$AI873</f>
        <v>56.400000000000006</v>
      </c>
      <c r="AK873" s="509">
        <f ca="1">ROUND(($AG873+$AI873)*$A873,2)</f>
        <v>90</v>
      </c>
      <c r="AM873" s="510">
        <f ca="1">ROUND(R878,2)</f>
        <v>27.6</v>
      </c>
      <c r="AN873" s="511">
        <f ca="1">ROUND(T878,2)</f>
        <v>1.6</v>
      </c>
      <c r="AO873" s="512">
        <f ca="1">ROUND(AM873+AN873,2)*A873</f>
        <v>584</v>
      </c>
    </row>
    <row r="874" spans="1:41" s="504" customFormat="1" ht="13.2">
      <c r="A874" s="872"/>
      <c r="B874"/>
      <c r="C874" s="872"/>
      <c r="D874" s="873" t="s">
        <v>724</v>
      </c>
      <c r="F874" s="877"/>
      <c r="G874" s="3"/>
      <c r="H874" s="877"/>
      <c r="I874" s="878"/>
      <c r="J874" s="877"/>
      <c r="K874" s="877" t="s">
        <v>141</v>
      </c>
      <c r="L874" s="877"/>
      <c r="M874" s="877"/>
      <c r="N874" s="877"/>
      <c r="O874" s="877"/>
      <c r="P874" s="877"/>
      <c r="Q874" s="50"/>
      <c r="R874" s="513"/>
      <c r="S874" s="881"/>
      <c r="T874" s="877"/>
    </row>
    <row r="875" spans="1:41" s="997" customFormat="1" ht="13.2">
      <c r="A875"/>
      <c r="B875" s="1065"/>
      <c r="C875" s="1065" t="s">
        <v>1006</v>
      </c>
      <c r="D875" s="1065" t="str">
        <f ca="1">CELL("Address",Elec_Rates!D$105)</f>
        <v>[EL25_0662B_Brittania_Hotel_Elec_Revised_Estim_B.xlsx]Elec_Rates!$D$105</v>
      </c>
      <c r="E875" s="1066"/>
      <c r="F875" s="1066"/>
      <c r="G875" s="1067" t="s">
        <v>1007</v>
      </c>
      <c r="H875" s="1067"/>
      <c r="I875" s="1067"/>
      <c r="J875" s="1067"/>
      <c r="K875" s="1068"/>
      <c r="L875" s="1066"/>
      <c r="M875" s="1066"/>
      <c r="N875" s="1066"/>
      <c r="O875" s="1069"/>
      <c r="P875" s="1066"/>
      <c r="Q875" s="1070"/>
      <c r="R875" s="1071"/>
      <c r="S875" s="1070"/>
      <c r="T875" s="1072"/>
      <c r="U875" s="1073"/>
    </row>
    <row r="876" spans="1:41" s="997" customFormat="1" ht="11.4">
      <c r="A876" s="1074">
        <v>20</v>
      </c>
      <c r="B876" s="1075">
        <v>1</v>
      </c>
      <c r="C876" s="1075">
        <f>$A876*$B876</f>
        <v>20</v>
      </c>
      <c r="D876" s="1076" t="str">
        <f>Elec_Rates!$D$105</f>
        <v>010# 3 core x 2.5 mm2 FG16(O)M16 Cable</v>
      </c>
      <c r="E876" s="1076"/>
      <c r="F876" s="1076"/>
      <c r="G876" s="1077" t="s">
        <v>1008</v>
      </c>
      <c r="H876" s="1077"/>
      <c r="I876" s="1077"/>
      <c r="J876" s="1077"/>
      <c r="K876" s="1078"/>
      <c r="L876" s="1073"/>
      <c r="M876" s="1073"/>
      <c r="N876" s="1073"/>
      <c r="O876" s="1079"/>
      <c r="P876" s="1076"/>
      <c r="Q876" s="1080">
        <f ca="1">$B876*Elec_Rates!$R$105</f>
        <v>1.38</v>
      </c>
      <c r="R876" s="1071">
        <f ca="1">$A876*Q876</f>
        <v>27.599999999999998</v>
      </c>
      <c r="S876" s="1080">
        <f ca="1">$B876*Elec_Rates!$T$105</f>
        <v>0.08</v>
      </c>
      <c r="T876" s="1072">
        <f ca="1">$A876*S876</f>
        <v>1.6</v>
      </c>
      <c r="U876" s="1081"/>
    </row>
    <row r="877" spans="1:41" s="504" customFormat="1" ht="12">
      <c r="A877" s="882"/>
      <c r="B877" s="882"/>
      <c r="C877" s="882"/>
      <c r="D877" s="882"/>
      <c r="E877" s="882"/>
      <c r="F877" s="877"/>
      <c r="G877" s="882"/>
      <c r="H877" s="882"/>
      <c r="I877" s="503"/>
      <c r="J877" s="882"/>
      <c r="K877" s="882"/>
      <c r="L877" s="882"/>
      <c r="M877" s="882"/>
      <c r="N877" s="882"/>
      <c r="O877" s="882"/>
      <c r="P877" s="882"/>
      <c r="Q877" s="503"/>
      <c r="R877" s="883">
        <f>$A877*Q877</f>
        <v>0</v>
      </c>
      <c r="S877" s="503"/>
      <c r="T877" s="884">
        <f>$A877*S877*$T$1</f>
        <v>0</v>
      </c>
    </row>
    <row r="878" spans="1:41" s="504" customFormat="1" ht="12.6" thickBot="1">
      <c r="A878" s="885" t="s">
        <v>142</v>
      </c>
      <c r="B878" s="886">
        <f>(R877+T877)</f>
        <v>0</v>
      </c>
      <c r="C878" s="887"/>
      <c r="D878" s="887"/>
      <c r="E878" s="887"/>
      <c r="F878" s="888"/>
      <c r="G878" s="887" t="s">
        <v>143</v>
      </c>
      <c r="H878" s="887"/>
      <c r="I878" s="889"/>
      <c r="J878" s="887"/>
      <c r="K878" s="887" t="s">
        <v>3</v>
      </c>
      <c r="L878" s="890" t="s">
        <v>140</v>
      </c>
      <c r="M878" s="890"/>
      <c r="N878" s="890"/>
      <c r="O878" s="890"/>
      <c r="P878" s="890"/>
      <c r="Q878" s="891"/>
      <c r="R878" s="892">
        <f ca="1">SUM(R874:R877)</f>
        <v>27.599999999999998</v>
      </c>
      <c r="S878" s="887"/>
      <c r="T878" s="892">
        <f ca="1">SUM(T874:T877)</f>
        <v>1.6</v>
      </c>
      <c r="U878" s="514"/>
      <c r="V878" s="514"/>
      <c r="W878" s="514"/>
      <c r="X878" s="514"/>
      <c r="Y878" s="514"/>
      <c r="Z878" s="514"/>
      <c r="AA878" s="514"/>
      <c r="AB878" s="514"/>
      <c r="AC878" s="514"/>
      <c r="AD878" s="514"/>
      <c r="AE878" s="514"/>
      <c r="AF878" s="514"/>
      <c r="AG878" s="514"/>
      <c r="AH878" s="514"/>
      <c r="AI878" s="514"/>
      <c r="AJ878" s="514"/>
      <c r="AK878" s="514"/>
      <c r="AL878" s="514"/>
      <c r="AM878" s="514"/>
      <c r="AN878" s="514"/>
      <c r="AO878" s="514"/>
    </row>
    <row r="879" spans="1:41" s="504" customFormat="1" ht="12" thickTop="1">
      <c r="A879" s="50"/>
      <c r="B879" s="40"/>
      <c r="C879" s="50"/>
      <c r="E879" s="41" t="s">
        <v>136</v>
      </c>
      <c r="F879" s="41" t="s">
        <v>137</v>
      </c>
      <c r="G879" s="50"/>
      <c r="H879" s="50"/>
      <c r="I879" s="50"/>
      <c r="J879" s="50"/>
      <c r="K879" s="50" t="s">
        <v>138</v>
      </c>
      <c r="L879" s="50"/>
      <c r="M879" s="50"/>
      <c r="N879" s="50"/>
      <c r="O879" s="51"/>
      <c r="P879" s="50"/>
      <c r="Q879" s="50"/>
      <c r="R879" s="50"/>
      <c r="S879" s="50"/>
      <c r="T879" s="40"/>
      <c r="AG879" s="867" t="s">
        <v>241</v>
      </c>
      <c r="AH879" s="867" t="s">
        <v>242</v>
      </c>
      <c r="AI879" s="867" t="s">
        <v>243</v>
      </c>
      <c r="AJ879" s="867" t="s">
        <v>244</v>
      </c>
      <c r="AK879" s="867" t="s">
        <v>245</v>
      </c>
      <c r="AM879" s="868" t="s">
        <v>254</v>
      </c>
      <c r="AN879" s="869" t="s">
        <v>255</v>
      </c>
      <c r="AO879" s="505" t="s">
        <v>251</v>
      </c>
    </row>
    <row r="880" spans="1:41" s="504" customFormat="1" ht="12" customHeight="1">
      <c r="A880" s="870">
        <v>20</v>
      </c>
      <c r="B880" s="871" t="s">
        <v>306</v>
      </c>
      <c r="C880" s="872"/>
      <c r="D880" s="873" t="s">
        <v>806</v>
      </c>
      <c r="E880" s="874">
        <f ca="1">IF(AND($A880=0,$A$1="DIF"),0, ROUND(ROUND(($R885*$S$2+($T885*$T$2))/A880,2)*$C$2,2))</f>
        <v>6.41</v>
      </c>
      <c r="F880" s="875">
        <f ca="1">ROUND($A880*$E880,2)</f>
        <v>128.19999999999999</v>
      </c>
      <c r="G880" s="876" t="s">
        <v>139</v>
      </c>
      <c r="H880" s="877"/>
      <c r="I880" s="878"/>
      <c r="J880" s="877"/>
      <c r="K880" s="877" t="s">
        <v>3</v>
      </c>
      <c r="L880" s="879" t="s">
        <v>140</v>
      </c>
      <c r="M880" s="879"/>
      <c r="N880" s="879"/>
      <c r="O880" s="879"/>
      <c r="P880" s="879"/>
      <c r="Q880" s="50"/>
      <c r="T880" s="880" t="str">
        <f ca="1">IF(AND($R885=0,$T885=0),"0.00","mu :" &amp; ROUND($F880/$C$2/($R885+$T885*$D$9),2))</f>
        <v>mu :1.22</v>
      </c>
      <c r="W880" s="507"/>
      <c r="AG880" s="465">
        <f ca="1">IF($E880=0,0,ROUND($R885*$S$2*$C$2/$A880,2))</f>
        <v>2.54</v>
      </c>
      <c r="AH880" s="465">
        <f ca="1">$AG880*$A880</f>
        <v>50.8</v>
      </c>
      <c r="AI880" s="508">
        <f ca="1">$E880-$AG880</f>
        <v>3.87</v>
      </c>
      <c r="AJ880" s="508">
        <f ca="1">$A880*$AI880</f>
        <v>77.400000000000006</v>
      </c>
      <c r="AK880" s="509">
        <f ca="1">ROUND(($AG880+$AI880)*$A880,2)</f>
        <v>128.19999999999999</v>
      </c>
      <c r="AM880" s="510">
        <f ca="1">ROUND(R885,2)</f>
        <v>41.6</v>
      </c>
      <c r="AN880" s="511">
        <f ca="1">ROUND(T885,2)</f>
        <v>2.2000000000000002</v>
      </c>
      <c r="AO880" s="512">
        <f ca="1">ROUND(AM880+AN880,2)*A880</f>
        <v>876</v>
      </c>
    </row>
    <row r="881" spans="1:41" s="504" customFormat="1" ht="13.2">
      <c r="A881" s="872"/>
      <c r="B881"/>
      <c r="C881" s="872"/>
      <c r="D881" s="873" t="s">
        <v>725</v>
      </c>
      <c r="F881" s="877"/>
      <c r="G881" s="3"/>
      <c r="H881" s="877"/>
      <c r="I881" s="878"/>
      <c r="J881" s="877"/>
      <c r="K881" s="877" t="s">
        <v>141</v>
      </c>
      <c r="L881" s="877"/>
      <c r="M881" s="877"/>
      <c r="N881" s="877"/>
      <c r="O881" s="877"/>
      <c r="P881" s="877"/>
      <c r="Q881" s="50"/>
      <c r="R881" s="513"/>
      <c r="S881" s="881"/>
      <c r="T881" s="877"/>
    </row>
    <row r="882" spans="1:41" s="997" customFormat="1" ht="13.2">
      <c r="A882"/>
      <c r="B882" s="1065"/>
      <c r="C882" s="1065" t="s">
        <v>1006</v>
      </c>
      <c r="D882" s="1065" t="str">
        <f ca="1">CELL("Address",Elec_Rates!D$75)</f>
        <v>[EL25_0662B_Brittania_Hotel_Elec_Revised_Estim_B.xlsx]Elec_Rates!$D$75</v>
      </c>
      <c r="E882" s="1066"/>
      <c r="F882" s="1066"/>
      <c r="G882" s="1067" t="s">
        <v>1007</v>
      </c>
      <c r="H882" s="1067"/>
      <c r="I882" s="1067"/>
      <c r="J882" s="1067"/>
      <c r="K882" s="1068"/>
      <c r="L882" s="1066"/>
      <c r="M882" s="1066"/>
      <c r="N882" s="1066"/>
      <c r="O882" s="1069"/>
      <c r="P882" s="1066"/>
      <c r="Q882" s="1070"/>
      <c r="R882" s="1071"/>
      <c r="S882" s="1070"/>
      <c r="T882" s="1072"/>
      <c r="U882" s="1073"/>
    </row>
    <row r="883" spans="1:41" s="997" customFormat="1" ht="11.4">
      <c r="A883" s="1074">
        <v>20</v>
      </c>
      <c r="B883" s="1075">
        <v>1</v>
      </c>
      <c r="C883" s="1075">
        <f>$A883*$B883</f>
        <v>20</v>
      </c>
      <c r="D883" s="1076" t="str">
        <f>Elec_Rates!$D$75</f>
        <v>007# 5 core x 2.5 mm2 FG16(O)M16 Cable</v>
      </c>
      <c r="E883" s="1076"/>
      <c r="F883" s="1076"/>
      <c r="G883" s="1077" t="s">
        <v>1008</v>
      </c>
      <c r="H883" s="1077"/>
      <c r="I883" s="1077"/>
      <c r="J883" s="1077"/>
      <c r="K883" s="1078"/>
      <c r="L883" s="1073"/>
      <c r="M883" s="1073"/>
      <c r="N883" s="1073"/>
      <c r="O883" s="1079"/>
      <c r="P883" s="1076"/>
      <c r="Q883" s="1080">
        <f ca="1">$B883*Elec_Rates!$R$75</f>
        <v>2.08</v>
      </c>
      <c r="R883" s="1071">
        <f ca="1">$A883*Q883</f>
        <v>41.6</v>
      </c>
      <c r="S883" s="1080">
        <f ca="1">$B883*Elec_Rates!$T$75</f>
        <v>0.11</v>
      </c>
      <c r="T883" s="1072">
        <f ca="1">$A883*S883</f>
        <v>2.2000000000000002</v>
      </c>
      <c r="U883" s="1081"/>
    </row>
    <row r="884" spans="1:41" s="504" customFormat="1" ht="12">
      <c r="A884" s="882"/>
      <c r="B884" s="882"/>
      <c r="C884" s="882"/>
      <c r="D884" s="882"/>
      <c r="E884" s="882"/>
      <c r="F884" s="877"/>
      <c r="G884" s="882"/>
      <c r="H884" s="882"/>
      <c r="I884" s="503"/>
      <c r="J884" s="882"/>
      <c r="K884" s="882"/>
      <c r="L884" s="882"/>
      <c r="M884" s="882"/>
      <c r="N884" s="882"/>
      <c r="O884" s="882"/>
      <c r="P884" s="882"/>
      <c r="Q884" s="503"/>
      <c r="R884" s="883">
        <f>$A884*Q884</f>
        <v>0</v>
      </c>
      <c r="S884" s="503"/>
      <c r="T884" s="884">
        <f>$A884*S884*$T$1</f>
        <v>0</v>
      </c>
    </row>
    <row r="885" spans="1:41" s="504" customFormat="1" ht="12.6" thickBot="1">
      <c r="A885" s="885" t="s">
        <v>142</v>
      </c>
      <c r="B885" s="886">
        <f>(R884+T884)</f>
        <v>0</v>
      </c>
      <c r="C885" s="887"/>
      <c r="D885" s="887"/>
      <c r="E885" s="887"/>
      <c r="F885" s="888"/>
      <c r="G885" s="887" t="s">
        <v>143</v>
      </c>
      <c r="H885" s="887"/>
      <c r="I885" s="889"/>
      <c r="J885" s="887"/>
      <c r="K885" s="887" t="s">
        <v>3</v>
      </c>
      <c r="L885" s="890" t="s">
        <v>140</v>
      </c>
      <c r="M885" s="890"/>
      <c r="N885" s="890"/>
      <c r="O885" s="890"/>
      <c r="P885" s="890"/>
      <c r="Q885" s="891"/>
      <c r="R885" s="892">
        <f ca="1">SUM(R881:R884)</f>
        <v>41.6</v>
      </c>
      <c r="S885" s="887"/>
      <c r="T885" s="892">
        <f ca="1">SUM(T881:T884)</f>
        <v>2.2000000000000002</v>
      </c>
      <c r="U885" s="514"/>
      <c r="V885" s="514"/>
      <c r="W885" s="514"/>
      <c r="X885" s="514"/>
      <c r="Y885" s="514"/>
      <c r="Z885" s="514"/>
      <c r="AA885" s="514"/>
      <c r="AB885" s="514"/>
      <c r="AC885" s="514"/>
      <c r="AD885" s="514"/>
      <c r="AE885" s="514"/>
      <c r="AF885" s="514"/>
      <c r="AG885" s="514"/>
      <c r="AH885" s="514"/>
      <c r="AI885" s="514"/>
      <c r="AJ885" s="514"/>
      <c r="AK885" s="514"/>
      <c r="AL885" s="514"/>
      <c r="AM885" s="514"/>
      <c r="AN885" s="514"/>
      <c r="AO885" s="514"/>
    </row>
    <row r="886" spans="1:41" s="504" customFormat="1" thickTop="1">
      <c r="A886" s="50"/>
      <c r="B886" s="50"/>
      <c r="C886" s="3"/>
      <c r="D886" s="3"/>
      <c r="E886" s="50"/>
      <c r="F886" s="50"/>
      <c r="G886" s="50"/>
      <c r="H886" s="50"/>
      <c r="I886" s="50"/>
      <c r="J886" s="50"/>
      <c r="K886" s="50" t="s">
        <v>133</v>
      </c>
      <c r="L886" s="50"/>
      <c r="M886" s="50"/>
      <c r="N886" s="50"/>
      <c r="O886" s="51"/>
      <c r="P886" s="50"/>
      <c r="Q886" s="50"/>
      <c r="R886" s="50"/>
      <c r="S886" s="50"/>
      <c r="T886" s="50"/>
    </row>
    <row r="887" spans="1:41" s="504" customFormat="1" ht="12">
      <c r="A887" s="50"/>
      <c r="B887" s="50"/>
      <c r="C887" s="50" t="s">
        <v>134</v>
      </c>
      <c r="D887" s="37"/>
      <c r="E887" s="50"/>
      <c r="F887" s="50"/>
      <c r="G887" s="50"/>
      <c r="H887" s="50"/>
      <c r="I887" s="50"/>
      <c r="J887" s="50"/>
      <c r="K887" s="50"/>
      <c r="L887" s="50"/>
      <c r="M887" s="50"/>
      <c r="N887" s="50"/>
      <c r="O887" s="51"/>
      <c r="P887" s="50"/>
      <c r="Q887" s="50"/>
      <c r="R887" s="50"/>
      <c r="S887" s="50"/>
      <c r="T887" s="50"/>
    </row>
    <row r="888" spans="1:41" s="504" customFormat="1" ht="12">
      <c r="A888" s="50"/>
      <c r="B888" s="50"/>
      <c r="C888" s="50"/>
      <c r="D888" s="37" t="s">
        <v>324</v>
      </c>
      <c r="E888" s="50"/>
      <c r="F888" s="50"/>
      <c r="G888" s="50"/>
      <c r="H888" s="50"/>
      <c r="I888" s="50"/>
      <c r="J888" s="50"/>
      <c r="K888" s="50"/>
      <c r="L888" s="50"/>
      <c r="M888" s="50"/>
      <c r="N888" s="50"/>
      <c r="O888" s="51"/>
      <c r="P888" s="50"/>
      <c r="Q888" s="50"/>
      <c r="R888" s="50"/>
      <c r="S888" s="38"/>
      <c r="T888" s="38"/>
    </row>
    <row r="889" spans="1:41" s="3" customFormat="1" thickBot="1">
      <c r="A889" s="514"/>
      <c r="O889" s="103"/>
    </row>
    <row r="890" spans="1:41" s="504" customFormat="1" thickTop="1">
      <c r="A890" s="50"/>
      <c r="B890" s="50"/>
      <c r="C890" s="3"/>
      <c r="D890" s="3"/>
      <c r="E890" s="50"/>
      <c r="F890" s="50"/>
      <c r="G890" s="50"/>
      <c r="H890" s="50"/>
      <c r="I890" s="50"/>
      <c r="J890" s="50"/>
      <c r="K890" s="50" t="s">
        <v>133</v>
      </c>
      <c r="L890" s="50"/>
      <c r="M890" s="50"/>
      <c r="N890" s="50"/>
      <c r="O890" s="51"/>
      <c r="P890" s="50"/>
      <c r="Q890" s="50"/>
      <c r="R890" s="50"/>
      <c r="S890" s="50"/>
      <c r="T890" s="50"/>
    </row>
    <row r="891" spans="1:41" s="504" customFormat="1" ht="12">
      <c r="A891" s="50"/>
      <c r="B891" s="50"/>
      <c r="C891" s="50" t="s">
        <v>134</v>
      </c>
      <c r="D891" s="37" t="s">
        <v>847</v>
      </c>
      <c r="E891" s="50"/>
      <c r="F891" s="50"/>
      <c r="G891" s="50"/>
      <c r="H891" s="50"/>
      <c r="I891" s="50"/>
      <c r="J891" s="50"/>
      <c r="K891" s="50"/>
      <c r="L891" s="50"/>
      <c r="M891" s="50"/>
      <c r="N891" s="50"/>
      <c r="O891" s="51"/>
      <c r="P891" s="50"/>
      <c r="Q891" s="50"/>
      <c r="R891" s="50"/>
      <c r="S891" s="50"/>
      <c r="T891" s="50"/>
    </row>
    <row r="892" spans="1:41" s="504" customFormat="1" ht="13.2">
      <c r="A892" s="872"/>
      <c r="B892"/>
      <c r="C892" s="872"/>
      <c r="D892" s="916" t="s">
        <v>372</v>
      </c>
      <c r="E892" s="917"/>
      <c r="F892" s="918"/>
      <c r="G892" s="919"/>
      <c r="H892" s="918"/>
      <c r="I892" s="920"/>
      <c r="J892" s="918"/>
      <c r="K892" s="918"/>
      <c r="L892" s="918"/>
      <c r="M892" s="918"/>
      <c r="N892" s="918"/>
      <c r="O892" s="918"/>
      <c r="P892" s="918"/>
      <c r="Q892" s="921"/>
      <c r="R892" s="513"/>
      <c r="S892" s="881"/>
      <c r="T892" s="877"/>
    </row>
    <row r="893" spans="1:41" s="3" customFormat="1" thickBot="1">
      <c r="A893" s="514"/>
      <c r="O893" s="103"/>
    </row>
    <row r="894" spans="1:41" s="504" customFormat="1" ht="12" thickTop="1">
      <c r="A894" s="50"/>
      <c r="B894" s="40"/>
      <c r="C894" s="50"/>
      <c r="E894" s="41" t="s">
        <v>136</v>
      </c>
      <c r="F894" s="41" t="s">
        <v>137</v>
      </c>
      <c r="G894" s="50"/>
      <c r="H894" s="50"/>
      <c r="I894" s="50"/>
      <c r="J894" s="50"/>
      <c r="K894" s="50" t="s">
        <v>138</v>
      </c>
      <c r="L894" s="50"/>
      <c r="M894" s="50"/>
      <c r="N894" s="50"/>
      <c r="O894" s="51"/>
      <c r="P894" s="50"/>
      <c r="Q894" s="50"/>
      <c r="R894" s="50"/>
      <c r="S894" s="50"/>
      <c r="T894" s="40"/>
      <c r="AG894" s="867" t="s">
        <v>241</v>
      </c>
      <c r="AH894" s="867" t="s">
        <v>242</v>
      </c>
      <c r="AI894" s="867" t="s">
        <v>243</v>
      </c>
      <c r="AJ894" s="867" t="s">
        <v>244</v>
      </c>
      <c r="AK894" s="867" t="s">
        <v>245</v>
      </c>
      <c r="AM894" s="868" t="s">
        <v>254</v>
      </c>
      <c r="AN894" s="869" t="s">
        <v>255</v>
      </c>
      <c r="AO894" s="505" t="s">
        <v>251</v>
      </c>
    </row>
    <row r="895" spans="1:41" s="504" customFormat="1" ht="12" customHeight="1">
      <c r="A895" s="870">
        <v>15</v>
      </c>
      <c r="B895" s="871" t="s">
        <v>326</v>
      </c>
      <c r="C895" s="872"/>
      <c r="D895" s="873" t="s">
        <v>804</v>
      </c>
      <c r="E895" s="874">
        <f ca="1">IF(AND($A895=0,$A$1="DIF"),0, ROUND(ROUND(($R902*$S$2+($T902*$T$2))/A895,2)*$C$2,2))</f>
        <v>32.18</v>
      </c>
      <c r="F895" s="875">
        <f ca="1">ROUND($A895*$E895,2)</f>
        <v>482.7</v>
      </c>
      <c r="G895" s="876" t="s">
        <v>139</v>
      </c>
      <c r="H895" s="877"/>
      <c r="I895" s="878"/>
      <c r="J895" s="877"/>
      <c r="K895" s="877" t="s">
        <v>3</v>
      </c>
      <c r="L895" s="879" t="s">
        <v>140</v>
      </c>
      <c r="M895" s="879"/>
      <c r="N895" s="879"/>
      <c r="O895" s="879"/>
      <c r="P895" s="879"/>
      <c r="Q895" s="50"/>
      <c r="T895" s="880" t="str">
        <f ca="1">IF(AND($R902=0,$T902=0),"0.00","mu :" &amp; ROUND($F895/$C$2/($R902+$T902*$D$9),2))</f>
        <v>mu :1.22</v>
      </c>
      <c r="W895" s="507"/>
      <c r="AG895" s="465">
        <f ca="1">IF($E895=0,0,ROUND($R902*$S$2*$C$2/$A895,2))</f>
        <v>10.72</v>
      </c>
      <c r="AH895" s="465">
        <f ca="1">$AG895*$A895</f>
        <v>160.80000000000001</v>
      </c>
      <c r="AI895" s="508">
        <f ca="1">$E895-$AG895</f>
        <v>21.46</v>
      </c>
      <c r="AJ895" s="508">
        <f ca="1">$A895*$AI895</f>
        <v>321.90000000000003</v>
      </c>
      <c r="AK895" s="509">
        <f ca="1">ROUND(($AG895+$AI895)*$A895,2)</f>
        <v>482.7</v>
      </c>
      <c r="AM895" s="510">
        <f ca="1">ROUND(R902,2)</f>
        <v>131.85</v>
      </c>
      <c r="AN895" s="511">
        <f ca="1">ROUND(T902,2)</f>
        <v>9.15</v>
      </c>
      <c r="AO895" s="512">
        <f ca="1">ROUND(AM895+AN895,2)*A895</f>
        <v>2115</v>
      </c>
    </row>
    <row r="896" spans="1:41" s="504" customFormat="1" ht="13.2">
      <c r="A896" s="872"/>
      <c r="B896"/>
      <c r="C896" s="872"/>
      <c r="D896" s="873" t="s">
        <v>373</v>
      </c>
      <c r="F896" s="877"/>
      <c r="G896" s="3"/>
      <c r="H896" s="877"/>
      <c r="I896" s="878"/>
      <c r="J896" s="877"/>
      <c r="K896" s="877" t="s">
        <v>141</v>
      </c>
      <c r="L896" s="877"/>
      <c r="M896" s="877"/>
      <c r="N896" s="877"/>
      <c r="O896" s="877"/>
      <c r="P896" s="877"/>
      <c r="Q896" s="50"/>
      <c r="R896" s="513"/>
      <c r="S896" s="881"/>
      <c r="T896" s="877"/>
    </row>
    <row r="897" spans="1:41" s="997" customFormat="1" ht="13.2">
      <c r="A897"/>
      <c r="B897" s="1065"/>
      <c r="C897" s="1065" t="s">
        <v>1006</v>
      </c>
      <c r="D897" s="1065" t="str">
        <f ca="1">CELL("Address",Elec_Rates!D$495)</f>
        <v>[EL25_0662B_Brittania_Hotel_Elec_Revised_Estim_B.xlsx]Elec_Rates!$D$495</v>
      </c>
      <c r="E897" s="1066"/>
      <c r="F897" s="1066"/>
      <c r="G897" s="1067" t="s">
        <v>1007</v>
      </c>
      <c r="H897" s="1067"/>
      <c r="I897" s="1067"/>
      <c r="J897" s="1067"/>
      <c r="K897" s="1068"/>
      <c r="L897" s="1066"/>
      <c r="M897" s="1066"/>
      <c r="N897" s="1066"/>
      <c r="O897" s="1069"/>
      <c r="P897" s="1066"/>
      <c r="Q897" s="1070"/>
      <c r="R897" s="1071"/>
      <c r="S897" s="1070"/>
      <c r="T897" s="1072"/>
      <c r="U897" s="1073"/>
    </row>
    <row r="898" spans="1:41" s="997" customFormat="1" ht="11.4">
      <c r="A898" s="1074">
        <v>15</v>
      </c>
      <c r="B898" s="1075">
        <v>1</v>
      </c>
      <c r="C898" s="1075">
        <f>$A898*$B898</f>
        <v>15</v>
      </c>
      <c r="D898" s="1076" t="str">
        <f>Elec_Rates!$D$495</f>
        <v>059# Galvanized Steel Cable Trunking Size 75 x 50mm</v>
      </c>
      <c r="E898" s="1076"/>
      <c r="F898" s="1076"/>
      <c r="G898" s="1077" t="s">
        <v>1008</v>
      </c>
      <c r="H898" s="1077"/>
      <c r="I898" s="1077"/>
      <c r="J898" s="1077"/>
      <c r="K898" s="1078"/>
      <c r="L898" s="1073"/>
      <c r="M898" s="1073"/>
      <c r="N898" s="1073"/>
      <c r="O898" s="1079"/>
      <c r="P898" s="1076"/>
      <c r="Q898" s="1080">
        <f ca="1">$B898*Elec_Rates!$R$495</f>
        <v>5.14</v>
      </c>
      <c r="R898" s="1071">
        <f ca="1">$A898*Q898</f>
        <v>77.099999999999994</v>
      </c>
      <c r="S898" s="1080">
        <f ca="1">$B898*Elec_Rates!$T$495</f>
        <v>0.36</v>
      </c>
      <c r="T898" s="1072">
        <f ca="1">$A898*S898</f>
        <v>5.3999999999999995</v>
      </c>
      <c r="U898" s="1081"/>
    </row>
    <row r="899" spans="1:41" s="997" customFormat="1" ht="13.2">
      <c r="A899"/>
      <c r="B899" s="1065"/>
      <c r="C899" s="1065" t="s">
        <v>1006</v>
      </c>
      <c r="D899" s="1065" t="str">
        <f ca="1">CELL("Address",Elec_Rates!D$180)</f>
        <v>[EL25_0662B_Brittania_Hotel_Elec_Revised_Estim_B.xlsx]Elec_Rates!$D$180</v>
      </c>
      <c r="E899" s="1066"/>
      <c r="F899" s="1066"/>
      <c r="G899" s="1067" t="s">
        <v>1007</v>
      </c>
      <c r="H899" s="1067"/>
      <c r="I899" s="1067"/>
      <c r="J899" s="1067"/>
      <c r="K899" s="1068"/>
      <c r="L899" s="1066"/>
      <c r="M899" s="1066"/>
      <c r="N899" s="1066"/>
      <c r="O899" s="1069"/>
      <c r="P899" s="1066"/>
      <c r="Q899" s="1070"/>
      <c r="R899" s="1071"/>
      <c r="S899" s="1070"/>
      <c r="T899" s="1072"/>
      <c r="U899" s="1073"/>
    </row>
    <row r="900" spans="1:41" s="997" customFormat="1" ht="11.4">
      <c r="A900" s="1074">
        <v>15</v>
      </c>
      <c r="B900" s="1075">
        <v>1</v>
      </c>
      <c r="C900" s="1075">
        <f>$A900*$B900</f>
        <v>15</v>
      </c>
      <c r="D900" s="1076" t="str">
        <f>Elec_Rates!$D$180</f>
        <v>018# Cable Containment Supports</v>
      </c>
      <c r="E900" s="1076"/>
      <c r="F900" s="1076"/>
      <c r="G900" s="1077" t="s">
        <v>1008</v>
      </c>
      <c r="H900" s="1077"/>
      <c r="I900" s="1077"/>
      <c r="J900" s="1077"/>
      <c r="K900" s="1078"/>
      <c r="L900" s="1073"/>
      <c r="M900" s="1073"/>
      <c r="N900" s="1073"/>
      <c r="O900" s="1079"/>
      <c r="P900" s="1076"/>
      <c r="Q900" s="1080">
        <f ca="1">$B900*Elec_Rates!$R$180</f>
        <v>3.65</v>
      </c>
      <c r="R900" s="1071">
        <f ca="1">$A900*Q900</f>
        <v>54.75</v>
      </c>
      <c r="S900" s="1080">
        <f ca="1">$B900*Elec_Rates!$T$180</f>
        <v>0.25</v>
      </c>
      <c r="T900" s="1072">
        <f ca="1">$A900*S900</f>
        <v>3.75</v>
      </c>
      <c r="U900" s="1081"/>
    </row>
    <row r="901" spans="1:41" s="504" customFormat="1" ht="12">
      <c r="A901" s="882"/>
      <c r="B901" s="882"/>
      <c r="C901" s="882"/>
      <c r="D901" s="882"/>
      <c r="E901" s="882"/>
      <c r="F901" s="877"/>
      <c r="G901" s="882"/>
      <c r="H901" s="882"/>
      <c r="I901" s="503"/>
      <c r="J901" s="882"/>
      <c r="K901" s="882"/>
      <c r="L901" s="882"/>
      <c r="M901" s="882"/>
      <c r="N901" s="882"/>
      <c r="O901" s="882"/>
      <c r="P901" s="882"/>
      <c r="Q901" s="503"/>
      <c r="R901" s="883">
        <f>$A901*Q901</f>
        <v>0</v>
      </c>
      <c r="S901" s="503"/>
      <c r="T901" s="884">
        <f>$A901*S901*$T$1</f>
        <v>0</v>
      </c>
    </row>
    <row r="902" spans="1:41" s="504" customFormat="1" ht="12.6" thickBot="1">
      <c r="A902" s="885" t="s">
        <v>142</v>
      </c>
      <c r="B902" s="886">
        <f>(R901+T901)</f>
        <v>0</v>
      </c>
      <c r="C902" s="887"/>
      <c r="D902" s="887"/>
      <c r="E902" s="887"/>
      <c r="F902" s="888"/>
      <c r="G902" s="887" t="s">
        <v>143</v>
      </c>
      <c r="H902" s="887"/>
      <c r="I902" s="889"/>
      <c r="J902" s="887"/>
      <c r="K902" s="887" t="s">
        <v>3</v>
      </c>
      <c r="L902" s="890" t="s">
        <v>140</v>
      </c>
      <c r="M902" s="890"/>
      <c r="N902" s="890"/>
      <c r="O902" s="890"/>
      <c r="P902" s="890"/>
      <c r="Q902" s="891"/>
      <c r="R902" s="892">
        <f ca="1">SUM(R896:R901)</f>
        <v>131.85</v>
      </c>
      <c r="S902" s="887"/>
      <c r="T902" s="892">
        <f ca="1">SUM(T896:T901)</f>
        <v>9.1499999999999986</v>
      </c>
      <c r="U902" s="514"/>
      <c r="V902" s="514"/>
      <c r="W902" s="514"/>
      <c r="X902" s="514"/>
      <c r="Y902" s="514"/>
      <c r="Z902" s="514"/>
      <c r="AA902" s="514"/>
      <c r="AB902" s="514"/>
      <c r="AC902" s="514"/>
      <c r="AD902" s="514"/>
      <c r="AE902" s="514"/>
      <c r="AF902" s="514"/>
      <c r="AG902" s="514"/>
      <c r="AH902" s="514"/>
      <c r="AI902" s="514"/>
      <c r="AJ902" s="514"/>
      <c r="AK902" s="514"/>
      <c r="AL902" s="514"/>
      <c r="AM902" s="514"/>
      <c r="AN902" s="514"/>
      <c r="AO902" s="514"/>
    </row>
    <row r="903" spans="1:41" s="504" customFormat="1" ht="12" thickTop="1">
      <c r="A903" s="50"/>
      <c r="B903" s="40"/>
      <c r="C903" s="50"/>
      <c r="E903" s="41" t="s">
        <v>136</v>
      </c>
      <c r="F903" s="41" t="s">
        <v>137</v>
      </c>
      <c r="G903" s="50"/>
      <c r="H903" s="50"/>
      <c r="I903" s="50"/>
      <c r="J903" s="50"/>
      <c r="K903" s="50" t="s">
        <v>138</v>
      </c>
      <c r="L903" s="50"/>
      <c r="M903" s="50"/>
      <c r="N903" s="50"/>
      <c r="O903" s="51"/>
      <c r="P903" s="50"/>
      <c r="Q903" s="50"/>
      <c r="R903" s="50"/>
      <c r="S903" s="50"/>
      <c r="T903" s="40"/>
      <c r="AG903" s="867" t="s">
        <v>241</v>
      </c>
      <c r="AH903" s="867" t="s">
        <v>242</v>
      </c>
      <c r="AI903" s="867" t="s">
        <v>243</v>
      </c>
      <c r="AJ903" s="867" t="s">
        <v>244</v>
      </c>
      <c r="AK903" s="867" t="s">
        <v>245</v>
      </c>
      <c r="AM903" s="868" t="s">
        <v>254</v>
      </c>
      <c r="AN903" s="869" t="s">
        <v>255</v>
      </c>
      <c r="AO903" s="505" t="s">
        <v>251</v>
      </c>
    </row>
    <row r="904" spans="1:41" s="504" customFormat="1" ht="12" customHeight="1">
      <c r="A904" s="870">
        <v>5</v>
      </c>
      <c r="B904" s="871" t="s">
        <v>326</v>
      </c>
      <c r="C904" s="872"/>
      <c r="D904" s="873" t="s">
        <v>806</v>
      </c>
      <c r="E904" s="874">
        <f ca="1">IF(AND($A904=0,$A$1="DIF"),0, ROUND(ROUND(($R911*$S$2+($T911*$T$2))/A904,2)*$C$2,2))</f>
        <v>33.46</v>
      </c>
      <c r="F904" s="875">
        <f ca="1">ROUND($A904*$E904,2)</f>
        <v>167.3</v>
      </c>
      <c r="G904" s="876" t="s">
        <v>139</v>
      </c>
      <c r="H904" s="877"/>
      <c r="I904" s="878"/>
      <c r="J904" s="877"/>
      <c r="K904" s="877" t="s">
        <v>3</v>
      </c>
      <c r="L904" s="879" t="s">
        <v>140</v>
      </c>
      <c r="M904" s="879"/>
      <c r="N904" s="879"/>
      <c r="O904" s="879"/>
      <c r="P904" s="879"/>
      <c r="Q904" s="50"/>
      <c r="T904" s="880" t="str">
        <f ca="1">IF(AND($R911=0,$T911=0),"0.00","mu :" &amp; ROUND($F904/$C$2/($R911+$T911*$D$9),2))</f>
        <v>mu :1.22</v>
      </c>
      <c r="W904" s="507"/>
      <c r="AG904" s="465">
        <f ca="1">IF($E904=0,0,ROUND($R911*$S$2*$C$2/$A904,2))</f>
        <v>12</v>
      </c>
      <c r="AH904" s="465">
        <f ca="1">$AG904*$A904</f>
        <v>60</v>
      </c>
      <c r="AI904" s="508">
        <f ca="1">$E904-$AG904</f>
        <v>21.46</v>
      </c>
      <c r="AJ904" s="508">
        <f ca="1">$A904*$AI904</f>
        <v>107.30000000000001</v>
      </c>
      <c r="AK904" s="509">
        <f ca="1">ROUND(($AG904+$AI904)*$A904,2)</f>
        <v>167.3</v>
      </c>
      <c r="AM904" s="510">
        <f ca="1">ROUND(R911,2)</f>
        <v>49.2</v>
      </c>
      <c r="AN904" s="511">
        <f ca="1">ROUND(T911,2)</f>
        <v>3.05</v>
      </c>
      <c r="AO904" s="512">
        <f ca="1">ROUND(AM904+AN904,2)*A904</f>
        <v>261.25</v>
      </c>
    </row>
    <row r="905" spans="1:41" s="504" customFormat="1" ht="13.2">
      <c r="A905" s="872"/>
      <c r="B905"/>
      <c r="C905" s="872"/>
      <c r="D905" s="873" t="s">
        <v>374</v>
      </c>
      <c r="F905" s="877"/>
      <c r="G905" s="3"/>
      <c r="H905" s="877"/>
      <c r="I905" s="878"/>
      <c r="J905" s="877"/>
      <c r="K905" s="877" t="s">
        <v>141</v>
      </c>
      <c r="L905" s="877"/>
      <c r="M905" s="877"/>
      <c r="N905" s="877"/>
      <c r="O905" s="877"/>
      <c r="P905" s="877"/>
      <c r="Q905" s="50"/>
      <c r="R905" s="513"/>
      <c r="S905" s="881"/>
      <c r="T905" s="877"/>
    </row>
    <row r="906" spans="1:41" s="997" customFormat="1" ht="13.2">
      <c r="A906"/>
      <c r="B906" s="1065"/>
      <c r="C906" s="1065" t="s">
        <v>1006</v>
      </c>
      <c r="D906" s="1065" t="str">
        <f ca="1">CELL("Address",Elec_Rates!D$506)</f>
        <v>[EL25_0662B_Brittania_Hotel_Elec_Revised_Estim_B.xlsx]Elec_Rates!$D$506</v>
      </c>
      <c r="E906" s="1066"/>
      <c r="F906" s="1066"/>
      <c r="G906" s="1067" t="s">
        <v>1007</v>
      </c>
      <c r="H906" s="1067"/>
      <c r="I906" s="1067"/>
      <c r="J906" s="1067"/>
      <c r="K906" s="1068"/>
      <c r="L906" s="1066"/>
      <c r="M906" s="1066"/>
      <c r="N906" s="1066"/>
      <c r="O906" s="1069"/>
      <c r="P906" s="1066"/>
      <c r="Q906" s="1070"/>
      <c r="R906" s="1071"/>
      <c r="S906" s="1070"/>
      <c r="T906" s="1072"/>
      <c r="U906" s="1073"/>
    </row>
    <row r="907" spans="1:41" s="997" customFormat="1" ht="11.4">
      <c r="A907" s="1074">
        <v>5</v>
      </c>
      <c r="B907" s="1075">
        <v>1</v>
      </c>
      <c r="C907" s="1075">
        <f>$A907*$B907</f>
        <v>5</v>
      </c>
      <c r="D907" s="1076" t="str">
        <f>Elec_Rates!$D$506</f>
        <v>060# Galvanized Steel Cable Trunking Size 75 x 75mm</v>
      </c>
      <c r="E907" s="1076"/>
      <c r="F907" s="1076"/>
      <c r="G907" s="1077" t="s">
        <v>1008</v>
      </c>
      <c r="H907" s="1077"/>
      <c r="I907" s="1077"/>
      <c r="J907" s="1077"/>
      <c r="K907" s="1078"/>
      <c r="L907" s="1073"/>
      <c r="M907" s="1073"/>
      <c r="N907" s="1073"/>
      <c r="O907" s="1079"/>
      <c r="P907" s="1076"/>
      <c r="Q907" s="1080">
        <f ca="1">$B907*Elec_Rates!$R$506</f>
        <v>6.19</v>
      </c>
      <c r="R907" s="1071">
        <f ca="1">$A907*Q907</f>
        <v>30.950000000000003</v>
      </c>
      <c r="S907" s="1080">
        <f ca="1">$B907*Elec_Rates!$T$506</f>
        <v>0.36</v>
      </c>
      <c r="T907" s="1072">
        <f ca="1">$A907*S907</f>
        <v>1.7999999999999998</v>
      </c>
      <c r="U907" s="1081"/>
    </row>
    <row r="908" spans="1:41" s="997" customFormat="1" ht="13.2">
      <c r="A908"/>
      <c r="B908" s="1065"/>
      <c r="C908" s="1065" t="s">
        <v>1006</v>
      </c>
      <c r="D908" s="1065" t="str">
        <f ca="1">CELL("Address",Elec_Rates!D$180)</f>
        <v>[EL25_0662B_Brittania_Hotel_Elec_Revised_Estim_B.xlsx]Elec_Rates!$D$180</v>
      </c>
      <c r="E908" s="1066"/>
      <c r="F908" s="1066"/>
      <c r="G908" s="1067" t="s">
        <v>1007</v>
      </c>
      <c r="H908" s="1067"/>
      <c r="I908" s="1067"/>
      <c r="J908" s="1067"/>
      <c r="K908" s="1068"/>
      <c r="L908" s="1066"/>
      <c r="M908" s="1066"/>
      <c r="N908" s="1066"/>
      <c r="O908" s="1069"/>
      <c r="P908" s="1066"/>
      <c r="Q908" s="1070"/>
      <c r="R908" s="1071"/>
      <c r="S908" s="1070"/>
      <c r="T908" s="1072"/>
      <c r="U908" s="1073"/>
    </row>
    <row r="909" spans="1:41" s="997" customFormat="1" ht="11.4">
      <c r="A909" s="1074">
        <v>5</v>
      </c>
      <c r="B909" s="1075">
        <v>1</v>
      </c>
      <c r="C909" s="1075">
        <f>$A909*$B909</f>
        <v>5</v>
      </c>
      <c r="D909" s="1076" t="str">
        <f>Elec_Rates!$D$180</f>
        <v>018# Cable Containment Supports</v>
      </c>
      <c r="E909" s="1076"/>
      <c r="F909" s="1076"/>
      <c r="G909" s="1077" t="s">
        <v>1008</v>
      </c>
      <c r="H909" s="1077"/>
      <c r="I909" s="1077"/>
      <c r="J909" s="1077"/>
      <c r="K909" s="1078"/>
      <c r="L909" s="1073"/>
      <c r="M909" s="1073"/>
      <c r="N909" s="1073"/>
      <c r="O909" s="1079"/>
      <c r="P909" s="1076"/>
      <c r="Q909" s="1080">
        <f ca="1">$B909*Elec_Rates!$R$180</f>
        <v>3.65</v>
      </c>
      <c r="R909" s="1071">
        <f ca="1">$A909*Q909</f>
        <v>18.25</v>
      </c>
      <c r="S909" s="1080">
        <f ca="1">$B909*Elec_Rates!$T$180</f>
        <v>0.25</v>
      </c>
      <c r="T909" s="1072">
        <f ca="1">$A909*S909</f>
        <v>1.25</v>
      </c>
      <c r="U909" s="1081"/>
    </row>
    <row r="910" spans="1:41" s="504" customFormat="1" ht="12">
      <c r="A910" s="882"/>
      <c r="B910" s="882"/>
      <c r="C910" s="882"/>
      <c r="D910" s="882"/>
      <c r="E910" s="882"/>
      <c r="F910" s="877"/>
      <c r="G910" s="882"/>
      <c r="H910" s="882"/>
      <c r="I910" s="503"/>
      <c r="J910" s="882"/>
      <c r="K910" s="882"/>
      <c r="L910" s="882"/>
      <c r="M910" s="882"/>
      <c r="N910" s="882"/>
      <c r="O910" s="882"/>
      <c r="P910" s="882"/>
      <c r="Q910" s="503"/>
      <c r="R910" s="883">
        <f>$A910*Q910</f>
        <v>0</v>
      </c>
      <c r="S910" s="503"/>
      <c r="T910" s="884">
        <f>$A910*S910*$T$1</f>
        <v>0</v>
      </c>
    </row>
    <row r="911" spans="1:41" s="504" customFormat="1" ht="12.6" thickBot="1">
      <c r="A911" s="885" t="s">
        <v>142</v>
      </c>
      <c r="B911" s="886">
        <f>(R910+T910)</f>
        <v>0</v>
      </c>
      <c r="C911" s="887"/>
      <c r="D911" s="887"/>
      <c r="E911" s="887"/>
      <c r="F911" s="888"/>
      <c r="G911" s="887" t="s">
        <v>143</v>
      </c>
      <c r="H911" s="887"/>
      <c r="I911" s="889"/>
      <c r="J911" s="887"/>
      <c r="K911" s="887" t="s">
        <v>3</v>
      </c>
      <c r="L911" s="890" t="s">
        <v>140</v>
      </c>
      <c r="M911" s="890"/>
      <c r="N911" s="890"/>
      <c r="O911" s="890"/>
      <c r="P911" s="890"/>
      <c r="Q911" s="891"/>
      <c r="R911" s="892">
        <f ca="1">SUM(R905:R910)</f>
        <v>49.2</v>
      </c>
      <c r="S911" s="887"/>
      <c r="T911" s="892">
        <f ca="1">SUM(T905:T910)</f>
        <v>3.05</v>
      </c>
      <c r="U911" s="514"/>
      <c r="V911" s="514"/>
      <c r="W911" s="514"/>
      <c r="X911" s="514"/>
      <c r="Y911" s="514"/>
      <c r="Z911" s="514"/>
      <c r="AA911" s="514"/>
      <c r="AB911" s="514"/>
      <c r="AC911" s="514"/>
      <c r="AD911" s="514"/>
      <c r="AE911" s="514"/>
      <c r="AF911" s="514"/>
      <c r="AG911" s="514"/>
      <c r="AH911" s="514"/>
      <c r="AI911" s="514"/>
      <c r="AJ911" s="514"/>
      <c r="AK911" s="514"/>
      <c r="AL911" s="514"/>
      <c r="AM911" s="514"/>
      <c r="AN911" s="514"/>
      <c r="AO911" s="514"/>
    </row>
    <row r="912" spans="1:41" s="504" customFormat="1" ht="12" thickTop="1">
      <c r="A912" s="47" t="s">
        <v>145</v>
      </c>
      <c r="D912" s="13"/>
      <c r="E912" s="41"/>
      <c r="O912" s="893"/>
    </row>
    <row r="913" spans="1:37" s="504" customFormat="1" ht="13.2">
      <c r="B913" s="3"/>
      <c r="O913" s="893"/>
    </row>
    <row r="914" spans="1:37" s="504" customFormat="1" ht="12">
      <c r="B914" s="894">
        <f ca="1">$F914/$C$2-($R914*$S$2+$T914*$T$2)</f>
        <v>0.14060205999999198</v>
      </c>
      <c r="D914" s="895" t="s">
        <v>817</v>
      </c>
      <c r="E914" s="896"/>
      <c r="F914" s="897">
        <f ca="1">SUMIF($L785:$L912,"ITEM",F785:F912)</f>
        <v>1750.32</v>
      </c>
      <c r="G914" s="882"/>
      <c r="H914" s="882"/>
      <c r="I914" s="503"/>
      <c r="J914" s="882"/>
      <c r="K914" s="882"/>
      <c r="L914" s="879" t="s">
        <v>154</v>
      </c>
      <c r="M914" s="879"/>
      <c r="N914" s="879"/>
      <c r="O914" s="879"/>
      <c r="P914" s="879"/>
      <c r="R914" s="897">
        <f ca="1">SUMIF($L785:$L912,"ITEM",R785:R912)</f>
        <v>434.96199999999993</v>
      </c>
      <c r="S914" s="898"/>
      <c r="T914" s="897">
        <f ca="1">SUMIF($L785:$L912,"ITEM",T785:T912)</f>
        <v>34.668999999999997</v>
      </c>
    </row>
    <row r="915" spans="1:37" s="504" customFormat="1" ht="13.2">
      <c r="A915" s="50"/>
      <c r="B915" s="48" t="s">
        <v>816</v>
      </c>
      <c r="C915" s="50"/>
      <c r="D915" s="3"/>
      <c r="F915" s="899" t="s">
        <v>155</v>
      </c>
      <c r="G915" s="882"/>
      <c r="H915" s="882"/>
      <c r="I915" s="503"/>
      <c r="J915" s="882"/>
      <c r="K915" s="882"/>
      <c r="L915" s="882"/>
      <c r="M915" s="882"/>
      <c r="N915" s="882"/>
      <c r="O915" s="882"/>
      <c r="P915" s="882"/>
      <c r="Q915" s="900"/>
      <c r="R915" s="899" t="s">
        <v>156</v>
      </c>
      <c r="S915" s="38"/>
      <c r="T915" s="899" t="s">
        <v>157</v>
      </c>
    </row>
    <row r="916" spans="1:37" s="504" customFormat="1" ht="13.2">
      <c r="A916" s="882"/>
      <c r="B916" s="3"/>
      <c r="C916" s="882"/>
      <c r="D916" s="3"/>
      <c r="E916" s="3"/>
      <c r="G916" s="3"/>
      <c r="H916" s="3"/>
      <c r="I916" s="3"/>
      <c r="J916" s="3"/>
      <c r="K916" s="3"/>
      <c r="L916" s="3"/>
      <c r="M916" s="3"/>
      <c r="N916" s="3"/>
      <c r="O916" s="103"/>
      <c r="P916" s="3"/>
      <c r="Q916" s="3"/>
      <c r="R916" s="3"/>
      <c r="S916" s="3"/>
      <c r="T916" s="3"/>
    </row>
    <row r="917" spans="1:37" s="504" customFormat="1" ht="12" thickBot="1">
      <c r="A917" s="514"/>
      <c r="B917" s="887"/>
      <c r="C917" s="887"/>
      <c r="D917" s="514"/>
      <c r="E917" s="39"/>
      <c r="F917" s="901"/>
      <c r="G917" s="887"/>
      <c r="H917" s="887"/>
      <c r="I917" s="889"/>
      <c r="J917" s="887"/>
      <c r="K917" s="887"/>
      <c r="L917" s="890"/>
      <c r="M917" s="890"/>
      <c r="N917" s="890"/>
      <c r="O917" s="890"/>
      <c r="P917" s="890"/>
      <c r="Q917" s="891"/>
      <c r="R917" s="901"/>
      <c r="S917" s="902"/>
      <c r="T917" s="901"/>
      <c r="U917" s="514"/>
      <c r="V917" s="514"/>
      <c r="W917" s="514"/>
      <c r="X917" s="514"/>
      <c r="Y917" s="514"/>
      <c r="Z917" s="514"/>
      <c r="AA917" s="514"/>
      <c r="AB917" s="514"/>
      <c r="AC917" s="514"/>
      <c r="AD917" s="514"/>
      <c r="AE917" s="514"/>
      <c r="AF917" s="514"/>
      <c r="AG917" s="514"/>
      <c r="AH917" s="514"/>
      <c r="AI917" s="514"/>
      <c r="AJ917" s="514"/>
      <c r="AK917" s="514"/>
    </row>
    <row r="918" spans="1:37" s="504" customFormat="1" thickTop="1">
      <c r="A918" s="50"/>
      <c r="B918" s="50"/>
      <c r="C918" s="3"/>
      <c r="D918" s="3"/>
      <c r="E918" s="50"/>
      <c r="F918" s="50"/>
      <c r="G918" s="50"/>
      <c r="H918" s="50"/>
      <c r="I918" s="50"/>
      <c r="J918" s="50"/>
      <c r="K918" s="50" t="s">
        <v>133</v>
      </c>
      <c r="L918" s="50"/>
      <c r="M918" s="50"/>
      <c r="N918" s="50"/>
      <c r="O918" s="51"/>
      <c r="P918" s="50"/>
      <c r="Q918" s="50"/>
      <c r="R918" s="50"/>
      <c r="S918" s="50"/>
      <c r="T918" s="50"/>
    </row>
    <row r="919" spans="1:37" s="504" customFormat="1" ht="12">
      <c r="A919" s="50"/>
      <c r="B919" s="50"/>
      <c r="C919" s="50" t="s">
        <v>134</v>
      </c>
      <c r="D919" s="37"/>
      <c r="E919" s="50"/>
      <c r="F919" s="50"/>
      <c r="G919" s="50"/>
      <c r="H919" s="50"/>
      <c r="I919" s="50"/>
      <c r="J919" s="50"/>
      <c r="K919" s="50"/>
      <c r="L919" s="50"/>
      <c r="M919" s="50"/>
      <c r="N919" s="50"/>
      <c r="O919" s="51"/>
      <c r="P919" s="50"/>
      <c r="Q919" s="50"/>
      <c r="R919" s="50"/>
      <c r="S919" s="50"/>
      <c r="T919" s="50"/>
    </row>
    <row r="920" spans="1:37" s="504" customFormat="1" ht="12">
      <c r="A920" s="50"/>
      <c r="B920" s="50"/>
      <c r="C920" s="50"/>
      <c r="D920" s="37" t="s">
        <v>375</v>
      </c>
      <c r="E920" s="50"/>
      <c r="F920" s="50"/>
      <c r="G920" s="50"/>
      <c r="H920" s="50"/>
      <c r="I920" s="50"/>
      <c r="J920" s="50"/>
      <c r="K920" s="50"/>
      <c r="L920" s="50"/>
      <c r="M920" s="50"/>
      <c r="N920" s="50"/>
      <c r="O920" s="51"/>
      <c r="P920" s="50"/>
      <c r="Q920" s="50"/>
      <c r="R920" s="50"/>
      <c r="S920" s="38"/>
      <c r="T920" s="38"/>
    </row>
    <row r="921" spans="1:37" s="3" customFormat="1" thickBot="1">
      <c r="A921" s="514"/>
      <c r="O921" s="103"/>
    </row>
    <row r="922" spans="1:37" s="504" customFormat="1" thickTop="1">
      <c r="A922" s="50"/>
      <c r="B922" s="50"/>
      <c r="C922" s="3"/>
      <c r="D922" s="3"/>
      <c r="E922" s="50"/>
      <c r="F922" s="50"/>
      <c r="G922" s="50"/>
      <c r="H922" s="50"/>
      <c r="I922" s="50"/>
      <c r="J922" s="50"/>
      <c r="K922" s="50" t="s">
        <v>133</v>
      </c>
      <c r="L922" s="50"/>
      <c r="M922" s="50"/>
      <c r="N922" s="50"/>
      <c r="O922" s="51"/>
      <c r="P922" s="50"/>
      <c r="Q922" s="50"/>
      <c r="R922" s="50"/>
      <c r="S922" s="50"/>
      <c r="T922" s="50"/>
    </row>
    <row r="923" spans="1:37" s="504" customFormat="1" ht="12">
      <c r="A923" s="50"/>
      <c r="B923" s="50"/>
      <c r="C923" s="50" t="s">
        <v>134</v>
      </c>
      <c r="D923" s="37"/>
      <c r="E923" s="50"/>
      <c r="F923" s="50"/>
      <c r="G923" s="50"/>
      <c r="H923" s="50"/>
      <c r="I923" s="50"/>
      <c r="J923" s="50"/>
      <c r="K923" s="50"/>
      <c r="L923" s="50"/>
      <c r="M923" s="50"/>
      <c r="N923" s="50"/>
      <c r="O923" s="51"/>
      <c r="P923" s="50"/>
      <c r="Q923" s="50"/>
      <c r="R923" s="50"/>
      <c r="S923" s="50"/>
      <c r="T923" s="50"/>
    </row>
    <row r="924" spans="1:37" s="504" customFormat="1" ht="12">
      <c r="A924" s="50"/>
      <c r="B924" s="50"/>
      <c r="C924" s="50"/>
      <c r="D924" s="37" t="s">
        <v>332</v>
      </c>
      <c r="E924" s="50"/>
      <c r="F924" s="50"/>
      <c r="G924" s="50"/>
      <c r="H924" s="50"/>
      <c r="I924" s="50"/>
      <c r="J924" s="50"/>
      <c r="K924" s="50"/>
      <c r="L924" s="50"/>
      <c r="M924" s="50"/>
      <c r="N924" s="50"/>
      <c r="O924" s="51"/>
      <c r="P924" s="50"/>
      <c r="Q924" s="50"/>
      <c r="R924" s="50"/>
      <c r="S924" s="38"/>
      <c r="T924" s="38"/>
    </row>
    <row r="925" spans="1:37" s="3" customFormat="1" thickBot="1">
      <c r="A925" s="514"/>
      <c r="O925" s="103"/>
    </row>
    <row r="926" spans="1:37" s="504" customFormat="1" thickTop="1">
      <c r="A926" s="50"/>
      <c r="B926" s="50"/>
      <c r="C926" s="3"/>
      <c r="D926" s="3"/>
      <c r="E926" s="50"/>
      <c r="F926" s="50"/>
      <c r="G926" s="50"/>
      <c r="H926" s="50"/>
      <c r="I926" s="50"/>
      <c r="J926" s="50"/>
      <c r="K926" s="50" t="s">
        <v>133</v>
      </c>
      <c r="L926" s="50"/>
      <c r="M926" s="50"/>
      <c r="N926" s="50"/>
      <c r="O926" s="51"/>
      <c r="P926" s="50"/>
      <c r="Q926" s="50"/>
      <c r="R926" s="50"/>
      <c r="S926" s="50"/>
      <c r="T926" s="50"/>
    </row>
    <row r="927" spans="1:37" s="504" customFormat="1" ht="12">
      <c r="A927" s="50"/>
      <c r="B927" s="50"/>
      <c r="C927" s="50" t="s">
        <v>134</v>
      </c>
      <c r="D927" s="37" t="s">
        <v>848</v>
      </c>
      <c r="E927" s="50"/>
      <c r="F927" s="50"/>
      <c r="G927" s="50"/>
      <c r="H927" s="50"/>
      <c r="I927" s="50"/>
      <c r="J927" s="50"/>
      <c r="K927" s="50"/>
      <c r="L927" s="50"/>
      <c r="M927" s="50"/>
      <c r="N927" s="50"/>
      <c r="O927" s="51"/>
      <c r="P927" s="50"/>
      <c r="Q927" s="50"/>
      <c r="R927" s="50"/>
      <c r="S927" s="50"/>
      <c r="T927" s="50"/>
    </row>
    <row r="928" spans="1:37" s="504" customFormat="1" ht="12">
      <c r="A928" s="50"/>
      <c r="B928" s="50"/>
      <c r="C928" s="50"/>
      <c r="D928" s="37" t="s">
        <v>839</v>
      </c>
      <c r="E928" s="50"/>
      <c r="F928" s="50"/>
      <c r="G928" s="50"/>
      <c r="H928" s="50"/>
      <c r="I928" s="50"/>
      <c r="J928" s="50"/>
      <c r="K928" s="50"/>
      <c r="L928" s="50"/>
      <c r="M928" s="50"/>
      <c r="N928" s="50"/>
      <c r="O928" s="51"/>
      <c r="P928" s="50"/>
      <c r="Q928" s="50"/>
      <c r="R928" s="50"/>
      <c r="S928" s="38"/>
      <c r="T928" s="38"/>
    </row>
    <row r="929" spans="1:41" s="3" customFormat="1" thickBot="1">
      <c r="A929" s="514"/>
      <c r="O929" s="103"/>
    </row>
    <row r="930" spans="1:41" s="504" customFormat="1" ht="12" thickTop="1">
      <c r="A930" s="50"/>
      <c r="B930" s="40"/>
      <c r="C930" s="50"/>
      <c r="E930" s="41" t="s">
        <v>136</v>
      </c>
      <c r="F930" s="41" t="s">
        <v>137</v>
      </c>
      <c r="G930" s="50"/>
      <c r="H930" s="50"/>
      <c r="I930" s="50"/>
      <c r="J930" s="50"/>
      <c r="K930" s="50" t="s">
        <v>138</v>
      </c>
      <c r="L930" s="50"/>
      <c r="M930" s="50"/>
      <c r="N930" s="50"/>
      <c r="O930" s="51"/>
      <c r="P930" s="50"/>
      <c r="Q930" s="50"/>
      <c r="R930" s="50"/>
      <c r="S930" s="50"/>
      <c r="T930" s="40"/>
      <c r="AG930" s="867" t="s">
        <v>241</v>
      </c>
      <c r="AH930" s="867" t="s">
        <v>242</v>
      </c>
      <c r="AI930" s="867" t="s">
        <v>243</v>
      </c>
      <c r="AJ930" s="867" t="s">
        <v>244</v>
      </c>
      <c r="AK930" s="867" t="s">
        <v>245</v>
      </c>
      <c r="AM930" s="868" t="s">
        <v>254</v>
      </c>
      <c r="AN930" s="869" t="s">
        <v>255</v>
      </c>
      <c r="AO930" s="505" t="s">
        <v>251</v>
      </c>
    </row>
    <row r="931" spans="1:41" s="504" customFormat="1" ht="12" customHeight="1">
      <c r="A931" s="870">
        <v>1</v>
      </c>
      <c r="B931" s="871" t="s">
        <v>335</v>
      </c>
      <c r="C931" s="872"/>
      <c r="D931" s="873" t="s">
        <v>804</v>
      </c>
      <c r="E931" s="874">
        <f ca="1">IF(AND($A931=0,$A$1="DIF"),0, ROUND(ROUND(($R936*$S$2+($T936*$T$2))/A931,2)*$C$2,2))</f>
        <v>86.78</v>
      </c>
      <c r="F931" s="875">
        <f ca="1">ROUND($A931*$E931,2)</f>
        <v>86.78</v>
      </c>
      <c r="G931" s="876" t="s">
        <v>139</v>
      </c>
      <c r="H931" s="877"/>
      <c r="I931" s="878"/>
      <c r="J931" s="877"/>
      <c r="K931" s="877" t="s">
        <v>3</v>
      </c>
      <c r="L931" s="879" t="s">
        <v>140</v>
      </c>
      <c r="M931" s="879"/>
      <c r="N931" s="879"/>
      <c r="O931" s="879"/>
      <c r="P931" s="879"/>
      <c r="Q931" s="50"/>
      <c r="T931" s="880" t="str">
        <f ca="1">IF(AND($R936=0,$T936=0),"0.00","mu :" &amp; ROUND($F931/$C$2/($R936+$T936*$D$9),2))</f>
        <v>mu :1.22</v>
      </c>
      <c r="W931" s="507"/>
      <c r="AG931" s="465">
        <f ca="1">IF($E931=0,0,ROUND($R936*$S$2*$C$2/$A931,2))</f>
        <v>17.66</v>
      </c>
      <c r="AH931" s="465">
        <f ca="1">$AG931*$A931</f>
        <v>17.66</v>
      </c>
      <c r="AI931" s="508">
        <f ca="1">$E931-$AG931</f>
        <v>69.12</v>
      </c>
      <c r="AJ931" s="508">
        <f ca="1">$A931*$AI931</f>
        <v>69.12</v>
      </c>
      <c r="AK931" s="509">
        <f ca="1">ROUND(($AG931+$AI931)*$A931,2)</f>
        <v>86.78</v>
      </c>
      <c r="AM931" s="510">
        <f ca="1">ROUND(R936,2)</f>
        <v>14.48</v>
      </c>
      <c r="AN931" s="511">
        <f ca="1">ROUND(T936,2)</f>
        <v>1.97</v>
      </c>
      <c r="AO931" s="512">
        <f ca="1">ROUND(AM931+AN931,2)*A931</f>
        <v>16.45</v>
      </c>
    </row>
    <row r="932" spans="1:41" s="504" customFormat="1" ht="13.2">
      <c r="A932" s="872"/>
      <c r="B932"/>
      <c r="C932" s="872"/>
      <c r="D932" s="873" t="s">
        <v>337</v>
      </c>
      <c r="F932" s="877"/>
      <c r="G932" s="3"/>
      <c r="H932" s="877"/>
      <c r="I932" s="878"/>
      <c r="J932" s="877"/>
      <c r="K932" s="877" t="s">
        <v>141</v>
      </c>
      <c r="L932" s="877"/>
      <c r="M932" s="877"/>
      <c r="N932" s="877"/>
      <c r="O932" s="877"/>
      <c r="P932" s="877"/>
      <c r="Q932" s="50"/>
      <c r="R932" s="513"/>
      <c r="S932" s="881"/>
      <c r="T932" s="877"/>
    </row>
    <row r="933" spans="1:41" s="997" customFormat="1" ht="13.2">
      <c r="A933"/>
      <c r="B933" s="1065"/>
      <c r="C933" s="1065" t="s">
        <v>1006</v>
      </c>
      <c r="D933" s="1065" t="str">
        <f ca="1">CELL("Address",Elec_Rates!D$200)</f>
        <v>[EL25_0662B_Brittania_Hotel_Elec_Revised_Estim_B.xlsx]Elec_Rates!$D$200</v>
      </c>
      <c r="E933" s="1066"/>
      <c r="F933" s="1066"/>
      <c r="G933" s="1067" t="s">
        <v>1007</v>
      </c>
      <c r="H933" s="1067"/>
      <c r="I933" s="1067"/>
      <c r="J933" s="1067"/>
      <c r="K933" s="1068"/>
      <c r="L933" s="1066"/>
      <c r="M933" s="1066"/>
      <c r="N933" s="1066"/>
      <c r="O933" s="1069"/>
      <c r="P933" s="1066"/>
      <c r="Q933" s="1070"/>
      <c r="R933" s="1071"/>
      <c r="S933" s="1070"/>
      <c r="T933" s="1072"/>
      <c r="U933" s="1073"/>
    </row>
    <row r="934" spans="1:41" s="997" customFormat="1" ht="11.4">
      <c r="A934" s="1074">
        <v>1</v>
      </c>
      <c r="B934" s="1075">
        <v>1.5</v>
      </c>
      <c r="C934" s="1075">
        <f>$A934*$B934</f>
        <v>1.5</v>
      </c>
      <c r="D934" s="1076" t="str">
        <f>Elec_Rates!$D$200</f>
        <v>019# Lighting point in LSZH Conduit</v>
      </c>
      <c r="E934" s="1076"/>
      <c r="F934" s="1076" t="s">
        <v>1171</v>
      </c>
      <c r="G934" s="1077" t="s">
        <v>1008</v>
      </c>
      <c r="H934" s="1077"/>
      <c r="I934" s="1077"/>
      <c r="J934" s="1077"/>
      <c r="K934" s="1078"/>
      <c r="L934" s="1073"/>
      <c r="M934" s="1073"/>
      <c r="N934" s="1073"/>
      <c r="O934" s="1079"/>
      <c r="P934" s="1076"/>
      <c r="Q934" s="1080">
        <f ca="1">$B934*Elec_Rates!$R$200</f>
        <v>14.475000000000001</v>
      </c>
      <c r="R934" s="1071">
        <f ca="1">$A934*Q934</f>
        <v>14.475000000000001</v>
      </c>
      <c r="S934" s="1080">
        <f ca="1">$B934*Elec_Rates!$T$200</f>
        <v>1.9650000000000001</v>
      </c>
      <c r="T934" s="1072">
        <f ca="1">$A934*S934</f>
        <v>1.9650000000000001</v>
      </c>
      <c r="U934" s="1081"/>
    </row>
    <row r="935" spans="1:41" s="504" customFormat="1" ht="12">
      <c r="A935" s="882"/>
      <c r="B935" s="882"/>
      <c r="C935" s="882"/>
      <c r="D935" s="882"/>
      <c r="E935" s="882"/>
      <c r="F935" s="877"/>
      <c r="G935" s="882"/>
      <c r="H935" s="882"/>
      <c r="I935" s="503"/>
      <c r="J935" s="882"/>
      <c r="K935" s="882"/>
      <c r="L935" s="882"/>
      <c r="M935" s="882"/>
      <c r="N935" s="882"/>
      <c r="O935" s="882"/>
      <c r="P935" s="882"/>
      <c r="Q935" s="503"/>
      <c r="R935" s="883">
        <f>$A935*Q935</f>
        <v>0</v>
      </c>
      <c r="S935" s="503"/>
      <c r="T935" s="884">
        <f>$A935*S935*$T$1</f>
        <v>0</v>
      </c>
    </row>
    <row r="936" spans="1:41" s="504" customFormat="1" ht="12.6" thickBot="1">
      <c r="A936" s="885" t="s">
        <v>142</v>
      </c>
      <c r="B936" s="886">
        <f>(R935+T935)</f>
        <v>0</v>
      </c>
      <c r="C936" s="887"/>
      <c r="D936" s="887"/>
      <c r="E936" s="887"/>
      <c r="F936" s="888"/>
      <c r="G936" s="887" t="s">
        <v>143</v>
      </c>
      <c r="H936" s="887"/>
      <c r="I936" s="889"/>
      <c r="J936" s="887"/>
      <c r="K936" s="887" t="s">
        <v>3</v>
      </c>
      <c r="L936" s="890" t="s">
        <v>140</v>
      </c>
      <c r="M936" s="890"/>
      <c r="N936" s="890"/>
      <c r="O936" s="890"/>
      <c r="P936" s="890"/>
      <c r="Q936" s="891"/>
      <c r="R936" s="892">
        <f ca="1">SUM(R932:R935)</f>
        <v>14.475000000000001</v>
      </c>
      <c r="S936" s="887"/>
      <c r="T936" s="892">
        <f ca="1">SUM(T932:T935)</f>
        <v>1.9650000000000001</v>
      </c>
      <c r="U936" s="514"/>
      <c r="V936" s="514"/>
      <c r="W936" s="514"/>
      <c r="X936" s="514"/>
      <c r="Y936" s="514"/>
      <c r="Z936" s="514"/>
      <c r="AA936" s="514"/>
      <c r="AB936" s="514"/>
      <c r="AC936" s="514"/>
      <c r="AD936" s="514"/>
      <c r="AE936" s="514"/>
      <c r="AF936" s="514"/>
      <c r="AG936" s="514"/>
      <c r="AH936" s="514"/>
      <c r="AI936" s="514"/>
      <c r="AJ936" s="514"/>
      <c r="AK936" s="514"/>
      <c r="AL936" s="514"/>
      <c r="AM936" s="514"/>
      <c r="AN936" s="514"/>
      <c r="AO936" s="514"/>
    </row>
    <row r="937" spans="1:41" s="504" customFormat="1" ht="12" thickTop="1">
      <c r="A937" s="50"/>
      <c r="B937" s="40"/>
      <c r="C937" s="50"/>
      <c r="E937" s="41" t="s">
        <v>136</v>
      </c>
      <c r="F937" s="41" t="s">
        <v>137</v>
      </c>
      <c r="G937" s="50"/>
      <c r="H937" s="50"/>
      <c r="I937" s="50"/>
      <c r="J937" s="50"/>
      <c r="K937" s="50" t="s">
        <v>138</v>
      </c>
      <c r="L937" s="50"/>
      <c r="M937" s="50"/>
      <c r="N937" s="50"/>
      <c r="O937" s="51"/>
      <c r="P937" s="50"/>
      <c r="Q937" s="50"/>
      <c r="R937" s="50"/>
      <c r="S937" s="50"/>
      <c r="T937" s="40"/>
      <c r="AG937" s="867" t="s">
        <v>241</v>
      </c>
      <c r="AH937" s="867" t="s">
        <v>242</v>
      </c>
      <c r="AI937" s="867" t="s">
        <v>243</v>
      </c>
      <c r="AJ937" s="867" t="s">
        <v>244</v>
      </c>
      <c r="AK937" s="867" t="s">
        <v>245</v>
      </c>
      <c r="AM937" s="868" t="s">
        <v>254</v>
      </c>
      <c r="AN937" s="869" t="s">
        <v>255</v>
      </c>
      <c r="AO937" s="505" t="s">
        <v>251</v>
      </c>
    </row>
    <row r="938" spans="1:41" s="504" customFormat="1" ht="12" customHeight="1">
      <c r="A938" s="870">
        <v>1</v>
      </c>
      <c r="B938" s="871" t="s">
        <v>335</v>
      </c>
      <c r="C938" s="872"/>
      <c r="D938" s="873" t="s">
        <v>806</v>
      </c>
      <c r="E938" s="874">
        <f ca="1">IF(AND($A938=0,$A$1="DIF"),0, ROUND(ROUND(($R943*$S$2+($T943*$T$2))/A938,2)*$C$2,2))</f>
        <v>115.71</v>
      </c>
      <c r="F938" s="875">
        <f ca="1">ROUND($A938*$E938,2)</f>
        <v>115.71</v>
      </c>
      <c r="G938" s="876" t="s">
        <v>139</v>
      </c>
      <c r="H938" s="877"/>
      <c r="I938" s="878"/>
      <c r="J938" s="877"/>
      <c r="K938" s="877" t="s">
        <v>3</v>
      </c>
      <c r="L938" s="879" t="s">
        <v>140</v>
      </c>
      <c r="M938" s="879"/>
      <c r="N938" s="879"/>
      <c r="O938" s="879"/>
      <c r="P938" s="879"/>
      <c r="Q938" s="50"/>
      <c r="T938" s="880" t="str">
        <f ca="1">IF(AND($R943=0,$T943=0),"0.00","mu :" &amp; ROUND($F938/$C$2/($R943+$T943*$D$9),2))</f>
        <v>mu :1.22</v>
      </c>
      <c r="W938" s="507"/>
      <c r="AG938" s="465">
        <f ca="1">IF($E938=0,0,ROUND($R943*$S$2*$C$2/$A938,2))</f>
        <v>23.55</v>
      </c>
      <c r="AH938" s="465">
        <f ca="1">$AG938*$A938</f>
        <v>23.55</v>
      </c>
      <c r="AI938" s="508">
        <f ca="1">$E938-$AG938</f>
        <v>92.16</v>
      </c>
      <c r="AJ938" s="508">
        <f ca="1">$A938*$AI938</f>
        <v>92.16</v>
      </c>
      <c r="AK938" s="509">
        <f ca="1">ROUND(($AG938+$AI938)*$A938,2)</f>
        <v>115.71</v>
      </c>
      <c r="AM938" s="510">
        <f ca="1">ROUND(R943,2)</f>
        <v>19.3</v>
      </c>
      <c r="AN938" s="511">
        <f ca="1">ROUND(T943,2)</f>
        <v>2.62</v>
      </c>
      <c r="AO938" s="512">
        <f ca="1">ROUND(AM938+AN938,2)*A938</f>
        <v>21.92</v>
      </c>
    </row>
    <row r="939" spans="1:41" s="504" customFormat="1" ht="13.2">
      <c r="A939" s="872"/>
      <c r="B939"/>
      <c r="C939" s="872"/>
      <c r="D939" s="873" t="s">
        <v>338</v>
      </c>
      <c r="F939" s="877"/>
      <c r="G939" s="3"/>
      <c r="H939" s="877"/>
      <c r="I939" s="878"/>
      <c r="J939" s="877"/>
      <c r="K939" s="877" t="s">
        <v>141</v>
      </c>
      <c r="L939" s="877"/>
      <c r="M939" s="877"/>
      <c r="N939" s="877"/>
      <c r="O939" s="877"/>
      <c r="P939" s="877"/>
      <c r="Q939" s="50"/>
      <c r="R939" s="513"/>
      <c r="S939" s="881"/>
      <c r="T939" s="877"/>
    </row>
    <row r="940" spans="1:41" s="997" customFormat="1" ht="13.2">
      <c r="A940"/>
      <c r="B940" s="1065"/>
      <c r="C940" s="1065" t="s">
        <v>1006</v>
      </c>
      <c r="D940" s="1065" t="str">
        <f ca="1">CELL("Address",Elec_Rates!D$200)</f>
        <v>[EL25_0662B_Brittania_Hotel_Elec_Revised_Estim_B.xlsx]Elec_Rates!$D$200</v>
      </c>
      <c r="E940" s="1066"/>
      <c r="F940" s="1066"/>
      <c r="G940" s="1067" t="s">
        <v>1007</v>
      </c>
      <c r="H940" s="1067"/>
      <c r="I940" s="1067"/>
      <c r="J940" s="1067"/>
      <c r="K940" s="1068"/>
      <c r="L940" s="1066"/>
      <c r="M940" s="1066"/>
      <c r="N940" s="1066"/>
      <c r="O940" s="1069"/>
      <c r="P940" s="1066"/>
      <c r="Q940" s="1070"/>
      <c r="R940" s="1071"/>
      <c r="S940" s="1070"/>
      <c r="T940" s="1072"/>
      <c r="U940" s="1073"/>
    </row>
    <row r="941" spans="1:41" s="997" customFormat="1" ht="11.4">
      <c r="A941" s="1074">
        <v>1</v>
      </c>
      <c r="B941" s="1075">
        <v>2</v>
      </c>
      <c r="C941" s="1075">
        <f>$A941*$B941</f>
        <v>2</v>
      </c>
      <c r="D941" s="1076" t="str">
        <f>Elec_Rates!$D$200</f>
        <v>019# Lighting point in LSZH Conduit</v>
      </c>
      <c r="E941" s="1076"/>
      <c r="F941" s="1076" t="s">
        <v>1172</v>
      </c>
      <c r="G941" s="1077" t="s">
        <v>1008</v>
      </c>
      <c r="H941" s="1077"/>
      <c r="I941" s="1077"/>
      <c r="J941" s="1077"/>
      <c r="K941" s="1078"/>
      <c r="L941" s="1073"/>
      <c r="M941" s="1073"/>
      <c r="N941" s="1073"/>
      <c r="O941" s="1079"/>
      <c r="P941" s="1076"/>
      <c r="Q941" s="1080">
        <f ca="1">$B941*Elec_Rates!$R$200</f>
        <v>19.3</v>
      </c>
      <c r="R941" s="1071">
        <f ca="1">$A941*Q941</f>
        <v>19.3</v>
      </c>
      <c r="S941" s="1080">
        <f ca="1">$B941*Elec_Rates!$T$200</f>
        <v>2.62</v>
      </c>
      <c r="T941" s="1072">
        <f ca="1">$A941*S941</f>
        <v>2.62</v>
      </c>
      <c r="U941" s="1081"/>
    </row>
    <row r="942" spans="1:41" s="504" customFormat="1" ht="12">
      <c r="A942" s="882"/>
      <c r="B942" s="882"/>
      <c r="C942" s="882"/>
      <c r="D942" s="882"/>
      <c r="E942" s="882"/>
      <c r="F942" s="877"/>
      <c r="G942" s="882"/>
      <c r="H942" s="882"/>
      <c r="I942" s="503"/>
      <c r="J942" s="882"/>
      <c r="K942" s="882"/>
      <c r="L942" s="882"/>
      <c r="M942" s="882"/>
      <c r="N942" s="882"/>
      <c r="O942" s="882"/>
      <c r="P942" s="882"/>
      <c r="Q942" s="503"/>
      <c r="R942" s="883">
        <f>$A942*Q942</f>
        <v>0</v>
      </c>
      <c r="S942" s="503"/>
      <c r="T942" s="884">
        <f>$A942*S942*$T$1</f>
        <v>0</v>
      </c>
    </row>
    <row r="943" spans="1:41" s="504" customFormat="1" ht="12.6" thickBot="1">
      <c r="A943" s="885" t="s">
        <v>142</v>
      </c>
      <c r="B943" s="886">
        <f>(R942+T942)</f>
        <v>0</v>
      </c>
      <c r="C943" s="887"/>
      <c r="D943" s="887"/>
      <c r="E943" s="887"/>
      <c r="F943" s="888"/>
      <c r="G943" s="887" t="s">
        <v>143</v>
      </c>
      <c r="H943" s="887"/>
      <c r="I943" s="889"/>
      <c r="J943" s="887"/>
      <c r="K943" s="887" t="s">
        <v>3</v>
      </c>
      <c r="L943" s="890" t="s">
        <v>140</v>
      </c>
      <c r="M943" s="890"/>
      <c r="N943" s="890"/>
      <c r="O943" s="890"/>
      <c r="P943" s="890"/>
      <c r="Q943" s="891"/>
      <c r="R943" s="892">
        <f ca="1">SUM(R939:R942)</f>
        <v>19.3</v>
      </c>
      <c r="S943" s="887"/>
      <c r="T943" s="892">
        <f ca="1">SUM(T939:T942)</f>
        <v>2.62</v>
      </c>
      <c r="U943" s="514"/>
      <c r="V943" s="514"/>
      <c r="W943" s="514"/>
      <c r="X943" s="514"/>
      <c r="Y943" s="514"/>
      <c r="Z943" s="514"/>
      <c r="AA943" s="514"/>
      <c r="AB943" s="514"/>
      <c r="AC943" s="514"/>
      <c r="AD943" s="514"/>
      <c r="AE943" s="514"/>
      <c r="AF943" s="514"/>
      <c r="AG943" s="514"/>
      <c r="AH943" s="514"/>
      <c r="AI943" s="514"/>
      <c r="AJ943" s="514"/>
      <c r="AK943" s="514"/>
      <c r="AL943" s="514"/>
      <c r="AM943" s="514"/>
      <c r="AN943" s="514"/>
      <c r="AO943" s="514"/>
    </row>
    <row r="944" spans="1:41" s="504" customFormat="1" ht="12" thickTop="1">
      <c r="A944" s="50"/>
      <c r="B944" s="40"/>
      <c r="C944" s="50"/>
      <c r="E944" s="41" t="s">
        <v>136</v>
      </c>
      <c r="F944" s="41" t="s">
        <v>137</v>
      </c>
      <c r="G944" s="50"/>
      <c r="H944" s="50"/>
      <c r="I944" s="50"/>
      <c r="J944" s="50"/>
      <c r="K944" s="50" t="s">
        <v>138</v>
      </c>
      <c r="L944" s="50"/>
      <c r="M944" s="50"/>
      <c r="N944" s="50"/>
      <c r="O944" s="51"/>
      <c r="P944" s="50"/>
      <c r="Q944" s="50"/>
      <c r="R944" s="50"/>
      <c r="S944" s="50"/>
      <c r="T944" s="40"/>
      <c r="AG944" s="867" t="s">
        <v>241</v>
      </c>
      <c r="AH944" s="867" t="s">
        <v>242</v>
      </c>
      <c r="AI944" s="867" t="s">
        <v>243</v>
      </c>
      <c r="AJ944" s="867" t="s">
        <v>244</v>
      </c>
      <c r="AK944" s="867" t="s">
        <v>245</v>
      </c>
      <c r="AM944" s="868" t="s">
        <v>254</v>
      </c>
      <c r="AN944" s="869" t="s">
        <v>255</v>
      </c>
      <c r="AO944" s="505" t="s">
        <v>251</v>
      </c>
    </row>
    <row r="945" spans="1:41" s="504" customFormat="1" ht="12" customHeight="1">
      <c r="A945" s="870">
        <v>11</v>
      </c>
      <c r="B945" s="871" t="s">
        <v>335</v>
      </c>
      <c r="C945" s="872"/>
      <c r="D945" s="873" t="s">
        <v>808</v>
      </c>
      <c r="E945" s="874">
        <f ca="1">IF(AND($A945=0,$A$1="DIF"),0, ROUND(ROUND(($R950*$S$2+($T950*$T$2))/A945,2)*$C$2,2))</f>
        <v>57.85</v>
      </c>
      <c r="F945" s="875">
        <f ca="1">ROUND($A945*$E945,2)</f>
        <v>636.35</v>
      </c>
      <c r="G945" s="876" t="s">
        <v>139</v>
      </c>
      <c r="H945" s="877"/>
      <c r="I945" s="878"/>
      <c r="J945" s="877"/>
      <c r="K945" s="877" t="s">
        <v>3</v>
      </c>
      <c r="L945" s="879" t="s">
        <v>140</v>
      </c>
      <c r="M945" s="879"/>
      <c r="N945" s="879"/>
      <c r="O945" s="879"/>
      <c r="P945" s="879"/>
      <c r="Q945" s="50"/>
      <c r="T945" s="880" t="str">
        <f ca="1">IF(AND($R950=0,$T950=0),"0.00","mu :" &amp; ROUND($F945/$C$2/($R950+$T950*$D$9),2))</f>
        <v>mu :1.22</v>
      </c>
      <c r="W945" s="507"/>
      <c r="AG945" s="465">
        <f ca="1">IF($E945=0,0,ROUND($R950*$S$2*$C$2/$A945,2))</f>
        <v>11.77</v>
      </c>
      <c r="AH945" s="465">
        <f ca="1">$AG945*$A945</f>
        <v>129.47</v>
      </c>
      <c r="AI945" s="508">
        <f ca="1">$E945-$AG945</f>
        <v>46.08</v>
      </c>
      <c r="AJ945" s="508">
        <f ca="1">$A945*$AI945</f>
        <v>506.88</v>
      </c>
      <c r="AK945" s="509">
        <f ca="1">ROUND(($AG945+$AI945)*$A945,2)</f>
        <v>636.35</v>
      </c>
      <c r="AM945" s="510">
        <f ca="1">ROUND(R950,2)</f>
        <v>106.15</v>
      </c>
      <c r="AN945" s="511">
        <f ca="1">ROUND(T950,2)</f>
        <v>14.41</v>
      </c>
      <c r="AO945" s="512">
        <f ca="1">ROUND(AM945+AN945,2)*A945</f>
        <v>1326.16</v>
      </c>
    </row>
    <row r="946" spans="1:41" s="504" customFormat="1" ht="13.2">
      <c r="A946" s="872"/>
      <c r="B946"/>
      <c r="C946" s="872"/>
      <c r="D946" s="873" t="s">
        <v>344</v>
      </c>
      <c r="F946" s="877"/>
      <c r="G946" s="3"/>
      <c r="H946" s="877"/>
      <c r="I946" s="878"/>
      <c r="J946" s="877"/>
      <c r="K946" s="877" t="s">
        <v>141</v>
      </c>
      <c r="L946" s="877"/>
      <c r="M946" s="877"/>
      <c r="N946" s="877"/>
      <c r="O946" s="877"/>
      <c r="P946" s="877"/>
      <c r="Q946" s="50"/>
      <c r="R946" s="513"/>
      <c r="S946" s="881"/>
      <c r="T946" s="877"/>
    </row>
    <row r="947" spans="1:41" s="997" customFormat="1" ht="13.2">
      <c r="A947"/>
      <c r="B947" s="1065"/>
      <c r="C947" s="1065" t="s">
        <v>1006</v>
      </c>
      <c r="D947" s="1065" t="str">
        <f ca="1">CELL("Address",Elec_Rates!D$200)</f>
        <v>[EL25_0662B_Brittania_Hotel_Elec_Revised_Estim_B.xlsx]Elec_Rates!$D$200</v>
      </c>
      <c r="E947" s="1066"/>
      <c r="F947" s="1066"/>
      <c r="G947" s="1067" t="s">
        <v>1007</v>
      </c>
      <c r="H947" s="1067"/>
      <c r="I947" s="1067"/>
      <c r="J947" s="1067"/>
      <c r="K947" s="1068"/>
      <c r="L947" s="1066"/>
      <c r="M947" s="1066"/>
      <c r="N947" s="1066"/>
      <c r="O947" s="1069"/>
      <c r="P947" s="1066"/>
      <c r="Q947" s="1070"/>
      <c r="R947" s="1071"/>
      <c r="S947" s="1070"/>
      <c r="T947" s="1072"/>
      <c r="U947" s="1073"/>
    </row>
    <row r="948" spans="1:41" s="997" customFormat="1" ht="11.4">
      <c r="A948" s="1074">
        <v>11</v>
      </c>
      <c r="B948" s="1075">
        <v>1</v>
      </c>
      <c r="C948" s="1075">
        <f>$A948*$B948</f>
        <v>11</v>
      </c>
      <c r="D948" s="1076" t="str">
        <f>Elec_Rates!$D$200</f>
        <v>019# Lighting point in LSZH Conduit</v>
      </c>
      <c r="E948" s="1076"/>
      <c r="F948" s="1076" t="s">
        <v>1179</v>
      </c>
      <c r="G948" s="1077" t="s">
        <v>1008</v>
      </c>
      <c r="H948" s="1077"/>
      <c r="I948" s="1077"/>
      <c r="J948" s="1077"/>
      <c r="K948" s="1078"/>
      <c r="L948" s="1073"/>
      <c r="M948" s="1073"/>
      <c r="N948" s="1073"/>
      <c r="O948" s="1079"/>
      <c r="P948" s="1076"/>
      <c r="Q948" s="1080">
        <f ca="1">$B948*Elec_Rates!$R$200</f>
        <v>9.65</v>
      </c>
      <c r="R948" s="1071">
        <f ca="1">$A948*Q948</f>
        <v>106.15</v>
      </c>
      <c r="S948" s="1080">
        <f ca="1">$B948*Elec_Rates!$T$200</f>
        <v>1.31</v>
      </c>
      <c r="T948" s="1072">
        <f ca="1">$A948*S948</f>
        <v>14.41</v>
      </c>
      <c r="U948" s="1081"/>
    </row>
    <row r="949" spans="1:41" s="504" customFormat="1" ht="12">
      <c r="A949" s="882"/>
      <c r="B949" s="882"/>
      <c r="C949" s="882"/>
      <c r="D949" s="882"/>
      <c r="E949" s="882"/>
      <c r="F949" s="877"/>
      <c r="G949" s="882"/>
      <c r="H949" s="882"/>
      <c r="I949" s="503"/>
      <c r="J949" s="882"/>
      <c r="K949" s="882"/>
      <c r="L949" s="882"/>
      <c r="M949" s="882"/>
      <c r="N949" s="882"/>
      <c r="O949" s="882"/>
      <c r="P949" s="882"/>
      <c r="Q949" s="503"/>
      <c r="R949" s="883">
        <f>$A949*Q949</f>
        <v>0</v>
      </c>
      <c r="S949" s="503"/>
      <c r="T949" s="884">
        <f>$A949*S949*$T$1</f>
        <v>0</v>
      </c>
    </row>
    <row r="950" spans="1:41" s="504" customFormat="1" ht="12.6" thickBot="1">
      <c r="A950" s="885" t="s">
        <v>142</v>
      </c>
      <c r="B950" s="886">
        <f>(R949+T949)</f>
        <v>0</v>
      </c>
      <c r="C950" s="887"/>
      <c r="D950" s="887"/>
      <c r="E950" s="887"/>
      <c r="F950" s="888"/>
      <c r="G950" s="887" t="s">
        <v>143</v>
      </c>
      <c r="H950" s="887"/>
      <c r="I950" s="889"/>
      <c r="J950" s="887"/>
      <c r="K950" s="887" t="s">
        <v>3</v>
      </c>
      <c r="L950" s="890" t="s">
        <v>140</v>
      </c>
      <c r="M950" s="890"/>
      <c r="N950" s="890"/>
      <c r="O950" s="890"/>
      <c r="P950" s="890"/>
      <c r="Q950" s="891"/>
      <c r="R950" s="892">
        <f ca="1">SUM(R946:R949)</f>
        <v>106.15</v>
      </c>
      <c r="S950" s="887"/>
      <c r="T950" s="892">
        <f ca="1">SUM(T946:T949)</f>
        <v>14.41</v>
      </c>
      <c r="U950" s="514"/>
      <c r="V950" s="514"/>
      <c r="W950" s="514"/>
      <c r="X950" s="514"/>
      <c r="Y950" s="514"/>
      <c r="Z950" s="514"/>
      <c r="AA950" s="514"/>
      <c r="AB950" s="514"/>
      <c r="AC950" s="514"/>
      <c r="AD950" s="514"/>
      <c r="AE950" s="514"/>
      <c r="AF950" s="514"/>
      <c r="AG950" s="514"/>
      <c r="AH950" s="514"/>
      <c r="AI950" s="514"/>
      <c r="AJ950" s="514"/>
      <c r="AK950" s="514"/>
      <c r="AL950" s="514"/>
      <c r="AM950" s="514"/>
      <c r="AN950" s="514"/>
      <c r="AO950" s="514"/>
    </row>
    <row r="951" spans="1:41" s="504" customFormat="1" thickTop="1">
      <c r="A951" s="50"/>
      <c r="B951" s="50"/>
      <c r="C951" s="3"/>
      <c r="D951" s="3"/>
      <c r="E951" s="50"/>
      <c r="F951" s="50"/>
      <c r="G951" s="50"/>
      <c r="H951" s="50"/>
      <c r="I951" s="50"/>
      <c r="J951" s="50"/>
      <c r="K951" s="50" t="s">
        <v>133</v>
      </c>
      <c r="L951" s="50"/>
      <c r="M951" s="50"/>
      <c r="N951" s="50"/>
      <c r="O951" s="51"/>
      <c r="P951" s="50"/>
      <c r="Q951" s="50"/>
      <c r="R951" s="50"/>
      <c r="S951" s="50"/>
      <c r="T951" s="50"/>
    </row>
    <row r="952" spans="1:41" s="504" customFormat="1" ht="12">
      <c r="A952" s="50"/>
      <c r="B952" s="50"/>
      <c r="C952" s="50" t="s">
        <v>134</v>
      </c>
      <c r="D952" s="37" t="s">
        <v>849</v>
      </c>
      <c r="E952" s="50"/>
      <c r="F952" s="50"/>
      <c r="G952" s="50"/>
      <c r="H952" s="50"/>
      <c r="I952" s="50"/>
      <c r="J952" s="50"/>
      <c r="K952" s="50"/>
      <c r="L952" s="50"/>
      <c r="M952" s="50"/>
      <c r="N952" s="50"/>
      <c r="O952" s="51"/>
      <c r="P952" s="50"/>
      <c r="Q952" s="50"/>
      <c r="R952" s="50"/>
      <c r="S952" s="50"/>
      <c r="T952" s="50"/>
    </row>
    <row r="953" spans="1:41" s="504" customFormat="1" ht="12">
      <c r="A953" s="50"/>
      <c r="B953" s="50"/>
      <c r="C953" s="50"/>
      <c r="D953" s="37" t="s">
        <v>850</v>
      </c>
      <c r="E953" s="50"/>
      <c r="F953" s="50"/>
      <c r="G953" s="50"/>
      <c r="H953" s="50"/>
      <c r="I953" s="50"/>
      <c r="J953" s="50"/>
      <c r="K953" s="50"/>
      <c r="L953" s="50"/>
      <c r="M953" s="50"/>
      <c r="N953" s="50"/>
      <c r="O953" s="51"/>
      <c r="P953" s="50"/>
      <c r="Q953" s="50"/>
      <c r="R953" s="50"/>
      <c r="S953" s="38"/>
      <c r="T953" s="38"/>
    </row>
    <row r="954" spans="1:41" s="3" customFormat="1" thickBot="1">
      <c r="A954" s="514"/>
      <c r="O954" s="103"/>
    </row>
    <row r="955" spans="1:41" s="504" customFormat="1" ht="12" thickTop="1">
      <c r="A955" s="50"/>
      <c r="B955" s="40"/>
      <c r="C955" s="50"/>
      <c r="E955" s="41" t="s">
        <v>136</v>
      </c>
      <c r="F955" s="41" t="s">
        <v>137</v>
      </c>
      <c r="G955" s="50"/>
      <c r="H955" s="50"/>
      <c r="I955" s="50"/>
      <c r="J955" s="50"/>
      <c r="K955" s="50" t="s">
        <v>138</v>
      </c>
      <c r="L955" s="50"/>
      <c r="M955" s="50"/>
      <c r="N955" s="50"/>
      <c r="O955" s="51"/>
      <c r="P955" s="50"/>
      <c r="Q955" s="50"/>
      <c r="R955" s="50"/>
      <c r="S955" s="50"/>
      <c r="T955" s="40"/>
      <c r="AG955" s="867" t="s">
        <v>241</v>
      </c>
      <c r="AH955" s="867" t="s">
        <v>242</v>
      </c>
      <c r="AI955" s="867" t="s">
        <v>243</v>
      </c>
      <c r="AJ955" s="867" t="s">
        <v>244</v>
      </c>
      <c r="AK955" s="867" t="s">
        <v>245</v>
      </c>
      <c r="AM955" s="868" t="s">
        <v>254</v>
      </c>
      <c r="AN955" s="869" t="s">
        <v>255</v>
      </c>
      <c r="AO955" s="505" t="s">
        <v>251</v>
      </c>
    </row>
    <row r="956" spans="1:41" s="504" customFormat="1" ht="12" customHeight="1">
      <c r="A956" s="870">
        <v>72</v>
      </c>
      <c r="B956" s="871" t="s">
        <v>335</v>
      </c>
      <c r="C956" s="872"/>
      <c r="D956" s="873" t="s">
        <v>804</v>
      </c>
      <c r="E956" s="874">
        <f ca="1">IF(AND($A956=0,$A$1="DIF"),0, ROUND(ROUND(($R963*$S$2+($T963*$T$2))/A956,2)*$C$2,2))</f>
        <v>67.06</v>
      </c>
      <c r="F956" s="875">
        <f ca="1">ROUND($A956*$E956,2)</f>
        <v>4828.32</v>
      </c>
      <c r="G956" s="876" t="s">
        <v>139</v>
      </c>
      <c r="H956" s="877"/>
      <c r="I956" s="878"/>
      <c r="J956" s="877"/>
      <c r="K956" s="877" t="s">
        <v>3</v>
      </c>
      <c r="L956" s="879" t="s">
        <v>140</v>
      </c>
      <c r="M956" s="879"/>
      <c r="N956" s="879"/>
      <c r="O956" s="879"/>
      <c r="P956" s="879"/>
      <c r="Q956" s="50"/>
      <c r="T956" s="880" t="str">
        <f ca="1">IF(AND($R963=0,$T963=0),"0.00","mu :" &amp; ROUND($F956/$C$2/($R963+$T963*$D$9),2))</f>
        <v>mu :1.22</v>
      </c>
      <c r="W956" s="507"/>
      <c r="AG956" s="465">
        <f ca="1">IF($E956=0,0,ROUND($R963*$S$2*$C$2/$A956,2))</f>
        <v>14.3</v>
      </c>
      <c r="AH956" s="465">
        <f ca="1">$AG956*$A956</f>
        <v>1029.6000000000001</v>
      </c>
      <c r="AI956" s="508">
        <f ca="1">$E956-$AG956</f>
        <v>52.760000000000005</v>
      </c>
      <c r="AJ956" s="508">
        <f ca="1">$A956*$AI956</f>
        <v>3798.7200000000003</v>
      </c>
      <c r="AK956" s="509">
        <f ca="1">ROUND(($AG956+$AI956)*$A956,2)</f>
        <v>4828.32</v>
      </c>
      <c r="AM956" s="510">
        <f ca="1">ROUND(R963,2)</f>
        <v>843.84</v>
      </c>
      <c r="AN956" s="511">
        <f ca="1">ROUND(T963,2)</f>
        <v>108</v>
      </c>
      <c r="AO956" s="512">
        <f ca="1">ROUND(AM956+AN956,2)*A956</f>
        <v>68532.479999999996</v>
      </c>
    </row>
    <row r="957" spans="1:41" s="504" customFormat="1" ht="13.2">
      <c r="A957" s="872"/>
      <c r="B957"/>
      <c r="C957" s="872"/>
      <c r="D957" s="873" t="s">
        <v>377</v>
      </c>
      <c r="F957" s="877"/>
      <c r="G957" s="3"/>
      <c r="H957" s="877"/>
      <c r="I957" s="878"/>
      <c r="J957" s="877"/>
      <c r="K957" s="877" t="s">
        <v>141</v>
      </c>
      <c r="L957" s="877"/>
      <c r="M957" s="877"/>
      <c r="N957" s="877"/>
      <c r="O957" s="877"/>
      <c r="P957" s="877"/>
      <c r="Q957" s="50"/>
      <c r="R957" s="513"/>
      <c r="S957" s="881"/>
      <c r="T957" s="877"/>
    </row>
    <row r="958" spans="1:41" s="997" customFormat="1" ht="13.2">
      <c r="A958"/>
      <c r="B958" s="1065"/>
      <c r="C958" s="1065" t="s">
        <v>1006</v>
      </c>
      <c r="D958" s="1065" t="str">
        <f ca="1">CELL("Address",Elec_Rates!D$200)</f>
        <v>[EL25_0662B_Brittania_Hotel_Elec_Revised_Estim_B.xlsx]Elec_Rates!$D$200</v>
      </c>
      <c r="E958" s="1066"/>
      <c r="F958" s="1066"/>
      <c r="G958" s="1067" t="s">
        <v>1007</v>
      </c>
      <c r="H958" s="1067"/>
      <c r="I958" s="1067"/>
      <c r="J958" s="1067"/>
      <c r="K958" s="1068"/>
      <c r="L958" s="1066"/>
      <c r="M958" s="1066"/>
      <c r="N958" s="1066"/>
      <c r="O958" s="1069"/>
      <c r="P958" s="1066"/>
      <c r="Q958" s="1070"/>
      <c r="R958" s="1071"/>
      <c r="S958" s="1070"/>
      <c r="T958" s="1072"/>
      <c r="U958" s="1073"/>
    </row>
    <row r="959" spans="1:41" s="997" customFormat="1" ht="11.4">
      <c r="A959" s="1074">
        <v>72</v>
      </c>
      <c r="B959" s="1075">
        <v>1</v>
      </c>
      <c r="C959" s="1075">
        <f>$A959*$B959</f>
        <v>72</v>
      </c>
      <c r="D959" s="1076" t="str">
        <f>Elec_Rates!$D$200</f>
        <v>019# Lighting point in LSZH Conduit</v>
      </c>
      <c r="E959" s="1076"/>
      <c r="F959" s="1076"/>
      <c r="G959" s="1077" t="s">
        <v>1008</v>
      </c>
      <c r="H959" s="1077"/>
      <c r="I959" s="1077"/>
      <c r="J959" s="1077"/>
      <c r="K959" s="1078"/>
      <c r="L959" s="1073"/>
      <c r="M959" s="1073"/>
      <c r="N959" s="1073"/>
      <c r="O959" s="1079"/>
      <c r="P959" s="1076"/>
      <c r="Q959" s="1080">
        <f ca="1">$B959*Elec_Rates!$R$200</f>
        <v>9.65</v>
      </c>
      <c r="R959" s="1071">
        <f ca="1">$A959*Q959</f>
        <v>694.80000000000007</v>
      </c>
      <c r="S959" s="1080">
        <f ca="1">$B959*Elec_Rates!$T$200</f>
        <v>1.31</v>
      </c>
      <c r="T959" s="1072">
        <f ca="1">$A959*S959</f>
        <v>94.320000000000007</v>
      </c>
      <c r="U959" s="1081"/>
    </row>
    <row r="960" spans="1:41" s="997" customFormat="1" ht="13.2">
      <c r="A960"/>
      <c r="B960" s="1065"/>
      <c r="C960" s="1065" t="s">
        <v>1006</v>
      </c>
      <c r="D960" s="1065" t="str">
        <f ca="1">CELL("Address",Elec_Rates!D$517)</f>
        <v>[EL25_0662B_Brittania_Hotel_Elec_Revised_Estim_B.xlsx]Elec_Rates!$D$517</v>
      </c>
      <c r="E960" s="1066"/>
      <c r="F960" s="1066"/>
      <c r="G960" s="1067" t="s">
        <v>1007</v>
      </c>
      <c r="H960" s="1067"/>
      <c r="I960" s="1067"/>
      <c r="J960" s="1067"/>
      <c r="K960" s="1068"/>
      <c r="L960" s="1066"/>
      <c r="M960" s="1066"/>
      <c r="N960" s="1066"/>
      <c r="O960" s="1069"/>
      <c r="P960" s="1066"/>
      <c r="Q960" s="1070"/>
      <c r="R960" s="1071"/>
      <c r="S960" s="1070"/>
      <c r="T960" s="1072"/>
      <c r="U960" s="1073"/>
    </row>
    <row r="961" spans="1:41" s="997" customFormat="1" ht="11.4">
      <c r="A961" s="1074">
        <v>72</v>
      </c>
      <c r="B961" s="1075">
        <v>1</v>
      </c>
      <c r="C961" s="1075">
        <f>$A961*$B961</f>
        <v>72</v>
      </c>
      <c r="D961" s="1076" t="str">
        <f>Elec_Rates!$D$517</f>
        <v>061# DALI Wiring cables</v>
      </c>
      <c r="E961" s="1076"/>
      <c r="F961" s="1076"/>
      <c r="G961" s="1077" t="s">
        <v>1008</v>
      </c>
      <c r="H961" s="1077"/>
      <c r="I961" s="1077"/>
      <c r="J961" s="1077"/>
      <c r="K961" s="1078"/>
      <c r="L961" s="1073"/>
      <c r="M961" s="1073"/>
      <c r="N961" s="1073"/>
      <c r="O961" s="1079"/>
      <c r="P961" s="1076"/>
      <c r="Q961" s="1080">
        <f ca="1">$B961*Elec_Rates!$R$517</f>
        <v>2.0699999999999998</v>
      </c>
      <c r="R961" s="1071">
        <f ca="1">$A961*Q961</f>
        <v>149.04</v>
      </c>
      <c r="S961" s="1080">
        <f ca="1">$B961*Elec_Rates!$T$517</f>
        <v>0.19</v>
      </c>
      <c r="T961" s="1072">
        <f ca="1">$A961*S961</f>
        <v>13.68</v>
      </c>
      <c r="U961" s="1081"/>
    </row>
    <row r="962" spans="1:41" s="504" customFormat="1" ht="12">
      <c r="A962" s="882"/>
      <c r="B962" s="882"/>
      <c r="C962" s="882"/>
      <c r="D962" s="882"/>
      <c r="E962" s="882"/>
      <c r="F962" s="877"/>
      <c r="G962" s="882"/>
      <c r="H962" s="882"/>
      <c r="I962" s="503"/>
      <c r="J962" s="882"/>
      <c r="K962" s="882"/>
      <c r="L962" s="882"/>
      <c r="M962" s="882"/>
      <c r="N962" s="882"/>
      <c r="O962" s="882"/>
      <c r="P962" s="882"/>
      <c r="Q962" s="503"/>
      <c r="R962" s="883">
        <f>$A962*Q962</f>
        <v>0</v>
      </c>
      <c r="S962" s="503"/>
      <c r="T962" s="884">
        <f>$A962*S962*$T$1</f>
        <v>0</v>
      </c>
    </row>
    <row r="963" spans="1:41" s="504" customFormat="1" ht="12.6" thickBot="1">
      <c r="A963" s="885" t="s">
        <v>142</v>
      </c>
      <c r="B963" s="886">
        <f>(R962+T962)</f>
        <v>0</v>
      </c>
      <c r="C963" s="887"/>
      <c r="D963" s="887"/>
      <c r="E963" s="887"/>
      <c r="F963" s="888"/>
      <c r="G963" s="887" t="s">
        <v>143</v>
      </c>
      <c r="H963" s="887"/>
      <c r="I963" s="889"/>
      <c r="J963" s="887"/>
      <c r="K963" s="887" t="s">
        <v>3</v>
      </c>
      <c r="L963" s="890" t="s">
        <v>140</v>
      </c>
      <c r="M963" s="890"/>
      <c r="N963" s="890"/>
      <c r="O963" s="890"/>
      <c r="P963" s="890"/>
      <c r="Q963" s="891"/>
      <c r="R963" s="892">
        <f ca="1">SUM(R957:R962)</f>
        <v>843.84</v>
      </c>
      <c r="S963" s="887"/>
      <c r="T963" s="892">
        <f ca="1">SUM(T957:T962)</f>
        <v>108</v>
      </c>
      <c r="U963" s="514"/>
      <c r="V963" s="514"/>
      <c r="W963" s="514"/>
      <c r="X963" s="514"/>
      <c r="Y963" s="514"/>
      <c r="Z963" s="514"/>
      <c r="AA963" s="514"/>
      <c r="AB963" s="514"/>
      <c r="AC963" s="514"/>
      <c r="AD963" s="514"/>
      <c r="AE963" s="514"/>
      <c r="AF963" s="514"/>
      <c r="AG963" s="514"/>
      <c r="AH963" s="514"/>
      <c r="AI963" s="514"/>
      <c r="AJ963" s="514"/>
      <c r="AK963" s="514"/>
      <c r="AL963" s="514"/>
      <c r="AM963" s="514"/>
      <c r="AN963" s="514"/>
      <c r="AO963" s="514"/>
    </row>
    <row r="964" spans="1:41" s="504" customFormat="1" ht="12" thickTop="1">
      <c r="A964" s="50"/>
      <c r="B964" s="40"/>
      <c r="C964" s="50"/>
      <c r="E964" s="41" t="s">
        <v>136</v>
      </c>
      <c r="F964" s="41" t="s">
        <v>137</v>
      </c>
      <c r="G964" s="50"/>
      <c r="H964" s="50"/>
      <c r="I964" s="50"/>
      <c r="J964" s="50"/>
      <c r="K964" s="50" t="s">
        <v>138</v>
      </c>
      <c r="L964" s="50"/>
      <c r="M964" s="50"/>
      <c r="N964" s="50"/>
      <c r="O964" s="51"/>
      <c r="P964" s="50"/>
      <c r="Q964" s="50"/>
      <c r="R964" s="50"/>
      <c r="S964" s="50"/>
      <c r="T964" s="40"/>
      <c r="AG964" s="867" t="s">
        <v>241</v>
      </c>
      <c r="AH964" s="867" t="s">
        <v>242</v>
      </c>
      <c r="AI964" s="867" t="s">
        <v>243</v>
      </c>
      <c r="AJ964" s="867" t="s">
        <v>244</v>
      </c>
      <c r="AK964" s="867" t="s">
        <v>245</v>
      </c>
      <c r="AM964" s="868" t="s">
        <v>254</v>
      </c>
      <c r="AN964" s="869" t="s">
        <v>255</v>
      </c>
      <c r="AO964" s="505" t="s">
        <v>251</v>
      </c>
    </row>
    <row r="965" spans="1:41" s="504" customFormat="1" ht="12" customHeight="1">
      <c r="A965" s="870">
        <v>4</v>
      </c>
      <c r="B965" s="871" t="s">
        <v>335</v>
      </c>
      <c r="C965" s="872"/>
      <c r="D965" s="873" t="s">
        <v>806</v>
      </c>
      <c r="E965" s="874">
        <f ca="1">IF(AND($A965=0,$A$1="DIF"),0, ROUND(ROUND(($R972*$S$2+($T972*$T$2))/A965,2)*$C$2,2))</f>
        <v>124.92</v>
      </c>
      <c r="F965" s="875">
        <f ca="1">ROUND($A965*$E965,2)</f>
        <v>499.68</v>
      </c>
      <c r="G965" s="876" t="s">
        <v>139</v>
      </c>
      <c r="H965" s="877"/>
      <c r="I965" s="878"/>
      <c r="J965" s="877"/>
      <c r="K965" s="877" t="s">
        <v>3</v>
      </c>
      <c r="L965" s="879" t="s">
        <v>140</v>
      </c>
      <c r="M965" s="879"/>
      <c r="N965" s="879"/>
      <c r="O965" s="879"/>
      <c r="P965" s="879"/>
      <c r="Q965" s="50"/>
      <c r="T965" s="880" t="str">
        <f ca="1">IF(AND($R972=0,$T972=0),"0.00","mu :" &amp; ROUND($F965/$C$2/($R972+$T972*$D$9),2))</f>
        <v>mu :1.22</v>
      </c>
      <c r="W965" s="507"/>
      <c r="AG965" s="465">
        <f ca="1">IF($E965=0,0,ROUND($R972*$S$2*$C$2/$A965,2))</f>
        <v>26.07</v>
      </c>
      <c r="AH965" s="465">
        <f ca="1">$AG965*$A965</f>
        <v>104.28</v>
      </c>
      <c r="AI965" s="508">
        <f ca="1">$E965-$AG965</f>
        <v>98.85</v>
      </c>
      <c r="AJ965" s="508">
        <f ca="1">$A965*$AI965</f>
        <v>395.4</v>
      </c>
      <c r="AK965" s="509">
        <f ca="1">ROUND(($AG965+$AI965)*$A965,2)</f>
        <v>499.68</v>
      </c>
      <c r="AM965" s="510">
        <f ca="1">ROUND(R972,2)</f>
        <v>85.48</v>
      </c>
      <c r="AN965" s="511">
        <f ca="1">ROUND(T972,2)</f>
        <v>11.24</v>
      </c>
      <c r="AO965" s="512">
        <f ca="1">ROUND(AM965+AN965,2)*A965</f>
        <v>386.88</v>
      </c>
    </row>
    <row r="966" spans="1:41" s="504" customFormat="1" ht="13.2">
      <c r="A966" s="872"/>
      <c r="B966"/>
      <c r="C966" s="872"/>
      <c r="D966" s="873" t="s">
        <v>378</v>
      </c>
      <c r="F966" s="877"/>
      <c r="G966" s="3"/>
      <c r="H966" s="877"/>
      <c r="I966" s="878"/>
      <c r="J966" s="877"/>
      <c r="K966" s="877" t="s">
        <v>141</v>
      </c>
      <c r="L966" s="877"/>
      <c r="M966" s="877"/>
      <c r="N966" s="877"/>
      <c r="O966" s="877"/>
      <c r="P966" s="877"/>
      <c r="Q966" s="50"/>
      <c r="R966" s="513"/>
      <c r="S966" s="881"/>
      <c r="T966" s="877"/>
    </row>
    <row r="967" spans="1:41" s="997" customFormat="1" ht="13.2">
      <c r="A967"/>
      <c r="B967" s="1065"/>
      <c r="C967" s="1065" t="s">
        <v>1006</v>
      </c>
      <c r="D967" s="1065" t="str">
        <f ca="1">CELL("Address",Elec_Rates!D$200)</f>
        <v>[EL25_0662B_Brittania_Hotel_Elec_Revised_Estim_B.xlsx]Elec_Rates!$D$200</v>
      </c>
      <c r="E967" s="1066"/>
      <c r="F967" s="1066"/>
      <c r="G967" s="1067" t="s">
        <v>1007</v>
      </c>
      <c r="H967" s="1067"/>
      <c r="I967" s="1067"/>
      <c r="J967" s="1067"/>
      <c r="K967" s="1068"/>
      <c r="L967" s="1066"/>
      <c r="M967" s="1066"/>
      <c r="N967" s="1066"/>
      <c r="O967" s="1069"/>
      <c r="P967" s="1066"/>
      <c r="Q967" s="1070"/>
      <c r="R967" s="1071"/>
      <c r="S967" s="1070"/>
      <c r="T967" s="1072"/>
      <c r="U967" s="1073"/>
    </row>
    <row r="968" spans="1:41" s="997" customFormat="1" ht="11.4">
      <c r="A968" s="1074">
        <v>4</v>
      </c>
      <c r="B968" s="1075">
        <v>2</v>
      </c>
      <c r="C968" s="1075">
        <f>$A968*$B968</f>
        <v>8</v>
      </c>
      <c r="D968" s="1076" t="str">
        <f>Elec_Rates!$D$200</f>
        <v>019# Lighting point in LSZH Conduit</v>
      </c>
      <c r="E968" s="1076"/>
      <c r="F968" s="1076"/>
      <c r="G968" s="1077" t="s">
        <v>1008</v>
      </c>
      <c r="H968" s="1077"/>
      <c r="I968" s="1077"/>
      <c r="J968" s="1077"/>
      <c r="K968" s="1078"/>
      <c r="L968" s="1073"/>
      <c r="M968" s="1073"/>
      <c r="N968" s="1073"/>
      <c r="O968" s="1079"/>
      <c r="P968" s="1076"/>
      <c r="Q968" s="1080">
        <f ca="1">$B968*Elec_Rates!$R$200</f>
        <v>19.3</v>
      </c>
      <c r="R968" s="1071">
        <f ca="1">$A968*Q968</f>
        <v>77.2</v>
      </c>
      <c r="S968" s="1080">
        <f ca="1">$B968*Elec_Rates!$T$200</f>
        <v>2.62</v>
      </c>
      <c r="T968" s="1072">
        <f ca="1">$A968*S968</f>
        <v>10.48</v>
      </c>
      <c r="U968" s="1081"/>
    </row>
    <row r="969" spans="1:41" s="997" customFormat="1" ht="13.2">
      <c r="A969"/>
      <c r="B969" s="1065"/>
      <c r="C969" s="1065" t="s">
        <v>1006</v>
      </c>
      <c r="D969" s="1065" t="str">
        <f ca="1">CELL("Address",Elec_Rates!D$517)</f>
        <v>[EL25_0662B_Brittania_Hotel_Elec_Revised_Estim_B.xlsx]Elec_Rates!$D$517</v>
      </c>
      <c r="E969" s="1066"/>
      <c r="F969" s="1066"/>
      <c r="G969" s="1067" t="s">
        <v>1007</v>
      </c>
      <c r="H969" s="1067"/>
      <c r="I969" s="1067"/>
      <c r="J969" s="1067"/>
      <c r="K969" s="1068"/>
      <c r="L969" s="1066"/>
      <c r="M969" s="1066"/>
      <c r="N969" s="1066"/>
      <c r="O969" s="1069"/>
      <c r="P969" s="1066"/>
      <c r="Q969" s="1070"/>
      <c r="R969" s="1071"/>
      <c r="S969" s="1070"/>
      <c r="T969" s="1072"/>
      <c r="U969" s="1073"/>
    </row>
    <row r="970" spans="1:41" s="997" customFormat="1" ht="11.4">
      <c r="A970" s="1074">
        <v>4</v>
      </c>
      <c r="B970" s="1075">
        <v>1</v>
      </c>
      <c r="C970" s="1075">
        <f>$A970*$B970</f>
        <v>4</v>
      </c>
      <c r="D970" s="1076" t="str">
        <f>Elec_Rates!$D$517</f>
        <v>061# DALI Wiring cables</v>
      </c>
      <c r="E970" s="1076"/>
      <c r="F970" s="1076"/>
      <c r="G970" s="1077" t="s">
        <v>1008</v>
      </c>
      <c r="H970" s="1077"/>
      <c r="I970" s="1077"/>
      <c r="J970" s="1077"/>
      <c r="K970" s="1078"/>
      <c r="L970" s="1073"/>
      <c r="M970" s="1073"/>
      <c r="N970" s="1073"/>
      <c r="O970" s="1079"/>
      <c r="P970" s="1076"/>
      <c r="Q970" s="1080">
        <f ca="1">$B970*Elec_Rates!$R$517</f>
        <v>2.0699999999999998</v>
      </c>
      <c r="R970" s="1071">
        <f ca="1">$A970*Q970</f>
        <v>8.2799999999999994</v>
      </c>
      <c r="S970" s="1080">
        <f ca="1">$B970*Elec_Rates!$T$517</f>
        <v>0.19</v>
      </c>
      <c r="T970" s="1072">
        <f ca="1">$A970*S970</f>
        <v>0.76</v>
      </c>
      <c r="U970" s="1081"/>
    </row>
    <row r="971" spans="1:41" s="504" customFormat="1" ht="12">
      <c r="A971" s="882"/>
      <c r="B971" s="882"/>
      <c r="C971" s="882"/>
      <c r="D971" s="882"/>
      <c r="E971" s="882"/>
      <c r="F971" s="877"/>
      <c r="G971" s="882"/>
      <c r="H971" s="882"/>
      <c r="I971" s="503"/>
      <c r="J971" s="882"/>
      <c r="K971" s="882"/>
      <c r="L971" s="882"/>
      <c r="M971" s="882"/>
      <c r="N971" s="882"/>
      <c r="O971" s="882"/>
      <c r="P971" s="882"/>
      <c r="Q971" s="503"/>
      <c r="R971" s="883">
        <f>$A971*Q971</f>
        <v>0</v>
      </c>
      <c r="S971" s="503"/>
      <c r="T971" s="884">
        <f>$A971*S971*$T$1</f>
        <v>0</v>
      </c>
    </row>
    <row r="972" spans="1:41" s="504" customFormat="1" ht="12.6" thickBot="1">
      <c r="A972" s="885" t="s">
        <v>142</v>
      </c>
      <c r="B972" s="886">
        <f>(R971+T971)</f>
        <v>0</v>
      </c>
      <c r="C972" s="887"/>
      <c r="D972" s="887"/>
      <c r="E972" s="887"/>
      <c r="F972" s="888"/>
      <c r="G972" s="887" t="s">
        <v>143</v>
      </c>
      <c r="H972" s="887"/>
      <c r="I972" s="889"/>
      <c r="J972" s="887"/>
      <c r="K972" s="887" t="s">
        <v>3</v>
      </c>
      <c r="L972" s="890" t="s">
        <v>140</v>
      </c>
      <c r="M972" s="890"/>
      <c r="N972" s="890"/>
      <c r="O972" s="890"/>
      <c r="P972" s="890"/>
      <c r="Q972" s="891"/>
      <c r="R972" s="892">
        <f ca="1">SUM(R966:R971)</f>
        <v>85.48</v>
      </c>
      <c r="S972" s="887"/>
      <c r="T972" s="892">
        <f ca="1">SUM(T966:T971)</f>
        <v>11.24</v>
      </c>
      <c r="U972" s="514"/>
      <c r="V972" s="514"/>
      <c r="W972" s="514"/>
      <c r="X972" s="514"/>
      <c r="Y972" s="514"/>
      <c r="Z972" s="514"/>
      <c r="AA972" s="514"/>
      <c r="AB972" s="514"/>
      <c r="AC972" s="514"/>
      <c r="AD972" s="514"/>
      <c r="AE972" s="514"/>
      <c r="AF972" s="514"/>
      <c r="AG972" s="514"/>
      <c r="AH972" s="514"/>
      <c r="AI972" s="514"/>
      <c r="AJ972" s="514"/>
      <c r="AK972" s="514"/>
      <c r="AL972" s="514"/>
      <c r="AM972" s="514"/>
      <c r="AN972" s="514"/>
      <c r="AO972" s="514"/>
    </row>
    <row r="973" spans="1:41" s="504" customFormat="1" thickTop="1">
      <c r="A973" s="50"/>
      <c r="B973" s="50"/>
      <c r="C973" s="3"/>
      <c r="D973" s="3"/>
      <c r="E973" s="50"/>
      <c r="F973" s="50"/>
      <c r="G973" s="50"/>
      <c r="H973" s="50"/>
      <c r="I973" s="50"/>
      <c r="J973" s="50"/>
      <c r="K973" s="50" t="s">
        <v>133</v>
      </c>
      <c r="L973" s="50"/>
      <c r="M973" s="50"/>
      <c r="N973" s="50"/>
      <c r="O973" s="51"/>
      <c r="P973" s="50"/>
      <c r="Q973" s="50"/>
      <c r="R973" s="50"/>
      <c r="S973" s="50"/>
      <c r="T973" s="50"/>
    </row>
    <row r="974" spans="1:41" s="504" customFormat="1" ht="12">
      <c r="A974" s="50"/>
      <c r="B974" s="50"/>
      <c r="C974" s="50" t="s">
        <v>134</v>
      </c>
      <c r="D974" s="37" t="s">
        <v>851</v>
      </c>
      <c r="E974" s="50"/>
      <c r="F974" s="50"/>
      <c r="G974" s="50"/>
      <c r="H974" s="50"/>
      <c r="I974" s="50"/>
      <c r="J974" s="50"/>
      <c r="K974" s="50"/>
      <c r="L974" s="50"/>
      <c r="M974" s="50"/>
      <c r="N974" s="50"/>
      <c r="O974" s="51"/>
      <c r="P974" s="50"/>
      <c r="Q974" s="50"/>
      <c r="R974" s="50"/>
      <c r="S974" s="50"/>
      <c r="T974" s="50"/>
    </row>
    <row r="975" spans="1:41" s="504" customFormat="1" ht="12">
      <c r="A975" s="50"/>
      <c r="B975" s="50"/>
      <c r="C975" s="50"/>
      <c r="D975" s="37" t="s">
        <v>852</v>
      </c>
      <c r="E975" s="50"/>
      <c r="F975" s="50"/>
      <c r="G975" s="50"/>
      <c r="H975" s="50"/>
      <c r="I975" s="50"/>
      <c r="J975" s="50"/>
      <c r="K975" s="50"/>
      <c r="L975" s="50"/>
      <c r="M975" s="50"/>
      <c r="N975" s="50"/>
      <c r="O975" s="51"/>
      <c r="P975" s="50"/>
      <c r="Q975" s="50"/>
      <c r="R975" s="50"/>
      <c r="S975" s="38"/>
      <c r="T975" s="38"/>
    </row>
    <row r="976" spans="1:41" s="3" customFormat="1" thickBot="1">
      <c r="A976" s="514"/>
      <c r="O976" s="103"/>
    </row>
    <row r="977" spans="1:41" s="504" customFormat="1" thickTop="1">
      <c r="A977" s="50"/>
      <c r="B977" s="40"/>
      <c r="C977" s="50"/>
      <c r="E977" s="41" t="s">
        <v>136</v>
      </c>
      <c r="F977" s="41" t="s">
        <v>137</v>
      </c>
      <c r="G977" s="50"/>
      <c r="H977" s="50"/>
      <c r="I977" s="50"/>
      <c r="J977" s="50"/>
      <c r="K977" s="50" t="s">
        <v>138</v>
      </c>
      <c r="L977" s="1219"/>
      <c r="M977" s="50"/>
      <c r="N977" s="50"/>
      <c r="O977" s="51"/>
      <c r="P977" s="50"/>
      <c r="Q977"/>
      <c r="R977"/>
      <c r="S977"/>
      <c r="T977" s="40"/>
      <c r="AG977" s="867" t="s">
        <v>241</v>
      </c>
      <c r="AH977" s="867" t="s">
        <v>242</v>
      </c>
      <c r="AI977" s="867" t="s">
        <v>243</v>
      </c>
      <c r="AJ977" s="867" t="s">
        <v>244</v>
      </c>
      <c r="AK977" s="867" t="s">
        <v>245</v>
      </c>
      <c r="AM977" s="868" t="s">
        <v>254</v>
      </c>
      <c r="AN977" s="869" t="s">
        <v>255</v>
      </c>
      <c r="AO977" s="505" t="s">
        <v>251</v>
      </c>
    </row>
    <row r="978" spans="1:41" s="504" customFormat="1" ht="13.2">
      <c r="A978" s="870">
        <v>1</v>
      </c>
      <c r="B978" s="871" t="s">
        <v>335</v>
      </c>
      <c r="C978" s="872"/>
      <c r="D978" s="873" t="s">
        <v>804</v>
      </c>
      <c r="E978" s="1220">
        <f ca="1">IF(AND($A978=0,$A$1="DIF"),0, ROUND(ROUND(SUMIF($L980:$L987,"SUBI",$E980:$E987)/$A978,2)*$C$12,2))</f>
        <v>1415.36</v>
      </c>
      <c r="F978" s="1221">
        <f ca="1">ROUND($A978*$E978,2)</f>
        <v>1415.36</v>
      </c>
      <c r="G978" s="876" t="s">
        <v>139</v>
      </c>
      <c r="H978" s="877"/>
      <c r="I978" s="878"/>
      <c r="J978" s="877"/>
      <c r="K978" s="1222"/>
      <c r="L978" s="1223" t="s">
        <v>140</v>
      </c>
      <c r="M978" s="879"/>
      <c r="N978" s="879"/>
      <c r="O978" s="879"/>
      <c r="P978" s="879"/>
      <c r="Q978"/>
      <c r="R978"/>
      <c r="S978"/>
      <c r="T978" s="1224" t="str">
        <f ca="1">IF(AND($R994=0,$T994=0),"0.00","mu :" &amp; ROUND($F978/$C$12/($R994+$T994*$D$9),2))</f>
        <v>mu :1.44</v>
      </c>
      <c r="W978" s="507"/>
      <c r="AG978" s="1225">
        <f ca="1">IF(A978=0,0,ROUND(SUM(AG980:AG994)/A978,2))</f>
        <v>1044.79</v>
      </c>
      <c r="AH978" s="1225">
        <f ca="1">$AG978*$A978</f>
        <v>1044.79</v>
      </c>
      <c r="AI978" s="1225">
        <f ca="1">$E978-$AG978</f>
        <v>370.56999999999994</v>
      </c>
      <c r="AJ978" s="1225">
        <f ca="1">$A978*$AI978</f>
        <v>370.56999999999994</v>
      </c>
      <c r="AK978" s="1226">
        <f ca="1">ROUND(($AG978+$AI978)*$A978,2)</f>
        <v>1415.36</v>
      </c>
      <c r="AM978" s="510">
        <f ca="1">ROUND(R994,2)</f>
        <v>856.38</v>
      </c>
      <c r="AN978" s="511">
        <f ca="1">ROUND(T994,2)</f>
        <v>4.3899999999999997</v>
      </c>
      <c r="AO978" s="512">
        <f ca="1">ROUND(AM978+AN978,2)*A978</f>
        <v>860.77</v>
      </c>
    </row>
    <row r="979" spans="1:41" s="504" customFormat="1" ht="19.95" customHeight="1">
      <c r="A979" s="1302"/>
      <c r="B979" s="1303"/>
      <c r="C979" s="872"/>
      <c r="D979" s="873" t="s">
        <v>380</v>
      </c>
      <c r="F979" s="877"/>
      <c r="G979" s="877"/>
      <c r="H979" s="877"/>
      <c r="I979" s="878"/>
      <c r="J979" s="877"/>
      <c r="K979" s="877" t="s">
        <v>141</v>
      </c>
      <c r="L979" s="1227"/>
      <c r="M979" s="877"/>
      <c r="N979" s="877"/>
      <c r="O979" s="877"/>
      <c r="P979" s="877"/>
      <c r="Q979" s="50"/>
      <c r="R979" s="513"/>
      <c r="S979" s="881"/>
      <c r="T979" s="877"/>
    </row>
    <row r="980" spans="1:41" s="504" customFormat="1" ht="12">
      <c r="A980" s="1228"/>
      <c r="B980" s="1229"/>
      <c r="C980" s="882"/>
      <c r="D980" s="877"/>
      <c r="E980" s="1230">
        <f ca="1">F978/$C$12-SUMIF($L977:$L994,"SUBI",$E977:$E994)</f>
        <v>0</v>
      </c>
      <c r="F980" s="1231" t="s">
        <v>1472</v>
      </c>
      <c r="G980" s="1232"/>
      <c r="H980" s="1232"/>
      <c r="I980" s="1233"/>
      <c r="J980" s="1232"/>
      <c r="K980" s="1232"/>
      <c r="L980" s="1234"/>
      <c r="M980" s="1235"/>
      <c r="N980" s="1235"/>
      <c r="O980" s="1235"/>
      <c r="P980" s="1235"/>
      <c r="Q980" s="1236"/>
      <c r="R980" s="1237"/>
      <c r="S980" s="1236"/>
      <c r="T980" s="1238"/>
    </row>
    <row r="981" spans="1:41" s="504" customFormat="1" ht="12" customHeight="1">
      <c r="A981" s="1239"/>
      <c r="B981" s="1304"/>
      <c r="C981" s="1240"/>
      <c r="D981" s="1240" t="str">
        <f>$F$2</f>
        <v>Electrical</v>
      </c>
      <c r="E981" s="1240">
        <f ca="1">ROUND(($R986*$S$2 + ($T986*$T$2)), 2)</f>
        <v>9.2100000000000009</v>
      </c>
      <c r="F981" s="1305">
        <f ca="1">$E981*$C$12</f>
        <v>9.2100000000000009</v>
      </c>
      <c r="G981" s="513"/>
      <c r="H981" s="1241"/>
      <c r="I981" s="513"/>
      <c r="J981" s="51"/>
      <c r="K981" s="1242" t="s">
        <v>3</v>
      </c>
      <c r="L981" s="1243" t="s">
        <v>1473</v>
      </c>
      <c r="M981" s="513"/>
      <c r="N981" s="513"/>
      <c r="O981" s="51"/>
      <c r="P981" s="513"/>
      <c r="Q981" s="513"/>
      <c r="R981"/>
      <c r="S981"/>
      <c r="T981"/>
    </row>
    <row r="982" spans="1:41" s="504" customFormat="1" ht="13.95" customHeight="1">
      <c r="A982" s="930"/>
      <c r="B982" s="1244" t="s">
        <v>1474</v>
      </c>
      <c r="C982" s="513"/>
      <c r="D982" s="513"/>
      <c r="E982" s="513"/>
      <c r="F982" s="513"/>
      <c r="G982" s="513"/>
      <c r="H982" s="1241"/>
      <c r="I982" s="513"/>
      <c r="J982" s="51"/>
      <c r="K982" s="1245"/>
      <c r="L982" s="1246"/>
      <c r="M982" s="513"/>
      <c r="N982" s="513"/>
      <c r="O982" s="51"/>
      <c r="P982" s="513"/>
      <c r="Q982" s="513"/>
      <c r="R982" s="1247">
        <f>$A982*Q982</f>
        <v>0</v>
      </c>
      <c r="S982" s="513"/>
      <c r="T982" s="884">
        <f>$A982*S982*$T$1</f>
        <v>0</v>
      </c>
    </row>
    <row r="983" spans="1:41" s="997" customFormat="1" ht="13.2">
      <c r="A983"/>
      <c r="B983" s="1065"/>
      <c r="C983" s="1065" t="s">
        <v>1006</v>
      </c>
      <c r="D983" s="1065" t="str">
        <f ca="1">CELL("Address",Elec_Rates!D$517)</f>
        <v>[EL25_0662B_Brittania_Hotel_Elec_Revised_Estim_B.xlsx]Elec_Rates!$D$517</v>
      </c>
      <c r="E983" s="1066"/>
      <c r="F983" s="1066"/>
      <c r="G983" s="1067" t="s">
        <v>1007</v>
      </c>
      <c r="H983" s="1067"/>
      <c r="I983" s="1067"/>
      <c r="J983" s="1067"/>
      <c r="K983" s="1068"/>
      <c r="L983" s="1066"/>
      <c r="M983" s="1066"/>
      <c r="N983" s="1066"/>
      <c r="O983" s="1069"/>
      <c r="P983" s="1066"/>
      <c r="Q983" s="1070"/>
      <c r="R983" s="1071"/>
      <c r="S983" s="1070"/>
      <c r="T983" s="1072"/>
      <c r="U983" s="1073"/>
    </row>
    <row r="984" spans="1:41" s="997" customFormat="1" ht="11.4">
      <c r="A984" s="1074">
        <v>1</v>
      </c>
      <c r="B984" s="1075">
        <v>1</v>
      </c>
      <c r="C984" s="1075">
        <f>$A984*$B984</f>
        <v>1</v>
      </c>
      <c r="D984" s="1076" t="str">
        <f>Elec_Rates!$D$517</f>
        <v>061# DALI Wiring cables</v>
      </c>
      <c r="E984" s="1076"/>
      <c r="F984" s="1076"/>
      <c r="G984" s="1077" t="s">
        <v>1008</v>
      </c>
      <c r="H984" s="1077"/>
      <c r="I984" s="1077"/>
      <c r="J984" s="1077"/>
      <c r="K984" s="1078"/>
      <c r="L984" s="1073"/>
      <c r="M984" s="1073"/>
      <c r="N984" s="1073"/>
      <c r="O984" s="1079"/>
      <c r="P984" s="1076"/>
      <c r="Q984" s="1080">
        <f ca="1">$B984*Elec_Rates!$R$517</f>
        <v>2.0699999999999998</v>
      </c>
      <c r="R984" s="1071">
        <f ca="1">$A984*Q984</f>
        <v>2.0699999999999998</v>
      </c>
      <c r="S984" s="1080">
        <f ca="1">$B984*Elec_Rates!$T$517</f>
        <v>0.19</v>
      </c>
      <c r="T984" s="1072">
        <f ca="1">$A984*S984</f>
        <v>0.19</v>
      </c>
      <c r="U984" s="1081"/>
    </row>
    <row r="985" spans="1:41" s="504" customFormat="1" ht="13.95" customHeight="1">
      <c r="A985" s="930"/>
      <c r="B985" s="513"/>
      <c r="C985" s="513"/>
      <c r="D985" s="513"/>
      <c r="E985" s="513"/>
      <c r="F985" s="513"/>
      <c r="G985" s="513"/>
      <c r="H985" s="1241"/>
      <c r="I985" s="513"/>
      <c r="J985" s="51"/>
      <c r="K985" s="1245"/>
      <c r="L985" s="1246"/>
      <c r="M985" s="513"/>
      <c r="N985" s="513"/>
      <c r="O985" s="51"/>
      <c r="P985" s="513"/>
      <c r="Q985" s="513"/>
      <c r="R985" s="1247">
        <f>$A985*Q985</f>
        <v>0</v>
      </c>
      <c r="S985" s="513"/>
      <c r="T985" s="884">
        <f>$A985*S985*$T$1</f>
        <v>0</v>
      </c>
    </row>
    <row r="986" spans="1:41" s="504" customFormat="1" ht="12">
      <c r="A986" s="1248" t="s">
        <v>142</v>
      </c>
      <c r="B986" s="1249">
        <f>(R985+T985)</f>
        <v>0</v>
      </c>
      <c r="C986" s="882"/>
      <c r="G986" s="1250"/>
      <c r="H986" s="1250"/>
      <c r="I986" s="1250"/>
      <c r="J986" s="1250"/>
      <c r="K986" s="1251" t="s">
        <v>3</v>
      </c>
      <c r="L986" s="1252" t="s">
        <v>1473</v>
      </c>
      <c r="M986" s="1250"/>
      <c r="N986" s="1250"/>
      <c r="O986" s="1250"/>
      <c r="P986" s="1250"/>
      <c r="Q986" s="1253"/>
      <c r="R986" s="1254">
        <f ca="1">SUM(R981:R985)</f>
        <v>2.0699999999999998</v>
      </c>
      <c r="S986" s="1255"/>
      <c r="T986" s="1254">
        <f ca="1">SUM(T981:T985)</f>
        <v>0.19</v>
      </c>
      <c r="AG986" s="1256">
        <f ca="1">ROUND($R986*$S$2,2)</f>
        <v>2.5299999999999998</v>
      </c>
    </row>
    <row r="987" spans="1:41" s="504" customFormat="1" ht="12" customHeight="1">
      <c r="A987" s="1257"/>
      <c r="B987" s="1306"/>
      <c r="C987" s="1307"/>
      <c r="D987" s="1307" t="str">
        <f>$F$3</f>
        <v>Controls Section (DALI)</v>
      </c>
      <c r="E987" s="1307">
        <f>ROUND(($R992*$S$3 + ($T992*$T$3)), 2)</f>
        <v>1406.15</v>
      </c>
      <c r="F987" s="1308">
        <f ca="1">$F978-SUMIF($L980:$P984,"SUBI",$F980:$F984)</f>
        <v>1406.1499999999999</v>
      </c>
      <c r="G987" s="503"/>
      <c r="H987" s="503"/>
      <c r="I987" s="503"/>
      <c r="J987" s="503"/>
      <c r="K987" s="1242" t="s">
        <v>5</v>
      </c>
      <c r="L987" s="1243" t="s">
        <v>1473</v>
      </c>
      <c r="M987" s="503"/>
      <c r="N987" s="503"/>
      <c r="O987" s="503"/>
      <c r="P987" s="503"/>
      <c r="Q987" s="503"/>
      <c r="R987" s="1258"/>
      <c r="S987" s="503"/>
      <c r="T987" s="1258"/>
    </row>
    <row r="988" spans="1:41" s="1271" customFormat="1" ht="14.4" customHeight="1">
      <c r="A988" s="1259"/>
      <c r="B988" s="1244" t="s">
        <v>1475</v>
      </c>
      <c r="C988" s="1260"/>
      <c r="D988" s="1261"/>
      <c r="E988" s="1261"/>
      <c r="F988" s="1261"/>
      <c r="G988" s="1262"/>
      <c r="H988" s="1263"/>
      <c r="I988" s="1263"/>
      <c r="J988" s="1264"/>
      <c r="K988" s="1265"/>
      <c r="L988" s="1260"/>
      <c r="M988" s="1266"/>
      <c r="N988" s="1267"/>
      <c r="O988" s="1268"/>
      <c r="P988" s="1269"/>
      <c r="Q988" s="1270"/>
      <c r="R988" s="1247">
        <f>$A988*Q988</f>
        <v>0</v>
      </c>
      <c r="S988" s="513"/>
      <c r="T988" s="884">
        <f>$A988*S988*$T$1</f>
        <v>0</v>
      </c>
    </row>
    <row r="989" spans="1:41" s="1039" customFormat="1" ht="13.2">
      <c r="A989" s="112">
        <v>1</v>
      </c>
      <c r="B989" s="1039" t="s">
        <v>949</v>
      </c>
      <c r="D989" s="1039" t="s">
        <v>1548</v>
      </c>
      <c r="G989" s="1040" t="s">
        <v>1991</v>
      </c>
      <c r="H989" s="1041">
        <v>512</v>
      </c>
      <c r="I989" s="1039" t="s">
        <v>1519</v>
      </c>
      <c r="J989" s="1039" t="s">
        <v>1520</v>
      </c>
      <c r="O989" s="1042">
        <v>3</v>
      </c>
      <c r="P989" s="1043">
        <v>38421</v>
      </c>
      <c r="Q989" s="1044">
        <v>699.68</v>
      </c>
      <c r="R989" s="1045">
        <f>$A989*Q989</f>
        <v>699.68</v>
      </c>
      <c r="S989" s="1044">
        <v>4</v>
      </c>
      <c r="T989" s="1046">
        <f>$A989*S989*$T$1</f>
        <v>4.2</v>
      </c>
    </row>
    <row r="990" spans="1:41" s="1039" customFormat="1" ht="13.2">
      <c r="A990" s="112">
        <v>1</v>
      </c>
      <c r="B990" s="1039" t="s">
        <v>949</v>
      </c>
      <c r="D990" s="1039" t="s">
        <v>1521</v>
      </c>
      <c r="G990" s="1040" t="s">
        <v>1991</v>
      </c>
      <c r="H990" s="1041">
        <v>512</v>
      </c>
      <c r="I990" s="1039" t="s">
        <v>1519</v>
      </c>
      <c r="J990" s="1039" t="s">
        <v>1520</v>
      </c>
      <c r="O990" s="1042">
        <v>3</v>
      </c>
      <c r="P990" s="1043">
        <v>38421</v>
      </c>
      <c r="Q990" s="1044">
        <v>154.63</v>
      </c>
      <c r="R990" s="1045">
        <f>$A990*Q990</f>
        <v>154.63</v>
      </c>
      <c r="S990" s="1044"/>
      <c r="T990" s="1046">
        <f>$A990*S990*$T$1</f>
        <v>0</v>
      </c>
    </row>
    <row r="991" spans="1:41" s="504" customFormat="1" ht="13.2">
      <c r="A991" s="930"/>
      <c r="B991" s="513"/>
      <c r="C991" s="513"/>
      <c r="D991" s="3"/>
      <c r="E991" s="513"/>
      <c r="F991" s="513"/>
      <c r="G991" s="513"/>
      <c r="H991" s="513"/>
      <c r="I991" s="513"/>
      <c r="J991" s="513"/>
      <c r="K991" s="513"/>
      <c r="L991" s="1246"/>
      <c r="M991" s="513"/>
      <c r="N991" s="513"/>
      <c r="O991" s="513"/>
      <c r="P991" s="513"/>
      <c r="Q991" s="513"/>
      <c r="R991" s="1247">
        <f>$A991*Q991</f>
        <v>0</v>
      </c>
      <c r="S991" s="513"/>
      <c r="T991" s="884">
        <f>$A991*S991*$T$1</f>
        <v>0</v>
      </c>
    </row>
    <row r="992" spans="1:41" s="504" customFormat="1" ht="12" customHeight="1">
      <c r="A992" s="1272" t="s">
        <v>142</v>
      </c>
      <c r="B992" s="1273">
        <f>(R991+T991)</f>
        <v>0</v>
      </c>
      <c r="C992" s="1274"/>
      <c r="D992" s="1274"/>
      <c r="E992" s="1274"/>
      <c r="F992" s="1274"/>
      <c r="G992" s="1253"/>
      <c r="H992" s="1253"/>
      <c r="I992" s="1253"/>
      <c r="J992" s="1253"/>
      <c r="K992" s="1275" t="s">
        <v>5</v>
      </c>
      <c r="L992" s="1276" t="s">
        <v>1473</v>
      </c>
      <c r="M992" s="1253"/>
      <c r="N992" s="1253"/>
      <c r="O992" s="1253"/>
      <c r="P992" s="1253"/>
      <c r="Q992" s="1253"/>
      <c r="R992" s="1254">
        <f>SUM(R987:R991)</f>
        <v>854.31</v>
      </c>
      <c r="S992" s="1255"/>
      <c r="T992" s="1254">
        <f>SUM(T987:T991)</f>
        <v>4.2</v>
      </c>
      <c r="AG992" s="1309">
        <f>ROUND($R992*$S$3,2)</f>
        <v>1042.26</v>
      </c>
    </row>
    <row r="993" spans="1:41" s="504" customFormat="1" ht="12.75" customHeight="1">
      <c r="A993" s="1277"/>
      <c r="B993" s="1278"/>
      <c r="E993" s="882"/>
      <c r="F993" s="1279"/>
      <c r="G993" s="882"/>
      <c r="H993" s="882"/>
      <c r="I993" s="503"/>
      <c r="J993" s="882"/>
      <c r="K993" s="882"/>
      <c r="L993" s="1280"/>
      <c r="M993" s="933"/>
      <c r="N993" s="933"/>
      <c r="O993" s="933"/>
      <c r="P993" s="933"/>
      <c r="Q993" s="900"/>
      <c r="R993" s="1258"/>
      <c r="S993" s="882"/>
      <c r="T993" s="1258"/>
    </row>
    <row r="994" spans="1:41" s="504" customFormat="1" ht="13.5" customHeight="1" thickBot="1">
      <c r="A994" s="1281"/>
      <c r="B994" s="1282"/>
      <c r="C994" s="514"/>
      <c r="D994" s="514"/>
      <c r="E994" s="887"/>
      <c r="F994" s="888"/>
      <c r="G994" s="887" t="s">
        <v>143</v>
      </c>
      <c r="H994" s="887"/>
      <c r="I994" s="889"/>
      <c r="J994" s="887"/>
      <c r="K994" s="887"/>
      <c r="L994" s="1283" t="s">
        <v>140</v>
      </c>
      <c r="M994" s="890"/>
      <c r="N994" s="890"/>
      <c r="O994" s="890"/>
      <c r="P994" s="890"/>
      <c r="Q994" s="891"/>
      <c r="R994" s="1284">
        <f ca="1">SUMIF($L979:$L993,"SUBI",R979:R993)</f>
        <v>856.38</v>
      </c>
      <c r="S994" s="887"/>
      <c r="T994" s="1284">
        <f ca="1">SUMIF($L979:$L993,"SUBI",T979:T993)</f>
        <v>4.3900000000000006</v>
      </c>
      <c r="U994" s="514"/>
      <c r="V994" s="514"/>
      <c r="W994" s="514"/>
      <c r="X994" s="514"/>
      <c r="Y994" s="514"/>
      <c r="Z994" s="514"/>
      <c r="AA994" s="514"/>
      <c r="AB994" s="514"/>
      <c r="AC994" s="514"/>
      <c r="AD994" s="514"/>
      <c r="AE994" s="514"/>
      <c r="AF994" s="514"/>
      <c r="AG994" s="514"/>
      <c r="AH994" s="514"/>
      <c r="AI994" s="514"/>
      <c r="AJ994" s="514"/>
      <c r="AK994" s="514"/>
      <c r="AL994" s="514"/>
      <c r="AM994" s="514"/>
      <c r="AN994" s="514"/>
      <c r="AO994" s="514"/>
    </row>
    <row r="995" spans="1:41" s="504" customFormat="1" thickTop="1">
      <c r="A995" s="50"/>
      <c r="B995" s="50"/>
      <c r="C995" s="3"/>
      <c r="D995" s="3"/>
      <c r="E995" s="50"/>
      <c r="F995" s="50"/>
      <c r="G995" s="50"/>
      <c r="H995" s="50"/>
      <c r="I995" s="50"/>
      <c r="J995" s="50"/>
      <c r="K995" s="50" t="s">
        <v>133</v>
      </c>
      <c r="L995" s="50"/>
      <c r="M995" s="50"/>
      <c r="N995" s="50"/>
      <c r="O995" s="51"/>
      <c r="P995" s="50"/>
      <c r="Q995" s="50"/>
      <c r="R995" s="50"/>
      <c r="S995" s="50"/>
      <c r="T995" s="50"/>
    </row>
    <row r="996" spans="1:41" s="504" customFormat="1" ht="12">
      <c r="A996" s="50"/>
      <c r="B996" s="50"/>
      <c r="C996" s="50" t="s">
        <v>134</v>
      </c>
      <c r="D996" s="37" t="s">
        <v>853</v>
      </c>
      <c r="E996" s="50"/>
      <c r="F996" s="50"/>
      <c r="G996" s="50"/>
      <c r="H996" s="50"/>
      <c r="I996" s="50"/>
      <c r="J996" s="50"/>
      <c r="K996" s="50"/>
      <c r="L996" s="50"/>
      <c r="M996" s="50"/>
      <c r="N996" s="50"/>
      <c r="O996" s="51"/>
      <c r="P996" s="50"/>
      <c r="Q996" s="50"/>
      <c r="R996" s="50"/>
      <c r="S996" s="50"/>
      <c r="T996" s="50"/>
    </row>
    <row r="997" spans="1:41" s="504" customFormat="1" ht="12">
      <c r="A997" s="50"/>
      <c r="B997" s="50"/>
      <c r="C997" s="50"/>
      <c r="D997" s="37" t="s">
        <v>345</v>
      </c>
      <c r="E997" s="50"/>
      <c r="F997" s="50"/>
      <c r="G997" s="50"/>
      <c r="H997" s="50"/>
      <c r="I997" s="50"/>
      <c r="J997" s="50"/>
      <c r="K997" s="50"/>
      <c r="L997" s="50"/>
      <c r="M997" s="50"/>
      <c r="N997" s="50"/>
      <c r="O997" s="51"/>
      <c r="P997" s="50"/>
      <c r="Q997" s="50"/>
      <c r="R997" s="50"/>
      <c r="S997" s="38"/>
      <c r="T997" s="38"/>
    </row>
    <row r="998" spans="1:41" s="3" customFormat="1" thickBot="1">
      <c r="A998" s="514"/>
      <c r="O998" s="103"/>
    </row>
    <row r="999" spans="1:41" s="504" customFormat="1" ht="12" thickTop="1">
      <c r="A999" s="50"/>
      <c r="B999" s="40"/>
      <c r="C999" s="50"/>
      <c r="E999" s="41" t="s">
        <v>136</v>
      </c>
      <c r="F999" s="41" t="s">
        <v>137</v>
      </c>
      <c r="G999" s="50"/>
      <c r="H999" s="50"/>
      <c r="I999" s="50"/>
      <c r="J999" s="50"/>
      <c r="K999" s="50" t="s">
        <v>138</v>
      </c>
      <c r="L999" s="50"/>
      <c r="M999" s="50"/>
      <c r="N999" s="50"/>
      <c r="O999" s="51"/>
      <c r="P999" s="50"/>
      <c r="Q999" s="50"/>
      <c r="R999" s="50"/>
      <c r="S999" s="50"/>
      <c r="T999" s="40"/>
      <c r="AG999" s="867" t="s">
        <v>241</v>
      </c>
      <c r="AH999" s="867" t="s">
        <v>242</v>
      </c>
      <c r="AI999" s="867" t="s">
        <v>243</v>
      </c>
      <c r="AJ999" s="867" t="s">
        <v>244</v>
      </c>
      <c r="AK999" s="867" t="s">
        <v>245</v>
      </c>
      <c r="AM999" s="868" t="s">
        <v>254</v>
      </c>
      <c r="AN999" s="869" t="s">
        <v>255</v>
      </c>
      <c r="AO999" s="505" t="s">
        <v>251</v>
      </c>
    </row>
    <row r="1000" spans="1:41" s="504" customFormat="1" ht="12" customHeight="1">
      <c r="A1000" s="870">
        <v>2</v>
      </c>
      <c r="B1000" s="871" t="s">
        <v>335</v>
      </c>
      <c r="C1000" s="872"/>
      <c r="D1000" s="873" t="s">
        <v>804</v>
      </c>
      <c r="E1000" s="874">
        <f>IF(AND($A1000=0,$A$1="DIF"),0, ROUND(ROUND(($R1004*$S$2+($T1004*$T$2))/A1000,2)*$C$2,2))</f>
        <v>9.94</v>
      </c>
      <c r="F1000" s="875">
        <f>ROUND($A1000*$E1000,2)</f>
        <v>19.88</v>
      </c>
      <c r="G1000" s="876" t="s">
        <v>139</v>
      </c>
      <c r="H1000" s="877"/>
      <c r="I1000" s="878"/>
      <c r="J1000" s="877"/>
      <c r="K1000" s="877" t="s">
        <v>3</v>
      </c>
      <c r="L1000" s="879" t="s">
        <v>140</v>
      </c>
      <c r="M1000" s="879"/>
      <c r="N1000" s="879"/>
      <c r="O1000" s="879"/>
      <c r="P1000" s="879"/>
      <c r="Q1000" s="50"/>
      <c r="T1000" s="880" t="str">
        <f>IF(AND($R1004=0,$T1004=0),"0.00","mu :" &amp; ROUND($F1000/$C$2/($R1004+$T1004*$D$9),2))</f>
        <v>mu :1.22</v>
      </c>
      <c r="W1000" s="507"/>
      <c r="AG1000" s="465">
        <f>IF($E1000=0,0,ROUND($R1004*$S$2*$C$2/$A1000,2))</f>
        <v>9.94</v>
      </c>
      <c r="AH1000" s="465">
        <f>$AG1000*$A1000</f>
        <v>19.88</v>
      </c>
      <c r="AI1000" s="508">
        <f>$E1000-$AG1000</f>
        <v>0</v>
      </c>
      <c r="AJ1000" s="508">
        <f>$A1000*$AI1000</f>
        <v>0</v>
      </c>
      <c r="AK1000" s="509">
        <f>ROUND(($AG1000+$AI1000)*$A1000,2)</f>
        <v>19.88</v>
      </c>
      <c r="AM1000" s="510">
        <f>ROUND(R1004,2)</f>
        <v>16.3</v>
      </c>
      <c r="AN1000" s="511">
        <f>ROUND(T1004,2)</f>
        <v>0</v>
      </c>
      <c r="AO1000" s="512">
        <f>ROUND(AM1000+AN1000,2)*A1000</f>
        <v>32.6</v>
      </c>
    </row>
    <row r="1001" spans="1:41" s="504" customFormat="1" ht="13.2">
      <c r="A1001" s="50"/>
      <c r="B1001"/>
      <c r="C1001" s="872"/>
      <c r="D1001" s="873" t="s">
        <v>381</v>
      </c>
      <c r="F1001" s="877"/>
      <c r="G1001" s="3"/>
      <c r="H1001" s="877"/>
      <c r="I1001" s="878"/>
      <c r="J1001" s="877"/>
      <c r="K1001" s="877" t="s">
        <v>141</v>
      </c>
      <c r="L1001" s="877"/>
      <c r="M1001" s="877"/>
      <c r="N1001" s="877"/>
      <c r="O1001" s="877"/>
      <c r="P1001" s="877"/>
      <c r="Q1001" s="50"/>
      <c r="R1001" s="513"/>
      <c r="S1001" s="881"/>
      <c r="T1001" s="877"/>
    </row>
    <row r="1002" spans="1:41" s="1039" customFormat="1" ht="11.4">
      <c r="A1002" s="50">
        <v>2</v>
      </c>
      <c r="B1002" s="1039" t="s">
        <v>949</v>
      </c>
      <c r="D1002" s="1039" t="s">
        <v>1284</v>
      </c>
      <c r="G1002" s="1040" t="s">
        <v>1182</v>
      </c>
      <c r="H1002" s="1041">
        <v>705</v>
      </c>
      <c r="I1002" s="1039" t="s">
        <v>1183</v>
      </c>
      <c r="J1002" s="1039" t="s">
        <v>1184</v>
      </c>
      <c r="O1002" s="1042">
        <v>3</v>
      </c>
      <c r="P1002" s="1043">
        <v>34669</v>
      </c>
      <c r="Q1002" s="1044">
        <v>8.15</v>
      </c>
      <c r="R1002" s="1045">
        <f>$A1002*Q1002</f>
        <v>16.3</v>
      </c>
      <c r="S1002" s="1044">
        <v>0</v>
      </c>
      <c r="T1002" s="1046">
        <f>$A1002*S1002*$T$1</f>
        <v>0</v>
      </c>
    </row>
    <row r="1003" spans="1:41" s="504" customFormat="1" ht="12">
      <c r="A1003" s="882"/>
      <c r="B1003" s="882"/>
      <c r="C1003" s="882"/>
      <c r="D1003" s="882"/>
      <c r="E1003" s="882"/>
      <c r="F1003" s="877"/>
      <c r="G1003" s="882"/>
      <c r="H1003" s="882"/>
      <c r="I1003" s="503"/>
      <c r="J1003" s="882"/>
      <c r="K1003" s="882"/>
      <c r="L1003" s="882"/>
      <c r="M1003" s="882"/>
      <c r="N1003" s="882"/>
      <c r="O1003" s="882"/>
      <c r="P1003" s="882"/>
      <c r="Q1003" s="503"/>
      <c r="R1003" s="883">
        <f>$A1003*Q1003</f>
        <v>0</v>
      </c>
      <c r="S1003" s="503"/>
      <c r="T1003" s="884">
        <f>$A1003*S1003*$T$1</f>
        <v>0</v>
      </c>
    </row>
    <row r="1004" spans="1:41" s="504" customFormat="1" ht="12.6" thickBot="1">
      <c r="A1004" s="885" t="s">
        <v>142</v>
      </c>
      <c r="B1004" s="886">
        <f>(R1003+T1003)</f>
        <v>0</v>
      </c>
      <c r="C1004" s="887"/>
      <c r="D1004" s="887"/>
      <c r="E1004" s="887"/>
      <c r="F1004" s="888"/>
      <c r="G1004" s="887" t="s">
        <v>143</v>
      </c>
      <c r="H1004" s="887"/>
      <c r="I1004" s="889"/>
      <c r="J1004" s="887"/>
      <c r="K1004" s="887" t="s">
        <v>3</v>
      </c>
      <c r="L1004" s="890" t="s">
        <v>140</v>
      </c>
      <c r="M1004" s="890"/>
      <c r="N1004" s="890"/>
      <c r="O1004" s="890"/>
      <c r="P1004" s="890"/>
      <c r="Q1004" s="891"/>
      <c r="R1004" s="892">
        <f>SUM(R1001:R1003)</f>
        <v>16.3</v>
      </c>
      <c r="S1004" s="887"/>
      <c r="T1004" s="892">
        <f>SUM(T1001:T1003)</f>
        <v>0</v>
      </c>
      <c r="U1004" s="514"/>
      <c r="V1004" s="514"/>
      <c r="W1004" s="514"/>
      <c r="X1004" s="514"/>
      <c r="Y1004" s="514"/>
      <c r="Z1004" s="514"/>
      <c r="AA1004" s="514"/>
      <c r="AB1004" s="514"/>
      <c r="AC1004" s="514"/>
      <c r="AD1004" s="514"/>
      <c r="AE1004" s="514"/>
      <c r="AF1004" s="514"/>
      <c r="AG1004" s="514"/>
      <c r="AH1004" s="514"/>
      <c r="AI1004" s="514"/>
      <c r="AJ1004" s="514"/>
      <c r="AK1004" s="514"/>
      <c r="AL1004" s="514"/>
      <c r="AM1004" s="514"/>
      <c r="AN1004" s="514"/>
      <c r="AO1004" s="514"/>
    </row>
    <row r="1005" spans="1:41" s="504" customFormat="1" ht="12" thickTop="1">
      <c r="A1005" s="50"/>
      <c r="B1005" s="40"/>
      <c r="C1005" s="50"/>
      <c r="E1005" s="41" t="s">
        <v>136</v>
      </c>
      <c r="F1005" s="41" t="s">
        <v>137</v>
      </c>
      <c r="G1005" s="50"/>
      <c r="H1005" s="50"/>
      <c r="I1005" s="50"/>
      <c r="J1005" s="50"/>
      <c r="K1005" s="50" t="s">
        <v>138</v>
      </c>
      <c r="L1005" s="50"/>
      <c r="M1005" s="50"/>
      <c r="N1005" s="50"/>
      <c r="O1005" s="51"/>
      <c r="P1005" s="50"/>
      <c r="Q1005" s="50"/>
      <c r="R1005" s="50"/>
      <c r="S1005" s="50"/>
      <c r="T1005" s="40"/>
      <c r="AG1005" s="867" t="s">
        <v>241</v>
      </c>
      <c r="AH1005" s="867" t="s">
        <v>242</v>
      </c>
      <c r="AI1005" s="867" t="s">
        <v>243</v>
      </c>
      <c r="AJ1005" s="867" t="s">
        <v>244</v>
      </c>
      <c r="AK1005" s="867" t="s">
        <v>245</v>
      </c>
      <c r="AM1005" s="868" t="s">
        <v>254</v>
      </c>
      <c r="AN1005" s="869" t="s">
        <v>255</v>
      </c>
      <c r="AO1005" s="505" t="s">
        <v>251</v>
      </c>
    </row>
    <row r="1006" spans="1:41" s="504" customFormat="1" ht="12" customHeight="1">
      <c r="A1006" s="870">
        <v>7</v>
      </c>
      <c r="B1006" s="871" t="s">
        <v>335</v>
      </c>
      <c r="C1006" s="872"/>
      <c r="D1006" s="873" t="s">
        <v>806</v>
      </c>
      <c r="E1006" s="874">
        <f ca="1">IF(AND($A1006=0,$A$1="DIF"),0, ROUND(ROUND(($R1011*$S$2+($T1011*$T$2))/A1006,2)*$C$2,2))</f>
        <v>28.98</v>
      </c>
      <c r="F1006" s="875">
        <f ca="1">ROUND($A1006*$E1006,2)</f>
        <v>202.86</v>
      </c>
      <c r="G1006" s="876" t="s">
        <v>139</v>
      </c>
      <c r="H1006" s="877"/>
      <c r="I1006" s="878"/>
      <c r="J1006" s="877"/>
      <c r="K1006" s="877" t="s">
        <v>3</v>
      </c>
      <c r="L1006" s="879" t="s">
        <v>140</v>
      </c>
      <c r="M1006" s="879"/>
      <c r="N1006" s="879"/>
      <c r="O1006" s="879"/>
      <c r="P1006" s="879"/>
      <c r="Q1006" s="50"/>
      <c r="T1006" s="880" t="str">
        <f ca="1">IF(AND($R1011=0,$T1011=0),"0.00","mu :" &amp; ROUND($F1006/$C$2/($R1011+$T1011*$D$9),2))</f>
        <v>mu :1.22</v>
      </c>
      <c r="W1006" s="507"/>
      <c r="AG1006" s="465">
        <f ca="1">IF($E1006=0,0,ROUND($R1011*$S$2*$C$2/$A1006,2))</f>
        <v>28.98</v>
      </c>
      <c r="AH1006" s="465">
        <f ca="1">$AG1006*$A1006</f>
        <v>202.86</v>
      </c>
      <c r="AI1006" s="508">
        <f ca="1">$E1006-$AG1006</f>
        <v>0</v>
      </c>
      <c r="AJ1006" s="508">
        <f ca="1">$A1006*$AI1006</f>
        <v>0</v>
      </c>
      <c r="AK1006" s="509">
        <f ca="1">ROUND(($AG1006+$AI1006)*$A1006,2)</f>
        <v>202.86</v>
      </c>
      <c r="AM1006" s="510">
        <f ca="1">ROUND(R1011,2)</f>
        <v>166.25</v>
      </c>
      <c r="AN1006" s="511">
        <f ca="1">ROUND(T1011,2)</f>
        <v>0</v>
      </c>
      <c r="AO1006" s="512">
        <f ca="1">ROUND(AM1006+AN1006,2)*A1006</f>
        <v>1163.75</v>
      </c>
    </row>
    <row r="1007" spans="1:41" s="504" customFormat="1" ht="13.2">
      <c r="A1007" s="872"/>
      <c r="B1007"/>
      <c r="C1007" s="872"/>
      <c r="D1007" s="873" t="s">
        <v>348</v>
      </c>
      <c r="F1007" s="877"/>
      <c r="G1007" s="3"/>
      <c r="H1007" s="877"/>
      <c r="I1007" s="878"/>
      <c r="J1007" s="877"/>
      <c r="K1007" s="877" t="s">
        <v>141</v>
      </c>
      <c r="L1007" s="877"/>
      <c r="M1007" s="877"/>
      <c r="N1007" s="877"/>
      <c r="O1007" s="877"/>
      <c r="P1007" s="877"/>
      <c r="Q1007" s="50"/>
      <c r="R1007" s="513"/>
      <c r="S1007" s="881"/>
      <c r="T1007" s="877"/>
    </row>
    <row r="1008" spans="1:41" s="997" customFormat="1" ht="13.2">
      <c r="A1008"/>
      <c r="B1008" s="1065"/>
      <c r="C1008" s="1065" t="s">
        <v>1006</v>
      </c>
      <c r="D1008" s="1065" t="str">
        <f ca="1">CELL("Address",Elec_Rates!D$222)</f>
        <v>[EL25_0662B_Brittania_Hotel_Elec_Revised_Estim_B.xlsx]Elec_Rates!$D$222</v>
      </c>
      <c r="E1008" s="1066"/>
      <c r="F1008" s="1066"/>
      <c r="G1008" s="1067" t="s">
        <v>1007</v>
      </c>
      <c r="H1008" s="1067"/>
      <c r="I1008" s="1067"/>
      <c r="J1008" s="1067"/>
      <c r="K1008" s="1068"/>
      <c r="L1008" s="1066"/>
      <c r="M1008" s="1066"/>
      <c r="N1008" s="1066"/>
      <c r="O1008" s="1069"/>
      <c r="P1008" s="1066"/>
      <c r="Q1008" s="1070"/>
      <c r="R1008" s="1071"/>
      <c r="S1008" s="1070"/>
      <c r="T1008" s="1072"/>
      <c r="U1008" s="1073"/>
    </row>
    <row r="1009" spans="1:41" s="997" customFormat="1" ht="11.4">
      <c r="A1009" s="1074">
        <v>7</v>
      </c>
      <c r="B1009" s="1075">
        <v>1</v>
      </c>
      <c r="C1009" s="1075">
        <f>$A1009*$B1009</f>
        <v>7</v>
      </c>
      <c r="D1009" s="1076" t="str">
        <f>Elec_Rates!$D$222</f>
        <v>022# Supply Only - Type 'E1' - Single Sided, Wall Mounted, Directional Exit Signage</v>
      </c>
      <c r="E1009" s="1076"/>
      <c r="F1009" s="1076"/>
      <c r="G1009" s="1077" t="s">
        <v>1008</v>
      </c>
      <c r="H1009" s="1077"/>
      <c r="I1009" s="1077"/>
      <c r="J1009" s="1077"/>
      <c r="K1009" s="1078"/>
      <c r="L1009" s="1073"/>
      <c r="M1009" s="1073"/>
      <c r="N1009" s="1073"/>
      <c r="O1009" s="1079"/>
      <c r="P1009" s="1076"/>
      <c r="Q1009" s="1080">
        <f ca="1">$B1009*Elec_Rates!$R$222</f>
        <v>23.75</v>
      </c>
      <c r="R1009" s="1071">
        <f ca="1">$A1009*Q1009</f>
        <v>166.25</v>
      </c>
      <c r="S1009" s="1080">
        <f ca="1">$B1009*Elec_Rates!$T$222</f>
        <v>0</v>
      </c>
      <c r="T1009" s="1072">
        <f ca="1">$A1009*S1009</f>
        <v>0</v>
      </c>
      <c r="U1009" s="1081"/>
    </row>
    <row r="1010" spans="1:41" s="504" customFormat="1" ht="12">
      <c r="A1010" s="882"/>
      <c r="B1010" s="882"/>
      <c r="C1010" s="882"/>
      <c r="D1010" s="882"/>
      <c r="E1010" s="882"/>
      <c r="F1010" s="877"/>
      <c r="G1010" s="882"/>
      <c r="H1010" s="882"/>
      <c r="I1010" s="503"/>
      <c r="J1010" s="882"/>
      <c r="K1010" s="882"/>
      <c r="L1010" s="882"/>
      <c r="M1010" s="882"/>
      <c r="N1010" s="882"/>
      <c r="O1010" s="882"/>
      <c r="P1010" s="882"/>
      <c r="Q1010" s="503"/>
      <c r="R1010" s="883">
        <f>$A1010*Q1010</f>
        <v>0</v>
      </c>
      <c r="S1010" s="503"/>
      <c r="T1010" s="884">
        <f>$A1010*S1010*$T$1</f>
        <v>0</v>
      </c>
    </row>
    <row r="1011" spans="1:41" s="504" customFormat="1" ht="12.6" thickBot="1">
      <c r="A1011" s="885" t="s">
        <v>142</v>
      </c>
      <c r="B1011" s="886">
        <f>(R1010+T1010)</f>
        <v>0</v>
      </c>
      <c r="C1011" s="887"/>
      <c r="D1011" s="887"/>
      <c r="E1011" s="887"/>
      <c r="F1011" s="888"/>
      <c r="G1011" s="887" t="s">
        <v>143</v>
      </c>
      <c r="H1011" s="887"/>
      <c r="I1011" s="889"/>
      <c r="J1011" s="887"/>
      <c r="K1011" s="887" t="s">
        <v>3</v>
      </c>
      <c r="L1011" s="890" t="s">
        <v>140</v>
      </c>
      <c r="M1011" s="890"/>
      <c r="N1011" s="890"/>
      <c r="O1011" s="890"/>
      <c r="P1011" s="890"/>
      <c r="Q1011" s="891"/>
      <c r="R1011" s="892">
        <f ca="1">SUM(R1007:R1010)</f>
        <v>166.25</v>
      </c>
      <c r="S1011" s="887"/>
      <c r="T1011" s="892">
        <f ca="1">SUM(T1007:T1010)</f>
        <v>0</v>
      </c>
      <c r="U1011" s="514"/>
      <c r="V1011" s="514"/>
      <c r="W1011" s="514"/>
      <c r="X1011" s="514"/>
      <c r="Y1011" s="514"/>
      <c r="Z1011" s="514"/>
      <c r="AA1011" s="514"/>
      <c r="AB1011" s="514"/>
      <c r="AC1011" s="514"/>
      <c r="AD1011" s="514"/>
      <c r="AE1011" s="514"/>
      <c r="AF1011" s="514"/>
      <c r="AG1011" s="514"/>
      <c r="AH1011" s="514"/>
      <c r="AI1011" s="514"/>
      <c r="AJ1011" s="514"/>
      <c r="AK1011" s="514"/>
      <c r="AL1011" s="514"/>
      <c r="AM1011" s="514"/>
      <c r="AN1011" s="514"/>
      <c r="AO1011" s="514"/>
    </row>
    <row r="1012" spans="1:41" s="504" customFormat="1" ht="12" thickTop="1">
      <c r="A1012" s="50"/>
      <c r="B1012" s="40"/>
      <c r="C1012" s="50"/>
      <c r="E1012" s="41" t="s">
        <v>136</v>
      </c>
      <c r="F1012" s="41" t="s">
        <v>137</v>
      </c>
      <c r="G1012" s="50"/>
      <c r="H1012" s="50"/>
      <c r="I1012" s="50"/>
      <c r="J1012" s="50"/>
      <c r="K1012" s="50" t="s">
        <v>138</v>
      </c>
      <c r="L1012" s="50"/>
      <c r="M1012" s="50"/>
      <c r="N1012" s="50"/>
      <c r="O1012" s="51"/>
      <c r="P1012" s="50"/>
      <c r="Q1012" s="50"/>
      <c r="R1012" s="50"/>
      <c r="S1012" s="50"/>
      <c r="T1012" s="40"/>
      <c r="AG1012" s="867" t="s">
        <v>241</v>
      </c>
      <c r="AH1012" s="867" t="s">
        <v>242</v>
      </c>
      <c r="AI1012" s="867" t="s">
        <v>243</v>
      </c>
      <c r="AJ1012" s="867" t="s">
        <v>244</v>
      </c>
      <c r="AK1012" s="867" t="s">
        <v>245</v>
      </c>
      <c r="AM1012" s="868" t="s">
        <v>254</v>
      </c>
      <c r="AN1012" s="869" t="s">
        <v>255</v>
      </c>
      <c r="AO1012" s="505" t="s">
        <v>251</v>
      </c>
    </row>
    <row r="1013" spans="1:41" s="504" customFormat="1" ht="12" customHeight="1">
      <c r="A1013" s="870">
        <v>4</v>
      </c>
      <c r="B1013" s="871" t="s">
        <v>335</v>
      </c>
      <c r="C1013" s="872"/>
      <c r="D1013" s="873" t="s">
        <v>808</v>
      </c>
      <c r="E1013" s="874">
        <f ca="1">IF(AND($A1013=0,$A$1="DIF"),0, ROUND(ROUND(($R1018*$S$2+($T1018*$T$2))/A1013,2)*$C$2,2))</f>
        <v>43.86</v>
      </c>
      <c r="F1013" s="875">
        <f ca="1">ROUND($A1013*$E1013,2)</f>
        <v>175.44</v>
      </c>
      <c r="G1013" s="876" t="s">
        <v>139</v>
      </c>
      <c r="H1013" s="877"/>
      <c r="I1013" s="878"/>
      <c r="J1013" s="877"/>
      <c r="K1013" s="877" t="s">
        <v>3</v>
      </c>
      <c r="L1013" s="879" t="s">
        <v>140</v>
      </c>
      <c r="M1013" s="879"/>
      <c r="N1013" s="879"/>
      <c r="O1013" s="879"/>
      <c r="P1013" s="879"/>
      <c r="Q1013" s="50"/>
      <c r="T1013" s="880" t="str">
        <f ca="1">IF(AND($R1018=0,$T1018=0),"0.00","mu :" &amp; ROUND($F1013/$C$2/($R1018+$T1018*$D$9),2))</f>
        <v>mu :1.22</v>
      </c>
      <c r="W1013" s="507"/>
      <c r="AG1013" s="465">
        <f ca="1">IF($E1013=0,0,ROUND($R1018*$S$2*$C$2/$A1013,2))</f>
        <v>43.86</v>
      </c>
      <c r="AH1013" s="465">
        <f ca="1">$AG1013*$A1013</f>
        <v>175.44</v>
      </c>
      <c r="AI1013" s="508">
        <f ca="1">$E1013-$AG1013</f>
        <v>0</v>
      </c>
      <c r="AJ1013" s="508">
        <f ca="1">$A1013*$AI1013</f>
        <v>0</v>
      </c>
      <c r="AK1013" s="509">
        <f ca="1">ROUND(($AG1013+$AI1013)*$A1013,2)</f>
        <v>175.44</v>
      </c>
      <c r="AM1013" s="510">
        <f ca="1">ROUND(R1018,2)</f>
        <v>143.80000000000001</v>
      </c>
      <c r="AN1013" s="511">
        <f ca="1">ROUND(T1018,2)</f>
        <v>0</v>
      </c>
      <c r="AO1013" s="512">
        <f ca="1">ROUND(AM1013+AN1013,2)*A1013</f>
        <v>575.20000000000005</v>
      </c>
    </row>
    <row r="1014" spans="1:41" s="504" customFormat="1" ht="13.2">
      <c r="A1014" s="872"/>
      <c r="B1014"/>
      <c r="C1014" s="872"/>
      <c r="D1014" s="873" t="s">
        <v>382</v>
      </c>
      <c r="F1014" s="877"/>
      <c r="G1014" s="3"/>
      <c r="H1014" s="877"/>
      <c r="I1014" s="878"/>
      <c r="J1014" s="877"/>
      <c r="K1014" s="877" t="s">
        <v>141</v>
      </c>
      <c r="L1014" s="877"/>
      <c r="M1014" s="877"/>
      <c r="N1014" s="877"/>
      <c r="O1014" s="877"/>
      <c r="P1014" s="877"/>
      <c r="Q1014" s="50"/>
      <c r="R1014" s="513"/>
      <c r="S1014" s="881"/>
      <c r="T1014" s="877"/>
    </row>
    <row r="1015" spans="1:41" s="997" customFormat="1" ht="13.2">
      <c r="A1015"/>
      <c r="B1015" s="1065"/>
      <c r="C1015" s="1065" t="s">
        <v>1006</v>
      </c>
      <c r="D1015" s="1065" t="str">
        <f ca="1">CELL("Address",Elec_Rates!D$228)</f>
        <v>[EL25_0662B_Brittania_Hotel_Elec_Revised_Estim_B.xlsx]Elec_Rates!$D$228</v>
      </c>
      <c r="E1015" s="1066"/>
      <c r="F1015" s="1066"/>
      <c r="G1015" s="1067" t="s">
        <v>1007</v>
      </c>
      <c r="H1015" s="1067"/>
      <c r="I1015" s="1067"/>
      <c r="J1015" s="1067"/>
      <c r="K1015" s="1068"/>
      <c r="L1015" s="1066"/>
      <c r="M1015" s="1066"/>
      <c r="N1015" s="1066"/>
      <c r="O1015" s="1069"/>
      <c r="P1015" s="1066"/>
      <c r="Q1015" s="1070"/>
      <c r="R1015" s="1071"/>
      <c r="S1015" s="1070"/>
      <c r="T1015" s="1072"/>
      <c r="U1015" s="1073"/>
    </row>
    <row r="1016" spans="1:41" s="997" customFormat="1" ht="11.4">
      <c r="A1016" s="1074">
        <v>4</v>
      </c>
      <c r="B1016" s="1075">
        <v>1</v>
      </c>
      <c r="C1016" s="1075">
        <f>$A1016*$B1016</f>
        <v>4</v>
      </c>
      <c r="D1016" s="1076" t="str">
        <f>Elec_Rates!$D$228</f>
        <v>023# Supply Only - Type 'E2' - Double Sided, Ceiling Mounted/ Soffit Recessed, Directional Exit Signage.</v>
      </c>
      <c r="E1016" s="1076"/>
      <c r="F1016" s="1076"/>
      <c r="G1016" s="1077" t="s">
        <v>1008</v>
      </c>
      <c r="H1016" s="1077"/>
      <c r="I1016" s="1077"/>
      <c r="J1016" s="1077"/>
      <c r="K1016" s="1078"/>
      <c r="L1016" s="1073"/>
      <c r="M1016" s="1073"/>
      <c r="N1016" s="1073"/>
      <c r="O1016" s="1079"/>
      <c r="P1016" s="1076"/>
      <c r="Q1016" s="1080">
        <f ca="1">$B1016*Elec_Rates!$R$228</f>
        <v>35.950000000000003</v>
      </c>
      <c r="R1016" s="1071">
        <f ca="1">$A1016*Q1016</f>
        <v>143.80000000000001</v>
      </c>
      <c r="S1016" s="1080">
        <f ca="1">$B1016*Elec_Rates!$T$228</f>
        <v>0</v>
      </c>
      <c r="T1016" s="1072">
        <f ca="1">$A1016*S1016</f>
        <v>0</v>
      </c>
      <c r="U1016" s="1081"/>
    </row>
    <row r="1017" spans="1:41" s="504" customFormat="1" ht="12">
      <c r="A1017" s="882"/>
      <c r="B1017" s="882"/>
      <c r="C1017" s="882"/>
      <c r="D1017" s="882"/>
      <c r="E1017" s="882"/>
      <c r="F1017" s="877"/>
      <c r="G1017" s="882"/>
      <c r="H1017" s="882"/>
      <c r="I1017" s="503"/>
      <c r="J1017" s="882"/>
      <c r="K1017" s="882"/>
      <c r="L1017" s="882"/>
      <c r="M1017" s="882"/>
      <c r="N1017" s="882"/>
      <c r="O1017" s="882"/>
      <c r="P1017" s="882"/>
      <c r="Q1017" s="503"/>
      <c r="R1017" s="883">
        <f>$A1017*Q1017</f>
        <v>0</v>
      </c>
      <c r="S1017" s="503"/>
      <c r="T1017" s="884">
        <f>$A1017*S1017*$T$1</f>
        <v>0</v>
      </c>
    </row>
    <row r="1018" spans="1:41" s="504" customFormat="1" ht="12.6" thickBot="1">
      <c r="A1018" s="885" t="s">
        <v>142</v>
      </c>
      <c r="B1018" s="886">
        <f>(R1017+T1017)</f>
        <v>0</v>
      </c>
      <c r="C1018" s="887"/>
      <c r="D1018" s="887"/>
      <c r="E1018" s="887"/>
      <c r="F1018" s="888"/>
      <c r="G1018" s="887" t="s">
        <v>143</v>
      </c>
      <c r="H1018" s="887"/>
      <c r="I1018" s="889"/>
      <c r="J1018" s="887"/>
      <c r="K1018" s="887" t="s">
        <v>3</v>
      </c>
      <c r="L1018" s="890" t="s">
        <v>140</v>
      </c>
      <c r="M1018" s="890"/>
      <c r="N1018" s="890"/>
      <c r="O1018" s="890"/>
      <c r="P1018" s="890"/>
      <c r="Q1018" s="891"/>
      <c r="R1018" s="892">
        <f ca="1">SUM(R1014:R1017)</f>
        <v>143.80000000000001</v>
      </c>
      <c r="S1018" s="887"/>
      <c r="T1018" s="892">
        <f ca="1">SUM(T1014:T1017)</f>
        <v>0</v>
      </c>
      <c r="U1018" s="514"/>
      <c r="V1018" s="514"/>
      <c r="W1018" s="514"/>
      <c r="X1018" s="514"/>
      <c r="Y1018" s="514"/>
      <c r="Z1018" s="514"/>
      <c r="AA1018" s="514"/>
      <c r="AB1018" s="514"/>
      <c r="AC1018" s="514"/>
      <c r="AD1018" s="514"/>
      <c r="AE1018" s="514"/>
      <c r="AF1018" s="514"/>
      <c r="AG1018" s="514"/>
      <c r="AH1018" s="514"/>
      <c r="AI1018" s="514"/>
      <c r="AJ1018" s="514"/>
      <c r="AK1018" s="514"/>
      <c r="AL1018" s="514"/>
      <c r="AM1018" s="514"/>
      <c r="AN1018" s="514"/>
      <c r="AO1018" s="514"/>
    </row>
    <row r="1019" spans="1:41" s="504" customFormat="1" thickTop="1">
      <c r="A1019" s="50"/>
      <c r="B1019" s="50"/>
      <c r="C1019" s="3"/>
      <c r="D1019" s="3"/>
      <c r="E1019" s="50"/>
      <c r="F1019" s="50"/>
      <c r="G1019" s="50"/>
      <c r="H1019" s="50"/>
      <c r="I1019" s="50"/>
      <c r="J1019" s="50"/>
      <c r="K1019" s="50" t="s">
        <v>133</v>
      </c>
      <c r="L1019" s="50"/>
      <c r="M1019" s="50"/>
      <c r="N1019" s="50"/>
      <c r="O1019" s="51"/>
      <c r="P1019" s="50"/>
      <c r="Q1019" s="50"/>
      <c r="R1019" s="50"/>
      <c r="S1019" s="50"/>
      <c r="T1019" s="50"/>
    </row>
    <row r="1020" spans="1:41" s="504" customFormat="1" ht="12">
      <c r="A1020" s="50"/>
      <c r="B1020" s="50"/>
      <c r="C1020" s="50" t="s">
        <v>134</v>
      </c>
      <c r="D1020" s="37" t="s">
        <v>854</v>
      </c>
      <c r="E1020" s="50"/>
      <c r="F1020" s="50"/>
      <c r="G1020" s="50"/>
      <c r="H1020" s="50"/>
      <c r="I1020" s="50"/>
      <c r="J1020" s="50"/>
      <c r="K1020" s="50"/>
      <c r="L1020" s="50"/>
      <c r="M1020" s="50"/>
      <c r="N1020" s="50"/>
      <c r="O1020" s="51"/>
      <c r="P1020" s="50"/>
      <c r="Q1020" s="50"/>
      <c r="R1020" s="50"/>
      <c r="S1020" s="50"/>
      <c r="T1020" s="50"/>
    </row>
    <row r="1021" spans="1:41" s="504" customFormat="1" ht="13.2">
      <c r="A1021" s="872"/>
      <c r="B1021"/>
      <c r="C1021" s="872"/>
      <c r="D1021" s="916" t="s">
        <v>351</v>
      </c>
      <c r="E1021" s="917"/>
      <c r="F1021" s="918"/>
      <c r="G1021" s="919"/>
      <c r="H1021" s="918"/>
      <c r="I1021" s="920"/>
      <c r="J1021" s="918"/>
      <c r="K1021" s="918"/>
      <c r="L1021" s="918"/>
      <c r="M1021" s="918"/>
      <c r="N1021" s="918"/>
      <c r="O1021" s="918"/>
      <c r="P1021" s="918"/>
      <c r="Q1021" s="921"/>
      <c r="R1021" s="513"/>
      <c r="S1021" s="881"/>
      <c r="T1021" s="877"/>
    </row>
    <row r="1022" spans="1:41" s="3" customFormat="1" thickBot="1">
      <c r="A1022" s="514"/>
      <c r="O1022" s="103"/>
    </row>
    <row r="1023" spans="1:41" s="504" customFormat="1" ht="12" thickTop="1">
      <c r="A1023" s="50"/>
      <c r="B1023" s="40"/>
      <c r="C1023" s="50"/>
      <c r="E1023" s="41" t="s">
        <v>136</v>
      </c>
      <c r="F1023" s="41" t="s">
        <v>137</v>
      </c>
      <c r="G1023" s="50"/>
      <c r="H1023" s="50"/>
      <c r="I1023" s="50"/>
      <c r="J1023" s="50"/>
      <c r="K1023" s="50" t="s">
        <v>138</v>
      </c>
      <c r="L1023" s="50"/>
      <c r="M1023" s="50"/>
      <c r="N1023" s="50"/>
      <c r="O1023" s="51"/>
      <c r="P1023" s="50"/>
      <c r="Q1023" s="50"/>
      <c r="R1023" s="50"/>
      <c r="S1023" s="50"/>
      <c r="T1023" s="40"/>
      <c r="AG1023" s="867" t="s">
        <v>241</v>
      </c>
      <c r="AH1023" s="867" t="s">
        <v>242</v>
      </c>
      <c r="AI1023" s="867" t="s">
        <v>243</v>
      </c>
      <c r="AJ1023" s="867" t="s">
        <v>244</v>
      </c>
      <c r="AK1023" s="867" t="s">
        <v>245</v>
      </c>
      <c r="AM1023" s="868" t="s">
        <v>254</v>
      </c>
      <c r="AN1023" s="869" t="s">
        <v>255</v>
      </c>
      <c r="AO1023" s="505" t="s">
        <v>251</v>
      </c>
    </row>
    <row r="1024" spans="1:41" s="504" customFormat="1" ht="12" customHeight="1">
      <c r="A1024" s="870">
        <v>40</v>
      </c>
      <c r="B1024" s="871" t="s">
        <v>335</v>
      </c>
      <c r="C1024" s="872"/>
      <c r="D1024" s="873" t="s">
        <v>804</v>
      </c>
      <c r="E1024" s="874">
        <f ca="1">IF(AND($A1024=0,$A$1="DIF"),0, ROUND(ROUND(($R1029*$S$2+($T1029*$T$2))/A1024,2)*$C$2,2))</f>
        <v>11.35</v>
      </c>
      <c r="F1024" s="875">
        <f ca="1">ROUND($A1024*$E1024,2)</f>
        <v>454</v>
      </c>
      <c r="G1024" s="876" t="s">
        <v>139</v>
      </c>
      <c r="H1024" s="877"/>
      <c r="I1024" s="878"/>
      <c r="J1024" s="877"/>
      <c r="K1024" s="877" t="s">
        <v>3</v>
      </c>
      <c r="L1024" s="879" t="s">
        <v>140</v>
      </c>
      <c r="M1024" s="879"/>
      <c r="N1024" s="879"/>
      <c r="O1024" s="879"/>
      <c r="P1024" s="879"/>
      <c r="Q1024" s="50"/>
      <c r="T1024" s="880" t="str">
        <f ca="1">IF(AND($R1029=0,$T1029=0),"0.00","mu :" &amp; ROUND($F1024/$C$2/($R1029+$T1029*$D$9),2))</f>
        <v>mu :1.22</v>
      </c>
      <c r="W1024" s="507"/>
      <c r="AG1024" s="465">
        <f ca="1">IF($E1024=0,0,ROUND($R1029*$S$2*$C$2/$A1024,2))</f>
        <v>0.1</v>
      </c>
      <c r="AH1024" s="465">
        <f ca="1">$AG1024*$A1024</f>
        <v>4</v>
      </c>
      <c r="AI1024" s="508">
        <f ca="1">$E1024-$AG1024</f>
        <v>11.25</v>
      </c>
      <c r="AJ1024" s="508">
        <f ca="1">$A1024*$AI1024</f>
        <v>450</v>
      </c>
      <c r="AK1024" s="509">
        <f ca="1">ROUND(($AG1024+$AI1024)*$A1024,2)</f>
        <v>454</v>
      </c>
      <c r="AM1024" s="510">
        <f ca="1">ROUND(R1029,2)</f>
        <v>3.2</v>
      </c>
      <c r="AN1024" s="511">
        <f ca="1">ROUND(T1029,2)</f>
        <v>12.8</v>
      </c>
      <c r="AO1024" s="512">
        <f ca="1">ROUND(AM1024+AN1024,2)*A1024</f>
        <v>640</v>
      </c>
    </row>
    <row r="1025" spans="1:41" s="504" customFormat="1" ht="13.2">
      <c r="A1025" s="872"/>
      <c r="B1025"/>
      <c r="C1025" s="872"/>
      <c r="D1025" s="873" t="s">
        <v>383</v>
      </c>
      <c r="F1025" s="877"/>
      <c r="G1025" s="3"/>
      <c r="H1025" s="877"/>
      <c r="I1025" s="878"/>
      <c r="J1025" s="877"/>
      <c r="K1025" s="877" t="s">
        <v>141</v>
      </c>
      <c r="L1025" s="877"/>
      <c r="M1025" s="877"/>
      <c r="N1025" s="877"/>
      <c r="O1025" s="877"/>
      <c r="P1025" s="877"/>
      <c r="Q1025" s="50"/>
      <c r="R1025" s="513"/>
      <c r="S1025" s="881"/>
      <c r="T1025" s="877"/>
    </row>
    <row r="1026" spans="1:41" s="997" customFormat="1" ht="13.2">
      <c r="A1026"/>
      <c r="B1026" s="1065"/>
      <c r="C1026" s="1065" t="s">
        <v>1006</v>
      </c>
      <c r="D1026" s="1065" t="str">
        <f ca="1">CELL("Address",Elec_Rates!D$391)</f>
        <v>[EL25_0662B_Brittania_Hotel_Elec_Revised_Estim_B.xlsx]Elec_Rates!$D$391</v>
      </c>
      <c r="E1026" s="1066"/>
      <c r="F1026" s="1066"/>
      <c r="G1026" s="1067" t="s">
        <v>1007</v>
      </c>
      <c r="H1026" s="1067"/>
      <c r="I1026" s="1067"/>
      <c r="J1026" s="1067"/>
      <c r="K1026" s="1068"/>
      <c r="L1026" s="1066"/>
      <c r="M1026" s="1066"/>
      <c r="N1026" s="1066"/>
      <c r="O1026" s="1069"/>
      <c r="P1026" s="1066"/>
      <c r="Q1026" s="1070"/>
      <c r="R1026" s="1071"/>
      <c r="S1026" s="1070"/>
      <c r="T1026" s="1072"/>
      <c r="U1026" s="1073"/>
    </row>
    <row r="1027" spans="1:41" s="997" customFormat="1" ht="11.4">
      <c r="A1027" s="1074">
        <v>40</v>
      </c>
      <c r="B1027" s="1075">
        <v>1</v>
      </c>
      <c r="C1027" s="1075">
        <f>$A1027*$B1027</f>
        <v>40</v>
      </c>
      <c r="D1027" s="1076" t="str">
        <f>Elec_Rates!$D$391</f>
        <v>045# Install and connect Only - Type 'LT-04' - Wall Light</v>
      </c>
      <c r="E1027" s="1076"/>
      <c r="F1027" s="1076"/>
      <c r="G1027" s="1077" t="s">
        <v>1008</v>
      </c>
      <c r="H1027" s="1077"/>
      <c r="I1027" s="1077"/>
      <c r="J1027" s="1077"/>
      <c r="K1027" s="1078"/>
      <c r="L1027" s="1073"/>
      <c r="M1027" s="1073"/>
      <c r="N1027" s="1073"/>
      <c r="O1027" s="1079"/>
      <c r="P1027" s="1076"/>
      <c r="Q1027" s="1080">
        <f ca="1">$B1027*Elec_Rates!$R$391</f>
        <v>0.08</v>
      </c>
      <c r="R1027" s="1071">
        <f ca="1">$A1027*Q1027</f>
        <v>3.2</v>
      </c>
      <c r="S1027" s="1080">
        <f ca="1">$B1027*Elec_Rates!$T$391</f>
        <v>0.32</v>
      </c>
      <c r="T1027" s="1072">
        <f ca="1">$A1027*S1027</f>
        <v>12.8</v>
      </c>
      <c r="U1027" s="1081"/>
    </row>
    <row r="1028" spans="1:41" s="504" customFormat="1" ht="12">
      <c r="A1028" s="882"/>
      <c r="B1028" s="882"/>
      <c r="C1028" s="882"/>
      <c r="D1028" s="882"/>
      <c r="E1028" s="882"/>
      <c r="F1028" s="877"/>
      <c r="G1028" s="882"/>
      <c r="H1028" s="882"/>
      <c r="I1028" s="503"/>
      <c r="J1028" s="882"/>
      <c r="K1028" s="882"/>
      <c r="L1028" s="882"/>
      <c r="M1028" s="882"/>
      <c r="N1028" s="882"/>
      <c r="O1028" s="882"/>
      <c r="P1028" s="882"/>
      <c r="Q1028" s="503"/>
      <c r="R1028" s="883">
        <f>$A1028*Q1028</f>
        <v>0</v>
      </c>
      <c r="S1028" s="503"/>
      <c r="T1028" s="884">
        <f>$A1028*S1028*$T$1</f>
        <v>0</v>
      </c>
    </row>
    <row r="1029" spans="1:41" s="504" customFormat="1" ht="12.6" thickBot="1">
      <c r="A1029" s="885" t="s">
        <v>142</v>
      </c>
      <c r="B1029" s="886">
        <f>(R1028+T1028)</f>
        <v>0</v>
      </c>
      <c r="C1029" s="887"/>
      <c r="D1029" s="887"/>
      <c r="E1029" s="887"/>
      <c r="F1029" s="888"/>
      <c r="G1029" s="887" t="s">
        <v>143</v>
      </c>
      <c r="H1029" s="887"/>
      <c r="I1029" s="889"/>
      <c r="J1029" s="887"/>
      <c r="K1029" s="887" t="s">
        <v>3</v>
      </c>
      <c r="L1029" s="890" t="s">
        <v>140</v>
      </c>
      <c r="M1029" s="890"/>
      <c r="N1029" s="890"/>
      <c r="O1029" s="890"/>
      <c r="P1029" s="890"/>
      <c r="Q1029" s="891"/>
      <c r="R1029" s="892">
        <f ca="1">SUM(R1025:R1028)</f>
        <v>3.2</v>
      </c>
      <c r="S1029" s="887"/>
      <c r="T1029" s="892">
        <f ca="1">SUM(T1025:T1028)</f>
        <v>12.8</v>
      </c>
      <c r="U1029" s="514"/>
      <c r="V1029" s="514"/>
      <c r="W1029" s="514"/>
      <c r="X1029" s="514"/>
      <c r="Y1029" s="514"/>
      <c r="Z1029" s="514"/>
      <c r="AA1029" s="514"/>
      <c r="AB1029" s="514"/>
      <c r="AC1029" s="514"/>
      <c r="AD1029" s="514"/>
      <c r="AE1029" s="514"/>
      <c r="AF1029" s="514"/>
      <c r="AG1029" s="514"/>
      <c r="AH1029" s="514"/>
      <c r="AI1029" s="514"/>
      <c r="AJ1029" s="514"/>
      <c r="AK1029" s="514"/>
      <c r="AL1029" s="514"/>
      <c r="AM1029" s="514"/>
      <c r="AN1029" s="514"/>
      <c r="AO1029" s="514"/>
    </row>
    <row r="1030" spans="1:41" s="504" customFormat="1" ht="12" thickTop="1">
      <c r="A1030" s="50"/>
      <c r="B1030" s="40"/>
      <c r="C1030" s="50"/>
      <c r="E1030" s="41" t="s">
        <v>136</v>
      </c>
      <c r="F1030" s="41" t="s">
        <v>137</v>
      </c>
      <c r="G1030" s="50"/>
      <c r="H1030" s="50"/>
      <c r="I1030" s="50"/>
      <c r="J1030" s="50"/>
      <c r="K1030" s="50" t="s">
        <v>138</v>
      </c>
      <c r="L1030" s="50"/>
      <c r="M1030" s="50"/>
      <c r="N1030" s="50"/>
      <c r="O1030" s="51"/>
      <c r="P1030" s="50"/>
      <c r="Q1030" s="50"/>
      <c r="R1030" s="50"/>
      <c r="S1030" s="50"/>
      <c r="T1030" s="40"/>
      <c r="AG1030" s="867" t="s">
        <v>241</v>
      </c>
      <c r="AH1030" s="867" t="s">
        <v>242</v>
      </c>
      <c r="AI1030" s="867" t="s">
        <v>243</v>
      </c>
      <c r="AJ1030" s="867" t="s">
        <v>244</v>
      </c>
      <c r="AK1030" s="867" t="s">
        <v>245</v>
      </c>
      <c r="AM1030" s="868" t="s">
        <v>254</v>
      </c>
      <c r="AN1030" s="869" t="s">
        <v>255</v>
      </c>
      <c r="AO1030" s="505" t="s">
        <v>251</v>
      </c>
    </row>
    <row r="1031" spans="1:41" s="504" customFormat="1" ht="12" customHeight="1">
      <c r="A1031" s="870">
        <v>3</v>
      </c>
      <c r="B1031" s="871" t="s">
        <v>335</v>
      </c>
      <c r="C1031" s="872"/>
      <c r="D1031" s="873" t="s">
        <v>806</v>
      </c>
      <c r="E1031" s="874">
        <f ca="1">IF(AND($A1031=0,$A$1="DIF"),0, ROUND(ROUND(($R1036*$S$2+($T1036*$T$2))/A1031,2)*$C$2,2))</f>
        <v>14.36</v>
      </c>
      <c r="F1031" s="875">
        <f ca="1">ROUND($A1031*$E1031,2)</f>
        <v>43.08</v>
      </c>
      <c r="G1031" s="876" t="s">
        <v>139</v>
      </c>
      <c r="H1031" s="877"/>
      <c r="I1031" s="878"/>
      <c r="J1031" s="877"/>
      <c r="K1031" s="877" t="s">
        <v>3</v>
      </c>
      <c r="L1031" s="879" t="s">
        <v>140</v>
      </c>
      <c r="M1031" s="879"/>
      <c r="N1031" s="879"/>
      <c r="O1031" s="879"/>
      <c r="P1031" s="879"/>
      <c r="Q1031" s="50"/>
      <c r="T1031" s="880" t="str">
        <f ca="1">IF(AND($R1036=0,$T1036=0),"0.00","mu :" &amp; ROUND($F1031/$C$2/($R1036+$T1036*$D$9),2))</f>
        <v>mu :1.22</v>
      </c>
      <c r="W1031" s="507"/>
      <c r="AG1031" s="465">
        <f ca="1">IF($E1031=0,0,ROUND($R1036*$S$2*$C$2/$A1031,2))</f>
        <v>1.34</v>
      </c>
      <c r="AH1031" s="465">
        <f ca="1">$AG1031*$A1031</f>
        <v>4.0200000000000005</v>
      </c>
      <c r="AI1031" s="508">
        <f ca="1">$E1031-$AG1031</f>
        <v>13.02</v>
      </c>
      <c r="AJ1031" s="508">
        <f ca="1">$A1031*$AI1031</f>
        <v>39.06</v>
      </c>
      <c r="AK1031" s="509">
        <f ca="1">ROUND(($AG1031+$AI1031)*$A1031,2)</f>
        <v>43.08</v>
      </c>
      <c r="AM1031" s="510">
        <f ca="1">ROUND(R1036,2)</f>
        <v>3.3</v>
      </c>
      <c r="AN1031" s="511">
        <f ca="1">ROUND(T1036,2)</f>
        <v>1.1100000000000001</v>
      </c>
      <c r="AO1031" s="512">
        <f ca="1">ROUND(AM1031+AN1031,2)*A1031</f>
        <v>13.23</v>
      </c>
    </row>
    <row r="1032" spans="1:41" s="504" customFormat="1" ht="13.2">
      <c r="A1032" s="872"/>
      <c r="B1032"/>
      <c r="C1032" s="872"/>
      <c r="D1032" s="873" t="s">
        <v>384</v>
      </c>
      <c r="F1032" s="877"/>
      <c r="G1032" s="3"/>
      <c r="H1032" s="877"/>
      <c r="I1032" s="878"/>
      <c r="J1032" s="877"/>
      <c r="K1032" s="877" t="s">
        <v>141</v>
      </c>
      <c r="L1032" s="877"/>
      <c r="M1032" s="877"/>
      <c r="N1032" s="877"/>
      <c r="O1032" s="877"/>
      <c r="P1032" s="877"/>
      <c r="Q1032" s="50"/>
      <c r="R1032" s="513"/>
      <c r="S1032" s="881"/>
      <c r="T1032" s="877"/>
    </row>
    <row r="1033" spans="1:41" s="997" customFormat="1" ht="13.2">
      <c r="A1033"/>
      <c r="B1033" s="1065"/>
      <c r="C1033" s="1065" t="s">
        <v>1006</v>
      </c>
      <c r="D1033" s="1065" t="str">
        <f ca="1">CELL("Address",Elec_Rates!D$429)</f>
        <v>[EL25_0662B_Brittania_Hotel_Elec_Revised_Estim_B.xlsx]Elec_Rates!$D$429</v>
      </c>
      <c r="E1033" s="1066"/>
      <c r="F1033" s="1066"/>
      <c r="G1033" s="1067" t="s">
        <v>1007</v>
      </c>
      <c r="H1033" s="1067"/>
      <c r="I1033" s="1067"/>
      <c r="J1033" s="1067"/>
      <c r="K1033" s="1068"/>
      <c r="L1033" s="1066"/>
      <c r="M1033" s="1066"/>
      <c r="N1033" s="1066"/>
      <c r="O1033" s="1069"/>
      <c r="P1033" s="1066"/>
      <c r="Q1033" s="1070"/>
      <c r="R1033" s="1071"/>
      <c r="S1033" s="1070"/>
      <c r="T1033" s="1072"/>
      <c r="U1033" s="1073"/>
    </row>
    <row r="1034" spans="1:41" s="997" customFormat="1" ht="11.4">
      <c r="A1034" s="1074">
        <v>3</v>
      </c>
      <c r="B1034" s="1075">
        <v>1</v>
      </c>
      <c r="C1034" s="1075">
        <f>$A1034*$B1034</f>
        <v>3</v>
      </c>
      <c r="D1034" s="1076" t="str">
        <f>Elec_Rates!$D$429</f>
        <v>050# Install and connect Only - Type 'LT-09' - 300mm x 300mm LED Panel Soffit Recessed</v>
      </c>
      <c r="E1034" s="1076"/>
      <c r="F1034" s="1076"/>
      <c r="G1034" s="1077" t="s">
        <v>1008</v>
      </c>
      <c r="H1034" s="1077"/>
      <c r="I1034" s="1077"/>
      <c r="J1034" s="1077"/>
      <c r="K1034" s="1078"/>
      <c r="L1034" s="1073"/>
      <c r="M1034" s="1073"/>
      <c r="N1034" s="1073"/>
      <c r="O1034" s="1079"/>
      <c r="P1034" s="1076"/>
      <c r="Q1034" s="1080">
        <f ca="1">$B1034*Elec_Rates!$R$429</f>
        <v>1.1000000000000001</v>
      </c>
      <c r="R1034" s="1071">
        <f ca="1">$A1034*Q1034</f>
        <v>3.3000000000000003</v>
      </c>
      <c r="S1034" s="1080">
        <f ca="1">$B1034*Elec_Rates!$T$429</f>
        <v>0.37</v>
      </c>
      <c r="T1034" s="1072">
        <f ca="1">$A1034*S1034</f>
        <v>1.1099999999999999</v>
      </c>
      <c r="U1034" s="1081"/>
    </row>
    <row r="1035" spans="1:41" s="504" customFormat="1" ht="12">
      <c r="A1035" s="882"/>
      <c r="B1035" s="882"/>
      <c r="C1035" s="882"/>
      <c r="D1035" s="882"/>
      <c r="E1035" s="882"/>
      <c r="F1035" s="877"/>
      <c r="G1035" s="882"/>
      <c r="H1035" s="882"/>
      <c r="I1035" s="503"/>
      <c r="J1035" s="882"/>
      <c r="K1035" s="882"/>
      <c r="L1035" s="882"/>
      <c r="M1035" s="882"/>
      <c r="N1035" s="882"/>
      <c r="O1035" s="882"/>
      <c r="P1035" s="882"/>
      <c r="Q1035" s="503"/>
      <c r="R1035" s="883">
        <f>$A1035*Q1035</f>
        <v>0</v>
      </c>
      <c r="S1035" s="503"/>
      <c r="T1035" s="884">
        <f>$A1035*S1035*$T$1</f>
        <v>0</v>
      </c>
    </row>
    <row r="1036" spans="1:41" s="504" customFormat="1" ht="12.6" thickBot="1">
      <c r="A1036" s="885" t="s">
        <v>142</v>
      </c>
      <c r="B1036" s="886">
        <f>(R1035+T1035)</f>
        <v>0</v>
      </c>
      <c r="C1036" s="887"/>
      <c r="D1036" s="887"/>
      <c r="E1036" s="887"/>
      <c r="F1036" s="888"/>
      <c r="G1036" s="887" t="s">
        <v>143</v>
      </c>
      <c r="H1036" s="887"/>
      <c r="I1036" s="889"/>
      <c r="J1036" s="887"/>
      <c r="K1036" s="887" t="s">
        <v>3</v>
      </c>
      <c r="L1036" s="890" t="s">
        <v>140</v>
      </c>
      <c r="M1036" s="890"/>
      <c r="N1036" s="890"/>
      <c r="O1036" s="890"/>
      <c r="P1036" s="890"/>
      <c r="Q1036" s="891"/>
      <c r="R1036" s="892">
        <f ca="1">SUM(R1032:R1035)</f>
        <v>3.3000000000000003</v>
      </c>
      <c r="S1036" s="887"/>
      <c r="T1036" s="892">
        <f ca="1">SUM(T1032:T1035)</f>
        <v>1.1099999999999999</v>
      </c>
      <c r="U1036" s="514"/>
      <c r="V1036" s="514"/>
      <c r="W1036" s="514"/>
      <c r="X1036" s="514"/>
      <c r="Y1036" s="514"/>
      <c r="Z1036" s="514"/>
      <c r="AA1036" s="514"/>
      <c r="AB1036" s="514"/>
      <c r="AC1036" s="514"/>
      <c r="AD1036" s="514"/>
      <c r="AE1036" s="514"/>
      <c r="AF1036" s="514"/>
      <c r="AG1036" s="514"/>
      <c r="AH1036" s="514"/>
      <c r="AI1036" s="514"/>
      <c r="AJ1036" s="514"/>
      <c r="AK1036" s="514"/>
      <c r="AL1036" s="514"/>
      <c r="AM1036" s="514"/>
      <c r="AN1036" s="514"/>
      <c r="AO1036" s="514"/>
    </row>
    <row r="1037" spans="1:41" s="504" customFormat="1" ht="12" thickTop="1">
      <c r="A1037" s="50"/>
      <c r="B1037" s="40"/>
      <c r="C1037" s="50"/>
      <c r="E1037" s="41" t="s">
        <v>136</v>
      </c>
      <c r="F1037" s="41" t="s">
        <v>137</v>
      </c>
      <c r="G1037" s="50"/>
      <c r="H1037" s="50"/>
      <c r="I1037" s="50"/>
      <c r="J1037" s="50"/>
      <c r="K1037" s="50" t="s">
        <v>138</v>
      </c>
      <c r="L1037" s="50"/>
      <c r="M1037" s="50"/>
      <c r="N1037" s="50"/>
      <c r="O1037" s="51"/>
      <c r="P1037" s="50"/>
      <c r="Q1037" s="50"/>
      <c r="R1037" s="50"/>
      <c r="S1037" s="50"/>
      <c r="T1037" s="40"/>
      <c r="AG1037" s="867" t="s">
        <v>241</v>
      </c>
      <c r="AH1037" s="867" t="s">
        <v>242</v>
      </c>
      <c r="AI1037" s="867" t="s">
        <v>243</v>
      </c>
      <c r="AJ1037" s="867" t="s">
        <v>244</v>
      </c>
      <c r="AK1037" s="867" t="s">
        <v>245</v>
      </c>
      <c r="AM1037" s="868" t="s">
        <v>254</v>
      </c>
      <c r="AN1037" s="869" t="s">
        <v>255</v>
      </c>
      <c r="AO1037" s="505" t="s">
        <v>251</v>
      </c>
    </row>
    <row r="1038" spans="1:41" s="504" customFormat="1" ht="12" customHeight="1">
      <c r="A1038" s="870">
        <v>4</v>
      </c>
      <c r="B1038" s="871" t="s">
        <v>335</v>
      </c>
      <c r="C1038" s="872"/>
      <c r="D1038" s="873" t="s">
        <v>808</v>
      </c>
      <c r="E1038" s="874">
        <f ca="1">IF(AND($A1038=0,$A$1="DIF"),0, ROUND(ROUND(($R1043*$S$2+($T1043*$T$2))/A1038,2)*$C$2,2))</f>
        <v>49.48</v>
      </c>
      <c r="F1038" s="875">
        <f ca="1">ROUND($A1038*$E1038,2)</f>
        <v>197.92</v>
      </c>
      <c r="G1038" s="876" t="s">
        <v>139</v>
      </c>
      <c r="H1038" s="877"/>
      <c r="I1038" s="878"/>
      <c r="J1038" s="877"/>
      <c r="K1038" s="877" t="s">
        <v>3</v>
      </c>
      <c r="L1038" s="879" t="s">
        <v>140</v>
      </c>
      <c r="M1038" s="879"/>
      <c r="N1038" s="879"/>
      <c r="O1038" s="879"/>
      <c r="P1038" s="879"/>
      <c r="Q1038" s="50"/>
      <c r="T1038" s="880" t="str">
        <f ca="1">IF(AND($R1043=0,$T1043=0),"0.00","mu :" &amp; ROUND($F1038/$C$2/($R1043+$T1043*$D$9),2))</f>
        <v>mu :1.22</v>
      </c>
      <c r="W1038" s="507"/>
      <c r="AG1038" s="465">
        <f ca="1">IF($E1038=0,0,ROUND($R1043*$S$2*$C$2/$A1038,2))</f>
        <v>21.69</v>
      </c>
      <c r="AH1038" s="465">
        <f ca="1">$AG1038*$A1038</f>
        <v>86.76</v>
      </c>
      <c r="AI1038" s="508">
        <f ca="1">$E1038-$AG1038</f>
        <v>27.789999999999996</v>
      </c>
      <c r="AJ1038" s="508">
        <f ca="1">$A1038*$AI1038</f>
        <v>111.15999999999998</v>
      </c>
      <c r="AK1038" s="509">
        <f ca="1">ROUND(($AG1038+$AI1038)*$A1038,2)</f>
        <v>197.92</v>
      </c>
      <c r="AM1038" s="510">
        <f ca="1">ROUND(R1043,2)</f>
        <v>71.12</v>
      </c>
      <c r="AN1038" s="511">
        <f ca="1">ROUND(T1043,2)</f>
        <v>3.16</v>
      </c>
      <c r="AO1038" s="512">
        <f ca="1">ROUND(AM1038+AN1038,2)*A1038</f>
        <v>297.12</v>
      </c>
    </row>
    <row r="1039" spans="1:41" s="504" customFormat="1" ht="13.2">
      <c r="A1039" s="872"/>
      <c r="B1039"/>
      <c r="C1039" s="872"/>
      <c r="D1039" s="873" t="s">
        <v>385</v>
      </c>
      <c r="F1039" s="877"/>
      <c r="G1039" s="3"/>
      <c r="H1039" s="877"/>
      <c r="I1039" s="878"/>
      <c r="J1039" s="877"/>
      <c r="K1039" s="877" t="s">
        <v>141</v>
      </c>
      <c r="L1039" s="877"/>
      <c r="M1039" s="877"/>
      <c r="N1039" s="877"/>
      <c r="O1039" s="877"/>
      <c r="P1039" s="877"/>
      <c r="Q1039" s="50"/>
      <c r="R1039" s="513"/>
      <c r="S1039" s="881"/>
      <c r="T1039" s="877"/>
    </row>
    <row r="1040" spans="1:41" s="997" customFormat="1" ht="13.2">
      <c r="A1040"/>
      <c r="B1040" s="1065"/>
      <c r="C1040" s="1065" t="s">
        <v>1006</v>
      </c>
      <c r="D1040" s="1065" t="str">
        <f ca="1">CELL("Address",Elec_Rates!D$444)</f>
        <v>[EL25_0662B_Brittania_Hotel_Elec_Revised_Estim_B.xlsx]Elec_Rates!$D$444</v>
      </c>
      <c r="E1040" s="1066"/>
      <c r="F1040" s="1066"/>
      <c r="G1040" s="1067" t="s">
        <v>1007</v>
      </c>
      <c r="H1040" s="1067"/>
      <c r="I1040" s="1067"/>
      <c r="J1040" s="1067"/>
      <c r="K1040" s="1068"/>
      <c r="L1040" s="1066"/>
      <c r="M1040" s="1066"/>
      <c r="N1040" s="1066"/>
      <c r="O1040" s="1069"/>
      <c r="P1040" s="1066"/>
      <c r="Q1040" s="1070"/>
      <c r="R1040" s="1071"/>
      <c r="S1040" s="1070"/>
      <c r="T1040" s="1072"/>
      <c r="U1040" s="1073"/>
    </row>
    <row r="1041" spans="1:41" s="997" customFormat="1" ht="11.4">
      <c r="A1041" s="1074">
        <v>4</v>
      </c>
      <c r="B1041" s="1075">
        <v>1</v>
      </c>
      <c r="C1041" s="1075">
        <f>$A1041*$B1041</f>
        <v>4</v>
      </c>
      <c r="D1041" s="1076" t="str">
        <f>Elec_Rates!$D$444</f>
        <v>052# Install and connect Only - Type 'LT-12' - 6W Recessed Floor Spotlight, Dimmable, IP65</v>
      </c>
      <c r="E1041" s="1076"/>
      <c r="F1041" s="1076"/>
      <c r="G1041" s="1077" t="s">
        <v>1008</v>
      </c>
      <c r="H1041" s="1077"/>
      <c r="I1041" s="1077"/>
      <c r="J1041" s="1077"/>
      <c r="K1041" s="1078"/>
      <c r="L1041" s="1073"/>
      <c r="M1041" s="1073"/>
      <c r="N1041" s="1073"/>
      <c r="O1041" s="1079"/>
      <c r="P1041" s="1076"/>
      <c r="Q1041" s="1080">
        <f ca="1">$B1041*Elec_Rates!$R$444</f>
        <v>17.78</v>
      </c>
      <c r="R1041" s="1071">
        <f ca="1">$A1041*Q1041</f>
        <v>71.12</v>
      </c>
      <c r="S1041" s="1080">
        <f ca="1">$B1041*Elec_Rates!$T$444</f>
        <v>0.79</v>
      </c>
      <c r="T1041" s="1072">
        <f ca="1">$A1041*S1041</f>
        <v>3.16</v>
      </c>
      <c r="U1041" s="1081"/>
    </row>
    <row r="1042" spans="1:41" s="504" customFormat="1" ht="12">
      <c r="A1042" s="882"/>
      <c r="B1042" s="882"/>
      <c r="C1042" s="882"/>
      <c r="D1042" s="882"/>
      <c r="E1042" s="882"/>
      <c r="F1042" s="877"/>
      <c r="G1042" s="882"/>
      <c r="H1042" s="882"/>
      <c r="I1042" s="503"/>
      <c r="J1042" s="882"/>
      <c r="K1042" s="882"/>
      <c r="L1042" s="882"/>
      <c r="M1042" s="882"/>
      <c r="N1042" s="882"/>
      <c r="O1042" s="882"/>
      <c r="P1042" s="882"/>
      <c r="Q1042" s="503"/>
      <c r="R1042" s="883">
        <f>$A1042*Q1042</f>
        <v>0</v>
      </c>
      <c r="S1042" s="503"/>
      <c r="T1042" s="884">
        <f>$A1042*S1042*$T$1</f>
        <v>0</v>
      </c>
    </row>
    <row r="1043" spans="1:41" s="504" customFormat="1" ht="12.6" thickBot="1">
      <c r="A1043" s="885" t="s">
        <v>142</v>
      </c>
      <c r="B1043" s="886">
        <f>(R1042+T1042)</f>
        <v>0</v>
      </c>
      <c r="C1043" s="887"/>
      <c r="D1043" s="887"/>
      <c r="E1043" s="887"/>
      <c r="F1043" s="888"/>
      <c r="G1043" s="887" t="s">
        <v>143</v>
      </c>
      <c r="H1043" s="887"/>
      <c r="I1043" s="889"/>
      <c r="J1043" s="887"/>
      <c r="K1043" s="887" t="s">
        <v>3</v>
      </c>
      <c r="L1043" s="890" t="s">
        <v>140</v>
      </c>
      <c r="M1043" s="890"/>
      <c r="N1043" s="890"/>
      <c r="O1043" s="890"/>
      <c r="P1043" s="890"/>
      <c r="Q1043" s="891"/>
      <c r="R1043" s="892">
        <f ca="1">SUM(R1039:R1042)</f>
        <v>71.12</v>
      </c>
      <c r="S1043" s="887"/>
      <c r="T1043" s="892">
        <f ca="1">SUM(T1039:T1042)</f>
        <v>3.16</v>
      </c>
      <c r="U1043" s="514"/>
      <c r="V1043" s="514"/>
      <c r="W1043" s="514"/>
      <c r="X1043" s="514"/>
      <c r="Y1043" s="514"/>
      <c r="Z1043" s="514"/>
      <c r="AA1043" s="514"/>
      <c r="AB1043" s="514"/>
      <c r="AC1043" s="514"/>
      <c r="AD1043" s="514"/>
      <c r="AE1043" s="514"/>
      <c r="AF1043" s="514"/>
      <c r="AG1043" s="514"/>
      <c r="AH1043" s="514"/>
      <c r="AI1043" s="514"/>
      <c r="AJ1043" s="514"/>
      <c r="AK1043" s="514"/>
      <c r="AL1043" s="514"/>
      <c r="AM1043" s="514"/>
      <c r="AN1043" s="514"/>
      <c r="AO1043" s="514"/>
    </row>
    <row r="1044" spans="1:41" s="504" customFormat="1" ht="12" thickTop="1">
      <c r="A1044" s="47" t="s">
        <v>145</v>
      </c>
      <c r="D1044" s="13"/>
      <c r="E1044" s="41"/>
      <c r="O1044" s="893"/>
    </row>
    <row r="1045" spans="1:41" s="504" customFormat="1" ht="13.2">
      <c r="B1045" s="3"/>
      <c r="O1045" s="893"/>
    </row>
    <row r="1046" spans="1:41" s="504" customFormat="1" ht="12">
      <c r="B1046" s="894">
        <f ca="1">$F1046/$C$2-($R1046*$S$2+$T1046*$T$2)</f>
        <v>215.80125929999849</v>
      </c>
      <c r="D1046" s="895" t="s">
        <v>817</v>
      </c>
      <c r="E1046" s="896"/>
      <c r="F1046" s="897">
        <f ca="1">SUMIF($L918:$L1044,"ITEM",F918:F1044)</f>
        <v>8675.3799999999992</v>
      </c>
      <c r="G1046" s="882"/>
      <c r="H1046" s="882"/>
      <c r="I1046" s="503"/>
      <c r="J1046" s="882"/>
      <c r="K1046" s="882"/>
      <c r="L1046" s="879" t="s">
        <v>154</v>
      </c>
      <c r="M1046" s="879"/>
      <c r="N1046" s="879"/>
      <c r="O1046" s="879"/>
      <c r="P1046" s="879"/>
      <c r="R1046" s="897">
        <f ca="1">SUMIF($L918:$L1044,"ITEM",R918:R1044)</f>
        <v>2329.5950000000003</v>
      </c>
      <c r="S1046" s="898"/>
      <c r="T1046" s="897">
        <f ca="1">SUMIF($L918:$L1044,"ITEM",T918:T1044)</f>
        <v>159.69500000000002</v>
      </c>
    </row>
    <row r="1047" spans="1:41" s="504" customFormat="1" ht="13.2">
      <c r="A1047" s="50"/>
      <c r="B1047" s="48" t="s">
        <v>816</v>
      </c>
      <c r="C1047" s="50"/>
      <c r="D1047" s="3"/>
      <c r="F1047" s="899" t="s">
        <v>155</v>
      </c>
      <c r="G1047" s="882"/>
      <c r="H1047" s="882"/>
      <c r="I1047" s="503"/>
      <c r="J1047" s="882"/>
      <c r="K1047" s="882"/>
      <c r="L1047" s="882"/>
      <c r="M1047" s="882"/>
      <c r="N1047" s="882"/>
      <c r="O1047" s="882"/>
      <c r="P1047" s="882"/>
      <c r="Q1047" s="900"/>
      <c r="R1047" s="899" t="s">
        <v>156</v>
      </c>
      <c r="S1047" s="38"/>
      <c r="T1047" s="899" t="s">
        <v>157</v>
      </c>
    </row>
    <row r="1048" spans="1:41" s="504" customFormat="1" ht="13.2">
      <c r="A1048" s="882"/>
      <c r="B1048" s="3"/>
      <c r="C1048" s="882"/>
      <c r="D1048" s="3"/>
      <c r="E1048" s="3"/>
      <c r="G1048" s="3"/>
      <c r="H1048" s="3"/>
      <c r="I1048" s="3"/>
      <c r="J1048" s="3"/>
      <c r="K1048" s="3"/>
      <c r="L1048" s="3"/>
      <c r="M1048" s="3"/>
      <c r="N1048" s="3"/>
      <c r="O1048" s="103"/>
      <c r="P1048" s="3"/>
      <c r="Q1048" s="3"/>
      <c r="R1048" s="3"/>
      <c r="S1048" s="3"/>
      <c r="T1048" s="3"/>
    </row>
    <row r="1049" spans="1:41" s="504" customFormat="1" ht="12" thickBot="1">
      <c r="A1049" s="514"/>
      <c r="B1049" s="887"/>
      <c r="C1049" s="887"/>
      <c r="D1049" s="514"/>
      <c r="E1049" s="39"/>
      <c r="F1049" s="901"/>
      <c r="G1049" s="887"/>
      <c r="H1049" s="887"/>
      <c r="I1049" s="889"/>
      <c r="J1049" s="887"/>
      <c r="K1049" s="887"/>
      <c r="L1049" s="890"/>
      <c r="M1049" s="890"/>
      <c r="N1049" s="890"/>
      <c r="O1049" s="890"/>
      <c r="P1049" s="890"/>
      <c r="Q1049" s="891"/>
      <c r="R1049" s="901"/>
      <c r="S1049" s="902"/>
      <c r="T1049" s="901"/>
      <c r="U1049" s="514"/>
      <c r="V1049" s="514"/>
      <c r="W1049" s="514"/>
      <c r="X1049" s="514"/>
      <c r="Y1049" s="514"/>
      <c r="Z1049" s="514"/>
      <c r="AA1049" s="514"/>
      <c r="AB1049" s="514"/>
      <c r="AC1049" s="514"/>
      <c r="AD1049" s="514"/>
      <c r="AE1049" s="514"/>
      <c r="AF1049" s="514"/>
      <c r="AG1049" s="514"/>
      <c r="AH1049" s="514"/>
      <c r="AI1049" s="514"/>
      <c r="AJ1049" s="514"/>
      <c r="AK1049" s="514"/>
    </row>
    <row r="1050" spans="1:41" s="504" customFormat="1" ht="12" thickTop="1">
      <c r="A1050" s="50"/>
      <c r="B1050" s="40"/>
      <c r="C1050" s="50"/>
      <c r="E1050" s="41" t="s">
        <v>136</v>
      </c>
      <c r="F1050" s="41" t="s">
        <v>137</v>
      </c>
      <c r="G1050" s="50"/>
      <c r="H1050" s="50"/>
      <c r="I1050" s="50"/>
      <c r="J1050" s="50"/>
      <c r="K1050" s="50" t="s">
        <v>138</v>
      </c>
      <c r="L1050" s="50"/>
      <c r="M1050" s="50"/>
      <c r="N1050" s="50"/>
      <c r="O1050" s="51"/>
      <c r="P1050" s="50"/>
      <c r="Q1050" s="50"/>
      <c r="R1050" s="50"/>
      <c r="S1050" s="50"/>
      <c r="T1050" s="40"/>
      <c r="AG1050" s="867" t="s">
        <v>241</v>
      </c>
      <c r="AH1050" s="867" t="s">
        <v>242</v>
      </c>
      <c r="AI1050" s="867" t="s">
        <v>243</v>
      </c>
      <c r="AJ1050" s="867" t="s">
        <v>244</v>
      </c>
      <c r="AK1050" s="867" t="s">
        <v>245</v>
      </c>
      <c r="AM1050" s="868" t="s">
        <v>254</v>
      </c>
      <c r="AN1050" s="869" t="s">
        <v>255</v>
      </c>
      <c r="AO1050" s="505" t="s">
        <v>251</v>
      </c>
    </row>
    <row r="1051" spans="1:41" s="504" customFormat="1" ht="12" customHeight="1">
      <c r="A1051" s="870">
        <v>22</v>
      </c>
      <c r="B1051" s="871" t="s">
        <v>326</v>
      </c>
      <c r="C1051" s="872"/>
      <c r="D1051" s="873" t="s">
        <v>810</v>
      </c>
      <c r="E1051" s="874">
        <f ca="1">IF(AND($A1051=0,$A$1="DIF"),0, ROUND(ROUND(($R1056*$S$2+($T1056*$T$2))/A1051,2)*$C$2,2))</f>
        <v>5.63</v>
      </c>
      <c r="F1051" s="875">
        <f ca="1">ROUND($A1051*$E1051,2)</f>
        <v>123.86</v>
      </c>
      <c r="G1051" s="876" t="s">
        <v>139</v>
      </c>
      <c r="H1051" s="877"/>
      <c r="I1051" s="878"/>
      <c r="J1051" s="877"/>
      <c r="K1051" s="877" t="s">
        <v>3</v>
      </c>
      <c r="L1051" s="879" t="s">
        <v>140</v>
      </c>
      <c r="M1051" s="879"/>
      <c r="N1051" s="879"/>
      <c r="O1051" s="879"/>
      <c r="P1051" s="879"/>
      <c r="Q1051" s="50"/>
      <c r="T1051" s="880" t="str">
        <f ca="1">IF(AND($R1056=0,$T1056=0),"0.00","mu :" &amp; ROUND($F1051/$C$2/($R1056+$T1056*$D$9),2))</f>
        <v>mu :1.22</v>
      </c>
      <c r="W1051" s="507"/>
      <c r="AG1051" s="465">
        <f ca="1">IF($E1051=0,0,ROUND($R1056*$S$2*$C$2/$A1051,2))</f>
        <v>0</v>
      </c>
      <c r="AH1051" s="465">
        <f ca="1">$AG1051*$A1051</f>
        <v>0</v>
      </c>
      <c r="AI1051" s="508">
        <f ca="1">$E1051-$AG1051</f>
        <v>5.63</v>
      </c>
      <c r="AJ1051" s="508">
        <f ca="1">$A1051*$AI1051</f>
        <v>123.86</v>
      </c>
      <c r="AK1051" s="509">
        <f ca="1">ROUND(($AG1051+$AI1051)*$A1051,2)</f>
        <v>123.86</v>
      </c>
      <c r="AM1051" s="510">
        <f ca="1">ROUND(R1056,2)</f>
        <v>0</v>
      </c>
      <c r="AN1051" s="511">
        <f ca="1">ROUND(T1056,2)</f>
        <v>3.52</v>
      </c>
      <c r="AO1051" s="512">
        <f ca="1">ROUND(AM1051+AN1051,2)*A1051</f>
        <v>77.44</v>
      </c>
    </row>
    <row r="1052" spans="1:41" s="504" customFormat="1" ht="13.2">
      <c r="A1052" s="872"/>
      <c r="B1052"/>
      <c r="C1052" s="872"/>
      <c r="D1052" s="873" t="s">
        <v>386</v>
      </c>
      <c r="F1052" s="877"/>
      <c r="G1052" s="3"/>
      <c r="H1052" s="877"/>
      <c r="I1052" s="878"/>
      <c r="J1052" s="877"/>
      <c r="K1052" s="877" t="s">
        <v>141</v>
      </c>
      <c r="L1052" s="877"/>
      <c r="M1052" s="877"/>
      <c r="N1052" s="877"/>
      <c r="O1052" s="877"/>
      <c r="P1052" s="877"/>
      <c r="Q1052" s="50"/>
      <c r="R1052" s="513"/>
      <c r="S1052" s="881"/>
      <c r="T1052" s="877"/>
    </row>
    <row r="1053" spans="1:41" s="997" customFormat="1" ht="13.2">
      <c r="A1053"/>
      <c r="B1053" s="1065"/>
      <c r="C1053" s="1065" t="s">
        <v>1006</v>
      </c>
      <c r="D1053" s="1065" t="str">
        <f ca="1">CELL("Address",Elec_Rates!D$458)</f>
        <v>[EL25_0662B_Brittania_Hotel_Elec_Revised_Estim_B.xlsx]Elec_Rates!$D$458</v>
      </c>
      <c r="E1053" s="1066"/>
      <c r="F1053" s="1066"/>
      <c r="G1053" s="1067" t="s">
        <v>1007</v>
      </c>
      <c r="H1053" s="1067"/>
      <c r="I1053" s="1067"/>
      <c r="J1053" s="1067"/>
      <c r="K1053" s="1068"/>
      <c r="L1053" s="1066"/>
      <c r="M1053" s="1066"/>
      <c r="N1053" s="1066"/>
      <c r="O1053" s="1069"/>
      <c r="P1053" s="1066"/>
      <c r="Q1053" s="1070"/>
      <c r="R1053" s="1071"/>
      <c r="S1053" s="1070"/>
      <c r="T1053" s="1072"/>
      <c r="U1053" s="1073"/>
    </row>
    <row r="1054" spans="1:41" s="997" customFormat="1" ht="11.4">
      <c r="A1054" s="1074">
        <v>22</v>
      </c>
      <c r="B1054" s="1075">
        <v>1</v>
      </c>
      <c r="C1054" s="1075">
        <f>$A1054*$B1054</f>
        <v>22</v>
      </c>
      <c r="D1054" s="1076" t="str">
        <f>Elec_Rates!$D$458</f>
        <v>054# Install and connect Only - Type 'LT-14' - Dimmable Strip Light</v>
      </c>
      <c r="E1054" s="1076"/>
      <c r="F1054" s="1076"/>
      <c r="G1054" s="1077" t="s">
        <v>1008</v>
      </c>
      <c r="H1054" s="1077"/>
      <c r="I1054" s="1077"/>
      <c r="J1054" s="1077"/>
      <c r="K1054" s="1078"/>
      <c r="L1054" s="1073"/>
      <c r="M1054" s="1073"/>
      <c r="N1054" s="1073"/>
      <c r="O1054" s="1079"/>
      <c r="P1054" s="1076"/>
      <c r="Q1054" s="1080">
        <f ca="1">$B1054*Elec_Rates!$R$458</f>
        <v>0</v>
      </c>
      <c r="R1054" s="1071">
        <f ca="1">$A1054*Q1054</f>
        <v>0</v>
      </c>
      <c r="S1054" s="1080">
        <f ca="1">$B1054*Elec_Rates!$T$458</f>
        <v>0.16</v>
      </c>
      <c r="T1054" s="1072">
        <f ca="1">$A1054*S1054</f>
        <v>3.52</v>
      </c>
      <c r="U1054" s="1081"/>
    </row>
    <row r="1055" spans="1:41" s="504" customFormat="1" ht="12">
      <c r="A1055" s="882"/>
      <c r="B1055" s="882"/>
      <c r="C1055" s="882"/>
      <c r="D1055" s="882"/>
      <c r="E1055" s="882"/>
      <c r="F1055" s="877"/>
      <c r="G1055" s="882"/>
      <c r="H1055" s="882"/>
      <c r="I1055" s="503"/>
      <c r="J1055" s="882"/>
      <c r="K1055" s="882"/>
      <c r="L1055" s="882"/>
      <c r="M1055" s="882"/>
      <c r="N1055" s="882"/>
      <c r="O1055" s="882"/>
      <c r="P1055" s="882"/>
      <c r="Q1055" s="503"/>
      <c r="R1055" s="883">
        <f>$A1055*Q1055</f>
        <v>0</v>
      </c>
      <c r="S1055" s="503"/>
      <c r="T1055" s="884">
        <f>$A1055*S1055*$T$1</f>
        <v>0</v>
      </c>
    </row>
    <row r="1056" spans="1:41" s="504" customFormat="1" ht="12.6" thickBot="1">
      <c r="A1056" s="885" t="s">
        <v>142</v>
      </c>
      <c r="B1056" s="886">
        <f>(R1055+T1055)</f>
        <v>0</v>
      </c>
      <c r="C1056" s="887"/>
      <c r="D1056" s="887"/>
      <c r="E1056" s="887"/>
      <c r="F1056" s="888"/>
      <c r="G1056" s="887" t="s">
        <v>143</v>
      </c>
      <c r="H1056" s="887"/>
      <c r="I1056" s="889"/>
      <c r="J1056" s="887"/>
      <c r="K1056" s="887" t="s">
        <v>3</v>
      </c>
      <c r="L1056" s="890" t="s">
        <v>140</v>
      </c>
      <c r="M1056" s="890"/>
      <c r="N1056" s="890"/>
      <c r="O1056" s="890"/>
      <c r="P1056" s="890"/>
      <c r="Q1056" s="891"/>
      <c r="R1056" s="892">
        <f ca="1">SUM(R1052:R1055)</f>
        <v>0</v>
      </c>
      <c r="S1056" s="887"/>
      <c r="T1056" s="892">
        <f ca="1">SUM(T1052:T1055)</f>
        <v>3.52</v>
      </c>
      <c r="U1056" s="514"/>
      <c r="V1056" s="514"/>
      <c r="W1056" s="514"/>
      <c r="X1056" s="514"/>
      <c r="Y1056" s="514"/>
      <c r="Z1056" s="514"/>
      <c r="AA1056" s="514"/>
      <c r="AB1056" s="514"/>
      <c r="AC1056" s="514"/>
      <c r="AD1056" s="514"/>
      <c r="AE1056" s="514"/>
      <c r="AF1056" s="514"/>
      <c r="AG1056" s="514"/>
      <c r="AH1056" s="514"/>
      <c r="AI1056" s="514"/>
      <c r="AJ1056" s="514"/>
      <c r="AK1056" s="514"/>
      <c r="AL1056" s="514"/>
      <c r="AM1056" s="514"/>
      <c r="AN1056" s="514"/>
      <c r="AO1056" s="514"/>
    </row>
    <row r="1057" spans="1:41" s="504" customFormat="1" ht="12" thickTop="1">
      <c r="A1057" s="50"/>
      <c r="B1057" s="40"/>
      <c r="C1057" s="50"/>
      <c r="E1057" s="41" t="s">
        <v>136</v>
      </c>
      <c r="F1057" s="41" t="s">
        <v>137</v>
      </c>
      <c r="G1057" s="50"/>
      <c r="H1057" s="50"/>
      <c r="I1057" s="50"/>
      <c r="J1057" s="50"/>
      <c r="K1057" s="50" t="s">
        <v>138</v>
      </c>
      <c r="L1057" s="50"/>
      <c r="M1057" s="50"/>
      <c r="N1057" s="50"/>
      <c r="O1057" s="51"/>
      <c r="P1057" s="50"/>
      <c r="Q1057" s="50"/>
      <c r="R1057" s="50"/>
      <c r="S1057" s="50"/>
      <c r="T1057" s="40"/>
      <c r="AG1057" s="867" t="s">
        <v>241</v>
      </c>
      <c r="AH1057" s="867" t="s">
        <v>242</v>
      </c>
      <c r="AI1057" s="867" t="s">
        <v>243</v>
      </c>
      <c r="AJ1057" s="867" t="s">
        <v>244</v>
      </c>
      <c r="AK1057" s="867" t="s">
        <v>245</v>
      </c>
      <c r="AM1057" s="868" t="s">
        <v>254</v>
      </c>
      <c r="AN1057" s="869" t="s">
        <v>255</v>
      </c>
      <c r="AO1057" s="505" t="s">
        <v>251</v>
      </c>
    </row>
    <row r="1058" spans="1:41" s="504" customFormat="1" ht="12" customHeight="1">
      <c r="A1058" s="870">
        <v>5</v>
      </c>
      <c r="B1058" s="871" t="s">
        <v>335</v>
      </c>
      <c r="C1058" s="872"/>
      <c r="D1058" s="873" t="s">
        <v>812</v>
      </c>
      <c r="E1058" s="874">
        <f ca="1">IF(AND($A1058=0,$A$1="DIF"),0, ROUND(ROUND(($R1063*$S$2+($T1063*$T$2))/A1058,2)*$C$2,2))</f>
        <v>14.36</v>
      </c>
      <c r="F1058" s="875">
        <f ca="1">ROUND($A1058*$E1058,2)</f>
        <v>71.8</v>
      </c>
      <c r="G1058" s="876" t="s">
        <v>139</v>
      </c>
      <c r="H1058" s="877"/>
      <c r="I1058" s="878"/>
      <c r="J1058" s="877"/>
      <c r="K1058" s="877" t="s">
        <v>3</v>
      </c>
      <c r="L1058" s="879" t="s">
        <v>140</v>
      </c>
      <c r="M1058" s="879"/>
      <c r="N1058" s="879"/>
      <c r="O1058" s="879"/>
      <c r="P1058" s="879"/>
      <c r="Q1058" s="50"/>
      <c r="T1058" s="880" t="str">
        <f ca="1">IF(AND($R1063=0,$T1063=0),"0.00","mu :" &amp; ROUND($F1058/$C$2/($R1063+$T1063*$D$9),2))</f>
        <v>mu :1.22</v>
      </c>
      <c r="W1058" s="507"/>
      <c r="AG1058" s="465">
        <f ca="1">IF($E1058=0,0,ROUND($R1063*$S$2*$C$2/$A1058,2))</f>
        <v>1.34</v>
      </c>
      <c r="AH1058" s="465">
        <f ca="1">$AG1058*$A1058</f>
        <v>6.7</v>
      </c>
      <c r="AI1058" s="508">
        <f ca="1">$E1058-$AG1058</f>
        <v>13.02</v>
      </c>
      <c r="AJ1058" s="508">
        <f ca="1">$A1058*$AI1058</f>
        <v>65.099999999999994</v>
      </c>
      <c r="AK1058" s="509">
        <f ca="1">ROUND(($AG1058+$AI1058)*$A1058,2)</f>
        <v>71.8</v>
      </c>
      <c r="AM1058" s="510">
        <f ca="1">ROUND(R1063,2)</f>
        <v>5.5</v>
      </c>
      <c r="AN1058" s="511">
        <f ca="1">ROUND(T1063,2)</f>
        <v>1.85</v>
      </c>
      <c r="AO1058" s="512">
        <f ca="1">ROUND(AM1058+AN1058,2)*A1058</f>
        <v>36.75</v>
      </c>
    </row>
    <row r="1059" spans="1:41" s="504" customFormat="1" ht="13.2">
      <c r="A1059" s="872"/>
      <c r="B1059"/>
      <c r="C1059" s="872"/>
      <c r="D1059" s="873" t="s">
        <v>387</v>
      </c>
      <c r="F1059" s="877"/>
      <c r="G1059" s="3"/>
      <c r="H1059" s="877"/>
      <c r="I1059" s="878"/>
      <c r="J1059" s="877"/>
      <c r="K1059" s="877" t="s">
        <v>141</v>
      </c>
      <c r="L1059" s="877"/>
      <c r="M1059" s="877"/>
      <c r="N1059" s="877"/>
      <c r="O1059" s="877"/>
      <c r="P1059" s="877"/>
      <c r="Q1059" s="50"/>
      <c r="R1059" s="513"/>
      <c r="S1059" s="881"/>
      <c r="T1059" s="877"/>
    </row>
    <row r="1060" spans="1:41" s="997" customFormat="1" ht="13.2">
      <c r="A1060"/>
      <c r="B1060" s="1065"/>
      <c r="C1060" s="1065" t="s">
        <v>1006</v>
      </c>
      <c r="D1060" s="1065" t="str">
        <f ca="1">CELL("Address",Elec_Rates!D$464)</f>
        <v>[EL25_0662B_Brittania_Hotel_Elec_Revised_Estim_B.xlsx]Elec_Rates!$D$464</v>
      </c>
      <c r="E1060" s="1066"/>
      <c r="F1060" s="1066"/>
      <c r="G1060" s="1067" t="s">
        <v>1007</v>
      </c>
      <c r="H1060" s="1067"/>
      <c r="I1060" s="1067"/>
      <c r="J1060" s="1067"/>
      <c r="K1060" s="1068"/>
      <c r="L1060" s="1066"/>
      <c r="M1060" s="1066"/>
      <c r="N1060" s="1066"/>
      <c r="O1060" s="1069"/>
      <c r="P1060" s="1066"/>
      <c r="Q1060" s="1070"/>
      <c r="R1060" s="1071"/>
      <c r="S1060" s="1070"/>
      <c r="T1060" s="1072"/>
      <c r="U1060" s="1073"/>
    </row>
    <row r="1061" spans="1:41" s="997" customFormat="1" ht="11.4">
      <c r="A1061" s="1074">
        <v>5</v>
      </c>
      <c r="B1061" s="1075">
        <v>1</v>
      </c>
      <c r="C1061" s="1075">
        <f>$A1061*$B1061</f>
        <v>5</v>
      </c>
      <c r="D1061" s="1076" t="str">
        <f>Elec_Rates!$D$464</f>
        <v>055# Install and connect Only - Type 'LT-15' - 8.5W Soffit Recessed Downlighter</v>
      </c>
      <c r="E1061" s="1076"/>
      <c r="F1061" s="1076"/>
      <c r="G1061" s="1077" t="s">
        <v>1008</v>
      </c>
      <c r="H1061" s="1077"/>
      <c r="I1061" s="1077"/>
      <c r="J1061" s="1077"/>
      <c r="K1061" s="1078"/>
      <c r="L1061" s="1073"/>
      <c r="M1061" s="1073"/>
      <c r="N1061" s="1073"/>
      <c r="O1061" s="1079"/>
      <c r="P1061" s="1076"/>
      <c r="Q1061" s="1080">
        <f ca="1">$B1061*Elec_Rates!$R$464</f>
        <v>1.1000000000000001</v>
      </c>
      <c r="R1061" s="1071">
        <f ca="1">$A1061*Q1061</f>
        <v>5.5</v>
      </c>
      <c r="S1061" s="1080">
        <f ca="1">$B1061*Elec_Rates!$T$464</f>
        <v>0.37</v>
      </c>
      <c r="T1061" s="1072">
        <f ca="1">$A1061*S1061</f>
        <v>1.85</v>
      </c>
      <c r="U1061" s="1081"/>
    </row>
    <row r="1062" spans="1:41" s="504" customFormat="1" ht="12">
      <c r="A1062" s="882"/>
      <c r="B1062" s="882"/>
      <c r="C1062" s="882"/>
      <c r="D1062" s="882"/>
      <c r="E1062" s="882"/>
      <c r="F1062" s="877"/>
      <c r="G1062" s="882"/>
      <c r="H1062" s="882"/>
      <c r="I1062" s="503"/>
      <c r="J1062" s="882"/>
      <c r="K1062" s="882"/>
      <c r="L1062" s="882"/>
      <c r="M1062" s="882"/>
      <c r="N1062" s="882"/>
      <c r="O1062" s="882"/>
      <c r="P1062" s="882"/>
      <c r="Q1062" s="503"/>
      <c r="R1062" s="883">
        <f>$A1062*Q1062</f>
        <v>0</v>
      </c>
      <c r="S1062" s="503"/>
      <c r="T1062" s="884">
        <f>$A1062*S1062*$T$1</f>
        <v>0</v>
      </c>
    </row>
    <row r="1063" spans="1:41" s="504" customFormat="1" ht="12.6" thickBot="1">
      <c r="A1063" s="885" t="s">
        <v>142</v>
      </c>
      <c r="B1063" s="886">
        <f>(R1062+T1062)</f>
        <v>0</v>
      </c>
      <c r="C1063" s="887"/>
      <c r="D1063" s="887"/>
      <c r="E1063" s="887"/>
      <c r="F1063" s="888"/>
      <c r="G1063" s="887" t="s">
        <v>143</v>
      </c>
      <c r="H1063" s="887"/>
      <c r="I1063" s="889"/>
      <c r="J1063" s="887"/>
      <c r="K1063" s="887" t="s">
        <v>3</v>
      </c>
      <c r="L1063" s="890" t="s">
        <v>140</v>
      </c>
      <c r="M1063" s="890"/>
      <c r="N1063" s="890"/>
      <c r="O1063" s="890"/>
      <c r="P1063" s="890"/>
      <c r="Q1063" s="891"/>
      <c r="R1063" s="892">
        <f ca="1">SUM(R1059:R1062)</f>
        <v>5.5</v>
      </c>
      <c r="S1063" s="887"/>
      <c r="T1063" s="892">
        <f ca="1">SUM(T1059:T1062)</f>
        <v>1.85</v>
      </c>
      <c r="U1063" s="514"/>
      <c r="V1063" s="514"/>
      <c r="W1063" s="514"/>
      <c r="X1063" s="514"/>
      <c r="Y1063" s="514"/>
      <c r="Z1063" s="514"/>
      <c r="AA1063" s="514"/>
      <c r="AB1063" s="514"/>
      <c r="AC1063" s="514"/>
      <c r="AD1063" s="514"/>
      <c r="AE1063" s="514"/>
      <c r="AF1063" s="514"/>
      <c r="AG1063" s="514"/>
      <c r="AH1063" s="514"/>
      <c r="AI1063" s="514"/>
      <c r="AJ1063" s="514"/>
      <c r="AK1063" s="514"/>
      <c r="AL1063" s="514"/>
      <c r="AM1063" s="514"/>
      <c r="AN1063" s="514"/>
      <c r="AO1063" s="514"/>
    </row>
    <row r="1064" spans="1:41" s="504" customFormat="1" ht="12" thickTop="1">
      <c r="A1064" s="50"/>
      <c r="B1064" s="40"/>
      <c r="C1064" s="50"/>
      <c r="E1064" s="41" t="s">
        <v>136</v>
      </c>
      <c r="F1064" s="41" t="s">
        <v>137</v>
      </c>
      <c r="G1064" s="50"/>
      <c r="H1064" s="50"/>
      <c r="I1064" s="50"/>
      <c r="J1064" s="50"/>
      <c r="K1064" s="50" t="s">
        <v>138</v>
      </c>
      <c r="L1064" s="50"/>
      <c r="M1064" s="50"/>
      <c r="N1064" s="50"/>
      <c r="O1064" s="51"/>
      <c r="P1064" s="50"/>
      <c r="Q1064" s="50"/>
      <c r="R1064" s="50"/>
      <c r="S1064" s="50"/>
      <c r="T1064" s="40"/>
      <c r="AG1064" s="867" t="s">
        <v>241</v>
      </c>
      <c r="AH1064" s="867" t="s">
        <v>242</v>
      </c>
      <c r="AI1064" s="867" t="s">
        <v>243</v>
      </c>
      <c r="AJ1064" s="867" t="s">
        <v>244</v>
      </c>
      <c r="AK1064" s="867" t="s">
        <v>245</v>
      </c>
      <c r="AM1064" s="868" t="s">
        <v>254</v>
      </c>
      <c r="AN1064" s="869" t="s">
        <v>255</v>
      </c>
      <c r="AO1064" s="505" t="s">
        <v>251</v>
      </c>
    </row>
    <row r="1065" spans="1:41" s="504" customFormat="1" ht="12" customHeight="1">
      <c r="A1065" s="870">
        <v>19</v>
      </c>
      <c r="B1065" s="871" t="s">
        <v>335</v>
      </c>
      <c r="C1065" s="872"/>
      <c r="D1065" s="873" t="s">
        <v>819</v>
      </c>
      <c r="E1065" s="874">
        <f ca="1">IF(AND($A1065=0,$A$1="DIF"),0, ROUND(ROUND(($R1070*$S$2+($T1070*$T$2))/A1065,2)*$C$2,2))</f>
        <v>11.35</v>
      </c>
      <c r="F1065" s="875">
        <f ca="1">ROUND($A1065*$E1065,2)</f>
        <v>215.65</v>
      </c>
      <c r="G1065" s="876" t="s">
        <v>139</v>
      </c>
      <c r="H1065" s="877"/>
      <c r="I1065" s="878"/>
      <c r="J1065" s="877"/>
      <c r="K1065" s="877" t="s">
        <v>3</v>
      </c>
      <c r="L1065" s="879" t="s">
        <v>140</v>
      </c>
      <c r="M1065" s="879"/>
      <c r="N1065" s="879"/>
      <c r="O1065" s="879"/>
      <c r="P1065" s="879"/>
      <c r="Q1065" s="50"/>
      <c r="T1065" s="880" t="str">
        <f ca="1">IF(AND($R1070=0,$T1070=0),"0.00","mu :" &amp; ROUND($F1065/$C$2/($R1070+$T1070*$D$9),2))</f>
        <v>mu :1.22</v>
      </c>
      <c r="W1065" s="507"/>
      <c r="AG1065" s="465">
        <f ca="1">IF($E1065=0,0,ROUND($R1070*$S$2*$C$2/$A1065,2))</f>
        <v>0.1</v>
      </c>
      <c r="AH1065" s="465">
        <f ca="1">$AG1065*$A1065</f>
        <v>1.9000000000000001</v>
      </c>
      <c r="AI1065" s="508">
        <f ca="1">$E1065-$AG1065</f>
        <v>11.25</v>
      </c>
      <c r="AJ1065" s="508">
        <f ca="1">$A1065*$AI1065</f>
        <v>213.75</v>
      </c>
      <c r="AK1065" s="509">
        <f ca="1">ROUND(($AG1065+$AI1065)*$A1065,2)</f>
        <v>215.65</v>
      </c>
      <c r="AM1065" s="510">
        <f ca="1">ROUND(R1070,2)</f>
        <v>1.52</v>
      </c>
      <c r="AN1065" s="511">
        <f ca="1">ROUND(T1070,2)</f>
        <v>6.08</v>
      </c>
      <c r="AO1065" s="512">
        <f ca="1">ROUND(AM1065+AN1065,2)*A1065</f>
        <v>144.4</v>
      </c>
    </row>
    <row r="1066" spans="1:41" s="504" customFormat="1" ht="13.2">
      <c r="A1066" s="872"/>
      <c r="B1066"/>
      <c r="C1066" s="872"/>
      <c r="D1066" s="873" t="s">
        <v>388</v>
      </c>
      <c r="F1066" s="877"/>
      <c r="G1066" s="3"/>
      <c r="H1066" s="877"/>
      <c r="I1066" s="878"/>
      <c r="J1066" s="877"/>
      <c r="K1066" s="877" t="s">
        <v>141</v>
      </c>
      <c r="L1066" s="877"/>
      <c r="M1066" s="877"/>
      <c r="N1066" s="877"/>
      <c r="O1066" s="877"/>
      <c r="P1066" s="877"/>
      <c r="Q1066" s="50"/>
      <c r="R1066" s="513"/>
      <c r="S1066" s="881"/>
      <c r="T1066" s="877"/>
    </row>
    <row r="1067" spans="1:41" s="997" customFormat="1" ht="13.2">
      <c r="A1067"/>
      <c r="B1067" s="1065"/>
      <c r="C1067" s="1065" t="s">
        <v>1006</v>
      </c>
      <c r="D1067" s="1065" t="str">
        <f ca="1">CELL("Address",Elec_Rates!D$285)</f>
        <v>[EL25_0662B_Brittania_Hotel_Elec_Revised_Estim_B.xlsx]Elec_Rates!$D$285</v>
      </c>
      <c r="E1067" s="1066"/>
      <c r="F1067" s="1066"/>
      <c r="G1067" s="1067" t="s">
        <v>1007</v>
      </c>
      <c r="H1067" s="1067"/>
      <c r="I1067" s="1067"/>
      <c r="J1067" s="1067"/>
      <c r="K1067" s="1068"/>
      <c r="L1067" s="1066"/>
      <c r="M1067" s="1066"/>
      <c r="N1067" s="1066"/>
      <c r="O1067" s="1069"/>
      <c r="P1067" s="1066"/>
      <c r="Q1067" s="1070"/>
      <c r="R1067" s="1071"/>
      <c r="S1067" s="1070"/>
      <c r="T1067" s="1072"/>
      <c r="U1067" s="1073"/>
    </row>
    <row r="1068" spans="1:41" s="997" customFormat="1" ht="11.4">
      <c r="A1068" s="1074">
        <v>19</v>
      </c>
      <c r="B1068" s="1075">
        <v>1</v>
      </c>
      <c r="C1068" s="1075">
        <f>$A1068*$B1068</f>
        <v>19</v>
      </c>
      <c r="D1068" s="1076" t="str">
        <f>Elec_Rates!$D$285</f>
        <v>031# Install and connect Only - Type 'LD-02' - Common Areas Art Light</v>
      </c>
      <c r="E1068" s="1076"/>
      <c r="F1068" s="1076"/>
      <c r="G1068" s="1077" t="s">
        <v>1008</v>
      </c>
      <c r="H1068" s="1077"/>
      <c r="I1068" s="1077"/>
      <c r="J1068" s="1077"/>
      <c r="K1068" s="1078"/>
      <c r="L1068" s="1073"/>
      <c r="M1068" s="1073"/>
      <c r="N1068" s="1073"/>
      <c r="O1068" s="1079"/>
      <c r="P1068" s="1076"/>
      <c r="Q1068" s="1080">
        <f ca="1">$B1068*Elec_Rates!$R$285</f>
        <v>0.08</v>
      </c>
      <c r="R1068" s="1071">
        <f ca="1">$A1068*Q1068</f>
        <v>1.52</v>
      </c>
      <c r="S1068" s="1080">
        <f ca="1">$B1068*Elec_Rates!$T$285</f>
        <v>0.32</v>
      </c>
      <c r="T1068" s="1072">
        <f ca="1">$A1068*S1068</f>
        <v>6.08</v>
      </c>
      <c r="U1068" s="1081"/>
    </row>
    <row r="1069" spans="1:41" s="504" customFormat="1" ht="12">
      <c r="A1069" s="882"/>
      <c r="B1069" s="882"/>
      <c r="C1069" s="882"/>
      <c r="D1069" s="882"/>
      <c r="E1069" s="882"/>
      <c r="F1069" s="877"/>
      <c r="G1069" s="882"/>
      <c r="H1069" s="882"/>
      <c r="I1069" s="503"/>
      <c r="J1069" s="882"/>
      <c r="K1069" s="882"/>
      <c r="L1069" s="882"/>
      <c r="M1069" s="882"/>
      <c r="N1069" s="882"/>
      <c r="O1069" s="882"/>
      <c r="P1069" s="882"/>
      <c r="Q1069" s="503"/>
      <c r="R1069" s="883">
        <f>$A1069*Q1069</f>
        <v>0</v>
      </c>
      <c r="S1069" s="503"/>
      <c r="T1069" s="884">
        <f>$A1069*S1069*$T$1</f>
        <v>0</v>
      </c>
    </row>
    <row r="1070" spans="1:41" s="504" customFormat="1" ht="12.6" thickBot="1">
      <c r="A1070" s="885" t="s">
        <v>142</v>
      </c>
      <c r="B1070" s="886">
        <f>(R1069+T1069)</f>
        <v>0</v>
      </c>
      <c r="C1070" s="887"/>
      <c r="D1070" s="887"/>
      <c r="E1070" s="887"/>
      <c r="F1070" s="888"/>
      <c r="G1070" s="887" t="s">
        <v>143</v>
      </c>
      <c r="H1070" s="887"/>
      <c r="I1070" s="889"/>
      <c r="J1070" s="887"/>
      <c r="K1070" s="887" t="s">
        <v>3</v>
      </c>
      <c r="L1070" s="890" t="s">
        <v>140</v>
      </c>
      <c r="M1070" s="890"/>
      <c r="N1070" s="890"/>
      <c r="O1070" s="890"/>
      <c r="P1070" s="890"/>
      <c r="Q1070" s="891"/>
      <c r="R1070" s="892">
        <f ca="1">SUM(R1066:R1069)</f>
        <v>1.52</v>
      </c>
      <c r="S1070" s="887"/>
      <c r="T1070" s="892">
        <f ca="1">SUM(T1066:T1069)</f>
        <v>6.08</v>
      </c>
      <c r="U1070" s="514"/>
      <c r="V1070" s="514"/>
      <c r="W1070" s="514"/>
      <c r="X1070" s="514"/>
      <c r="Y1070" s="514"/>
      <c r="Z1070" s="514"/>
      <c r="AA1070" s="514"/>
      <c r="AB1070" s="514"/>
      <c r="AC1070" s="514"/>
      <c r="AD1070" s="514"/>
      <c r="AE1070" s="514"/>
      <c r="AF1070" s="514"/>
      <c r="AG1070" s="514"/>
      <c r="AH1070" s="514"/>
      <c r="AI1070" s="514"/>
      <c r="AJ1070" s="514"/>
      <c r="AK1070" s="514"/>
      <c r="AL1070" s="514"/>
      <c r="AM1070" s="514"/>
      <c r="AN1070" s="514"/>
      <c r="AO1070" s="514"/>
    </row>
    <row r="1071" spans="1:41" s="504" customFormat="1" ht="12" thickTop="1">
      <c r="A1071" s="50"/>
      <c r="B1071" s="40"/>
      <c r="C1071" s="50"/>
      <c r="E1071" s="41" t="s">
        <v>136</v>
      </c>
      <c r="F1071" s="41" t="s">
        <v>137</v>
      </c>
      <c r="G1071" s="50"/>
      <c r="H1071" s="50"/>
      <c r="I1071" s="50"/>
      <c r="J1071" s="50"/>
      <c r="K1071" s="50" t="s">
        <v>138</v>
      </c>
      <c r="L1071" s="50"/>
      <c r="M1071" s="50"/>
      <c r="N1071" s="50"/>
      <c r="O1071" s="51"/>
      <c r="P1071" s="50"/>
      <c r="Q1071" s="50"/>
      <c r="R1071" s="50"/>
      <c r="S1071" s="50"/>
      <c r="T1071" s="40"/>
      <c r="AG1071" s="867" t="s">
        <v>241</v>
      </c>
      <c r="AH1071" s="867" t="s">
        <v>242</v>
      </c>
      <c r="AI1071" s="867" t="s">
        <v>243</v>
      </c>
      <c r="AJ1071" s="867" t="s">
        <v>244</v>
      </c>
      <c r="AK1071" s="867" t="s">
        <v>245</v>
      </c>
      <c r="AM1071" s="868" t="s">
        <v>254</v>
      </c>
      <c r="AN1071" s="869" t="s">
        <v>255</v>
      </c>
      <c r="AO1071" s="505" t="s">
        <v>251</v>
      </c>
    </row>
    <row r="1072" spans="1:41" s="504" customFormat="1" ht="12" customHeight="1">
      <c r="A1072" s="870">
        <v>2</v>
      </c>
      <c r="B1072" s="871" t="s">
        <v>335</v>
      </c>
      <c r="C1072" s="872"/>
      <c r="D1072" s="873" t="s">
        <v>820</v>
      </c>
      <c r="E1072" s="874">
        <f ca="1">IF(AND($A1072=0,$A$1="DIF"),0, ROUND(ROUND(($R1077*$S$2+($T1077*$T$2))/A1072,2)*$C$2,2))</f>
        <v>11.35</v>
      </c>
      <c r="F1072" s="875">
        <f ca="1">ROUND($A1072*$E1072,2)</f>
        <v>22.7</v>
      </c>
      <c r="G1072" s="876" t="s">
        <v>139</v>
      </c>
      <c r="H1072" s="877"/>
      <c r="I1072" s="878"/>
      <c r="J1072" s="877"/>
      <c r="K1072" s="877" t="s">
        <v>3</v>
      </c>
      <c r="L1072" s="879" t="s">
        <v>140</v>
      </c>
      <c r="M1072" s="879"/>
      <c r="N1072" s="879"/>
      <c r="O1072" s="879"/>
      <c r="P1072" s="879"/>
      <c r="Q1072" s="50"/>
      <c r="T1072" s="880" t="str">
        <f ca="1">IF(AND($R1077=0,$T1077=0),"0.00","mu :" &amp; ROUND($F1072/$C$2/($R1077+$T1077*$D$9),2))</f>
        <v>mu :1.22</v>
      </c>
      <c r="W1072" s="507"/>
      <c r="AG1072" s="465">
        <f ca="1">IF($E1072=0,0,ROUND($R1077*$S$2*$C$2/$A1072,2))</f>
        <v>0.1</v>
      </c>
      <c r="AH1072" s="465">
        <f ca="1">$AG1072*$A1072</f>
        <v>0.2</v>
      </c>
      <c r="AI1072" s="508">
        <f ca="1">$E1072-$AG1072</f>
        <v>11.25</v>
      </c>
      <c r="AJ1072" s="508">
        <f ca="1">$A1072*$AI1072</f>
        <v>22.5</v>
      </c>
      <c r="AK1072" s="509">
        <f ca="1">ROUND(($AG1072+$AI1072)*$A1072,2)</f>
        <v>22.7</v>
      </c>
      <c r="AM1072" s="510">
        <f ca="1">ROUND(R1077,2)</f>
        <v>0.16</v>
      </c>
      <c r="AN1072" s="511">
        <f ca="1">ROUND(T1077,2)</f>
        <v>0.64</v>
      </c>
      <c r="AO1072" s="512">
        <f ca="1">ROUND(AM1072+AN1072,2)*A1072</f>
        <v>1.6</v>
      </c>
    </row>
    <row r="1073" spans="1:41" s="504" customFormat="1" ht="13.2">
      <c r="A1073" s="872"/>
      <c r="B1073"/>
      <c r="C1073" s="872"/>
      <c r="D1073" s="873" t="s">
        <v>389</v>
      </c>
      <c r="F1073" s="877"/>
      <c r="G1073" s="3"/>
      <c r="H1073" s="877"/>
      <c r="I1073" s="878"/>
      <c r="J1073" s="877"/>
      <c r="K1073" s="877" t="s">
        <v>141</v>
      </c>
      <c r="L1073" s="877"/>
      <c r="M1073" s="877"/>
      <c r="N1073" s="877"/>
      <c r="O1073" s="877"/>
      <c r="P1073" s="877"/>
      <c r="Q1073" s="50"/>
      <c r="R1073" s="513"/>
      <c r="S1073" s="881"/>
      <c r="T1073" s="877"/>
    </row>
    <row r="1074" spans="1:41" s="997" customFormat="1" ht="13.2">
      <c r="A1074"/>
      <c r="B1074" s="1065"/>
      <c r="C1074" s="1065" t="s">
        <v>1006</v>
      </c>
      <c r="D1074" s="1065" t="str">
        <f ca="1">CELL("Address",Elec_Rates!D$293)</f>
        <v>[EL25_0662B_Brittania_Hotel_Elec_Revised_Estim_B.xlsx]Elec_Rates!$D$293</v>
      </c>
      <c r="E1074" s="1066"/>
      <c r="F1074" s="1066"/>
      <c r="G1074" s="1067" t="s">
        <v>1007</v>
      </c>
      <c r="H1074" s="1067"/>
      <c r="I1074" s="1067"/>
      <c r="J1074" s="1067"/>
      <c r="K1074" s="1068"/>
      <c r="L1074" s="1066"/>
      <c r="M1074" s="1066"/>
      <c r="N1074" s="1066"/>
      <c r="O1074" s="1069"/>
      <c r="P1074" s="1066"/>
      <c r="Q1074" s="1070"/>
      <c r="R1074" s="1071"/>
      <c r="S1074" s="1070"/>
      <c r="T1074" s="1072"/>
      <c r="U1074" s="1073"/>
    </row>
    <row r="1075" spans="1:41" s="997" customFormat="1" ht="11.4">
      <c r="A1075" s="1074">
        <v>2</v>
      </c>
      <c r="B1075" s="1075">
        <v>1</v>
      </c>
      <c r="C1075" s="1075">
        <f>$A1075*$B1075</f>
        <v>2</v>
      </c>
      <c r="D1075" s="1076" t="str">
        <f>Elec_Rates!$D$293</f>
        <v>032# Install and connect Only - Type 'LD-03' - Wall light fitting in Lobby</v>
      </c>
      <c r="E1075" s="1076"/>
      <c r="F1075" s="1076"/>
      <c r="G1075" s="1077" t="s">
        <v>1008</v>
      </c>
      <c r="H1075" s="1077"/>
      <c r="I1075" s="1077"/>
      <c r="J1075" s="1077"/>
      <c r="K1075" s="1078"/>
      <c r="L1075" s="1073"/>
      <c r="M1075" s="1073"/>
      <c r="N1075" s="1073"/>
      <c r="O1075" s="1079"/>
      <c r="P1075" s="1076"/>
      <c r="Q1075" s="1080">
        <f ca="1">$B1075*Elec_Rates!$R$293</f>
        <v>0.08</v>
      </c>
      <c r="R1075" s="1071">
        <f ca="1">$A1075*Q1075</f>
        <v>0.16</v>
      </c>
      <c r="S1075" s="1080">
        <f ca="1">$B1075*Elec_Rates!$T$293</f>
        <v>0.32</v>
      </c>
      <c r="T1075" s="1072">
        <f ca="1">$A1075*S1075</f>
        <v>0.64</v>
      </c>
      <c r="U1075" s="1081"/>
    </row>
    <row r="1076" spans="1:41" s="504" customFormat="1" ht="12">
      <c r="A1076" s="882"/>
      <c r="B1076" s="882"/>
      <c r="C1076" s="882"/>
      <c r="D1076" s="882"/>
      <c r="E1076" s="882"/>
      <c r="F1076" s="877"/>
      <c r="G1076" s="882"/>
      <c r="H1076" s="882"/>
      <c r="I1076" s="503"/>
      <c r="J1076" s="882"/>
      <c r="K1076" s="882"/>
      <c r="L1076" s="882"/>
      <c r="M1076" s="882"/>
      <c r="N1076" s="882"/>
      <c r="O1076" s="882"/>
      <c r="P1076" s="882"/>
      <c r="Q1076" s="503"/>
      <c r="R1076" s="883">
        <f>$A1076*Q1076</f>
        <v>0</v>
      </c>
      <c r="S1076" s="503"/>
      <c r="T1076" s="884">
        <f>$A1076*S1076*$T$1</f>
        <v>0</v>
      </c>
    </row>
    <row r="1077" spans="1:41" s="504" customFormat="1" ht="12.6" thickBot="1">
      <c r="A1077" s="885" t="s">
        <v>142</v>
      </c>
      <c r="B1077" s="886">
        <f>(R1076+T1076)</f>
        <v>0</v>
      </c>
      <c r="C1077" s="887"/>
      <c r="D1077" s="887"/>
      <c r="E1077" s="887"/>
      <c r="F1077" s="888"/>
      <c r="G1077" s="887" t="s">
        <v>143</v>
      </c>
      <c r="H1077" s="887"/>
      <c r="I1077" s="889"/>
      <c r="J1077" s="887"/>
      <c r="K1077" s="887" t="s">
        <v>3</v>
      </c>
      <c r="L1077" s="890" t="s">
        <v>140</v>
      </c>
      <c r="M1077" s="890"/>
      <c r="N1077" s="890"/>
      <c r="O1077" s="890"/>
      <c r="P1077" s="890"/>
      <c r="Q1077" s="891"/>
      <c r="R1077" s="892">
        <f ca="1">SUM(R1073:R1076)</f>
        <v>0.16</v>
      </c>
      <c r="S1077" s="887"/>
      <c r="T1077" s="892">
        <f ca="1">SUM(T1073:T1076)</f>
        <v>0.64</v>
      </c>
      <c r="U1077" s="514"/>
      <c r="V1077" s="514"/>
      <c r="W1077" s="514"/>
      <c r="X1077" s="514"/>
      <c r="Y1077" s="514"/>
      <c r="Z1077" s="514"/>
      <c r="AA1077" s="514"/>
      <c r="AB1077" s="514"/>
      <c r="AC1077" s="514"/>
      <c r="AD1077" s="514"/>
      <c r="AE1077" s="514"/>
      <c r="AF1077" s="514"/>
      <c r="AG1077" s="514"/>
      <c r="AH1077" s="514"/>
      <c r="AI1077" s="514"/>
      <c r="AJ1077" s="514"/>
      <c r="AK1077" s="514"/>
      <c r="AL1077" s="514"/>
      <c r="AM1077" s="514"/>
      <c r="AN1077" s="514"/>
      <c r="AO1077" s="514"/>
    </row>
    <row r="1078" spans="1:41" s="504" customFormat="1" ht="12" thickTop="1">
      <c r="A1078" s="50"/>
      <c r="B1078" s="40"/>
      <c r="C1078" s="50"/>
      <c r="E1078" s="41" t="s">
        <v>136</v>
      </c>
      <c r="F1078" s="41" t="s">
        <v>137</v>
      </c>
      <c r="G1078" s="50"/>
      <c r="H1078" s="50"/>
      <c r="I1078" s="50"/>
      <c r="J1078" s="50"/>
      <c r="K1078" s="50" t="s">
        <v>138</v>
      </c>
      <c r="L1078" s="50"/>
      <c r="M1078" s="50"/>
      <c r="N1078" s="50"/>
      <c r="O1078" s="51"/>
      <c r="P1078" s="50"/>
      <c r="Q1078" s="50"/>
      <c r="R1078" s="50"/>
      <c r="S1078" s="50"/>
      <c r="T1078" s="40"/>
      <c r="AG1078" s="867" t="s">
        <v>241</v>
      </c>
      <c r="AH1078" s="867" t="s">
        <v>242</v>
      </c>
      <c r="AI1078" s="867" t="s">
        <v>243</v>
      </c>
      <c r="AJ1078" s="867" t="s">
        <v>244</v>
      </c>
      <c r="AK1078" s="867" t="s">
        <v>245</v>
      </c>
      <c r="AM1078" s="868" t="s">
        <v>254</v>
      </c>
      <c r="AN1078" s="869" t="s">
        <v>255</v>
      </c>
      <c r="AO1078" s="505" t="s">
        <v>251</v>
      </c>
    </row>
    <row r="1079" spans="1:41" s="504" customFormat="1" ht="12" customHeight="1">
      <c r="A1079" s="870">
        <v>2</v>
      </c>
      <c r="B1079" s="871" t="s">
        <v>335</v>
      </c>
      <c r="C1079" s="872"/>
      <c r="D1079" s="873" t="s">
        <v>821</v>
      </c>
      <c r="E1079" s="874">
        <f ca="1">IF(AND($A1079=0,$A$1="DIF"),0, ROUND(ROUND(($R1084*$S$2+($T1084*$T$2))/A1079,2)*$C$2,2))</f>
        <v>5.63</v>
      </c>
      <c r="F1079" s="875">
        <f ca="1">ROUND($A1079*$E1079,2)</f>
        <v>11.26</v>
      </c>
      <c r="G1079" s="876" t="s">
        <v>139</v>
      </c>
      <c r="H1079" s="877"/>
      <c r="I1079" s="878"/>
      <c r="J1079" s="877"/>
      <c r="K1079" s="877" t="s">
        <v>3</v>
      </c>
      <c r="L1079" s="879" t="s">
        <v>140</v>
      </c>
      <c r="M1079" s="879"/>
      <c r="N1079" s="879"/>
      <c r="O1079" s="879"/>
      <c r="P1079" s="879"/>
      <c r="Q1079" s="50"/>
      <c r="T1079" s="880" t="str">
        <f ca="1">IF(AND($R1084=0,$T1084=0),"0.00","mu :" &amp; ROUND($F1079/$C$2/($R1084+$T1084*$D$9),2))</f>
        <v>mu :1.22</v>
      </c>
      <c r="W1079" s="507"/>
      <c r="AG1079" s="465">
        <f ca="1">IF($E1079=0,0,ROUND($R1084*$S$2*$C$2/$A1079,2))</f>
        <v>0</v>
      </c>
      <c r="AH1079" s="465">
        <f ca="1">$AG1079*$A1079</f>
        <v>0</v>
      </c>
      <c r="AI1079" s="508">
        <f ca="1">$E1079-$AG1079</f>
        <v>5.63</v>
      </c>
      <c r="AJ1079" s="508">
        <f ca="1">$A1079*$AI1079</f>
        <v>11.26</v>
      </c>
      <c r="AK1079" s="509">
        <f ca="1">ROUND(($AG1079+$AI1079)*$A1079,2)</f>
        <v>11.26</v>
      </c>
      <c r="AM1079" s="510">
        <f ca="1">ROUND(R1084,2)</f>
        <v>0</v>
      </c>
      <c r="AN1079" s="511">
        <f ca="1">ROUND(T1084,2)</f>
        <v>0.32</v>
      </c>
      <c r="AO1079" s="512">
        <f ca="1">ROUND(AM1079+AN1079,2)*A1079</f>
        <v>0.64</v>
      </c>
    </row>
    <row r="1080" spans="1:41" s="504" customFormat="1" ht="13.2">
      <c r="A1080" s="872"/>
      <c r="B1080"/>
      <c r="C1080" s="872"/>
      <c r="D1080" s="873" t="s">
        <v>390</v>
      </c>
      <c r="F1080" s="877"/>
      <c r="G1080" s="3"/>
      <c r="H1080" s="877"/>
      <c r="I1080" s="878"/>
      <c r="J1080" s="877"/>
      <c r="K1080" s="877" t="s">
        <v>141</v>
      </c>
      <c r="L1080" s="877"/>
      <c r="M1080" s="877"/>
      <c r="N1080" s="877"/>
      <c r="O1080" s="877"/>
      <c r="P1080" s="877"/>
      <c r="Q1080" s="50"/>
      <c r="R1080" s="513"/>
      <c r="S1080" s="881"/>
      <c r="T1080" s="877"/>
    </row>
    <row r="1081" spans="1:41" s="997" customFormat="1" ht="13.2">
      <c r="A1081"/>
      <c r="B1081" s="1065"/>
      <c r="C1081" s="1065" t="s">
        <v>1006</v>
      </c>
      <c r="D1081" s="1065" t="str">
        <f ca="1">CELL("Address",Elec_Rates!D$316)</f>
        <v>[EL25_0662B_Brittania_Hotel_Elec_Revised_Estim_B.xlsx]Elec_Rates!$D$316</v>
      </c>
      <c r="E1081" s="1066"/>
      <c r="F1081" s="1066"/>
      <c r="G1081" s="1067" t="s">
        <v>1007</v>
      </c>
      <c r="H1081" s="1067"/>
      <c r="I1081" s="1067"/>
      <c r="J1081" s="1067"/>
      <c r="K1081" s="1068"/>
      <c r="L1081" s="1066"/>
      <c r="M1081" s="1066"/>
      <c r="N1081" s="1066"/>
      <c r="O1081" s="1069"/>
      <c r="P1081" s="1066"/>
      <c r="Q1081" s="1070"/>
      <c r="R1081" s="1071"/>
      <c r="S1081" s="1070"/>
      <c r="T1081" s="1072"/>
      <c r="U1081" s="1073"/>
    </row>
    <row r="1082" spans="1:41" s="997" customFormat="1" ht="11.4">
      <c r="A1082" s="1074">
        <v>2</v>
      </c>
      <c r="B1082" s="1075">
        <v>1</v>
      </c>
      <c r="C1082" s="1075">
        <f>$A1082*$B1082</f>
        <v>2</v>
      </c>
      <c r="D1082" s="1076" t="str">
        <f>Elec_Rates!$D$316</f>
        <v>035# Install and connect Only - Type 'LD-10' - Armchair Reading Light</v>
      </c>
      <c r="E1082" s="1076"/>
      <c r="F1082" s="1076" t="s">
        <v>1268</v>
      </c>
      <c r="G1082" s="1077" t="s">
        <v>1008</v>
      </c>
      <c r="H1082" s="1077"/>
      <c r="I1082" s="1077"/>
      <c r="J1082" s="1077"/>
      <c r="K1082" s="1078"/>
      <c r="L1082" s="1073"/>
      <c r="M1082" s="1073"/>
      <c r="N1082" s="1073"/>
      <c r="O1082" s="1079"/>
      <c r="P1082" s="1076"/>
      <c r="Q1082" s="1080">
        <f ca="1">$B1082*Elec_Rates!$R$316</f>
        <v>0</v>
      </c>
      <c r="R1082" s="1071">
        <f ca="1">$A1082*Q1082</f>
        <v>0</v>
      </c>
      <c r="S1082" s="1080">
        <f ca="1">$B1082*Elec_Rates!$T$316</f>
        <v>0.16</v>
      </c>
      <c r="T1082" s="1072">
        <f ca="1">$A1082*S1082</f>
        <v>0.32</v>
      </c>
      <c r="U1082" s="1081"/>
    </row>
    <row r="1083" spans="1:41" s="504" customFormat="1" ht="12">
      <c r="A1083" s="882"/>
      <c r="B1083" s="882"/>
      <c r="C1083" s="882"/>
      <c r="D1083" s="882"/>
      <c r="E1083" s="882"/>
      <c r="F1083" s="877"/>
      <c r="G1083" s="882"/>
      <c r="H1083" s="882"/>
      <c r="I1083" s="503"/>
      <c r="J1083" s="882"/>
      <c r="K1083" s="882"/>
      <c r="L1083" s="882"/>
      <c r="M1083" s="882"/>
      <c r="N1083" s="882"/>
      <c r="O1083" s="882"/>
      <c r="P1083" s="882"/>
      <c r="Q1083" s="503"/>
      <c r="R1083" s="883">
        <f>$A1083*Q1083</f>
        <v>0</v>
      </c>
      <c r="S1083" s="503"/>
      <c r="T1083" s="884">
        <f>$A1083*S1083*$T$1</f>
        <v>0</v>
      </c>
    </row>
    <row r="1084" spans="1:41" s="504" customFormat="1" ht="12.6" thickBot="1">
      <c r="A1084" s="885" t="s">
        <v>142</v>
      </c>
      <c r="B1084" s="886">
        <f>(R1083+T1083)</f>
        <v>0</v>
      </c>
      <c r="C1084" s="887"/>
      <c r="D1084" s="887"/>
      <c r="E1084" s="887"/>
      <c r="F1084" s="888"/>
      <c r="G1084" s="887" t="s">
        <v>143</v>
      </c>
      <c r="H1084" s="887"/>
      <c r="I1084" s="889"/>
      <c r="J1084" s="887"/>
      <c r="K1084" s="887" t="s">
        <v>3</v>
      </c>
      <c r="L1084" s="890" t="s">
        <v>140</v>
      </c>
      <c r="M1084" s="890"/>
      <c r="N1084" s="890"/>
      <c r="O1084" s="890"/>
      <c r="P1084" s="890"/>
      <c r="Q1084" s="891"/>
      <c r="R1084" s="892">
        <f ca="1">SUM(R1080:R1083)</f>
        <v>0</v>
      </c>
      <c r="S1084" s="887"/>
      <c r="T1084" s="892">
        <f ca="1">SUM(T1080:T1083)</f>
        <v>0.32</v>
      </c>
      <c r="U1084" s="514"/>
      <c r="V1084" s="514"/>
      <c r="W1084" s="514"/>
      <c r="X1084" s="514"/>
      <c r="Y1084" s="514"/>
      <c r="Z1084" s="514"/>
      <c r="AA1084" s="514"/>
      <c r="AB1084" s="514"/>
      <c r="AC1084" s="514"/>
      <c r="AD1084" s="514"/>
      <c r="AE1084" s="514"/>
      <c r="AF1084" s="514"/>
      <c r="AG1084" s="514"/>
      <c r="AH1084" s="514"/>
      <c r="AI1084" s="514"/>
      <c r="AJ1084" s="514"/>
      <c r="AK1084" s="514"/>
      <c r="AL1084" s="514"/>
      <c r="AM1084" s="514"/>
      <c r="AN1084" s="514"/>
      <c r="AO1084" s="514"/>
    </row>
    <row r="1085" spans="1:41" s="504" customFormat="1" ht="12" thickTop="1">
      <c r="A1085" s="50"/>
      <c r="B1085" s="40"/>
      <c r="C1085" s="50"/>
      <c r="E1085" s="41" t="s">
        <v>136</v>
      </c>
      <c r="F1085" s="41" t="s">
        <v>137</v>
      </c>
      <c r="G1085" s="50"/>
      <c r="H1085" s="50"/>
      <c r="I1085" s="50"/>
      <c r="J1085" s="50"/>
      <c r="K1085" s="50" t="s">
        <v>138</v>
      </c>
      <c r="L1085" s="50"/>
      <c r="M1085" s="50"/>
      <c r="N1085" s="50"/>
      <c r="O1085" s="51"/>
      <c r="P1085" s="50"/>
      <c r="Q1085" s="50"/>
      <c r="R1085" s="50"/>
      <c r="S1085" s="50"/>
      <c r="T1085" s="40"/>
      <c r="AG1085" s="867" t="s">
        <v>241</v>
      </c>
      <c r="AH1085" s="867" t="s">
        <v>242</v>
      </c>
      <c r="AI1085" s="867" t="s">
        <v>243</v>
      </c>
      <c r="AJ1085" s="867" t="s">
        <v>244</v>
      </c>
      <c r="AK1085" s="867" t="s">
        <v>245</v>
      </c>
      <c r="AM1085" s="868" t="s">
        <v>254</v>
      </c>
      <c r="AN1085" s="869" t="s">
        <v>255</v>
      </c>
      <c r="AO1085" s="505" t="s">
        <v>251</v>
      </c>
    </row>
    <row r="1086" spans="1:41" s="504" customFormat="1" ht="12" customHeight="1">
      <c r="A1086" s="870">
        <v>1</v>
      </c>
      <c r="B1086" s="871" t="s">
        <v>335</v>
      </c>
      <c r="C1086" s="872"/>
      <c r="D1086" s="873" t="s">
        <v>822</v>
      </c>
      <c r="E1086" s="874">
        <f ca="1">IF(AND($A1086=0,$A$1="DIF"),0, ROUND(ROUND(($R1091*$S$2+($T1091*$T$2))/A1086,2)*$C$2,2))</f>
        <v>11.35</v>
      </c>
      <c r="F1086" s="875">
        <f ca="1">ROUND($A1086*$E1086,2)</f>
        <v>11.35</v>
      </c>
      <c r="G1086" s="876" t="s">
        <v>139</v>
      </c>
      <c r="H1086" s="877"/>
      <c r="I1086" s="878"/>
      <c r="J1086" s="877"/>
      <c r="K1086" s="877" t="s">
        <v>3</v>
      </c>
      <c r="L1086" s="879" t="s">
        <v>140</v>
      </c>
      <c r="M1086" s="879"/>
      <c r="N1086" s="879"/>
      <c r="O1086" s="879"/>
      <c r="P1086" s="879"/>
      <c r="Q1086" s="50"/>
      <c r="T1086" s="880" t="str">
        <f ca="1">IF(AND($R1091=0,$T1091=0),"0.00","mu :" &amp; ROUND($F1086/$C$2/($R1091+$T1091*$D$9),2))</f>
        <v>mu :1.22</v>
      </c>
      <c r="W1086" s="507"/>
      <c r="AG1086" s="465">
        <f ca="1">IF($E1086=0,0,ROUND($R1091*$S$2*$C$2/$A1086,2))</f>
        <v>0.1</v>
      </c>
      <c r="AH1086" s="465">
        <f ca="1">$AG1086*$A1086</f>
        <v>0.1</v>
      </c>
      <c r="AI1086" s="508">
        <f ca="1">$E1086-$AG1086</f>
        <v>11.25</v>
      </c>
      <c r="AJ1086" s="508">
        <f ca="1">$A1086*$AI1086</f>
        <v>11.25</v>
      </c>
      <c r="AK1086" s="509">
        <f ca="1">ROUND(($AG1086+$AI1086)*$A1086,2)</f>
        <v>11.35</v>
      </c>
      <c r="AM1086" s="510">
        <f ca="1">ROUND(R1091,2)</f>
        <v>0.08</v>
      </c>
      <c r="AN1086" s="511">
        <f ca="1">ROUND(T1091,2)</f>
        <v>0.32</v>
      </c>
      <c r="AO1086" s="512">
        <f ca="1">ROUND(AM1086+AN1086,2)*A1086</f>
        <v>0.4</v>
      </c>
    </row>
    <row r="1087" spans="1:41" s="504" customFormat="1" ht="13.2">
      <c r="A1087" s="872"/>
      <c r="B1087"/>
      <c r="C1087" s="872"/>
      <c r="D1087" s="873" t="s">
        <v>391</v>
      </c>
      <c r="F1087" s="877"/>
      <c r="G1087" s="3"/>
      <c r="H1087" s="877"/>
      <c r="I1087" s="878"/>
      <c r="J1087" s="877"/>
      <c r="K1087" s="877" t="s">
        <v>141</v>
      </c>
      <c r="L1087" s="877"/>
      <c r="M1087" s="877"/>
      <c r="N1087" s="877"/>
      <c r="O1087" s="877"/>
      <c r="P1087" s="877"/>
      <c r="Q1087" s="50"/>
      <c r="R1087" s="513"/>
      <c r="S1087" s="881"/>
      <c r="T1087" s="877"/>
    </row>
    <row r="1088" spans="1:41" s="997" customFormat="1" ht="13.2">
      <c r="A1088"/>
      <c r="B1088" s="1065"/>
      <c r="C1088" s="1065" t="s">
        <v>1006</v>
      </c>
      <c r="D1088" s="1065" t="str">
        <f ca="1">CELL("Address",Elec_Rates!D$322)</f>
        <v>[EL25_0662B_Brittania_Hotel_Elec_Revised_Estim_B.xlsx]Elec_Rates!$D$322</v>
      </c>
      <c r="E1088" s="1066"/>
      <c r="F1088" s="1066"/>
      <c r="G1088" s="1067" t="s">
        <v>1007</v>
      </c>
      <c r="H1088" s="1067"/>
      <c r="I1088" s="1067"/>
      <c r="J1088" s="1067"/>
      <c r="K1088" s="1068"/>
      <c r="L1088" s="1066"/>
      <c r="M1088" s="1066"/>
      <c r="N1088" s="1066"/>
      <c r="O1088" s="1069"/>
      <c r="P1088" s="1066"/>
      <c r="Q1088" s="1070"/>
      <c r="R1088" s="1071"/>
      <c r="S1088" s="1070"/>
      <c r="T1088" s="1072"/>
      <c r="U1088" s="1073"/>
    </row>
    <row r="1089" spans="1:41" s="997" customFormat="1" ht="11.4">
      <c r="A1089" s="1074">
        <v>1</v>
      </c>
      <c r="B1089" s="1075">
        <v>1</v>
      </c>
      <c r="C1089" s="1075">
        <f>$A1089*$B1089</f>
        <v>1</v>
      </c>
      <c r="D1089" s="1076" t="str">
        <f>Elec_Rates!$D$322</f>
        <v>036# Install and connect Only - Type 'LD-11' - Hallway Wall Light</v>
      </c>
      <c r="E1089" s="1076"/>
      <c r="F1089" s="1076"/>
      <c r="G1089" s="1077" t="s">
        <v>1008</v>
      </c>
      <c r="H1089" s="1077"/>
      <c r="I1089" s="1077"/>
      <c r="J1089" s="1077"/>
      <c r="K1089" s="1078"/>
      <c r="L1089" s="1073"/>
      <c r="M1089" s="1073"/>
      <c r="N1089" s="1073"/>
      <c r="O1089" s="1079"/>
      <c r="P1089" s="1076"/>
      <c r="Q1089" s="1080">
        <f ca="1">$B1089*Elec_Rates!$R$322</f>
        <v>0.08</v>
      </c>
      <c r="R1089" s="1071">
        <f ca="1">$A1089*Q1089</f>
        <v>0.08</v>
      </c>
      <c r="S1089" s="1080">
        <f ca="1">$B1089*Elec_Rates!$T$322</f>
        <v>0.32</v>
      </c>
      <c r="T1089" s="1072">
        <f ca="1">$A1089*S1089</f>
        <v>0.32</v>
      </c>
      <c r="U1089" s="1081"/>
    </row>
    <row r="1090" spans="1:41" s="504" customFormat="1" ht="12">
      <c r="A1090" s="882"/>
      <c r="B1090" s="882"/>
      <c r="C1090" s="882"/>
      <c r="D1090" s="882"/>
      <c r="E1090" s="882"/>
      <c r="F1090" s="877"/>
      <c r="G1090" s="882"/>
      <c r="H1090" s="882"/>
      <c r="I1090" s="503"/>
      <c r="J1090" s="882"/>
      <c r="K1090" s="882"/>
      <c r="L1090" s="882"/>
      <c r="M1090" s="882"/>
      <c r="N1090" s="882"/>
      <c r="O1090" s="882"/>
      <c r="P1090" s="882"/>
      <c r="Q1090" s="503"/>
      <c r="R1090" s="883">
        <f>$A1090*Q1090</f>
        <v>0</v>
      </c>
      <c r="S1090" s="503"/>
      <c r="T1090" s="884">
        <f>$A1090*S1090*$T$1</f>
        <v>0</v>
      </c>
    </row>
    <row r="1091" spans="1:41" s="504" customFormat="1" ht="12.6" thickBot="1">
      <c r="A1091" s="885" t="s">
        <v>142</v>
      </c>
      <c r="B1091" s="886">
        <f>(R1090+T1090)</f>
        <v>0</v>
      </c>
      <c r="C1091" s="887"/>
      <c r="D1091" s="887"/>
      <c r="E1091" s="887"/>
      <c r="F1091" s="888"/>
      <c r="G1091" s="887" t="s">
        <v>143</v>
      </c>
      <c r="H1091" s="887"/>
      <c r="I1091" s="889"/>
      <c r="J1091" s="887"/>
      <c r="K1091" s="887" t="s">
        <v>3</v>
      </c>
      <c r="L1091" s="890" t="s">
        <v>140</v>
      </c>
      <c r="M1091" s="890"/>
      <c r="N1091" s="890"/>
      <c r="O1091" s="890"/>
      <c r="P1091" s="890"/>
      <c r="Q1091" s="891"/>
      <c r="R1091" s="892">
        <f ca="1">SUM(R1087:R1090)</f>
        <v>0.08</v>
      </c>
      <c r="S1091" s="887"/>
      <c r="T1091" s="892">
        <f ca="1">SUM(T1087:T1090)</f>
        <v>0.32</v>
      </c>
      <c r="U1091" s="514"/>
      <c r="V1091" s="514"/>
      <c r="W1091" s="514"/>
      <c r="X1091" s="514"/>
      <c r="Y1091" s="514"/>
      <c r="Z1091" s="514"/>
      <c r="AA1091" s="514"/>
      <c r="AB1091" s="514"/>
      <c r="AC1091" s="514"/>
      <c r="AD1091" s="514"/>
      <c r="AE1091" s="514"/>
      <c r="AF1091" s="514"/>
      <c r="AG1091" s="514"/>
      <c r="AH1091" s="514"/>
      <c r="AI1091" s="514"/>
      <c r="AJ1091" s="514"/>
      <c r="AK1091" s="514"/>
      <c r="AL1091" s="514"/>
      <c r="AM1091" s="514"/>
      <c r="AN1091" s="514"/>
      <c r="AO1091" s="514"/>
    </row>
    <row r="1092" spans="1:41" s="504" customFormat="1" ht="12" thickTop="1">
      <c r="A1092" s="50"/>
      <c r="B1092" s="40"/>
      <c r="C1092" s="50"/>
      <c r="E1092" s="41" t="s">
        <v>136</v>
      </c>
      <c r="F1092" s="41" t="s">
        <v>137</v>
      </c>
      <c r="G1092" s="50"/>
      <c r="H1092" s="50"/>
      <c r="I1092" s="50"/>
      <c r="J1092" s="50"/>
      <c r="K1092" s="50" t="s">
        <v>138</v>
      </c>
      <c r="L1092" s="50"/>
      <c r="M1092" s="50"/>
      <c r="N1092" s="50"/>
      <c r="O1092" s="51"/>
      <c r="P1092" s="50"/>
      <c r="Q1092" s="50"/>
      <c r="R1092" s="50"/>
      <c r="S1092" s="50"/>
      <c r="T1092" s="40"/>
      <c r="AG1092" s="867" t="s">
        <v>241</v>
      </c>
      <c r="AH1092" s="867" t="s">
        <v>242</v>
      </c>
      <c r="AI1092" s="867" t="s">
        <v>243</v>
      </c>
      <c r="AJ1092" s="867" t="s">
        <v>244</v>
      </c>
      <c r="AK1092" s="867" t="s">
        <v>245</v>
      </c>
      <c r="AM1092" s="868" t="s">
        <v>254</v>
      </c>
      <c r="AN1092" s="869" t="s">
        <v>255</v>
      </c>
      <c r="AO1092" s="505" t="s">
        <v>251</v>
      </c>
    </row>
    <row r="1093" spans="1:41" s="504" customFormat="1" ht="12" customHeight="1">
      <c r="A1093" s="870">
        <v>2</v>
      </c>
      <c r="B1093" s="871" t="s">
        <v>335</v>
      </c>
      <c r="C1093" s="872"/>
      <c r="D1093" s="873" t="s">
        <v>823</v>
      </c>
      <c r="E1093" s="874">
        <f ca="1">IF(AND($A1093=0,$A$1="DIF"),0, ROUND(ROUND(($R1099*$S$2+($T1099*$T$2))/A1093,2)*$C$2,2))</f>
        <v>64.13</v>
      </c>
      <c r="F1093" s="875">
        <f ca="1">ROUND($A1093*$E1093,2)</f>
        <v>128.26</v>
      </c>
      <c r="G1093" s="876" t="s">
        <v>139</v>
      </c>
      <c r="H1093" s="877"/>
      <c r="I1093" s="878"/>
      <c r="J1093" s="877"/>
      <c r="K1093" s="877" t="s">
        <v>3</v>
      </c>
      <c r="L1093" s="879" t="s">
        <v>140</v>
      </c>
      <c r="M1093" s="879"/>
      <c r="N1093" s="879"/>
      <c r="O1093" s="879"/>
      <c r="P1093" s="879"/>
      <c r="Q1093" s="50"/>
      <c r="T1093" s="880" t="str">
        <f ca="1">IF(AND($R1099=0,$T1099=0),"0.00","mu :" &amp; ROUND($F1093/$C$2/($R1099+$T1099*$D$9),2))</f>
        <v>mu :1.22</v>
      </c>
      <c r="W1093" s="507"/>
      <c r="AG1093" s="465">
        <f ca="1">IF($E1093=0,0,ROUND($R1099*$S$2*$C$2/$A1093,2))</f>
        <v>11.77</v>
      </c>
      <c r="AH1093" s="465">
        <f ca="1">$AG1093*$A1093</f>
        <v>23.54</v>
      </c>
      <c r="AI1093" s="508">
        <f ca="1">$E1093-$AG1093</f>
        <v>52.36</v>
      </c>
      <c r="AJ1093" s="508">
        <f ca="1">$A1093*$AI1093</f>
        <v>104.72</v>
      </c>
      <c r="AK1093" s="509">
        <f ca="1">ROUND(($AG1093+$AI1093)*$A1093,2)</f>
        <v>128.26</v>
      </c>
      <c r="AM1093" s="510">
        <f ca="1">ROUND(R1099,2)</f>
        <v>19.3</v>
      </c>
      <c r="AN1093" s="511">
        <f ca="1">ROUND(T1099,2)</f>
        <v>2.98</v>
      </c>
      <c r="AO1093" s="512">
        <f ca="1">ROUND(AM1093+AN1093,2)*A1093</f>
        <v>44.56</v>
      </c>
    </row>
    <row r="1094" spans="1:41" s="504" customFormat="1" ht="13.2">
      <c r="A1094" s="872"/>
      <c r="B1094"/>
      <c r="C1094" s="872"/>
      <c r="D1094" s="873" t="s">
        <v>381</v>
      </c>
      <c r="F1094" s="877"/>
      <c r="G1094" s="3"/>
      <c r="H1094" s="877"/>
      <c r="I1094" s="878"/>
      <c r="J1094" s="877"/>
      <c r="K1094" s="877" t="s">
        <v>141</v>
      </c>
      <c r="L1094" s="877"/>
      <c r="M1094" s="877"/>
      <c r="N1094" s="877"/>
      <c r="O1094" s="877"/>
      <c r="P1094" s="877"/>
      <c r="Q1094" s="50"/>
      <c r="R1094" s="513"/>
      <c r="S1094" s="881"/>
      <c r="T1094" s="877"/>
    </row>
    <row r="1095" spans="1:41" s="997" customFormat="1" ht="13.2">
      <c r="A1095"/>
      <c r="B1095" s="1065"/>
      <c r="C1095" s="1065" t="s">
        <v>1006</v>
      </c>
      <c r="D1095" s="1065" t="str">
        <f ca="1">CELL("Address",Elec_Rates!D$200)</f>
        <v>[EL25_0662B_Brittania_Hotel_Elec_Revised_Estim_B.xlsx]Elec_Rates!$D$200</v>
      </c>
      <c r="E1095" s="1066"/>
      <c r="F1095" s="1066"/>
      <c r="G1095" s="1067" t="s">
        <v>1007</v>
      </c>
      <c r="H1095" s="1067"/>
      <c r="I1095" s="1067"/>
      <c r="J1095" s="1067"/>
      <c r="K1095" s="1068"/>
      <c r="L1095" s="1066"/>
      <c r="M1095" s="1066"/>
      <c r="N1095" s="1066"/>
      <c r="O1095" s="1069"/>
      <c r="P1095" s="1066"/>
      <c r="Q1095" s="1070"/>
      <c r="R1095" s="1071"/>
      <c r="S1095" s="1070"/>
      <c r="T1095" s="1072"/>
      <c r="U1095" s="1073"/>
    </row>
    <row r="1096" spans="1:41" s="997" customFormat="1" ht="11.4">
      <c r="A1096" s="1074">
        <v>2</v>
      </c>
      <c r="B1096" s="1075">
        <v>1</v>
      </c>
      <c r="C1096" s="1075">
        <f>$A1096*$B1096</f>
        <v>2</v>
      </c>
      <c r="D1096" s="1076" t="str">
        <f>Elec_Rates!$D$200</f>
        <v>019# Lighting point in LSZH Conduit</v>
      </c>
      <c r="E1096" s="1076"/>
      <c r="F1096" s="1076" t="s">
        <v>1169</v>
      </c>
      <c r="G1096" s="1077" t="s">
        <v>1008</v>
      </c>
      <c r="H1096" s="1077"/>
      <c r="I1096" s="1077"/>
      <c r="J1096" s="1077"/>
      <c r="K1096" s="1078"/>
      <c r="L1096" s="1073"/>
      <c r="M1096" s="1073"/>
      <c r="N1096" s="1073"/>
      <c r="O1096" s="1079"/>
      <c r="P1096" s="1076"/>
      <c r="Q1096" s="1080">
        <f ca="1">$B1096*Elec_Rates!$R$200</f>
        <v>9.65</v>
      </c>
      <c r="R1096" s="1071">
        <f ca="1">$A1096*Q1096</f>
        <v>19.3</v>
      </c>
      <c r="S1096" s="1080">
        <f ca="1">$B1096*Elec_Rates!$T$200</f>
        <v>1.31</v>
      </c>
      <c r="T1096" s="1072">
        <f ca="1">$A1096*S1096</f>
        <v>2.62</v>
      </c>
      <c r="U1096" s="1081"/>
    </row>
    <row r="1097" spans="1:41" s="1039" customFormat="1" ht="11.4">
      <c r="A1097" s="50">
        <v>2</v>
      </c>
      <c r="B1097" s="1039" t="s">
        <v>949</v>
      </c>
      <c r="D1097" s="1039" t="s">
        <v>1286</v>
      </c>
      <c r="G1097" s="1040" t="s">
        <v>1182</v>
      </c>
      <c r="H1097" s="1041">
        <v>705</v>
      </c>
      <c r="I1097" s="1039" t="s">
        <v>1183</v>
      </c>
      <c r="J1097" s="1039" t="s">
        <v>1184</v>
      </c>
      <c r="O1097" s="1042">
        <v>3</v>
      </c>
      <c r="P1097" s="1043">
        <v>34669</v>
      </c>
      <c r="Q1097" s="1044">
        <v>0</v>
      </c>
      <c r="R1097" s="1045">
        <f>$A1097*Q1097</f>
        <v>0</v>
      </c>
      <c r="S1097" s="1044">
        <v>0.17</v>
      </c>
      <c r="T1097" s="1046">
        <f>$A1097*S1097*$T$1</f>
        <v>0.35700000000000004</v>
      </c>
    </row>
    <row r="1098" spans="1:41" s="504" customFormat="1" ht="12">
      <c r="A1098" s="882"/>
      <c r="B1098" s="882"/>
      <c r="C1098" s="882"/>
      <c r="D1098" s="882"/>
      <c r="E1098" s="882"/>
      <c r="F1098" s="877"/>
      <c r="G1098" s="882"/>
      <c r="H1098" s="882"/>
      <c r="I1098" s="503"/>
      <c r="J1098" s="882"/>
      <c r="K1098" s="882"/>
      <c r="L1098" s="882"/>
      <c r="M1098" s="882"/>
      <c r="N1098" s="882"/>
      <c r="O1098" s="882"/>
      <c r="P1098" s="882"/>
      <c r="Q1098" s="503"/>
      <c r="R1098" s="883">
        <f>$A1098*Q1098</f>
        <v>0</v>
      </c>
      <c r="S1098" s="503"/>
      <c r="T1098" s="884">
        <f>$A1098*S1098*$T$1</f>
        <v>0</v>
      </c>
    </row>
    <row r="1099" spans="1:41" s="504" customFormat="1" ht="12.6" thickBot="1">
      <c r="A1099" s="885" t="s">
        <v>142</v>
      </c>
      <c r="B1099" s="886">
        <f>(R1098+T1098)</f>
        <v>0</v>
      </c>
      <c r="C1099" s="887"/>
      <c r="D1099" s="887"/>
      <c r="E1099" s="887"/>
      <c r="F1099" s="888"/>
      <c r="G1099" s="887" t="s">
        <v>143</v>
      </c>
      <c r="H1099" s="887"/>
      <c r="I1099" s="889"/>
      <c r="J1099" s="887"/>
      <c r="K1099" s="887" t="s">
        <v>3</v>
      </c>
      <c r="L1099" s="890" t="s">
        <v>140</v>
      </c>
      <c r="M1099" s="890"/>
      <c r="N1099" s="890"/>
      <c r="O1099" s="890"/>
      <c r="P1099" s="890"/>
      <c r="Q1099" s="891"/>
      <c r="R1099" s="892">
        <f ca="1">SUM(R1094:R1098)</f>
        <v>19.3</v>
      </c>
      <c r="S1099" s="887"/>
      <c r="T1099" s="892">
        <f ca="1">SUM(T1094:T1098)</f>
        <v>2.9770000000000003</v>
      </c>
      <c r="U1099" s="514"/>
      <c r="V1099" s="514"/>
      <c r="W1099" s="514"/>
      <c r="X1099" s="514"/>
      <c r="Y1099" s="514"/>
      <c r="Z1099" s="514"/>
      <c r="AA1099" s="514"/>
      <c r="AB1099" s="514"/>
      <c r="AC1099" s="514"/>
      <c r="AD1099" s="514"/>
      <c r="AE1099" s="514"/>
      <c r="AF1099" s="514"/>
      <c r="AG1099" s="514"/>
      <c r="AH1099" s="514"/>
      <c r="AI1099" s="514"/>
      <c r="AJ1099" s="514"/>
      <c r="AK1099" s="514"/>
      <c r="AL1099" s="514"/>
      <c r="AM1099" s="514"/>
      <c r="AN1099" s="514"/>
      <c r="AO1099" s="514"/>
    </row>
    <row r="1100" spans="1:41" s="504" customFormat="1" ht="12" thickTop="1">
      <c r="A1100" s="50"/>
      <c r="B1100" s="40"/>
      <c r="C1100" s="50"/>
      <c r="E1100" s="41" t="s">
        <v>136</v>
      </c>
      <c r="F1100" s="41" t="s">
        <v>137</v>
      </c>
      <c r="G1100" s="50"/>
      <c r="H1100" s="50"/>
      <c r="I1100" s="50"/>
      <c r="J1100" s="50"/>
      <c r="K1100" s="50" t="s">
        <v>138</v>
      </c>
      <c r="L1100" s="50"/>
      <c r="M1100" s="50"/>
      <c r="N1100" s="50"/>
      <c r="O1100" s="51"/>
      <c r="P1100" s="50"/>
      <c r="Q1100" s="50"/>
      <c r="R1100" s="50"/>
      <c r="S1100" s="50"/>
      <c r="T1100" s="40"/>
      <c r="AG1100" s="867" t="s">
        <v>241</v>
      </c>
      <c r="AH1100" s="867" t="s">
        <v>242</v>
      </c>
      <c r="AI1100" s="867" t="s">
        <v>243</v>
      </c>
      <c r="AJ1100" s="867" t="s">
        <v>244</v>
      </c>
      <c r="AK1100" s="867" t="s">
        <v>245</v>
      </c>
      <c r="AM1100" s="868" t="s">
        <v>254</v>
      </c>
      <c r="AN1100" s="869" t="s">
        <v>255</v>
      </c>
      <c r="AO1100" s="505" t="s">
        <v>251</v>
      </c>
    </row>
    <row r="1101" spans="1:41" s="504" customFormat="1" ht="12" customHeight="1">
      <c r="A1101" s="870">
        <v>7</v>
      </c>
      <c r="B1101" s="871" t="s">
        <v>335</v>
      </c>
      <c r="C1101" s="872"/>
      <c r="D1101" s="873" t="s">
        <v>824</v>
      </c>
      <c r="E1101" s="874">
        <f ca="1">IF(AND($A1101=0,$A$1="DIF"),0, ROUND(ROUND(($R1106*$S$2+($T1106*$T$2))/A1101,2)*$C$2,2))</f>
        <v>13.21</v>
      </c>
      <c r="F1101" s="875">
        <f ca="1">ROUND($A1101*$E1101,2)</f>
        <v>92.47</v>
      </c>
      <c r="G1101" s="876" t="s">
        <v>139</v>
      </c>
      <c r="H1101" s="877"/>
      <c r="I1101" s="878"/>
      <c r="J1101" s="877"/>
      <c r="K1101" s="877" t="s">
        <v>3</v>
      </c>
      <c r="L1101" s="879" t="s">
        <v>140</v>
      </c>
      <c r="M1101" s="879"/>
      <c r="N1101" s="879"/>
      <c r="O1101" s="879"/>
      <c r="P1101" s="879"/>
      <c r="Q1101" s="50"/>
      <c r="T1101" s="880" t="str">
        <f ca="1">IF(AND($R1106=0,$T1106=0),"0.00","mu :" &amp; ROUND($F1101/$C$2/($R1106+$T1106*$D$9),2))</f>
        <v>mu :1.22</v>
      </c>
      <c r="W1101" s="507"/>
      <c r="AG1101" s="465">
        <f ca="1">IF($E1101=0,0,ROUND($R1106*$S$2*$C$2/$A1101,2))</f>
        <v>0.2</v>
      </c>
      <c r="AH1101" s="465">
        <f ca="1">$AG1101*$A1101</f>
        <v>1.4000000000000001</v>
      </c>
      <c r="AI1101" s="508">
        <f ca="1">$E1101-$AG1101</f>
        <v>13.010000000000002</v>
      </c>
      <c r="AJ1101" s="508">
        <f ca="1">$A1101*$AI1101</f>
        <v>91.070000000000007</v>
      </c>
      <c r="AK1101" s="509">
        <f ca="1">ROUND(($AG1101+$AI1101)*$A1101,2)</f>
        <v>92.47</v>
      </c>
      <c r="AM1101" s="510">
        <f ca="1">ROUND(R1106,2)</f>
        <v>1.1200000000000001</v>
      </c>
      <c r="AN1101" s="511">
        <f ca="1">ROUND(T1106,2)</f>
        <v>2.59</v>
      </c>
      <c r="AO1101" s="512">
        <f ca="1">ROUND(AM1101+AN1101,2)*A1101</f>
        <v>25.97</v>
      </c>
    </row>
    <row r="1102" spans="1:41" s="504" customFormat="1" ht="13.2">
      <c r="A1102" s="872"/>
      <c r="B1102"/>
      <c r="C1102" s="872"/>
      <c r="D1102" s="873" t="s">
        <v>348</v>
      </c>
      <c r="F1102" s="877"/>
      <c r="G1102" s="3"/>
      <c r="H1102" s="877"/>
      <c r="I1102" s="878"/>
      <c r="J1102" s="877"/>
      <c r="K1102" s="877" t="s">
        <v>141</v>
      </c>
      <c r="L1102" s="877"/>
      <c r="M1102" s="877"/>
      <c r="N1102" s="877"/>
      <c r="O1102" s="877"/>
      <c r="P1102" s="877"/>
      <c r="Q1102" s="50"/>
      <c r="R1102" s="513"/>
      <c r="S1102" s="881"/>
      <c r="T1102" s="877"/>
    </row>
    <row r="1103" spans="1:41" s="997" customFormat="1" ht="13.2">
      <c r="A1103"/>
      <c r="B1103" s="1065"/>
      <c r="C1103" s="1065" t="s">
        <v>1006</v>
      </c>
      <c r="D1103" s="1065" t="str">
        <f ca="1">CELL("Address",Elec_Rates!D$247)</f>
        <v>[EL25_0662B_Brittania_Hotel_Elec_Revised_Estim_B.xlsx]Elec_Rates!$D$247</v>
      </c>
      <c r="E1103" s="1066"/>
      <c r="F1103" s="1066"/>
      <c r="G1103" s="1067" t="s">
        <v>1007</v>
      </c>
      <c r="H1103" s="1067"/>
      <c r="I1103" s="1067"/>
      <c r="J1103" s="1067"/>
      <c r="K1103" s="1068"/>
      <c r="L1103" s="1066"/>
      <c r="M1103" s="1066"/>
      <c r="N1103" s="1066"/>
      <c r="O1103" s="1069"/>
      <c r="P1103" s="1066"/>
      <c r="Q1103" s="1070"/>
      <c r="R1103" s="1071"/>
      <c r="S1103" s="1070"/>
      <c r="T1103" s="1072"/>
      <c r="U1103" s="1073"/>
    </row>
    <row r="1104" spans="1:41" s="997" customFormat="1" ht="11.4">
      <c r="A1104" s="1074">
        <v>7</v>
      </c>
      <c r="B1104" s="1075">
        <v>1</v>
      </c>
      <c r="C1104" s="1075">
        <f>$A1104*$B1104</f>
        <v>7</v>
      </c>
      <c r="D1104" s="1076" t="str">
        <f>Elec_Rates!$D$247</f>
        <v>026# Install and connect Only - Type 'E1' - Single Sided, Wall Mounted, Directional Exit Signage</v>
      </c>
      <c r="E1104" s="1076"/>
      <c r="F1104" s="1076"/>
      <c r="G1104" s="1077" t="s">
        <v>1008</v>
      </c>
      <c r="H1104" s="1077"/>
      <c r="I1104" s="1077"/>
      <c r="J1104" s="1077"/>
      <c r="K1104" s="1078"/>
      <c r="L1104" s="1073"/>
      <c r="M1104" s="1073"/>
      <c r="N1104" s="1073"/>
      <c r="O1104" s="1079"/>
      <c r="P1104" s="1076"/>
      <c r="Q1104" s="1080">
        <f ca="1">$B1104*Elec_Rates!$R$247</f>
        <v>0.16</v>
      </c>
      <c r="R1104" s="1071">
        <f ca="1">$A1104*Q1104</f>
        <v>1.1200000000000001</v>
      </c>
      <c r="S1104" s="1080">
        <f ca="1">$B1104*Elec_Rates!$T$247</f>
        <v>0.37</v>
      </c>
      <c r="T1104" s="1072">
        <f ca="1">$A1104*S1104</f>
        <v>2.59</v>
      </c>
      <c r="U1104" s="1081"/>
    </row>
    <row r="1105" spans="1:41" s="504" customFormat="1" ht="12">
      <c r="A1105" s="882"/>
      <c r="B1105" s="882"/>
      <c r="C1105" s="882"/>
      <c r="D1105" s="882"/>
      <c r="E1105" s="882"/>
      <c r="F1105" s="877"/>
      <c r="G1105" s="882"/>
      <c r="H1105" s="882"/>
      <c r="I1105" s="503"/>
      <c r="J1105" s="882"/>
      <c r="K1105" s="882"/>
      <c r="L1105" s="882"/>
      <c r="M1105" s="882"/>
      <c r="N1105" s="882"/>
      <c r="O1105" s="882"/>
      <c r="P1105" s="882"/>
      <c r="Q1105" s="503"/>
      <c r="R1105" s="883">
        <f>$A1105*Q1105</f>
        <v>0</v>
      </c>
      <c r="S1105" s="503"/>
      <c r="T1105" s="884">
        <f>$A1105*S1105*$T$1</f>
        <v>0</v>
      </c>
    </row>
    <row r="1106" spans="1:41" s="504" customFormat="1" ht="12.6" thickBot="1">
      <c r="A1106" s="885" t="s">
        <v>142</v>
      </c>
      <c r="B1106" s="886">
        <f>(R1105+T1105)</f>
        <v>0</v>
      </c>
      <c r="C1106" s="887"/>
      <c r="D1106" s="887"/>
      <c r="E1106" s="887"/>
      <c r="F1106" s="888"/>
      <c r="G1106" s="887" t="s">
        <v>143</v>
      </c>
      <c r="H1106" s="887"/>
      <c r="I1106" s="889"/>
      <c r="J1106" s="887"/>
      <c r="K1106" s="887" t="s">
        <v>3</v>
      </c>
      <c r="L1106" s="890" t="s">
        <v>140</v>
      </c>
      <c r="M1106" s="890"/>
      <c r="N1106" s="890"/>
      <c r="O1106" s="890"/>
      <c r="P1106" s="890"/>
      <c r="Q1106" s="891"/>
      <c r="R1106" s="892">
        <f ca="1">SUM(R1102:R1105)</f>
        <v>1.1200000000000001</v>
      </c>
      <c r="S1106" s="887"/>
      <c r="T1106" s="892">
        <f ca="1">SUM(T1102:T1105)</f>
        <v>2.59</v>
      </c>
      <c r="U1106" s="514"/>
      <c r="V1106" s="514"/>
      <c r="W1106" s="514"/>
      <c r="X1106" s="514"/>
      <c r="Y1106" s="514"/>
      <c r="Z1106" s="514"/>
      <c r="AA1106" s="514"/>
      <c r="AB1106" s="514"/>
      <c r="AC1106" s="514"/>
      <c r="AD1106" s="514"/>
      <c r="AE1106" s="514"/>
      <c r="AF1106" s="514"/>
      <c r="AG1106" s="514"/>
      <c r="AH1106" s="514"/>
      <c r="AI1106" s="514"/>
      <c r="AJ1106" s="514"/>
      <c r="AK1106" s="514"/>
      <c r="AL1106" s="514"/>
      <c r="AM1106" s="514"/>
      <c r="AN1106" s="514"/>
      <c r="AO1106" s="514"/>
    </row>
    <row r="1107" spans="1:41" s="504" customFormat="1" ht="12" thickTop="1">
      <c r="A1107" s="50"/>
      <c r="B1107" s="40"/>
      <c r="C1107" s="50"/>
      <c r="E1107" s="41" t="s">
        <v>136</v>
      </c>
      <c r="F1107" s="41" t="s">
        <v>137</v>
      </c>
      <c r="G1107" s="50"/>
      <c r="H1107" s="50"/>
      <c r="I1107" s="50"/>
      <c r="J1107" s="50"/>
      <c r="K1107" s="50" t="s">
        <v>138</v>
      </c>
      <c r="L1107" s="50"/>
      <c r="M1107" s="50"/>
      <c r="N1107" s="50"/>
      <c r="O1107" s="51"/>
      <c r="P1107" s="50"/>
      <c r="Q1107" s="50"/>
      <c r="R1107" s="50"/>
      <c r="S1107" s="50"/>
      <c r="T1107" s="40"/>
      <c r="AG1107" s="867" t="s">
        <v>241</v>
      </c>
      <c r="AH1107" s="867" t="s">
        <v>242</v>
      </c>
      <c r="AI1107" s="867" t="s">
        <v>243</v>
      </c>
      <c r="AJ1107" s="867" t="s">
        <v>244</v>
      </c>
      <c r="AK1107" s="867" t="s">
        <v>245</v>
      </c>
      <c r="AM1107" s="868" t="s">
        <v>254</v>
      </c>
      <c r="AN1107" s="869" t="s">
        <v>255</v>
      </c>
      <c r="AO1107" s="505" t="s">
        <v>251</v>
      </c>
    </row>
    <row r="1108" spans="1:41" s="504" customFormat="1" ht="12" customHeight="1">
      <c r="A1108" s="870">
        <v>4</v>
      </c>
      <c r="B1108" s="871" t="s">
        <v>335</v>
      </c>
      <c r="C1108" s="872"/>
      <c r="D1108" s="873" t="s">
        <v>825</v>
      </c>
      <c r="E1108" s="874">
        <f ca="1">IF(AND($A1108=0,$A$1="DIF"),0, ROUND(ROUND(($R1113*$S$2+($T1113*$T$2))/A1108,2)*$C$2,2))</f>
        <v>17.87</v>
      </c>
      <c r="F1108" s="875">
        <f ca="1">ROUND($A1108*$E1108,2)</f>
        <v>71.48</v>
      </c>
      <c r="G1108" s="876" t="s">
        <v>139</v>
      </c>
      <c r="H1108" s="877"/>
      <c r="I1108" s="878"/>
      <c r="J1108" s="877"/>
      <c r="K1108" s="877" t="s">
        <v>3</v>
      </c>
      <c r="L1108" s="879" t="s">
        <v>140</v>
      </c>
      <c r="M1108" s="879"/>
      <c r="N1108" s="879"/>
      <c r="O1108" s="879"/>
      <c r="P1108" s="879"/>
      <c r="Q1108" s="50"/>
      <c r="T1108" s="880" t="str">
        <f ca="1">IF(AND($R1113=0,$T1113=0),"0.00","mu :" &amp; ROUND($F1108/$C$2/($R1113+$T1113*$D$9),2))</f>
        <v>mu :1.22</v>
      </c>
      <c r="W1108" s="507"/>
      <c r="AG1108" s="465">
        <f ca="1">IF($E1108=0,0,ROUND($R1113*$S$2*$C$2/$A1108,2))</f>
        <v>1.34</v>
      </c>
      <c r="AH1108" s="465">
        <f ca="1">$AG1108*$A1108</f>
        <v>5.36</v>
      </c>
      <c r="AI1108" s="508">
        <f ca="1">$E1108-$AG1108</f>
        <v>16.53</v>
      </c>
      <c r="AJ1108" s="508">
        <f ca="1">$A1108*$AI1108</f>
        <v>66.12</v>
      </c>
      <c r="AK1108" s="509">
        <f ca="1">ROUND(($AG1108+$AI1108)*$A1108,2)</f>
        <v>71.48</v>
      </c>
      <c r="AM1108" s="510">
        <f ca="1">ROUND(R1113,2)</f>
        <v>4.4000000000000004</v>
      </c>
      <c r="AN1108" s="511">
        <f ca="1">ROUND(T1113,2)</f>
        <v>1.88</v>
      </c>
      <c r="AO1108" s="512">
        <f ca="1">ROUND(AM1108+AN1108,2)*A1108</f>
        <v>25.12</v>
      </c>
    </row>
    <row r="1109" spans="1:41" s="504" customFormat="1" ht="13.2">
      <c r="A1109" s="872"/>
      <c r="B1109"/>
      <c r="C1109" s="872"/>
      <c r="D1109" s="873" t="s">
        <v>382</v>
      </c>
      <c r="F1109" s="877"/>
      <c r="G1109" s="3"/>
      <c r="H1109" s="877"/>
      <c r="I1109" s="878"/>
      <c r="J1109" s="877"/>
      <c r="K1109" s="877" t="s">
        <v>141</v>
      </c>
      <c r="L1109" s="877"/>
      <c r="M1109" s="877"/>
      <c r="N1109" s="877"/>
      <c r="O1109" s="877"/>
      <c r="P1109" s="877"/>
      <c r="Q1109" s="50"/>
      <c r="R1109" s="513"/>
      <c r="S1109" s="881"/>
      <c r="T1109" s="877"/>
    </row>
    <row r="1110" spans="1:41" s="997" customFormat="1" ht="13.2">
      <c r="A1110"/>
      <c r="B1110" s="1065"/>
      <c r="C1110" s="1065" t="s">
        <v>1006</v>
      </c>
      <c r="D1110" s="1065" t="str">
        <f ca="1">CELL("Address",Elec_Rates!D$255)</f>
        <v>[EL25_0662B_Brittania_Hotel_Elec_Revised_Estim_B.xlsx]Elec_Rates!$D$255</v>
      </c>
      <c r="E1110" s="1066"/>
      <c r="F1110" s="1066"/>
      <c r="G1110" s="1067" t="s">
        <v>1007</v>
      </c>
      <c r="H1110" s="1067"/>
      <c r="I1110" s="1067"/>
      <c r="J1110" s="1067"/>
      <c r="K1110" s="1068"/>
      <c r="L1110" s="1066"/>
      <c r="M1110" s="1066"/>
      <c r="N1110" s="1066"/>
      <c r="O1110" s="1069"/>
      <c r="P1110" s="1066"/>
      <c r="Q1110" s="1070"/>
      <c r="R1110" s="1071"/>
      <c r="S1110" s="1070"/>
      <c r="T1110" s="1072"/>
      <c r="U1110" s="1073"/>
    </row>
    <row r="1111" spans="1:41" s="997" customFormat="1" ht="11.4">
      <c r="A1111" s="1074">
        <v>4</v>
      </c>
      <c r="B1111" s="1075">
        <v>1</v>
      </c>
      <c r="C1111" s="1075">
        <f>$A1111*$B1111</f>
        <v>4</v>
      </c>
      <c r="D1111" s="1076" t="str">
        <f>Elec_Rates!$D$255</f>
        <v>027# Install and connect Only - Type 'E2' - Double Sided, Ceiling Mounted/ Soffit Recessed, Directional Exit Signage.</v>
      </c>
      <c r="E1111" s="1076"/>
      <c r="F1111" s="1076"/>
      <c r="G1111" s="1077" t="s">
        <v>1008</v>
      </c>
      <c r="H1111" s="1077"/>
      <c r="I1111" s="1077"/>
      <c r="J1111" s="1077"/>
      <c r="K1111" s="1078"/>
      <c r="L1111" s="1073"/>
      <c r="M1111" s="1073"/>
      <c r="N1111" s="1073"/>
      <c r="O1111" s="1079"/>
      <c r="P1111" s="1076"/>
      <c r="Q1111" s="1080">
        <f ca="1">$B1111*Elec_Rates!$R$255</f>
        <v>1.1000000000000001</v>
      </c>
      <c r="R1111" s="1071">
        <f ca="1">$A1111*Q1111</f>
        <v>4.4000000000000004</v>
      </c>
      <c r="S1111" s="1080">
        <f ca="1">$B1111*Elec_Rates!$T$255</f>
        <v>0.47</v>
      </c>
      <c r="T1111" s="1072">
        <f ca="1">$A1111*S1111</f>
        <v>1.88</v>
      </c>
      <c r="U1111" s="1081"/>
    </row>
    <row r="1112" spans="1:41" s="504" customFormat="1" ht="12">
      <c r="A1112" s="882"/>
      <c r="B1112" s="882"/>
      <c r="C1112" s="882"/>
      <c r="D1112" s="882"/>
      <c r="E1112" s="882"/>
      <c r="F1112" s="877"/>
      <c r="G1112" s="882"/>
      <c r="H1112" s="882"/>
      <c r="I1112" s="503"/>
      <c r="J1112" s="882"/>
      <c r="K1112" s="882"/>
      <c r="L1112" s="882"/>
      <c r="M1112" s="882"/>
      <c r="N1112" s="882"/>
      <c r="O1112" s="882"/>
      <c r="P1112" s="882"/>
      <c r="Q1112" s="503"/>
      <c r="R1112" s="883">
        <f>$A1112*Q1112</f>
        <v>0</v>
      </c>
      <c r="S1112" s="503"/>
      <c r="T1112" s="884">
        <f>$A1112*S1112*$T$1</f>
        <v>0</v>
      </c>
    </row>
    <row r="1113" spans="1:41" s="504" customFormat="1" ht="12.6" thickBot="1">
      <c r="A1113" s="885" t="s">
        <v>142</v>
      </c>
      <c r="B1113" s="886">
        <f>(R1112+T1112)</f>
        <v>0</v>
      </c>
      <c r="C1113" s="887"/>
      <c r="D1113" s="887"/>
      <c r="E1113" s="887"/>
      <c r="F1113" s="888"/>
      <c r="G1113" s="887" t="s">
        <v>143</v>
      </c>
      <c r="H1113" s="887"/>
      <c r="I1113" s="889"/>
      <c r="J1113" s="887"/>
      <c r="K1113" s="887" t="s">
        <v>3</v>
      </c>
      <c r="L1113" s="890" t="s">
        <v>140</v>
      </c>
      <c r="M1113" s="890"/>
      <c r="N1113" s="890"/>
      <c r="O1113" s="890"/>
      <c r="P1113" s="890"/>
      <c r="Q1113" s="891"/>
      <c r="R1113" s="892">
        <f ca="1">SUM(R1109:R1112)</f>
        <v>4.4000000000000004</v>
      </c>
      <c r="S1113" s="887"/>
      <c r="T1113" s="892">
        <f ca="1">SUM(T1109:T1112)</f>
        <v>1.88</v>
      </c>
      <c r="U1113" s="514"/>
      <c r="V1113" s="514"/>
      <c r="W1113" s="514"/>
      <c r="X1113" s="514"/>
      <c r="Y1113" s="514"/>
      <c r="Z1113" s="514"/>
      <c r="AA1113" s="514"/>
      <c r="AB1113" s="514"/>
      <c r="AC1113" s="514"/>
      <c r="AD1113" s="514"/>
      <c r="AE1113" s="514"/>
      <c r="AF1113" s="514"/>
      <c r="AG1113" s="514"/>
      <c r="AH1113" s="514"/>
      <c r="AI1113" s="514"/>
      <c r="AJ1113" s="514"/>
      <c r="AK1113" s="514"/>
      <c r="AL1113" s="514"/>
      <c r="AM1113" s="514"/>
      <c r="AN1113" s="514"/>
      <c r="AO1113" s="514"/>
    </row>
    <row r="1114" spans="1:41" s="504" customFormat="1" ht="12" thickTop="1">
      <c r="A1114" s="50"/>
      <c r="B1114" s="40"/>
      <c r="C1114" s="50"/>
      <c r="E1114" s="41" t="s">
        <v>136</v>
      </c>
      <c r="F1114" s="41" t="s">
        <v>137</v>
      </c>
      <c r="G1114" s="50"/>
      <c r="H1114" s="50"/>
      <c r="I1114" s="50"/>
      <c r="J1114" s="50"/>
      <c r="K1114" s="50" t="s">
        <v>138</v>
      </c>
      <c r="L1114" s="50"/>
      <c r="M1114" s="50"/>
      <c r="N1114" s="50"/>
      <c r="O1114" s="51"/>
      <c r="P1114" s="50"/>
      <c r="Q1114" s="50"/>
      <c r="R1114" s="50"/>
      <c r="S1114" s="50"/>
      <c r="T1114" s="40"/>
      <c r="AG1114" s="867" t="s">
        <v>241</v>
      </c>
      <c r="AH1114" s="867" t="s">
        <v>242</v>
      </c>
      <c r="AI1114" s="867" t="s">
        <v>243</v>
      </c>
      <c r="AJ1114" s="867" t="s">
        <v>244</v>
      </c>
      <c r="AK1114" s="867" t="s">
        <v>245</v>
      </c>
      <c r="AM1114" s="868" t="s">
        <v>254</v>
      </c>
      <c r="AN1114" s="869" t="s">
        <v>255</v>
      </c>
      <c r="AO1114" s="505" t="s">
        <v>251</v>
      </c>
    </row>
    <row r="1115" spans="1:41" s="504" customFormat="1" ht="12" customHeight="1">
      <c r="A1115" s="870">
        <v>2</v>
      </c>
      <c r="B1115" s="871" t="s">
        <v>335</v>
      </c>
      <c r="C1115" s="872"/>
      <c r="D1115" s="873" t="s">
        <v>826</v>
      </c>
      <c r="E1115" s="874">
        <f ca="1">IF(AND($A1115=0,$A$1="DIF"),0, ROUND(ROUND(($R1120*$S$2+($T1120*$T$2))/A1115,2)*$C$2,2))</f>
        <v>16.12</v>
      </c>
      <c r="F1115" s="875">
        <f ca="1">ROUND($A1115*$E1115,2)</f>
        <v>32.24</v>
      </c>
      <c r="G1115" s="876" t="s">
        <v>139</v>
      </c>
      <c r="H1115" s="877"/>
      <c r="I1115" s="878"/>
      <c r="J1115" s="877"/>
      <c r="K1115" s="877" t="s">
        <v>3</v>
      </c>
      <c r="L1115" s="879" t="s">
        <v>140</v>
      </c>
      <c r="M1115" s="879"/>
      <c r="N1115" s="879"/>
      <c r="O1115" s="879"/>
      <c r="P1115" s="879"/>
      <c r="Q1115" s="50"/>
      <c r="T1115" s="880" t="str">
        <f ca="1">IF(AND($R1120=0,$T1120=0),"0.00","mu :" &amp; ROUND($F1115/$C$2/($R1120+$T1120*$D$9),2))</f>
        <v>mu :1.22</v>
      </c>
      <c r="W1115" s="507"/>
      <c r="AG1115" s="465">
        <f ca="1">IF($E1115=0,0,ROUND($R1120*$S$2*$C$2/$A1115,2))</f>
        <v>1.34</v>
      </c>
      <c r="AH1115" s="465">
        <f ca="1">$AG1115*$A1115</f>
        <v>2.68</v>
      </c>
      <c r="AI1115" s="508">
        <f ca="1">$E1115-$AG1115</f>
        <v>14.780000000000001</v>
      </c>
      <c r="AJ1115" s="508">
        <f ca="1">$A1115*$AI1115</f>
        <v>29.560000000000002</v>
      </c>
      <c r="AK1115" s="509">
        <f ca="1">ROUND(($AG1115+$AI1115)*$A1115,2)</f>
        <v>32.24</v>
      </c>
      <c r="AM1115" s="510">
        <f ca="1">ROUND(R1120,2)</f>
        <v>2.2000000000000002</v>
      </c>
      <c r="AN1115" s="511">
        <f ca="1">ROUND(T1120,2)</f>
        <v>0.84</v>
      </c>
      <c r="AO1115" s="512">
        <f ca="1">ROUND(AM1115+AN1115,2)*A1115</f>
        <v>6.08</v>
      </c>
    </row>
    <row r="1116" spans="1:41" s="504" customFormat="1" ht="13.2">
      <c r="A1116" s="872"/>
      <c r="B1116"/>
      <c r="C1116" s="872"/>
      <c r="D1116" s="873" t="s">
        <v>392</v>
      </c>
      <c r="F1116" s="877"/>
      <c r="G1116" s="3"/>
      <c r="H1116" s="877"/>
      <c r="I1116" s="878"/>
      <c r="J1116" s="877"/>
      <c r="K1116" s="877" t="s">
        <v>141</v>
      </c>
      <c r="L1116" s="877"/>
      <c r="M1116" s="877"/>
      <c r="N1116" s="877"/>
      <c r="O1116" s="877"/>
      <c r="P1116" s="877"/>
      <c r="Q1116" s="50"/>
      <c r="R1116" s="513"/>
      <c r="S1116" s="881"/>
      <c r="T1116" s="877"/>
    </row>
    <row r="1117" spans="1:41" s="997" customFormat="1" ht="13.2">
      <c r="A1117"/>
      <c r="B1117" s="1065"/>
      <c r="C1117" s="1065" t="s">
        <v>1006</v>
      </c>
      <c r="D1117" s="1065" t="str">
        <f ca="1">CELL("Address",Elec_Rates!D$270)</f>
        <v>[EL25_0662B_Brittania_Hotel_Elec_Revised_Estim_B.xlsx]Elec_Rates!$D$270</v>
      </c>
      <c r="E1117" s="1066"/>
      <c r="F1117" s="1066"/>
      <c r="G1117" s="1067" t="s">
        <v>1007</v>
      </c>
      <c r="H1117" s="1067"/>
      <c r="I1117" s="1067"/>
      <c r="J1117" s="1067"/>
      <c r="K1117" s="1068"/>
      <c r="L1117" s="1066"/>
      <c r="M1117" s="1066"/>
      <c r="N1117" s="1066"/>
      <c r="O1117" s="1069"/>
      <c r="P1117" s="1066"/>
      <c r="Q1117" s="1070"/>
      <c r="R1117" s="1071"/>
      <c r="S1117" s="1070"/>
      <c r="T1117" s="1072"/>
      <c r="U1117" s="1073"/>
    </row>
    <row r="1118" spans="1:41" s="997" customFormat="1" ht="11.4">
      <c r="A1118" s="1074">
        <v>2</v>
      </c>
      <c r="B1118" s="1075">
        <v>1</v>
      </c>
      <c r="C1118" s="1075">
        <f>$A1118*$B1118</f>
        <v>2</v>
      </c>
      <c r="D1118" s="1076" t="str">
        <f>Elec_Rates!$D$270</f>
        <v>029# Install and connect Only - Battery Backup Kit for the light fittings supplied by others</v>
      </c>
      <c r="E1118" s="1076"/>
      <c r="F1118" s="1076"/>
      <c r="G1118" s="1077" t="s">
        <v>1008</v>
      </c>
      <c r="H1118" s="1077"/>
      <c r="I1118" s="1077"/>
      <c r="J1118" s="1077"/>
      <c r="K1118" s="1078"/>
      <c r="L1118" s="1073"/>
      <c r="M1118" s="1073"/>
      <c r="N1118" s="1073"/>
      <c r="O1118" s="1079"/>
      <c r="P1118" s="1076"/>
      <c r="Q1118" s="1080">
        <f ca="1">$B1118*Elec_Rates!$R$270</f>
        <v>1.1000000000000001</v>
      </c>
      <c r="R1118" s="1071">
        <f ca="1">$A1118*Q1118</f>
        <v>2.2000000000000002</v>
      </c>
      <c r="S1118" s="1080">
        <f ca="1">$B1118*Elec_Rates!$T$270</f>
        <v>0.42</v>
      </c>
      <c r="T1118" s="1072">
        <f ca="1">$A1118*S1118</f>
        <v>0.84</v>
      </c>
      <c r="U1118" s="1081"/>
    </row>
    <row r="1119" spans="1:41" s="504" customFormat="1" ht="12">
      <c r="A1119" s="882"/>
      <c r="B1119" s="882"/>
      <c r="C1119" s="882"/>
      <c r="D1119" s="882"/>
      <c r="E1119" s="882"/>
      <c r="F1119" s="877"/>
      <c r="G1119" s="882"/>
      <c r="H1119" s="882"/>
      <c r="I1119" s="503"/>
      <c r="J1119" s="882"/>
      <c r="K1119" s="882"/>
      <c r="L1119" s="882"/>
      <c r="M1119" s="882"/>
      <c r="N1119" s="882"/>
      <c r="O1119" s="882"/>
      <c r="P1119" s="882"/>
      <c r="Q1119" s="503"/>
      <c r="R1119" s="883">
        <f>$A1119*Q1119</f>
        <v>0</v>
      </c>
      <c r="S1119" s="503"/>
      <c r="T1119" s="884">
        <f>$A1119*S1119*$T$1</f>
        <v>0</v>
      </c>
    </row>
    <row r="1120" spans="1:41" s="504" customFormat="1" ht="12.6" thickBot="1">
      <c r="A1120" s="885" t="s">
        <v>142</v>
      </c>
      <c r="B1120" s="886">
        <f>(R1119+T1119)</f>
        <v>0</v>
      </c>
      <c r="C1120" s="887"/>
      <c r="D1120" s="887"/>
      <c r="E1120" s="887"/>
      <c r="F1120" s="888"/>
      <c r="G1120" s="887" t="s">
        <v>143</v>
      </c>
      <c r="H1120" s="887"/>
      <c r="I1120" s="889"/>
      <c r="J1120" s="887"/>
      <c r="K1120" s="887" t="s">
        <v>3</v>
      </c>
      <c r="L1120" s="890" t="s">
        <v>140</v>
      </c>
      <c r="M1120" s="890"/>
      <c r="N1120" s="890"/>
      <c r="O1120" s="890"/>
      <c r="P1120" s="890"/>
      <c r="Q1120" s="891"/>
      <c r="R1120" s="892">
        <f ca="1">SUM(R1116:R1119)</f>
        <v>2.2000000000000002</v>
      </c>
      <c r="S1120" s="887"/>
      <c r="T1120" s="892">
        <f ca="1">SUM(T1116:T1119)</f>
        <v>0.84</v>
      </c>
      <c r="U1120" s="514"/>
      <c r="V1120" s="514"/>
      <c r="W1120" s="514"/>
      <c r="X1120" s="514"/>
      <c r="Y1120" s="514"/>
      <c r="Z1120" s="514"/>
      <c r="AA1120" s="514"/>
      <c r="AB1120" s="514"/>
      <c r="AC1120" s="514"/>
      <c r="AD1120" s="514"/>
      <c r="AE1120" s="514"/>
      <c r="AF1120" s="514"/>
      <c r="AG1120" s="514"/>
      <c r="AH1120" s="514"/>
      <c r="AI1120" s="514"/>
      <c r="AJ1120" s="514"/>
      <c r="AK1120" s="514"/>
      <c r="AL1120" s="514"/>
      <c r="AM1120" s="514"/>
      <c r="AN1120" s="514"/>
      <c r="AO1120" s="514"/>
    </row>
    <row r="1121" spans="1:41" s="504" customFormat="1" thickTop="1">
      <c r="A1121" s="50"/>
      <c r="B1121" s="50"/>
      <c r="C1121" s="3"/>
      <c r="D1121" s="3"/>
      <c r="E1121" s="50"/>
      <c r="F1121" s="50"/>
      <c r="G1121" s="50"/>
      <c r="H1121" s="50"/>
      <c r="I1121" s="50"/>
      <c r="J1121" s="50"/>
      <c r="K1121" s="50" t="s">
        <v>133</v>
      </c>
      <c r="L1121" s="50"/>
      <c r="M1121" s="50"/>
      <c r="N1121" s="50"/>
      <c r="O1121" s="51"/>
      <c r="P1121" s="50"/>
      <c r="Q1121" s="50"/>
      <c r="R1121" s="50"/>
      <c r="S1121" s="50"/>
      <c r="T1121" s="50"/>
    </row>
    <row r="1122" spans="1:41" s="504" customFormat="1" ht="12">
      <c r="A1122" s="50"/>
      <c r="B1122" s="50"/>
      <c r="C1122" s="50" t="s">
        <v>134</v>
      </c>
      <c r="D1122" s="37"/>
      <c r="E1122" s="50"/>
      <c r="F1122" s="50"/>
      <c r="G1122" s="50"/>
      <c r="H1122" s="50"/>
      <c r="I1122" s="50"/>
      <c r="J1122" s="50"/>
      <c r="K1122" s="50"/>
      <c r="L1122" s="50"/>
      <c r="M1122" s="50"/>
      <c r="N1122" s="50"/>
      <c r="O1122" s="51"/>
      <c r="P1122" s="50"/>
      <c r="Q1122" s="50"/>
      <c r="R1122" s="50"/>
      <c r="S1122" s="50"/>
      <c r="T1122" s="50"/>
    </row>
    <row r="1123" spans="1:41" s="504" customFormat="1" ht="12">
      <c r="A1123" s="50"/>
      <c r="B1123" s="50"/>
      <c r="C1123" s="50"/>
      <c r="D1123" s="37" t="s">
        <v>358</v>
      </c>
      <c r="E1123" s="50"/>
      <c r="F1123" s="50"/>
      <c r="G1123" s="50"/>
      <c r="H1123" s="50"/>
      <c r="I1123" s="50"/>
      <c r="J1123" s="50"/>
      <c r="K1123" s="50"/>
      <c r="L1123" s="50"/>
      <c r="M1123" s="50"/>
      <c r="N1123" s="50"/>
      <c r="O1123" s="51"/>
      <c r="P1123" s="50"/>
      <c r="Q1123" s="50"/>
      <c r="R1123" s="50"/>
      <c r="S1123" s="38"/>
      <c r="T1123" s="38"/>
    </row>
    <row r="1124" spans="1:41" s="3" customFormat="1" thickBot="1">
      <c r="A1124" s="514"/>
      <c r="O1124" s="103"/>
    </row>
    <row r="1125" spans="1:41" s="504" customFormat="1" thickTop="1">
      <c r="A1125" s="50"/>
      <c r="B1125" s="50"/>
      <c r="C1125" s="3"/>
      <c r="D1125" s="3"/>
      <c r="E1125" s="50"/>
      <c r="F1125" s="50"/>
      <c r="G1125" s="50"/>
      <c r="H1125" s="50"/>
      <c r="I1125" s="50"/>
      <c r="J1125" s="50"/>
      <c r="K1125" s="50" t="s">
        <v>133</v>
      </c>
      <c r="L1125" s="50"/>
      <c r="M1125" s="50"/>
      <c r="N1125" s="50"/>
      <c r="O1125" s="51"/>
      <c r="P1125" s="50"/>
      <c r="Q1125" s="50"/>
      <c r="R1125" s="50"/>
      <c r="S1125" s="50"/>
      <c r="T1125" s="50"/>
    </row>
    <row r="1126" spans="1:41" s="504" customFormat="1" ht="12">
      <c r="A1126" s="50"/>
      <c r="B1126" s="50"/>
      <c r="C1126" s="50" t="s">
        <v>134</v>
      </c>
      <c r="D1126" s="37" t="s">
        <v>855</v>
      </c>
      <c r="E1126" s="50"/>
      <c r="F1126" s="50"/>
      <c r="G1126" s="50"/>
      <c r="H1126" s="50"/>
      <c r="I1126" s="50"/>
      <c r="J1126" s="50"/>
      <c r="K1126" s="50"/>
      <c r="L1126" s="50"/>
      <c r="M1126" s="50"/>
      <c r="N1126" s="50"/>
      <c r="O1126" s="51"/>
      <c r="P1126" s="50"/>
      <c r="Q1126" s="50"/>
      <c r="R1126" s="50"/>
      <c r="S1126" s="50"/>
      <c r="T1126" s="50"/>
    </row>
    <row r="1127" spans="1:41" s="504" customFormat="1" ht="12">
      <c r="A1127" s="50"/>
      <c r="B1127" s="50"/>
      <c r="C1127" s="50"/>
      <c r="D1127" s="37" t="s">
        <v>393</v>
      </c>
      <c r="E1127" s="50"/>
      <c r="F1127" s="50"/>
      <c r="G1127" s="50"/>
      <c r="H1127" s="50"/>
      <c r="I1127" s="50"/>
      <c r="J1127" s="50"/>
      <c r="K1127" s="50"/>
      <c r="L1127" s="50"/>
      <c r="M1127" s="50"/>
      <c r="N1127" s="50"/>
      <c r="O1127" s="51"/>
      <c r="P1127" s="50"/>
      <c r="Q1127" s="50"/>
      <c r="R1127" s="50"/>
      <c r="S1127" s="38"/>
      <c r="T1127" s="38"/>
    </row>
    <row r="1128" spans="1:41" s="3" customFormat="1" thickBot="1">
      <c r="A1128" s="514"/>
      <c r="O1128" s="103"/>
    </row>
    <row r="1129" spans="1:41" s="504" customFormat="1" ht="12" thickTop="1">
      <c r="A1129" s="50"/>
      <c r="B1129" s="40"/>
      <c r="C1129" s="50"/>
      <c r="E1129" s="41" t="s">
        <v>136</v>
      </c>
      <c r="F1129" s="41" t="s">
        <v>137</v>
      </c>
      <c r="G1129" s="50"/>
      <c r="H1129" s="50"/>
      <c r="I1129" s="50"/>
      <c r="J1129" s="50"/>
      <c r="K1129" s="50" t="s">
        <v>138</v>
      </c>
      <c r="L1129" s="50"/>
      <c r="M1129" s="50"/>
      <c r="N1129" s="50"/>
      <c r="O1129" s="51"/>
      <c r="P1129" s="50"/>
      <c r="Q1129" s="50"/>
      <c r="R1129" s="50"/>
      <c r="S1129" s="50"/>
      <c r="T1129" s="40"/>
      <c r="AG1129" s="867" t="s">
        <v>241</v>
      </c>
      <c r="AH1129" s="867" t="s">
        <v>242</v>
      </c>
      <c r="AI1129" s="867" t="s">
        <v>243</v>
      </c>
      <c r="AJ1129" s="867" t="s">
        <v>244</v>
      </c>
      <c r="AK1129" s="867" t="s">
        <v>245</v>
      </c>
      <c r="AM1129" s="868" t="s">
        <v>254</v>
      </c>
      <c r="AN1129" s="869" t="s">
        <v>255</v>
      </c>
      <c r="AO1129" s="505" t="s">
        <v>251</v>
      </c>
    </row>
    <row r="1130" spans="1:41" s="504" customFormat="1" ht="12" customHeight="1">
      <c r="A1130" s="870">
        <v>1</v>
      </c>
      <c r="B1130" s="871" t="s">
        <v>335</v>
      </c>
      <c r="C1130" s="872"/>
      <c r="D1130" s="873" t="s">
        <v>804</v>
      </c>
      <c r="E1130" s="874">
        <f ca="1">IF(AND($A1130=0,$A$1="DIF"),0, ROUND(ROUND(($R1136*$S$2+($T1136*$T$2))/A1130,2)*$C$2,2))</f>
        <v>77.31</v>
      </c>
      <c r="F1130" s="875">
        <f ca="1">ROUND($A1130*$E1130,2)</f>
        <v>77.31</v>
      </c>
      <c r="G1130" s="876" t="s">
        <v>139</v>
      </c>
      <c r="H1130" s="877"/>
      <c r="I1130" s="878"/>
      <c r="J1130" s="877"/>
      <c r="K1130" s="877" t="s">
        <v>3</v>
      </c>
      <c r="L1130" s="879" t="s">
        <v>140</v>
      </c>
      <c r="M1130" s="879"/>
      <c r="N1130" s="879"/>
      <c r="O1130" s="879"/>
      <c r="P1130" s="879"/>
      <c r="Q1130" s="50"/>
      <c r="T1130" s="880" t="str">
        <f ca="1">IF(AND($R1136=0,$T1136=0),"0.00","mu :" &amp; ROUND($F1130/$C$2/($R1136+$T1136*$D$9),2))</f>
        <v>mu :1.22</v>
      </c>
      <c r="W1130" s="507"/>
      <c r="AG1130" s="465">
        <f ca="1">IF($E1130=0,0,ROUND($R1136*$S$2*$C$2/$A1130,2))</f>
        <v>20.73</v>
      </c>
      <c r="AH1130" s="465">
        <f ca="1">$AG1130*$A1130</f>
        <v>20.73</v>
      </c>
      <c r="AI1130" s="508">
        <f ca="1">$E1130-$AG1130</f>
        <v>56.58</v>
      </c>
      <c r="AJ1130" s="508">
        <f ca="1">$A1130*$AI1130</f>
        <v>56.58</v>
      </c>
      <c r="AK1130" s="509">
        <f ca="1">ROUND(($AG1130+$AI1130)*$A1130,2)</f>
        <v>77.31</v>
      </c>
      <c r="AM1130" s="510">
        <f ca="1">ROUND(R1136,2)</f>
        <v>16.989999999999998</v>
      </c>
      <c r="AN1130" s="511">
        <f ca="1">ROUND(T1136,2)</f>
        <v>1.61</v>
      </c>
      <c r="AO1130" s="512">
        <f ca="1">ROUND(AM1130+AN1130,2)*A1130</f>
        <v>18.600000000000001</v>
      </c>
    </row>
    <row r="1131" spans="1:41" s="504" customFormat="1" ht="13.2">
      <c r="A1131" s="872"/>
      <c r="B1131"/>
      <c r="C1131" s="872"/>
      <c r="D1131" s="873" t="s">
        <v>359</v>
      </c>
      <c r="F1131" s="877"/>
      <c r="G1131" s="3"/>
      <c r="H1131" s="877"/>
      <c r="I1131" s="878"/>
      <c r="J1131" s="877"/>
      <c r="K1131" s="877" t="s">
        <v>141</v>
      </c>
      <c r="L1131" s="877"/>
      <c r="M1131" s="877"/>
      <c r="N1131" s="877"/>
      <c r="O1131" s="877"/>
      <c r="P1131" s="877"/>
      <c r="Q1131" s="50"/>
      <c r="R1131" s="513"/>
      <c r="S1131" s="881"/>
      <c r="T1131" s="877"/>
    </row>
    <row r="1132" spans="1:41" s="997" customFormat="1" ht="13.2">
      <c r="A1132"/>
      <c r="B1132" s="1065"/>
      <c r="C1132" s="1065" t="s">
        <v>1006</v>
      </c>
      <c r="D1132" s="1065" t="str">
        <f ca="1">CELL("Address",Elec_Rates!D$486)</f>
        <v>[EL25_0662B_Brittania_Hotel_Elec_Revised_Estim_B.xlsx]Elec_Rates!$D$486</v>
      </c>
      <c r="E1132" s="1066"/>
      <c r="F1132" s="1066"/>
      <c r="G1132" s="1067" t="s">
        <v>1007</v>
      </c>
      <c r="H1132" s="1067"/>
      <c r="I1132" s="1067"/>
      <c r="J1132" s="1067"/>
      <c r="K1132" s="1068"/>
      <c r="L1132" s="1066"/>
      <c r="M1132" s="1066"/>
      <c r="N1132" s="1066"/>
      <c r="O1132" s="1069"/>
      <c r="P1132" s="1066"/>
      <c r="Q1132" s="1070"/>
      <c r="R1132" s="1071"/>
      <c r="S1132" s="1070"/>
      <c r="T1132" s="1072"/>
      <c r="U1132" s="1073"/>
    </row>
    <row r="1133" spans="1:41" s="997" customFormat="1" ht="11.4">
      <c r="A1133" s="1074">
        <v>1</v>
      </c>
      <c r="B1133" s="1075">
        <v>1</v>
      </c>
      <c r="C1133" s="1075">
        <f>$A1133*$B1133</f>
        <v>1</v>
      </c>
      <c r="D1133" s="1076" t="str">
        <f>Elec_Rates!$D$486</f>
        <v>058# General Power Point in LSZH Conduit</v>
      </c>
      <c r="E1133" s="1076"/>
      <c r="F1133" s="1076"/>
      <c r="G1133" s="1077" t="s">
        <v>1008</v>
      </c>
      <c r="H1133" s="1077"/>
      <c r="I1133" s="1077"/>
      <c r="J1133" s="1077"/>
      <c r="K1133" s="1078"/>
      <c r="L1133" s="1073"/>
      <c r="M1133" s="1073"/>
      <c r="N1133" s="1073"/>
      <c r="O1133" s="1079"/>
      <c r="P1133" s="1076"/>
      <c r="Q1133" s="1080">
        <f ca="1">$B1133*Elec_Rates!$R$486</f>
        <v>13.92</v>
      </c>
      <c r="R1133" s="1071">
        <f ca="1">$A1133*Q1133</f>
        <v>13.92</v>
      </c>
      <c r="S1133" s="1080">
        <f ca="1">$B1133*Elec_Rates!$T$486</f>
        <v>1.43</v>
      </c>
      <c r="T1133" s="1072">
        <f ca="1">$A1133*S1133</f>
        <v>1.43</v>
      </c>
      <c r="U1133" s="1081"/>
    </row>
    <row r="1134" spans="1:41" s="1039" customFormat="1" ht="13.2">
      <c r="A1134" s="112">
        <v>1</v>
      </c>
      <c r="B1134" s="1039" t="s">
        <v>949</v>
      </c>
      <c r="D1134" s="1039" t="s">
        <v>1233</v>
      </c>
      <c r="F1134" s="1039" t="s">
        <v>1506</v>
      </c>
      <c r="G1134" s="1040" t="s">
        <v>1231</v>
      </c>
      <c r="H1134" s="1041">
        <v>705</v>
      </c>
      <c r="I1134" s="1039" t="s">
        <v>1183</v>
      </c>
      <c r="J1134" s="1039" t="s">
        <v>1232</v>
      </c>
      <c r="O1134" s="1042">
        <v>3</v>
      </c>
      <c r="P1134" s="1043">
        <v>34669</v>
      </c>
      <c r="Q1134" s="1044">
        <v>3.07</v>
      </c>
      <c r="R1134" s="1045">
        <f>$A1134*Q1134</f>
        <v>3.07</v>
      </c>
      <c r="S1134" s="1044">
        <v>0.17</v>
      </c>
      <c r="T1134" s="1046">
        <f>$A1134*S1134*$T$1</f>
        <v>0.17850000000000002</v>
      </c>
    </row>
    <row r="1135" spans="1:41" s="504" customFormat="1" ht="12">
      <c r="A1135" s="882"/>
      <c r="B1135" s="882"/>
      <c r="C1135" s="882"/>
      <c r="D1135" s="882"/>
      <c r="E1135" s="882"/>
      <c r="F1135" s="877"/>
      <c r="G1135" s="882"/>
      <c r="H1135" s="882"/>
      <c r="I1135" s="503"/>
      <c r="J1135" s="882"/>
      <c r="K1135" s="882"/>
      <c r="L1135" s="882"/>
      <c r="M1135" s="882"/>
      <c r="N1135" s="882"/>
      <c r="O1135" s="882"/>
      <c r="P1135" s="882"/>
      <c r="Q1135" s="503"/>
      <c r="R1135" s="883">
        <f>$A1135*Q1135</f>
        <v>0</v>
      </c>
      <c r="S1135" s="503"/>
      <c r="T1135" s="884">
        <f>$A1135*S1135*$T$1</f>
        <v>0</v>
      </c>
    </row>
    <row r="1136" spans="1:41" s="504" customFormat="1" ht="12.6" thickBot="1">
      <c r="A1136" s="885" t="s">
        <v>142</v>
      </c>
      <c r="B1136" s="886">
        <f>(R1135+T1135)</f>
        <v>0</v>
      </c>
      <c r="C1136" s="887"/>
      <c r="D1136" s="887"/>
      <c r="E1136" s="887"/>
      <c r="F1136" s="888"/>
      <c r="G1136" s="887" t="s">
        <v>143</v>
      </c>
      <c r="H1136" s="887"/>
      <c r="I1136" s="889"/>
      <c r="J1136" s="887"/>
      <c r="K1136" s="887" t="s">
        <v>3</v>
      </c>
      <c r="L1136" s="890" t="s">
        <v>140</v>
      </c>
      <c r="M1136" s="890"/>
      <c r="N1136" s="890"/>
      <c r="O1136" s="890"/>
      <c r="P1136" s="890"/>
      <c r="Q1136" s="891"/>
      <c r="R1136" s="892">
        <f ca="1">SUM(R1131:R1135)</f>
        <v>16.989999999999998</v>
      </c>
      <c r="S1136" s="887"/>
      <c r="T1136" s="892">
        <f ca="1">SUM(T1131:T1135)</f>
        <v>1.6085</v>
      </c>
      <c r="U1136" s="514"/>
      <c r="V1136" s="514"/>
      <c r="W1136" s="514"/>
      <c r="X1136" s="514"/>
      <c r="Y1136" s="514"/>
      <c r="Z1136" s="514"/>
      <c r="AA1136" s="514"/>
      <c r="AB1136" s="514"/>
      <c r="AC1136" s="514"/>
      <c r="AD1136" s="514"/>
      <c r="AE1136" s="514"/>
      <c r="AF1136" s="514"/>
      <c r="AG1136" s="514"/>
      <c r="AH1136" s="514"/>
      <c r="AI1136" s="514"/>
      <c r="AJ1136" s="514"/>
      <c r="AK1136" s="514"/>
      <c r="AL1136" s="514"/>
      <c r="AM1136" s="514"/>
      <c r="AN1136" s="514"/>
      <c r="AO1136" s="514"/>
    </row>
    <row r="1137" spans="1:41" s="504" customFormat="1" ht="12" thickTop="1">
      <c r="A1137" s="50"/>
      <c r="B1137" s="40"/>
      <c r="C1137" s="50"/>
      <c r="E1137" s="41" t="s">
        <v>136</v>
      </c>
      <c r="F1137" s="41" t="s">
        <v>137</v>
      </c>
      <c r="G1137" s="50"/>
      <c r="H1137" s="50"/>
      <c r="I1137" s="50"/>
      <c r="J1137" s="50"/>
      <c r="K1137" s="50" t="s">
        <v>138</v>
      </c>
      <c r="L1137" s="50"/>
      <c r="M1137" s="50"/>
      <c r="N1137" s="50"/>
      <c r="O1137" s="51"/>
      <c r="P1137" s="50"/>
      <c r="Q1137" s="50"/>
      <c r="R1137" s="50"/>
      <c r="S1137" s="50"/>
      <c r="T1137" s="40"/>
      <c r="AG1137" s="867" t="s">
        <v>241</v>
      </c>
      <c r="AH1137" s="867" t="s">
        <v>242</v>
      </c>
      <c r="AI1137" s="867" t="s">
        <v>243</v>
      </c>
      <c r="AJ1137" s="867" t="s">
        <v>244</v>
      </c>
      <c r="AK1137" s="867" t="s">
        <v>245</v>
      </c>
      <c r="AM1137" s="868" t="s">
        <v>254</v>
      </c>
      <c r="AN1137" s="869" t="s">
        <v>255</v>
      </c>
      <c r="AO1137" s="505" t="s">
        <v>251</v>
      </c>
    </row>
    <row r="1138" spans="1:41" s="504" customFormat="1" ht="12" customHeight="1">
      <c r="A1138" s="870">
        <v>18</v>
      </c>
      <c r="B1138" s="871" t="s">
        <v>335</v>
      </c>
      <c r="C1138" s="872"/>
      <c r="D1138" s="873" t="s">
        <v>806</v>
      </c>
      <c r="E1138" s="874">
        <f ca="1">IF(AND($A1138=0,$A$1="DIF"),0, ROUND(ROUND(($R1144*$S$2+($T1144*$T$2))/A1138,2)*$C$2,2))</f>
        <v>79.36</v>
      </c>
      <c r="F1138" s="875">
        <f ca="1">ROUND($A1138*$E1138,2)</f>
        <v>1428.48</v>
      </c>
      <c r="G1138" s="876" t="s">
        <v>139</v>
      </c>
      <c r="H1138" s="877"/>
      <c r="I1138" s="878"/>
      <c r="J1138" s="877"/>
      <c r="K1138" s="877" t="s">
        <v>3</v>
      </c>
      <c r="L1138" s="879" t="s">
        <v>140</v>
      </c>
      <c r="M1138" s="879"/>
      <c r="N1138" s="879"/>
      <c r="O1138" s="879"/>
      <c r="P1138" s="879"/>
      <c r="Q1138" s="50"/>
      <c r="T1138" s="880" t="str">
        <f ca="1">IF(AND($R1144=0,$T1144=0),"0.00","mu :" &amp; ROUND($F1138/$C$2/($R1144+$T1144*$D$9),2))</f>
        <v>mu :1.22</v>
      </c>
      <c r="W1138" s="507"/>
      <c r="AG1138" s="465">
        <f ca="1">IF($E1138=0,0,ROUND($R1144*$S$2*$C$2/$A1138,2))</f>
        <v>22.78</v>
      </c>
      <c r="AH1138" s="465">
        <f ca="1">$AG1138*$A1138</f>
        <v>410.04</v>
      </c>
      <c r="AI1138" s="508">
        <f ca="1">$E1138-$AG1138</f>
        <v>56.58</v>
      </c>
      <c r="AJ1138" s="508">
        <f ca="1">$A1138*$AI1138</f>
        <v>1018.4399999999999</v>
      </c>
      <c r="AK1138" s="509">
        <f ca="1">ROUND(($AG1138+$AI1138)*$A1138,2)</f>
        <v>1428.48</v>
      </c>
      <c r="AM1138" s="510">
        <f ca="1">ROUND(R1144,2)</f>
        <v>336.06</v>
      </c>
      <c r="AN1138" s="511">
        <f ca="1">ROUND(T1144,2)</f>
        <v>28.95</v>
      </c>
      <c r="AO1138" s="512">
        <f ca="1">ROUND(AM1138+AN1138,2)*A1138</f>
        <v>6570.18</v>
      </c>
    </row>
    <row r="1139" spans="1:41" s="504" customFormat="1" ht="13.2">
      <c r="A1139" s="872"/>
      <c r="B1139"/>
      <c r="C1139" s="872"/>
      <c r="D1139" s="873" t="s">
        <v>360</v>
      </c>
      <c r="F1139" s="877"/>
      <c r="G1139" s="3"/>
      <c r="H1139" s="877"/>
      <c r="I1139" s="878"/>
      <c r="J1139" s="877"/>
      <c r="K1139" s="877" t="s">
        <v>141</v>
      </c>
      <c r="L1139" s="877"/>
      <c r="M1139" s="877"/>
      <c r="N1139" s="877"/>
      <c r="O1139" s="877"/>
      <c r="P1139" s="877"/>
      <c r="Q1139" s="50"/>
      <c r="R1139" s="513"/>
      <c r="S1139" s="881"/>
      <c r="T1139" s="877"/>
    </row>
    <row r="1140" spans="1:41" s="997" customFormat="1" ht="13.2">
      <c r="A1140"/>
      <c r="B1140" s="1065"/>
      <c r="C1140" s="1065" t="s">
        <v>1006</v>
      </c>
      <c r="D1140" s="1065" t="str">
        <f ca="1">CELL("Address",Elec_Rates!D$486)</f>
        <v>[EL25_0662B_Brittania_Hotel_Elec_Revised_Estim_B.xlsx]Elec_Rates!$D$486</v>
      </c>
      <c r="E1140" s="1066"/>
      <c r="F1140" s="1066"/>
      <c r="G1140" s="1067" t="s">
        <v>1007</v>
      </c>
      <c r="H1140" s="1067"/>
      <c r="I1140" s="1067"/>
      <c r="J1140" s="1067"/>
      <c r="K1140" s="1068"/>
      <c r="L1140" s="1066"/>
      <c r="M1140" s="1066"/>
      <c r="N1140" s="1066"/>
      <c r="O1140" s="1069"/>
      <c r="P1140" s="1066"/>
      <c r="Q1140" s="1070"/>
      <c r="R1140" s="1071"/>
      <c r="S1140" s="1070"/>
      <c r="T1140" s="1072"/>
      <c r="U1140" s="1073"/>
    </row>
    <row r="1141" spans="1:41" s="997" customFormat="1" ht="11.4">
      <c r="A1141" s="1074">
        <v>18</v>
      </c>
      <c r="B1141" s="1075">
        <v>1</v>
      </c>
      <c r="C1141" s="1075">
        <f>$A1141*$B1141</f>
        <v>18</v>
      </c>
      <c r="D1141" s="1076" t="str">
        <f>Elec_Rates!$D$486</f>
        <v>058# General Power Point in LSZH Conduit</v>
      </c>
      <c r="E1141" s="1076"/>
      <c r="F1141" s="1076"/>
      <c r="G1141" s="1077" t="s">
        <v>1008</v>
      </c>
      <c r="H1141" s="1077"/>
      <c r="I1141" s="1077"/>
      <c r="J1141" s="1077"/>
      <c r="K1141" s="1078"/>
      <c r="L1141" s="1073"/>
      <c r="M1141" s="1073"/>
      <c r="N1141" s="1073"/>
      <c r="O1141" s="1079"/>
      <c r="P1141" s="1076"/>
      <c r="Q1141" s="1080">
        <f ca="1">$B1141*Elec_Rates!$R$486</f>
        <v>13.92</v>
      </c>
      <c r="R1141" s="1071">
        <f ca="1">$A1141*Q1141</f>
        <v>250.56</v>
      </c>
      <c r="S1141" s="1080">
        <f ca="1">$B1141*Elec_Rates!$T$486</f>
        <v>1.43</v>
      </c>
      <c r="T1141" s="1072">
        <f ca="1">$A1141*S1141</f>
        <v>25.74</v>
      </c>
      <c r="U1141" s="1081"/>
    </row>
    <row r="1142" spans="1:41" s="1039" customFormat="1" ht="13.2">
      <c r="A1142" s="112">
        <v>18</v>
      </c>
      <c r="B1142" s="1039" t="s">
        <v>949</v>
      </c>
      <c r="D1142" s="1039" t="s">
        <v>1234</v>
      </c>
      <c r="G1142" s="1040" t="s">
        <v>1231</v>
      </c>
      <c r="H1142" s="1041">
        <v>705</v>
      </c>
      <c r="I1142" s="1039" t="s">
        <v>1183</v>
      </c>
      <c r="J1142" s="1039" t="s">
        <v>1232</v>
      </c>
      <c r="O1142" s="1042">
        <v>3</v>
      </c>
      <c r="P1142" s="1043">
        <v>34669</v>
      </c>
      <c r="Q1142" s="1044">
        <v>4.75</v>
      </c>
      <c r="R1142" s="1045">
        <f>$A1142*Q1142</f>
        <v>85.5</v>
      </c>
      <c r="S1142" s="1044">
        <v>0.17</v>
      </c>
      <c r="T1142" s="1046">
        <f>$A1142*S1142*$T$1</f>
        <v>3.2130000000000001</v>
      </c>
    </row>
    <row r="1143" spans="1:41" s="504" customFormat="1" ht="12">
      <c r="A1143" s="882"/>
      <c r="B1143" s="882"/>
      <c r="C1143" s="882"/>
      <c r="D1143" s="882"/>
      <c r="E1143" s="882"/>
      <c r="F1143" s="877"/>
      <c r="G1143" s="882"/>
      <c r="H1143" s="882"/>
      <c r="I1143" s="503"/>
      <c r="J1143" s="882"/>
      <c r="K1143" s="882"/>
      <c r="L1143" s="882"/>
      <c r="M1143" s="882"/>
      <c r="N1143" s="882"/>
      <c r="O1143" s="882"/>
      <c r="P1143" s="882"/>
      <c r="Q1143" s="503"/>
      <c r="R1143" s="883">
        <f>$A1143*Q1143</f>
        <v>0</v>
      </c>
      <c r="S1143" s="503"/>
      <c r="T1143" s="884">
        <f>$A1143*S1143*$T$1</f>
        <v>0</v>
      </c>
    </row>
    <row r="1144" spans="1:41" s="504" customFormat="1" ht="12.6" thickBot="1">
      <c r="A1144" s="885" t="s">
        <v>142</v>
      </c>
      <c r="B1144" s="886">
        <f>(R1143+T1143)</f>
        <v>0</v>
      </c>
      <c r="C1144" s="887"/>
      <c r="D1144" s="887"/>
      <c r="E1144" s="887"/>
      <c r="F1144" s="888"/>
      <c r="G1144" s="887" t="s">
        <v>143</v>
      </c>
      <c r="H1144" s="887"/>
      <c r="I1144" s="889"/>
      <c r="J1144" s="887"/>
      <c r="K1144" s="887" t="s">
        <v>3</v>
      </c>
      <c r="L1144" s="890" t="s">
        <v>140</v>
      </c>
      <c r="M1144" s="890"/>
      <c r="N1144" s="890"/>
      <c r="O1144" s="890"/>
      <c r="P1144" s="890"/>
      <c r="Q1144" s="891"/>
      <c r="R1144" s="892">
        <f ca="1">SUM(R1139:R1143)</f>
        <v>336.06</v>
      </c>
      <c r="S1144" s="887"/>
      <c r="T1144" s="892">
        <f ca="1">SUM(T1139:T1143)</f>
        <v>28.952999999999999</v>
      </c>
      <c r="U1144" s="514"/>
      <c r="V1144" s="514"/>
      <c r="W1144" s="514"/>
      <c r="X1144" s="514"/>
      <c r="Y1144" s="514"/>
      <c r="Z1144" s="514"/>
      <c r="AA1144" s="514"/>
      <c r="AB1144" s="514"/>
      <c r="AC1144" s="514"/>
      <c r="AD1144" s="514"/>
      <c r="AE1144" s="514"/>
      <c r="AF1144" s="514"/>
      <c r="AG1144" s="514"/>
      <c r="AH1144" s="514"/>
      <c r="AI1144" s="514"/>
      <c r="AJ1144" s="514"/>
      <c r="AK1144" s="514"/>
      <c r="AL1144" s="514"/>
      <c r="AM1144" s="514"/>
      <c r="AN1144" s="514"/>
      <c r="AO1144" s="514"/>
    </row>
    <row r="1145" spans="1:41" s="504" customFormat="1" ht="12" thickTop="1">
      <c r="A1145" s="50"/>
      <c r="B1145" s="40"/>
      <c r="C1145" s="50"/>
      <c r="E1145" s="41" t="s">
        <v>136</v>
      </c>
      <c r="F1145" s="41" t="s">
        <v>137</v>
      </c>
      <c r="G1145" s="50"/>
      <c r="H1145" s="50"/>
      <c r="I1145" s="50"/>
      <c r="J1145" s="50"/>
      <c r="K1145" s="50" t="s">
        <v>138</v>
      </c>
      <c r="L1145" s="50"/>
      <c r="M1145" s="50"/>
      <c r="N1145" s="50"/>
      <c r="O1145" s="51"/>
      <c r="P1145" s="50"/>
      <c r="Q1145" s="50"/>
      <c r="R1145" s="50"/>
      <c r="S1145" s="50"/>
      <c r="T1145" s="40"/>
      <c r="AG1145" s="867" t="s">
        <v>241</v>
      </c>
      <c r="AH1145" s="867" t="s">
        <v>242</v>
      </c>
      <c r="AI1145" s="867" t="s">
        <v>243</v>
      </c>
      <c r="AJ1145" s="867" t="s">
        <v>244</v>
      </c>
      <c r="AK1145" s="867" t="s">
        <v>245</v>
      </c>
      <c r="AM1145" s="868" t="s">
        <v>254</v>
      </c>
      <c r="AN1145" s="869" t="s">
        <v>255</v>
      </c>
      <c r="AO1145" s="505" t="s">
        <v>251</v>
      </c>
    </row>
    <row r="1146" spans="1:41" s="504" customFormat="1" ht="12" customHeight="1">
      <c r="A1146" s="870">
        <v>8</v>
      </c>
      <c r="B1146" s="871" t="s">
        <v>335</v>
      </c>
      <c r="C1146" s="872"/>
      <c r="D1146" s="873" t="s">
        <v>808</v>
      </c>
      <c r="E1146" s="874">
        <f ca="1">IF(AND($A1146=0,$A$1="DIF"),0, ROUND(ROUND(($R1152*$S$2+($T1152*$T$2))/A1146,2)*$C$2,2))</f>
        <v>119.8</v>
      </c>
      <c r="F1146" s="875">
        <f ca="1">ROUND($A1146*$E1146,2)</f>
        <v>958.4</v>
      </c>
      <c r="G1146" s="876" t="s">
        <v>139</v>
      </c>
      <c r="H1146" s="877"/>
      <c r="I1146" s="878"/>
      <c r="J1146" s="877"/>
      <c r="K1146" s="877" t="s">
        <v>3</v>
      </c>
      <c r="L1146" s="879" t="s">
        <v>140</v>
      </c>
      <c r="M1146" s="879"/>
      <c r="N1146" s="879"/>
      <c r="O1146" s="879"/>
      <c r="P1146" s="879"/>
      <c r="Q1146" s="50"/>
      <c r="T1146" s="880" t="str">
        <f ca="1">IF(AND($R1152=0,$T1152=0),"0.00","mu :" &amp; ROUND($F1146/$C$2/($R1152+$T1152*$D$9),2))</f>
        <v>mu :1.22</v>
      </c>
      <c r="W1146" s="507"/>
      <c r="AG1146" s="465">
        <f ca="1">IF($E1146=0,0,ROUND($R1152*$S$2*$C$2/$A1146,2))</f>
        <v>63.22</v>
      </c>
      <c r="AH1146" s="465">
        <f ca="1">$AG1146*$A1146</f>
        <v>505.76</v>
      </c>
      <c r="AI1146" s="508">
        <f ca="1">$E1146-$AG1146</f>
        <v>56.58</v>
      </c>
      <c r="AJ1146" s="508">
        <f ca="1">$A1146*$AI1146</f>
        <v>452.64</v>
      </c>
      <c r="AK1146" s="509">
        <f ca="1">ROUND(($AG1146+$AI1146)*$A1146,2)</f>
        <v>958.4</v>
      </c>
      <c r="AM1146" s="510">
        <f ca="1">ROUND(R1152,2)</f>
        <v>414.56</v>
      </c>
      <c r="AN1146" s="511">
        <f ca="1">ROUND(T1152,2)</f>
        <v>12.87</v>
      </c>
      <c r="AO1146" s="512">
        <f ca="1">ROUND(AM1146+AN1146,2)*A1146</f>
        <v>3419.44</v>
      </c>
    </row>
    <row r="1147" spans="1:41" s="504" customFormat="1" ht="13.2">
      <c r="A1147" s="872"/>
      <c r="B1147"/>
      <c r="C1147" s="872"/>
      <c r="D1147" s="873" t="s">
        <v>394</v>
      </c>
      <c r="F1147" s="877"/>
      <c r="G1147" s="3"/>
      <c r="H1147" s="877"/>
      <c r="I1147" s="878"/>
      <c r="J1147" s="877"/>
      <c r="K1147" s="877" t="s">
        <v>141</v>
      </c>
      <c r="L1147" s="877"/>
      <c r="M1147" s="877"/>
      <c r="N1147" s="877"/>
      <c r="O1147" s="877"/>
      <c r="P1147" s="877"/>
      <c r="Q1147" s="50"/>
      <c r="R1147" s="513"/>
      <c r="S1147" s="881"/>
      <c r="T1147" s="877"/>
    </row>
    <row r="1148" spans="1:41" s="997" customFormat="1" ht="13.2">
      <c r="A1148"/>
      <c r="B1148" s="1065"/>
      <c r="C1148" s="1065" t="s">
        <v>1006</v>
      </c>
      <c r="D1148" s="1065" t="str">
        <f ca="1">CELL("Address",Elec_Rates!D$486)</f>
        <v>[EL25_0662B_Brittania_Hotel_Elec_Revised_Estim_B.xlsx]Elec_Rates!$D$486</v>
      </c>
      <c r="E1148" s="1066"/>
      <c r="F1148" s="1066"/>
      <c r="G1148" s="1067" t="s">
        <v>1007</v>
      </c>
      <c r="H1148" s="1067"/>
      <c r="I1148" s="1067"/>
      <c r="J1148" s="1067"/>
      <c r="K1148" s="1068"/>
      <c r="L1148" s="1066"/>
      <c r="M1148" s="1066"/>
      <c r="N1148" s="1066"/>
      <c r="O1148" s="1069"/>
      <c r="P1148" s="1066"/>
      <c r="Q1148" s="1070"/>
      <c r="R1148" s="1071"/>
      <c r="S1148" s="1070"/>
      <c r="T1148" s="1072"/>
      <c r="U1148" s="1073"/>
    </row>
    <row r="1149" spans="1:41" s="997" customFormat="1" ht="11.4">
      <c r="A1149" s="1074">
        <v>8</v>
      </c>
      <c r="B1149" s="1075">
        <v>1</v>
      </c>
      <c r="C1149" s="1075">
        <f>$A1149*$B1149</f>
        <v>8</v>
      </c>
      <c r="D1149" s="1076" t="str">
        <f>Elec_Rates!$D$486</f>
        <v>058# General Power Point in LSZH Conduit</v>
      </c>
      <c r="E1149" s="1076"/>
      <c r="F1149" s="1076"/>
      <c r="G1149" s="1077" t="s">
        <v>1008</v>
      </c>
      <c r="H1149" s="1077"/>
      <c r="I1149" s="1077"/>
      <c r="J1149" s="1077"/>
      <c r="K1149" s="1078"/>
      <c r="L1149" s="1073"/>
      <c r="M1149" s="1073"/>
      <c r="N1149" s="1073"/>
      <c r="O1149" s="1079"/>
      <c r="P1149" s="1076"/>
      <c r="Q1149" s="1080">
        <f ca="1">$B1149*Elec_Rates!$R$486</f>
        <v>13.92</v>
      </c>
      <c r="R1149" s="1071">
        <f ca="1">$A1149*Q1149</f>
        <v>111.36</v>
      </c>
      <c r="S1149" s="1080">
        <f ca="1">$B1149*Elec_Rates!$T$486</f>
        <v>1.43</v>
      </c>
      <c r="T1149" s="1072">
        <f ca="1">$A1149*S1149</f>
        <v>11.44</v>
      </c>
      <c r="U1149" s="1081"/>
    </row>
    <row r="1150" spans="1:41" s="1039" customFormat="1" ht="13.2">
      <c r="A1150" s="112">
        <v>8</v>
      </c>
      <c r="B1150" s="1039" t="s">
        <v>949</v>
      </c>
      <c r="D1150" s="1039" t="s">
        <v>1235</v>
      </c>
      <c r="G1150" s="1040" t="s">
        <v>1231</v>
      </c>
      <c r="H1150" s="1041">
        <v>705</v>
      </c>
      <c r="I1150" s="1039" t="s">
        <v>1183</v>
      </c>
      <c r="J1150" s="1039" t="s">
        <v>1232</v>
      </c>
      <c r="O1150" s="1042">
        <v>3</v>
      </c>
      <c r="P1150" s="1043">
        <v>34669</v>
      </c>
      <c r="Q1150" s="1044">
        <v>37.9</v>
      </c>
      <c r="R1150" s="1045">
        <f>$A1150*Q1150</f>
        <v>303.2</v>
      </c>
      <c r="S1150" s="1044">
        <v>0.17</v>
      </c>
      <c r="T1150" s="1046">
        <f>$A1150*S1150*$T$1</f>
        <v>1.4280000000000002</v>
      </c>
    </row>
    <row r="1151" spans="1:41" s="504" customFormat="1" ht="12">
      <c r="A1151" s="882"/>
      <c r="B1151" s="882"/>
      <c r="C1151" s="882"/>
      <c r="D1151" s="882"/>
      <c r="E1151" s="882"/>
      <c r="F1151" s="877"/>
      <c r="G1151" s="882"/>
      <c r="H1151" s="882"/>
      <c r="I1151" s="503"/>
      <c r="J1151" s="882"/>
      <c r="K1151" s="882"/>
      <c r="L1151" s="882"/>
      <c r="M1151" s="882"/>
      <c r="N1151" s="882"/>
      <c r="O1151" s="882"/>
      <c r="P1151" s="882"/>
      <c r="Q1151" s="503"/>
      <c r="R1151" s="883">
        <f>$A1151*Q1151</f>
        <v>0</v>
      </c>
      <c r="S1151" s="503"/>
      <c r="T1151" s="884">
        <f>$A1151*S1151*$T$1</f>
        <v>0</v>
      </c>
    </row>
    <row r="1152" spans="1:41" s="504" customFormat="1" ht="12.6" thickBot="1">
      <c r="A1152" s="885" t="s">
        <v>142</v>
      </c>
      <c r="B1152" s="886">
        <f>(R1151+T1151)</f>
        <v>0</v>
      </c>
      <c r="C1152" s="887"/>
      <c r="D1152" s="887"/>
      <c r="E1152" s="887"/>
      <c r="F1152" s="888"/>
      <c r="G1152" s="887" t="s">
        <v>143</v>
      </c>
      <c r="H1152" s="887"/>
      <c r="I1152" s="889"/>
      <c r="J1152" s="887"/>
      <c r="K1152" s="887" t="s">
        <v>3</v>
      </c>
      <c r="L1152" s="890" t="s">
        <v>140</v>
      </c>
      <c r="M1152" s="890"/>
      <c r="N1152" s="890"/>
      <c r="O1152" s="890"/>
      <c r="P1152" s="890"/>
      <c r="Q1152" s="891"/>
      <c r="R1152" s="892">
        <f ca="1">SUM(R1147:R1151)</f>
        <v>414.56</v>
      </c>
      <c r="S1152" s="887"/>
      <c r="T1152" s="892">
        <f ca="1">SUM(T1147:T1151)</f>
        <v>12.868</v>
      </c>
      <c r="U1152" s="514"/>
      <c r="V1152" s="514"/>
      <c r="W1152" s="514"/>
      <c r="X1152" s="514"/>
      <c r="Y1152" s="514"/>
      <c r="Z1152" s="514"/>
      <c r="AA1152" s="514"/>
      <c r="AB1152" s="514"/>
      <c r="AC1152" s="514"/>
      <c r="AD1152" s="514"/>
      <c r="AE1152" s="514"/>
      <c r="AF1152" s="514"/>
      <c r="AG1152" s="514"/>
      <c r="AH1152" s="514"/>
      <c r="AI1152" s="514"/>
      <c r="AJ1152" s="514"/>
      <c r="AK1152" s="514"/>
      <c r="AL1152" s="514"/>
      <c r="AM1152" s="514"/>
      <c r="AN1152" s="514"/>
      <c r="AO1152" s="514"/>
    </row>
    <row r="1153" spans="1:41" s="504" customFormat="1" ht="12" thickTop="1">
      <c r="A1153" s="50"/>
      <c r="B1153" s="40"/>
      <c r="C1153" s="50"/>
      <c r="E1153" s="41" t="s">
        <v>136</v>
      </c>
      <c r="F1153" s="41" t="s">
        <v>137</v>
      </c>
      <c r="G1153" s="50"/>
      <c r="H1153" s="50"/>
      <c r="I1153" s="50"/>
      <c r="J1153" s="50"/>
      <c r="K1153" s="50" t="s">
        <v>138</v>
      </c>
      <c r="L1153" s="50"/>
      <c r="M1153" s="50"/>
      <c r="N1153" s="50"/>
      <c r="O1153" s="51"/>
      <c r="P1153" s="50"/>
      <c r="Q1153" s="50"/>
      <c r="R1153" s="50"/>
      <c r="S1153" s="50"/>
      <c r="T1153" s="40"/>
      <c r="AG1153" s="867" t="s">
        <v>241</v>
      </c>
      <c r="AH1153" s="867" t="s">
        <v>242</v>
      </c>
      <c r="AI1153" s="867" t="s">
        <v>243</v>
      </c>
      <c r="AJ1153" s="867" t="s">
        <v>244</v>
      </c>
      <c r="AK1153" s="867" t="s">
        <v>245</v>
      </c>
      <c r="AM1153" s="868" t="s">
        <v>254</v>
      </c>
      <c r="AN1153" s="869" t="s">
        <v>255</v>
      </c>
      <c r="AO1153" s="505" t="s">
        <v>251</v>
      </c>
    </row>
    <row r="1154" spans="1:41" s="504" customFormat="1" ht="12" customHeight="1">
      <c r="A1154" s="870">
        <v>8</v>
      </c>
      <c r="B1154" s="871" t="s">
        <v>335</v>
      </c>
      <c r="C1154" s="872"/>
      <c r="D1154" s="873" t="s">
        <v>810</v>
      </c>
      <c r="E1154" s="874">
        <f ca="1">IF(AND($A1154=0,$A$1="DIF"),0, ROUND(ROUND(($R1160*$S$2+($T1160*$T$2))/A1154,2)*$C$2,2))</f>
        <v>119.8</v>
      </c>
      <c r="F1154" s="875">
        <f ca="1">ROUND($A1154*$E1154,2)</f>
        <v>958.4</v>
      </c>
      <c r="G1154" s="876" t="s">
        <v>139</v>
      </c>
      <c r="H1154" s="877"/>
      <c r="I1154" s="878"/>
      <c r="J1154" s="877"/>
      <c r="K1154" s="877" t="s">
        <v>3</v>
      </c>
      <c r="L1154" s="879" t="s">
        <v>140</v>
      </c>
      <c r="M1154" s="879"/>
      <c r="N1154" s="879"/>
      <c r="O1154" s="879"/>
      <c r="P1154" s="879"/>
      <c r="Q1154" s="50"/>
      <c r="T1154" s="880" t="str">
        <f ca="1">IF(AND($R1160=0,$T1160=0),"0.00","mu :" &amp; ROUND($F1154/$C$2/($R1160+$T1160*$D$9),2))</f>
        <v>mu :1.22</v>
      </c>
      <c r="W1154" s="507"/>
      <c r="AG1154" s="465">
        <f ca="1">IF($E1154=0,0,ROUND($R1160*$S$2*$C$2/$A1154,2))</f>
        <v>63.22</v>
      </c>
      <c r="AH1154" s="465">
        <f ca="1">$AG1154*$A1154</f>
        <v>505.76</v>
      </c>
      <c r="AI1154" s="508">
        <f ca="1">$E1154-$AG1154</f>
        <v>56.58</v>
      </c>
      <c r="AJ1154" s="508">
        <f ca="1">$A1154*$AI1154</f>
        <v>452.64</v>
      </c>
      <c r="AK1154" s="509">
        <f ca="1">ROUND(($AG1154+$AI1154)*$A1154,2)</f>
        <v>958.4</v>
      </c>
      <c r="AM1154" s="510">
        <f ca="1">ROUND(R1160,2)</f>
        <v>414.56</v>
      </c>
      <c r="AN1154" s="511">
        <f ca="1">ROUND(T1160,2)</f>
        <v>12.87</v>
      </c>
      <c r="AO1154" s="512">
        <f ca="1">ROUND(AM1154+AN1154,2)*A1154</f>
        <v>3419.44</v>
      </c>
    </row>
    <row r="1155" spans="1:41" s="504" customFormat="1" ht="13.2">
      <c r="A1155" s="872"/>
      <c r="B1155"/>
      <c r="C1155" s="872"/>
      <c r="D1155" s="873" t="s">
        <v>361</v>
      </c>
      <c r="F1155" s="877"/>
      <c r="G1155" s="3"/>
      <c r="H1155" s="877"/>
      <c r="I1155" s="878"/>
      <c r="J1155" s="877"/>
      <c r="K1155" s="877" t="s">
        <v>141</v>
      </c>
      <c r="L1155" s="877"/>
      <c r="M1155" s="877"/>
      <c r="N1155" s="877"/>
      <c r="O1155" s="877"/>
      <c r="P1155" s="877"/>
      <c r="Q1155" s="50"/>
      <c r="R1155" s="513"/>
      <c r="S1155" s="881"/>
      <c r="T1155" s="877"/>
    </row>
    <row r="1156" spans="1:41" s="997" customFormat="1" ht="13.2">
      <c r="A1156"/>
      <c r="B1156" s="1065"/>
      <c r="C1156" s="1065" t="s">
        <v>1006</v>
      </c>
      <c r="D1156" s="1065" t="str">
        <f ca="1">CELL("Address",Elec_Rates!D$486)</f>
        <v>[EL25_0662B_Brittania_Hotel_Elec_Revised_Estim_B.xlsx]Elec_Rates!$D$486</v>
      </c>
      <c r="E1156" s="1066"/>
      <c r="F1156" s="1066"/>
      <c r="G1156" s="1067" t="s">
        <v>1007</v>
      </c>
      <c r="H1156" s="1067"/>
      <c r="I1156" s="1067"/>
      <c r="J1156" s="1067"/>
      <c r="K1156" s="1068"/>
      <c r="L1156" s="1066"/>
      <c r="M1156" s="1066"/>
      <c r="N1156" s="1066"/>
      <c r="O1156" s="1069"/>
      <c r="P1156" s="1066"/>
      <c r="Q1156" s="1070"/>
      <c r="R1156" s="1071"/>
      <c r="S1156" s="1070"/>
      <c r="T1156" s="1072"/>
      <c r="U1156" s="1073"/>
    </row>
    <row r="1157" spans="1:41" s="997" customFormat="1" ht="11.4">
      <c r="A1157" s="1074">
        <v>8</v>
      </c>
      <c r="B1157" s="1075">
        <v>1</v>
      </c>
      <c r="C1157" s="1075">
        <f>$A1157*$B1157</f>
        <v>8</v>
      </c>
      <c r="D1157" s="1076" t="str">
        <f>Elec_Rates!$D$486</f>
        <v>058# General Power Point in LSZH Conduit</v>
      </c>
      <c r="E1157" s="1076"/>
      <c r="F1157" s="1076"/>
      <c r="G1157" s="1077" t="s">
        <v>1008</v>
      </c>
      <c r="H1157" s="1077"/>
      <c r="I1157" s="1077"/>
      <c r="J1157" s="1077"/>
      <c r="K1157" s="1078"/>
      <c r="L1157" s="1073"/>
      <c r="M1157" s="1073"/>
      <c r="N1157" s="1073"/>
      <c r="O1157" s="1079"/>
      <c r="P1157" s="1076"/>
      <c r="Q1157" s="1080">
        <f ca="1">$B1157*Elec_Rates!$R$486</f>
        <v>13.92</v>
      </c>
      <c r="R1157" s="1071">
        <f ca="1">$A1157*Q1157</f>
        <v>111.36</v>
      </c>
      <c r="S1157" s="1080">
        <f ca="1">$B1157*Elec_Rates!$T$486</f>
        <v>1.43</v>
      </c>
      <c r="T1157" s="1072">
        <f ca="1">$A1157*S1157</f>
        <v>11.44</v>
      </c>
      <c r="U1157" s="1081"/>
    </row>
    <row r="1158" spans="1:41" s="1039" customFormat="1" ht="13.2">
      <c r="A1158" s="112">
        <v>8</v>
      </c>
      <c r="B1158" s="1039" t="s">
        <v>949</v>
      </c>
      <c r="D1158" s="1039" t="s">
        <v>1235</v>
      </c>
      <c r="G1158" s="1040" t="s">
        <v>1231</v>
      </c>
      <c r="H1158" s="1041">
        <v>705</v>
      </c>
      <c r="I1158" s="1039" t="s">
        <v>1183</v>
      </c>
      <c r="J1158" s="1039" t="s">
        <v>1232</v>
      </c>
      <c r="O1158" s="1042">
        <v>3</v>
      </c>
      <c r="P1158" s="1043">
        <v>34669</v>
      </c>
      <c r="Q1158" s="1044">
        <v>37.9</v>
      </c>
      <c r="R1158" s="1045">
        <f>$A1158*Q1158</f>
        <v>303.2</v>
      </c>
      <c r="S1158" s="1044">
        <v>0.17</v>
      </c>
      <c r="T1158" s="1046">
        <f>$A1158*S1158*$T$1</f>
        <v>1.4280000000000002</v>
      </c>
    </row>
    <row r="1159" spans="1:41" s="504" customFormat="1" ht="12">
      <c r="A1159" s="882"/>
      <c r="B1159" s="882"/>
      <c r="C1159" s="882"/>
      <c r="D1159" s="882"/>
      <c r="E1159" s="882"/>
      <c r="F1159" s="877"/>
      <c r="G1159" s="882"/>
      <c r="H1159" s="882"/>
      <c r="I1159" s="503"/>
      <c r="J1159" s="882"/>
      <c r="K1159" s="882"/>
      <c r="L1159" s="882"/>
      <c r="M1159" s="882"/>
      <c r="N1159" s="882"/>
      <c r="O1159" s="882"/>
      <c r="P1159" s="882"/>
      <c r="Q1159" s="503"/>
      <c r="R1159" s="883">
        <f>$A1159*Q1159</f>
        <v>0</v>
      </c>
      <c r="S1159" s="503"/>
      <c r="T1159" s="884">
        <f>$A1159*S1159*$T$1</f>
        <v>0</v>
      </c>
    </row>
    <row r="1160" spans="1:41" s="504" customFormat="1" ht="12.6" thickBot="1">
      <c r="A1160" s="885" t="s">
        <v>142</v>
      </c>
      <c r="B1160" s="886">
        <f>(R1159+T1159)</f>
        <v>0</v>
      </c>
      <c r="C1160" s="887"/>
      <c r="D1160" s="887"/>
      <c r="E1160" s="887"/>
      <c r="F1160" s="888"/>
      <c r="G1160" s="887" t="s">
        <v>143</v>
      </c>
      <c r="H1160" s="887"/>
      <c r="I1160" s="889"/>
      <c r="J1160" s="887"/>
      <c r="K1160" s="887" t="s">
        <v>3</v>
      </c>
      <c r="L1160" s="890" t="s">
        <v>140</v>
      </c>
      <c r="M1160" s="890"/>
      <c r="N1160" s="890"/>
      <c r="O1160" s="890"/>
      <c r="P1160" s="890"/>
      <c r="Q1160" s="891"/>
      <c r="R1160" s="892">
        <f ca="1">SUM(R1155:R1159)</f>
        <v>414.56</v>
      </c>
      <c r="S1160" s="887"/>
      <c r="T1160" s="892">
        <f ca="1">SUM(T1155:T1159)</f>
        <v>12.868</v>
      </c>
      <c r="U1160" s="514"/>
      <c r="V1160" s="514"/>
      <c r="W1160" s="514"/>
      <c r="X1160" s="514"/>
      <c r="Y1160" s="514"/>
      <c r="Z1160" s="514"/>
      <c r="AA1160" s="514"/>
      <c r="AB1160" s="514"/>
      <c r="AC1160" s="514"/>
      <c r="AD1160" s="514"/>
      <c r="AE1160" s="514"/>
      <c r="AF1160" s="514"/>
      <c r="AG1160" s="514"/>
      <c r="AH1160" s="514"/>
      <c r="AI1160" s="514"/>
      <c r="AJ1160" s="514"/>
      <c r="AK1160" s="514"/>
      <c r="AL1160" s="514"/>
      <c r="AM1160" s="514"/>
      <c r="AN1160" s="514"/>
      <c r="AO1160" s="514"/>
    </row>
    <row r="1161" spans="1:41" s="504" customFormat="1" ht="12" thickTop="1">
      <c r="A1161" s="50"/>
      <c r="B1161" s="40"/>
      <c r="C1161" s="50"/>
      <c r="E1161" s="41" t="s">
        <v>136</v>
      </c>
      <c r="F1161" s="41" t="s">
        <v>137</v>
      </c>
      <c r="G1161" s="50"/>
      <c r="H1161" s="50"/>
      <c r="I1161" s="50"/>
      <c r="J1161" s="50"/>
      <c r="K1161" s="50" t="s">
        <v>138</v>
      </c>
      <c r="L1161" s="50"/>
      <c r="M1161" s="50"/>
      <c r="N1161" s="50"/>
      <c r="O1161" s="51"/>
      <c r="P1161" s="50"/>
      <c r="Q1161" s="50"/>
      <c r="R1161" s="50"/>
      <c r="S1161" s="50"/>
      <c r="T1161" s="40"/>
      <c r="AG1161" s="867" t="s">
        <v>241</v>
      </c>
      <c r="AH1161" s="867" t="s">
        <v>242</v>
      </c>
      <c r="AI1161" s="867" t="s">
        <v>243</v>
      </c>
      <c r="AJ1161" s="867" t="s">
        <v>244</v>
      </c>
      <c r="AK1161" s="867" t="s">
        <v>245</v>
      </c>
      <c r="AM1161" s="868" t="s">
        <v>254</v>
      </c>
      <c r="AN1161" s="869" t="s">
        <v>255</v>
      </c>
      <c r="AO1161" s="505" t="s">
        <v>251</v>
      </c>
    </row>
    <row r="1162" spans="1:41" s="504" customFormat="1" ht="12" customHeight="1">
      <c r="A1162" s="870">
        <v>1</v>
      </c>
      <c r="B1162" s="871" t="s">
        <v>335</v>
      </c>
      <c r="C1162" s="872"/>
      <c r="D1162" s="873" t="s">
        <v>812</v>
      </c>
      <c r="E1162" s="874">
        <f ca="1">IF(AND($A1162=0,$A$1="DIF"),0, ROUND(ROUND(($R1168*$S$2+($T1168*$T$2))/A1162,2)*$C$2,2))</f>
        <v>115.17</v>
      </c>
      <c r="F1162" s="875">
        <f ca="1">ROUND($A1162*$E1162,2)</f>
        <v>115.17</v>
      </c>
      <c r="G1162" s="876" t="s">
        <v>139</v>
      </c>
      <c r="H1162" s="877"/>
      <c r="I1162" s="878"/>
      <c r="J1162" s="877"/>
      <c r="K1162" s="877" t="s">
        <v>3</v>
      </c>
      <c r="L1162" s="879" t="s">
        <v>140</v>
      </c>
      <c r="M1162" s="879"/>
      <c r="N1162" s="879"/>
      <c r="O1162" s="879"/>
      <c r="P1162" s="879"/>
      <c r="Q1162" s="50"/>
      <c r="T1162" s="880" t="str">
        <f ca="1">IF(AND($R1168=0,$T1168=0),"0.00","mu :" &amp; ROUND($F1162/$C$2/($R1168+$T1168*$D$9),2))</f>
        <v>mu :1.22</v>
      </c>
      <c r="W1162" s="507"/>
      <c r="AG1162" s="465">
        <f ca="1">IF($E1162=0,0,ROUND($R1168*$S$2*$C$2/$A1162,2))</f>
        <v>58.58</v>
      </c>
      <c r="AH1162" s="465">
        <f ca="1">$AG1162*$A1162</f>
        <v>58.58</v>
      </c>
      <c r="AI1162" s="508">
        <f ca="1">$E1162-$AG1162</f>
        <v>56.59</v>
      </c>
      <c r="AJ1162" s="508">
        <f ca="1">$A1162*$AI1162</f>
        <v>56.59</v>
      </c>
      <c r="AK1162" s="509">
        <f ca="1">ROUND(($AG1162+$AI1162)*$A1162,2)</f>
        <v>115.17</v>
      </c>
      <c r="AM1162" s="510">
        <f ca="1">ROUND(R1168,2)</f>
        <v>48.02</v>
      </c>
      <c r="AN1162" s="511">
        <f ca="1">ROUND(T1168,2)</f>
        <v>1.61</v>
      </c>
      <c r="AO1162" s="512">
        <f ca="1">ROUND(AM1162+AN1162,2)*A1162</f>
        <v>49.63</v>
      </c>
    </row>
    <row r="1163" spans="1:41" s="504" customFormat="1" ht="13.2">
      <c r="A1163" s="872"/>
      <c r="B1163"/>
      <c r="C1163" s="872"/>
      <c r="D1163" s="873" t="s">
        <v>362</v>
      </c>
      <c r="F1163" s="877"/>
      <c r="G1163" s="3"/>
      <c r="H1163" s="877"/>
      <c r="I1163" s="878"/>
      <c r="J1163" s="877"/>
      <c r="K1163" s="877" t="s">
        <v>141</v>
      </c>
      <c r="L1163" s="877"/>
      <c r="M1163" s="877"/>
      <c r="N1163" s="877"/>
      <c r="O1163" s="877"/>
      <c r="P1163" s="877"/>
      <c r="Q1163" s="50"/>
      <c r="R1163" s="513"/>
      <c r="S1163" s="881"/>
      <c r="T1163" s="877"/>
    </row>
    <row r="1164" spans="1:41" s="997" customFormat="1" ht="13.2">
      <c r="A1164"/>
      <c r="B1164" s="1065"/>
      <c r="C1164" s="1065" t="s">
        <v>1006</v>
      </c>
      <c r="D1164" s="1065" t="str">
        <f ca="1">CELL("Address",Elec_Rates!D$486)</f>
        <v>[EL25_0662B_Brittania_Hotel_Elec_Revised_Estim_B.xlsx]Elec_Rates!$D$486</v>
      </c>
      <c r="E1164" s="1066"/>
      <c r="F1164" s="1066"/>
      <c r="G1164" s="1067" t="s">
        <v>1007</v>
      </c>
      <c r="H1164" s="1067"/>
      <c r="I1164" s="1067"/>
      <c r="J1164" s="1067"/>
      <c r="K1164" s="1068"/>
      <c r="L1164" s="1066"/>
      <c r="M1164" s="1066"/>
      <c r="N1164" s="1066"/>
      <c r="O1164" s="1069"/>
      <c r="P1164" s="1066"/>
      <c r="Q1164" s="1070"/>
      <c r="R1164" s="1071"/>
      <c r="S1164" s="1070"/>
      <c r="T1164" s="1072"/>
      <c r="U1164" s="1073"/>
    </row>
    <row r="1165" spans="1:41" s="997" customFormat="1" ht="11.4">
      <c r="A1165" s="1074">
        <v>1</v>
      </c>
      <c r="B1165" s="1075">
        <v>1</v>
      </c>
      <c r="C1165" s="1075">
        <f>$A1165*$B1165</f>
        <v>1</v>
      </c>
      <c r="D1165" s="1076" t="str">
        <f>Elec_Rates!$D$486</f>
        <v>058# General Power Point in LSZH Conduit</v>
      </c>
      <c r="E1165" s="1076"/>
      <c r="F1165" s="1076"/>
      <c r="G1165" s="1077" t="s">
        <v>1008</v>
      </c>
      <c r="H1165" s="1077"/>
      <c r="I1165" s="1077"/>
      <c r="J1165" s="1077"/>
      <c r="K1165" s="1078"/>
      <c r="L1165" s="1073"/>
      <c r="M1165" s="1073"/>
      <c r="N1165" s="1073"/>
      <c r="O1165" s="1079"/>
      <c r="P1165" s="1076"/>
      <c r="Q1165" s="1080">
        <f ca="1">$B1165*Elec_Rates!$R$486</f>
        <v>13.92</v>
      </c>
      <c r="R1165" s="1071">
        <f ca="1">$A1165*Q1165</f>
        <v>13.92</v>
      </c>
      <c r="S1165" s="1080">
        <f ca="1">$B1165*Elec_Rates!$T$486</f>
        <v>1.43</v>
      </c>
      <c r="T1165" s="1072">
        <f ca="1">$A1165*S1165</f>
        <v>1.43</v>
      </c>
      <c r="U1165" s="1081"/>
    </row>
    <row r="1166" spans="1:41" s="1039" customFormat="1" ht="13.2">
      <c r="A1166" s="112">
        <v>1</v>
      </c>
      <c r="B1166" s="1039" t="s">
        <v>949</v>
      </c>
      <c r="D1166" s="1039" t="s">
        <v>1236</v>
      </c>
      <c r="G1166" s="1040" t="s">
        <v>1231</v>
      </c>
      <c r="H1166" s="1041">
        <v>705</v>
      </c>
      <c r="I1166" s="1039" t="s">
        <v>1183</v>
      </c>
      <c r="J1166" s="1039" t="s">
        <v>1232</v>
      </c>
      <c r="O1166" s="1042">
        <v>3</v>
      </c>
      <c r="P1166" s="1043">
        <v>34669</v>
      </c>
      <c r="Q1166" s="1044">
        <v>34.1</v>
      </c>
      <c r="R1166" s="1045">
        <f>$A1166*Q1166</f>
        <v>34.1</v>
      </c>
      <c r="S1166" s="1044">
        <v>0.17</v>
      </c>
      <c r="T1166" s="1046">
        <f>$A1166*S1166*$T$1</f>
        <v>0.17850000000000002</v>
      </c>
    </row>
    <row r="1167" spans="1:41" s="504" customFormat="1" ht="12">
      <c r="A1167" s="882"/>
      <c r="B1167" s="882"/>
      <c r="C1167" s="882"/>
      <c r="D1167" s="882"/>
      <c r="E1167" s="882"/>
      <c r="F1167" s="877"/>
      <c r="G1167" s="882"/>
      <c r="H1167" s="882"/>
      <c r="I1167" s="503"/>
      <c r="J1167" s="882"/>
      <c r="K1167" s="882"/>
      <c r="L1167" s="882"/>
      <c r="M1167" s="882"/>
      <c r="N1167" s="882"/>
      <c r="O1167" s="882"/>
      <c r="P1167" s="882"/>
      <c r="Q1167" s="503"/>
      <c r="R1167" s="883">
        <f>$A1167*Q1167</f>
        <v>0</v>
      </c>
      <c r="S1167" s="503"/>
      <c r="T1167" s="884">
        <f>$A1167*S1167*$T$1</f>
        <v>0</v>
      </c>
    </row>
    <row r="1168" spans="1:41" s="504" customFormat="1" ht="12.6" thickBot="1">
      <c r="A1168" s="885" t="s">
        <v>142</v>
      </c>
      <c r="B1168" s="886">
        <f>(R1167+T1167)</f>
        <v>0</v>
      </c>
      <c r="C1168" s="887"/>
      <c r="D1168" s="887"/>
      <c r="E1168" s="887"/>
      <c r="F1168" s="888"/>
      <c r="G1168" s="887" t="s">
        <v>143</v>
      </c>
      <c r="H1168" s="887"/>
      <c r="I1168" s="889"/>
      <c r="J1168" s="887"/>
      <c r="K1168" s="887" t="s">
        <v>3</v>
      </c>
      <c r="L1168" s="890" t="s">
        <v>140</v>
      </c>
      <c r="M1168" s="890"/>
      <c r="N1168" s="890"/>
      <c r="O1168" s="890"/>
      <c r="P1168" s="890"/>
      <c r="Q1168" s="891"/>
      <c r="R1168" s="892">
        <f ca="1">SUM(R1163:R1167)</f>
        <v>48.02</v>
      </c>
      <c r="S1168" s="887"/>
      <c r="T1168" s="892">
        <f ca="1">SUM(T1163:T1167)</f>
        <v>1.6085</v>
      </c>
      <c r="U1168" s="514"/>
      <c r="V1168" s="514"/>
      <c r="W1168" s="514"/>
      <c r="X1168" s="514"/>
      <c r="Y1168" s="514"/>
      <c r="Z1168" s="514"/>
      <c r="AA1168" s="514"/>
      <c r="AB1168" s="514"/>
      <c r="AC1168" s="514"/>
      <c r="AD1168" s="514"/>
      <c r="AE1168" s="514"/>
      <c r="AF1168" s="514"/>
      <c r="AG1168" s="514"/>
      <c r="AH1168" s="514"/>
      <c r="AI1168" s="514"/>
      <c r="AJ1168" s="514"/>
      <c r="AK1168" s="514"/>
      <c r="AL1168" s="514"/>
      <c r="AM1168" s="514"/>
      <c r="AN1168" s="514"/>
      <c r="AO1168" s="514"/>
    </row>
    <row r="1169" spans="1:41" s="504" customFormat="1" ht="12" thickTop="1">
      <c r="A1169" s="50"/>
      <c r="B1169" s="40"/>
      <c r="C1169" s="50"/>
      <c r="E1169" s="41" t="s">
        <v>136</v>
      </c>
      <c r="F1169" s="41" t="s">
        <v>137</v>
      </c>
      <c r="G1169" s="50"/>
      <c r="H1169" s="50"/>
      <c r="I1169" s="50"/>
      <c r="J1169" s="50"/>
      <c r="K1169" s="50" t="s">
        <v>138</v>
      </c>
      <c r="L1169" s="50"/>
      <c r="M1169" s="50"/>
      <c r="N1169" s="50"/>
      <c r="O1169" s="51"/>
      <c r="P1169" s="50"/>
      <c r="Q1169" s="50"/>
      <c r="R1169" s="50"/>
      <c r="S1169" s="50"/>
      <c r="T1169" s="40"/>
      <c r="AG1169" s="867" t="s">
        <v>241</v>
      </c>
      <c r="AH1169" s="867" t="s">
        <v>242</v>
      </c>
      <c r="AI1169" s="867" t="s">
        <v>243</v>
      </c>
      <c r="AJ1169" s="867" t="s">
        <v>244</v>
      </c>
      <c r="AK1169" s="867" t="s">
        <v>245</v>
      </c>
      <c r="AM1169" s="868" t="s">
        <v>254</v>
      </c>
      <c r="AN1169" s="869" t="s">
        <v>255</v>
      </c>
      <c r="AO1169" s="505" t="s">
        <v>251</v>
      </c>
    </row>
    <row r="1170" spans="1:41" s="504" customFormat="1" ht="12" customHeight="1">
      <c r="A1170" s="870">
        <v>4</v>
      </c>
      <c r="B1170" s="871" t="s">
        <v>335</v>
      </c>
      <c r="C1170" s="872"/>
      <c r="D1170" s="873" t="s">
        <v>819</v>
      </c>
      <c r="E1170" s="874">
        <f ca="1">IF(AND($A1170=0,$A$1="DIF"),0, ROUND(ROUND(($R1176*$S$2+($T1176*$T$2))/A1170,2)*$C$2,2))</f>
        <v>79.88</v>
      </c>
      <c r="F1170" s="875">
        <f ca="1">ROUND($A1170*$E1170,2)</f>
        <v>319.52</v>
      </c>
      <c r="G1170" s="876" t="s">
        <v>139</v>
      </c>
      <c r="H1170" s="877"/>
      <c r="I1170" s="878"/>
      <c r="J1170" s="877"/>
      <c r="K1170" s="877" t="s">
        <v>3</v>
      </c>
      <c r="L1170" s="879" t="s">
        <v>140</v>
      </c>
      <c r="M1170" s="879"/>
      <c r="N1170" s="879"/>
      <c r="O1170" s="879"/>
      <c r="P1170" s="879"/>
      <c r="Q1170" s="50"/>
      <c r="T1170" s="880" t="str">
        <f ca="1">IF(AND($R1176=0,$T1176=0),"0.00","mu :" &amp; ROUND($F1170/$C$2/($R1176+$T1176*$D$9),2))</f>
        <v>mu :1.22</v>
      </c>
      <c r="W1170" s="507"/>
      <c r="AG1170" s="465">
        <f ca="1">IF($E1170=0,0,ROUND($R1176*$S$2*$C$2/$A1170,2))</f>
        <v>23.3</v>
      </c>
      <c r="AH1170" s="465">
        <f ca="1">$AG1170*$A1170</f>
        <v>93.2</v>
      </c>
      <c r="AI1170" s="508">
        <f ca="1">$E1170-$AG1170</f>
        <v>56.58</v>
      </c>
      <c r="AJ1170" s="508">
        <f ca="1">$A1170*$AI1170</f>
        <v>226.32</v>
      </c>
      <c r="AK1170" s="509">
        <f ca="1">ROUND(($AG1170+$AI1170)*$A1170,2)</f>
        <v>319.52</v>
      </c>
      <c r="AM1170" s="510">
        <f ca="1">ROUND(R1176,2)</f>
        <v>76.400000000000006</v>
      </c>
      <c r="AN1170" s="511">
        <f ca="1">ROUND(T1176,2)</f>
        <v>6.43</v>
      </c>
      <c r="AO1170" s="512">
        <f ca="1">ROUND(AM1170+AN1170,2)*A1170</f>
        <v>331.32</v>
      </c>
    </row>
    <row r="1171" spans="1:41" s="504" customFormat="1" ht="13.2">
      <c r="A1171" s="872"/>
      <c r="B1171"/>
      <c r="C1171" s="872"/>
      <c r="D1171" s="873" t="s">
        <v>363</v>
      </c>
      <c r="F1171" s="877"/>
      <c r="G1171" s="3"/>
      <c r="H1171" s="877"/>
      <c r="I1171" s="878"/>
      <c r="J1171" s="877"/>
      <c r="K1171" s="877" t="s">
        <v>141</v>
      </c>
      <c r="L1171" s="877"/>
      <c r="M1171" s="877"/>
      <c r="N1171" s="877"/>
      <c r="O1171" s="877"/>
      <c r="P1171" s="877"/>
      <c r="Q1171" s="50"/>
      <c r="R1171" s="513"/>
      <c r="S1171" s="881"/>
      <c r="T1171" s="877"/>
    </row>
    <row r="1172" spans="1:41" s="997" customFormat="1" ht="13.2">
      <c r="A1172"/>
      <c r="B1172" s="1065"/>
      <c r="C1172" s="1065" t="s">
        <v>1006</v>
      </c>
      <c r="D1172" s="1065" t="str">
        <f ca="1">CELL("Address",Elec_Rates!D$486)</f>
        <v>[EL25_0662B_Brittania_Hotel_Elec_Revised_Estim_B.xlsx]Elec_Rates!$D$486</v>
      </c>
      <c r="E1172" s="1066"/>
      <c r="F1172" s="1066"/>
      <c r="G1172" s="1067" t="s">
        <v>1007</v>
      </c>
      <c r="H1172" s="1067"/>
      <c r="I1172" s="1067"/>
      <c r="J1172" s="1067"/>
      <c r="K1172" s="1068"/>
      <c r="L1172" s="1066"/>
      <c r="M1172" s="1066"/>
      <c r="N1172" s="1066"/>
      <c r="O1172" s="1069"/>
      <c r="P1172" s="1066"/>
      <c r="Q1172" s="1070"/>
      <c r="R1172" s="1071"/>
      <c r="S1172" s="1070"/>
      <c r="T1172" s="1072"/>
      <c r="U1172" s="1073"/>
    </row>
    <row r="1173" spans="1:41" s="997" customFormat="1" ht="11.4">
      <c r="A1173" s="1074">
        <v>4</v>
      </c>
      <c r="B1173" s="1075">
        <v>1</v>
      </c>
      <c r="C1173" s="1075">
        <f>$A1173*$B1173</f>
        <v>4</v>
      </c>
      <c r="D1173" s="1076" t="str">
        <f>Elec_Rates!$D$486</f>
        <v>058# General Power Point in LSZH Conduit</v>
      </c>
      <c r="E1173" s="1076"/>
      <c r="F1173" s="1076"/>
      <c r="G1173" s="1077" t="s">
        <v>1008</v>
      </c>
      <c r="H1173" s="1077"/>
      <c r="I1173" s="1077"/>
      <c r="J1173" s="1077"/>
      <c r="K1173" s="1078"/>
      <c r="L1173" s="1073"/>
      <c r="M1173" s="1073"/>
      <c r="N1173" s="1073"/>
      <c r="O1173" s="1079"/>
      <c r="P1173" s="1076"/>
      <c r="Q1173" s="1080">
        <f ca="1">$B1173*Elec_Rates!$R$486</f>
        <v>13.92</v>
      </c>
      <c r="R1173" s="1071">
        <f ca="1">$A1173*Q1173</f>
        <v>55.68</v>
      </c>
      <c r="S1173" s="1080">
        <f ca="1">$B1173*Elec_Rates!$T$486</f>
        <v>1.43</v>
      </c>
      <c r="T1173" s="1072">
        <f ca="1">$A1173*S1173</f>
        <v>5.72</v>
      </c>
      <c r="U1173" s="1081"/>
    </row>
    <row r="1174" spans="1:41" s="1039" customFormat="1" ht="13.2">
      <c r="A1174" s="112">
        <v>4</v>
      </c>
      <c r="B1174" s="1039" t="s">
        <v>949</v>
      </c>
      <c r="D1174" s="1039" t="s">
        <v>1237</v>
      </c>
      <c r="G1174" s="1040" t="s">
        <v>1231</v>
      </c>
      <c r="H1174" s="1041">
        <v>705</v>
      </c>
      <c r="I1174" s="1039" t="s">
        <v>1183</v>
      </c>
      <c r="J1174" s="1039" t="s">
        <v>1232</v>
      </c>
      <c r="O1174" s="1042">
        <v>3</v>
      </c>
      <c r="P1174" s="1043">
        <v>34669</v>
      </c>
      <c r="Q1174" s="1044">
        <v>5.18</v>
      </c>
      <c r="R1174" s="1045">
        <f>$A1174*Q1174</f>
        <v>20.72</v>
      </c>
      <c r="S1174" s="1044">
        <v>0.17</v>
      </c>
      <c r="T1174" s="1046">
        <f>$A1174*S1174*$T$1</f>
        <v>0.71400000000000008</v>
      </c>
    </row>
    <row r="1175" spans="1:41" s="504" customFormat="1" ht="12">
      <c r="A1175" s="882"/>
      <c r="B1175" s="882"/>
      <c r="C1175" s="882"/>
      <c r="D1175" s="882"/>
      <c r="E1175" s="882"/>
      <c r="F1175" s="877"/>
      <c r="G1175" s="882"/>
      <c r="H1175" s="882"/>
      <c r="I1175" s="503"/>
      <c r="J1175" s="882"/>
      <c r="K1175" s="882"/>
      <c r="L1175" s="882"/>
      <c r="M1175" s="882"/>
      <c r="N1175" s="882"/>
      <c r="O1175" s="882"/>
      <c r="P1175" s="882"/>
      <c r="Q1175" s="503"/>
      <c r="R1175" s="883">
        <f>$A1175*Q1175</f>
        <v>0</v>
      </c>
      <c r="S1175" s="503"/>
      <c r="T1175" s="884">
        <f>$A1175*S1175*$T$1</f>
        <v>0</v>
      </c>
    </row>
    <row r="1176" spans="1:41" s="504" customFormat="1" ht="12.6" thickBot="1">
      <c r="A1176" s="885" t="s">
        <v>142</v>
      </c>
      <c r="B1176" s="886">
        <f>(R1175+T1175)</f>
        <v>0</v>
      </c>
      <c r="C1176" s="887"/>
      <c r="D1176" s="887"/>
      <c r="E1176" s="887"/>
      <c r="F1176" s="888"/>
      <c r="G1176" s="887" t="s">
        <v>143</v>
      </c>
      <c r="H1176" s="887"/>
      <c r="I1176" s="889"/>
      <c r="J1176" s="887"/>
      <c r="K1176" s="887" t="s">
        <v>3</v>
      </c>
      <c r="L1176" s="890" t="s">
        <v>140</v>
      </c>
      <c r="M1176" s="890"/>
      <c r="N1176" s="890"/>
      <c r="O1176" s="890"/>
      <c r="P1176" s="890"/>
      <c r="Q1176" s="891"/>
      <c r="R1176" s="892">
        <f ca="1">SUM(R1171:R1175)</f>
        <v>76.400000000000006</v>
      </c>
      <c r="S1176" s="887"/>
      <c r="T1176" s="892">
        <f ca="1">SUM(T1171:T1175)</f>
        <v>6.4340000000000002</v>
      </c>
      <c r="U1176" s="514"/>
      <c r="V1176" s="514"/>
      <c r="W1176" s="514"/>
      <c r="X1176" s="514"/>
      <c r="Y1176" s="514"/>
      <c r="Z1176" s="514"/>
      <c r="AA1176" s="514"/>
      <c r="AB1176" s="514"/>
      <c r="AC1176" s="514"/>
      <c r="AD1176" s="514"/>
      <c r="AE1176" s="514"/>
      <c r="AF1176" s="514"/>
      <c r="AG1176" s="514"/>
      <c r="AH1176" s="514"/>
      <c r="AI1176" s="514"/>
      <c r="AJ1176" s="514"/>
      <c r="AK1176" s="514"/>
      <c r="AL1176" s="514"/>
      <c r="AM1176" s="514"/>
      <c r="AN1176" s="514"/>
      <c r="AO1176" s="514"/>
    </row>
    <row r="1177" spans="1:41" s="504" customFormat="1" ht="12" thickTop="1">
      <c r="A1177" s="50"/>
      <c r="B1177" s="40"/>
      <c r="C1177" s="50"/>
      <c r="E1177" s="41" t="s">
        <v>136</v>
      </c>
      <c r="F1177" s="41" t="s">
        <v>137</v>
      </c>
      <c r="G1177" s="50"/>
      <c r="H1177" s="50"/>
      <c r="I1177" s="50"/>
      <c r="J1177" s="50"/>
      <c r="K1177" s="50" t="s">
        <v>138</v>
      </c>
      <c r="L1177" s="50"/>
      <c r="M1177" s="50"/>
      <c r="N1177" s="50"/>
      <c r="O1177" s="51"/>
      <c r="P1177" s="50"/>
      <c r="Q1177" s="50"/>
      <c r="R1177" s="50"/>
      <c r="S1177" s="50"/>
      <c r="T1177" s="40"/>
      <c r="AG1177" s="867" t="s">
        <v>241</v>
      </c>
      <c r="AH1177" s="867" t="s">
        <v>242</v>
      </c>
      <c r="AI1177" s="867" t="s">
        <v>243</v>
      </c>
      <c r="AJ1177" s="867" t="s">
        <v>244</v>
      </c>
      <c r="AK1177" s="867" t="s">
        <v>245</v>
      </c>
      <c r="AM1177" s="868" t="s">
        <v>254</v>
      </c>
      <c r="AN1177" s="869" t="s">
        <v>255</v>
      </c>
      <c r="AO1177" s="505" t="s">
        <v>251</v>
      </c>
    </row>
    <row r="1178" spans="1:41" s="504" customFormat="1" ht="12" customHeight="1">
      <c r="A1178" s="870">
        <v>7</v>
      </c>
      <c r="B1178" s="871" t="s">
        <v>335</v>
      </c>
      <c r="C1178" s="872"/>
      <c r="D1178" s="873" t="s">
        <v>820</v>
      </c>
      <c r="E1178" s="874">
        <f ca="1">IF(AND($A1178=0,$A$1="DIF"),0, ROUND(ROUND(($R1184*$S$2+($T1184*$T$2))/A1178,2)*$C$2,2))</f>
        <v>79.88</v>
      </c>
      <c r="F1178" s="875">
        <f ca="1">ROUND($A1178*$E1178,2)</f>
        <v>559.16</v>
      </c>
      <c r="G1178" s="876" t="s">
        <v>139</v>
      </c>
      <c r="H1178" s="877"/>
      <c r="I1178" s="878"/>
      <c r="J1178" s="877"/>
      <c r="K1178" s="877" t="s">
        <v>3</v>
      </c>
      <c r="L1178" s="879" t="s">
        <v>140</v>
      </c>
      <c r="M1178" s="879"/>
      <c r="N1178" s="879"/>
      <c r="O1178" s="879"/>
      <c r="P1178" s="879"/>
      <c r="Q1178" s="50"/>
      <c r="T1178" s="880" t="str">
        <f ca="1">IF(AND($R1184=0,$T1184=0),"0.00","mu :" &amp; ROUND($F1178/$C$2/($R1184+$T1184*$D$9),2))</f>
        <v>mu :1.22</v>
      </c>
      <c r="W1178" s="507"/>
      <c r="AG1178" s="465">
        <f ca="1">IF($E1178=0,0,ROUND($R1184*$S$2*$C$2/$A1178,2))</f>
        <v>23.3</v>
      </c>
      <c r="AH1178" s="465">
        <f ca="1">$AG1178*$A1178</f>
        <v>163.1</v>
      </c>
      <c r="AI1178" s="508">
        <f ca="1">$E1178-$AG1178</f>
        <v>56.58</v>
      </c>
      <c r="AJ1178" s="508">
        <f ca="1">$A1178*$AI1178</f>
        <v>396.06</v>
      </c>
      <c r="AK1178" s="509">
        <f ca="1">ROUND(($AG1178+$AI1178)*$A1178,2)</f>
        <v>559.16</v>
      </c>
      <c r="AM1178" s="510">
        <f ca="1">ROUND(R1184,2)</f>
        <v>133.69999999999999</v>
      </c>
      <c r="AN1178" s="511">
        <f ca="1">ROUND(T1184,2)</f>
        <v>11.26</v>
      </c>
      <c r="AO1178" s="512">
        <f ca="1">ROUND(AM1178+AN1178,2)*A1178</f>
        <v>1014.72</v>
      </c>
    </row>
    <row r="1179" spans="1:41" s="504" customFormat="1" ht="13.2">
      <c r="A1179" s="872"/>
      <c r="B1179"/>
      <c r="C1179" s="872"/>
      <c r="D1179" s="873" t="s">
        <v>364</v>
      </c>
      <c r="F1179" s="877"/>
      <c r="G1179" s="3"/>
      <c r="H1179" s="877"/>
      <c r="I1179" s="878"/>
      <c r="J1179" s="877"/>
      <c r="K1179" s="877" t="s">
        <v>141</v>
      </c>
      <c r="L1179" s="877"/>
      <c r="M1179" s="877"/>
      <c r="N1179" s="877"/>
      <c r="O1179" s="877"/>
      <c r="P1179" s="877"/>
      <c r="Q1179" s="50"/>
      <c r="R1179" s="513"/>
      <c r="S1179" s="881"/>
      <c r="T1179" s="877"/>
    </row>
    <row r="1180" spans="1:41" s="997" customFormat="1" ht="13.2">
      <c r="A1180"/>
      <c r="B1180" s="1065"/>
      <c r="C1180" s="1065" t="s">
        <v>1006</v>
      </c>
      <c r="D1180" s="1065" t="str">
        <f ca="1">CELL("Address",Elec_Rates!D$486)</f>
        <v>[EL25_0662B_Brittania_Hotel_Elec_Revised_Estim_B.xlsx]Elec_Rates!$D$486</v>
      </c>
      <c r="E1180" s="1066"/>
      <c r="F1180" s="1066"/>
      <c r="G1180" s="1067" t="s">
        <v>1007</v>
      </c>
      <c r="H1180" s="1067"/>
      <c r="I1180" s="1067"/>
      <c r="J1180" s="1067"/>
      <c r="K1180" s="1068"/>
      <c r="L1180" s="1066"/>
      <c r="M1180" s="1066"/>
      <c r="N1180" s="1066"/>
      <c r="O1180" s="1069"/>
      <c r="P1180" s="1066"/>
      <c r="Q1180" s="1070"/>
      <c r="R1180" s="1071"/>
      <c r="S1180" s="1070"/>
      <c r="T1180" s="1072"/>
      <c r="U1180" s="1073"/>
    </row>
    <row r="1181" spans="1:41" s="997" customFormat="1" ht="11.4">
      <c r="A1181" s="1074">
        <v>7</v>
      </c>
      <c r="B1181" s="1075">
        <v>1</v>
      </c>
      <c r="C1181" s="1075">
        <f>$A1181*$B1181</f>
        <v>7</v>
      </c>
      <c r="D1181" s="1076" t="str">
        <f>Elec_Rates!$D$486</f>
        <v>058# General Power Point in LSZH Conduit</v>
      </c>
      <c r="E1181" s="1076"/>
      <c r="F1181" s="1076"/>
      <c r="G1181" s="1077" t="s">
        <v>1008</v>
      </c>
      <c r="H1181" s="1077"/>
      <c r="I1181" s="1077"/>
      <c r="J1181" s="1077"/>
      <c r="K1181" s="1078"/>
      <c r="L1181" s="1073"/>
      <c r="M1181" s="1073"/>
      <c r="N1181" s="1073"/>
      <c r="O1181" s="1079"/>
      <c r="P1181" s="1076"/>
      <c r="Q1181" s="1080">
        <f ca="1">$B1181*Elec_Rates!$R$486</f>
        <v>13.92</v>
      </c>
      <c r="R1181" s="1071">
        <f ca="1">$A1181*Q1181</f>
        <v>97.44</v>
      </c>
      <c r="S1181" s="1080">
        <f ca="1">$B1181*Elec_Rates!$T$486</f>
        <v>1.43</v>
      </c>
      <c r="T1181" s="1072">
        <f ca="1">$A1181*S1181</f>
        <v>10.01</v>
      </c>
      <c r="U1181" s="1081"/>
    </row>
    <row r="1182" spans="1:41" s="1039" customFormat="1" ht="13.2">
      <c r="A1182" s="112">
        <v>7</v>
      </c>
      <c r="B1182" s="1039" t="s">
        <v>949</v>
      </c>
      <c r="D1182" s="1039" t="s">
        <v>1238</v>
      </c>
      <c r="G1182" s="1040" t="s">
        <v>1231</v>
      </c>
      <c r="H1182" s="1041">
        <v>705</v>
      </c>
      <c r="I1182" s="1039" t="s">
        <v>1183</v>
      </c>
      <c r="J1182" s="1039" t="s">
        <v>1232</v>
      </c>
      <c r="O1182" s="1042">
        <v>3</v>
      </c>
      <c r="P1182" s="1043">
        <v>34669</v>
      </c>
      <c r="Q1182" s="1044">
        <v>5.18</v>
      </c>
      <c r="R1182" s="1045">
        <f>$A1182*Q1182</f>
        <v>36.26</v>
      </c>
      <c r="S1182" s="1044">
        <v>0.17</v>
      </c>
      <c r="T1182" s="1046">
        <f>$A1182*S1182*$T$1</f>
        <v>1.2495000000000003</v>
      </c>
    </row>
    <row r="1183" spans="1:41" s="504" customFormat="1" ht="12">
      <c r="A1183" s="882"/>
      <c r="B1183" s="882"/>
      <c r="C1183" s="882"/>
      <c r="D1183" s="882"/>
      <c r="E1183" s="882"/>
      <c r="F1183" s="877"/>
      <c r="G1183" s="882"/>
      <c r="H1183" s="882"/>
      <c r="I1183" s="503"/>
      <c r="J1183" s="882"/>
      <c r="K1183" s="882"/>
      <c r="L1183" s="882"/>
      <c r="M1183" s="882"/>
      <c r="N1183" s="882"/>
      <c r="O1183" s="882"/>
      <c r="P1183" s="882"/>
      <c r="Q1183" s="503"/>
      <c r="R1183" s="883">
        <f>$A1183*Q1183</f>
        <v>0</v>
      </c>
      <c r="S1183" s="503"/>
      <c r="T1183" s="884">
        <f>$A1183*S1183*$T$1</f>
        <v>0</v>
      </c>
    </row>
    <row r="1184" spans="1:41" s="504" customFormat="1" ht="12.6" thickBot="1">
      <c r="A1184" s="885" t="s">
        <v>142</v>
      </c>
      <c r="B1184" s="886">
        <f>(R1183+T1183)</f>
        <v>0</v>
      </c>
      <c r="C1184" s="887"/>
      <c r="D1184" s="887"/>
      <c r="E1184" s="887"/>
      <c r="F1184" s="888"/>
      <c r="G1184" s="887" t="s">
        <v>143</v>
      </c>
      <c r="H1184" s="887"/>
      <c r="I1184" s="889"/>
      <c r="J1184" s="887"/>
      <c r="K1184" s="887" t="s">
        <v>3</v>
      </c>
      <c r="L1184" s="890" t="s">
        <v>140</v>
      </c>
      <c r="M1184" s="890"/>
      <c r="N1184" s="890"/>
      <c r="O1184" s="890"/>
      <c r="P1184" s="890"/>
      <c r="Q1184" s="891"/>
      <c r="R1184" s="892">
        <f ca="1">SUM(R1179:R1183)</f>
        <v>133.69999999999999</v>
      </c>
      <c r="S1184" s="887"/>
      <c r="T1184" s="892">
        <f ca="1">SUM(T1179:T1183)</f>
        <v>11.259499999999999</v>
      </c>
      <c r="U1184" s="514"/>
      <c r="V1184" s="514"/>
      <c r="W1184" s="514"/>
      <c r="X1184" s="514"/>
      <c r="Y1184" s="514"/>
      <c r="Z1184" s="514"/>
      <c r="AA1184" s="514"/>
      <c r="AB1184" s="514"/>
      <c r="AC1184" s="514"/>
      <c r="AD1184" s="514"/>
      <c r="AE1184" s="514"/>
      <c r="AF1184" s="514"/>
      <c r="AG1184" s="514"/>
      <c r="AH1184" s="514"/>
      <c r="AI1184" s="514"/>
      <c r="AJ1184" s="514"/>
      <c r="AK1184" s="514"/>
      <c r="AL1184" s="514"/>
      <c r="AM1184" s="514"/>
      <c r="AN1184" s="514"/>
      <c r="AO1184" s="514"/>
    </row>
    <row r="1185" spans="1:41" s="504" customFormat="1" ht="12" thickTop="1">
      <c r="A1185" s="50"/>
      <c r="B1185" s="40"/>
      <c r="C1185" s="50"/>
      <c r="E1185" s="41" t="s">
        <v>136</v>
      </c>
      <c r="F1185" s="41" t="s">
        <v>137</v>
      </c>
      <c r="G1185" s="50"/>
      <c r="H1185" s="50"/>
      <c r="I1185" s="50"/>
      <c r="J1185" s="50"/>
      <c r="K1185" s="50" t="s">
        <v>138</v>
      </c>
      <c r="L1185" s="50"/>
      <c r="M1185" s="50"/>
      <c r="N1185" s="50"/>
      <c r="O1185" s="51"/>
      <c r="P1185" s="50"/>
      <c r="Q1185" s="50"/>
      <c r="R1185" s="50"/>
      <c r="S1185" s="50"/>
      <c r="T1185" s="40"/>
      <c r="AG1185" s="867" t="s">
        <v>241</v>
      </c>
      <c r="AH1185" s="867" t="s">
        <v>242</v>
      </c>
      <c r="AI1185" s="867" t="s">
        <v>243</v>
      </c>
      <c r="AJ1185" s="867" t="s">
        <v>244</v>
      </c>
      <c r="AK1185" s="867" t="s">
        <v>245</v>
      </c>
      <c r="AM1185" s="868" t="s">
        <v>254</v>
      </c>
      <c r="AN1185" s="869" t="s">
        <v>255</v>
      </c>
      <c r="AO1185" s="505" t="s">
        <v>251</v>
      </c>
    </row>
    <row r="1186" spans="1:41" s="504" customFormat="1" ht="12" customHeight="1">
      <c r="A1186" s="870">
        <v>2</v>
      </c>
      <c r="B1186" s="871" t="s">
        <v>335</v>
      </c>
      <c r="C1186" s="872"/>
      <c r="D1186" s="873" t="s">
        <v>821</v>
      </c>
      <c r="E1186" s="874">
        <f ca="1">IF(AND($A1186=0,$A$1="DIF"),0, ROUND(ROUND(($R1192*$S$2+($T1192*$T$2))/A1186,2)*$C$2,2))</f>
        <v>79.36</v>
      </c>
      <c r="F1186" s="875">
        <f ca="1">ROUND($A1186*$E1186,2)</f>
        <v>158.72</v>
      </c>
      <c r="G1186" s="876" t="s">
        <v>139</v>
      </c>
      <c r="H1186" s="877"/>
      <c r="I1186" s="878"/>
      <c r="J1186" s="877"/>
      <c r="K1186" s="877" t="s">
        <v>3</v>
      </c>
      <c r="L1186" s="879" t="s">
        <v>140</v>
      </c>
      <c r="M1186" s="879"/>
      <c r="N1186" s="879"/>
      <c r="O1186" s="879"/>
      <c r="P1186" s="879"/>
      <c r="Q1186" s="50"/>
      <c r="T1186" s="880" t="str">
        <f ca="1">IF(AND($R1192=0,$T1192=0),"0.00","mu :" &amp; ROUND($F1186/$C$2/($R1192+$T1192*$D$9),2))</f>
        <v>mu :1.22</v>
      </c>
      <c r="W1186" s="507"/>
      <c r="AG1186" s="465">
        <f ca="1">IF($E1186=0,0,ROUND($R1192*$S$2*$C$2/$A1186,2))</f>
        <v>22.78</v>
      </c>
      <c r="AH1186" s="465">
        <f ca="1">$AG1186*$A1186</f>
        <v>45.56</v>
      </c>
      <c r="AI1186" s="508">
        <f ca="1">$E1186-$AG1186</f>
        <v>56.58</v>
      </c>
      <c r="AJ1186" s="508">
        <f ca="1">$A1186*$AI1186</f>
        <v>113.16</v>
      </c>
      <c r="AK1186" s="509">
        <f ca="1">ROUND(($AG1186+$AI1186)*$A1186,2)</f>
        <v>158.72</v>
      </c>
      <c r="AM1186" s="510">
        <f ca="1">ROUND(R1192,2)</f>
        <v>37.340000000000003</v>
      </c>
      <c r="AN1186" s="511">
        <f ca="1">ROUND(T1192,2)</f>
        <v>3.22</v>
      </c>
      <c r="AO1186" s="512">
        <f ca="1">ROUND(AM1186+AN1186,2)*A1186</f>
        <v>81.12</v>
      </c>
    </row>
    <row r="1187" spans="1:41" s="504" customFormat="1" ht="13.2">
      <c r="A1187" s="872"/>
      <c r="B1187"/>
      <c r="C1187" s="872"/>
      <c r="D1187" s="873" t="s">
        <v>395</v>
      </c>
      <c r="F1187" s="877"/>
      <c r="G1187" s="3"/>
      <c r="H1187" s="877"/>
      <c r="I1187" s="878"/>
      <c r="J1187" s="877"/>
      <c r="K1187" s="877" t="s">
        <v>141</v>
      </c>
      <c r="L1187" s="877"/>
      <c r="M1187" s="877"/>
      <c r="N1187" s="877"/>
      <c r="O1187" s="877"/>
      <c r="P1187" s="877"/>
      <c r="Q1187" s="50"/>
      <c r="R1187" s="513"/>
      <c r="S1187" s="881"/>
      <c r="T1187" s="877"/>
    </row>
    <row r="1188" spans="1:41" s="997" customFormat="1" ht="13.2">
      <c r="A1188"/>
      <c r="B1188" s="1065"/>
      <c r="C1188" s="1065" t="s">
        <v>1006</v>
      </c>
      <c r="D1188" s="1065" t="str">
        <f ca="1">CELL("Address",Elec_Rates!D$486)</f>
        <v>[EL25_0662B_Brittania_Hotel_Elec_Revised_Estim_B.xlsx]Elec_Rates!$D$486</v>
      </c>
      <c r="E1188" s="1066"/>
      <c r="F1188" s="1066"/>
      <c r="G1188" s="1067" t="s">
        <v>1007</v>
      </c>
      <c r="H1188" s="1067"/>
      <c r="I1188" s="1067"/>
      <c r="J1188" s="1067"/>
      <c r="K1188" s="1068"/>
      <c r="L1188" s="1066"/>
      <c r="M1188" s="1066"/>
      <c r="N1188" s="1066"/>
      <c r="O1188" s="1069"/>
      <c r="P1188" s="1066"/>
      <c r="Q1188" s="1070"/>
      <c r="R1188" s="1071"/>
      <c r="S1188" s="1070"/>
      <c r="T1188" s="1072"/>
      <c r="U1188" s="1073"/>
    </row>
    <row r="1189" spans="1:41" s="997" customFormat="1" ht="11.4">
      <c r="A1189" s="1074">
        <v>2</v>
      </c>
      <c r="B1189" s="1075">
        <v>1</v>
      </c>
      <c r="C1189" s="1075">
        <f>$A1189*$B1189</f>
        <v>2</v>
      </c>
      <c r="D1189" s="1076" t="str">
        <f>Elec_Rates!$D$486</f>
        <v>058# General Power Point in LSZH Conduit</v>
      </c>
      <c r="E1189" s="1076"/>
      <c r="F1189" s="1076"/>
      <c r="G1189" s="1077" t="s">
        <v>1008</v>
      </c>
      <c r="H1189" s="1077"/>
      <c r="I1189" s="1077"/>
      <c r="J1189" s="1077"/>
      <c r="K1189" s="1078"/>
      <c r="L1189" s="1073"/>
      <c r="M1189" s="1073"/>
      <c r="N1189" s="1073"/>
      <c r="O1189" s="1079"/>
      <c r="P1189" s="1076"/>
      <c r="Q1189" s="1080">
        <f ca="1">$B1189*Elec_Rates!$R$486</f>
        <v>13.92</v>
      </c>
      <c r="R1189" s="1071">
        <f ca="1">$A1189*Q1189</f>
        <v>27.84</v>
      </c>
      <c r="S1189" s="1080">
        <f ca="1">$B1189*Elec_Rates!$T$486</f>
        <v>1.43</v>
      </c>
      <c r="T1189" s="1072">
        <f ca="1">$A1189*S1189</f>
        <v>2.86</v>
      </c>
      <c r="U1189" s="1081"/>
    </row>
    <row r="1190" spans="1:41" s="1039" customFormat="1" ht="13.2">
      <c r="A1190" s="112">
        <v>2</v>
      </c>
      <c r="B1190" s="1039" t="s">
        <v>949</v>
      </c>
      <c r="D1190" s="1039" t="s">
        <v>1234</v>
      </c>
      <c r="G1190" s="1040" t="s">
        <v>1231</v>
      </c>
      <c r="H1190" s="1041">
        <v>705</v>
      </c>
      <c r="I1190" s="1039" t="s">
        <v>1183</v>
      </c>
      <c r="J1190" s="1039" t="s">
        <v>1232</v>
      </c>
      <c r="O1190" s="1042">
        <v>3</v>
      </c>
      <c r="P1190" s="1043">
        <v>34669</v>
      </c>
      <c r="Q1190" s="1044">
        <v>4.75</v>
      </c>
      <c r="R1190" s="1045">
        <f>$A1190*Q1190</f>
        <v>9.5</v>
      </c>
      <c r="S1190" s="1044">
        <v>0.17</v>
      </c>
      <c r="T1190" s="1046">
        <f>$A1190*S1190*$T$1</f>
        <v>0.35700000000000004</v>
      </c>
    </row>
    <row r="1191" spans="1:41" s="504" customFormat="1" ht="12">
      <c r="A1191" s="882"/>
      <c r="B1191" s="882"/>
      <c r="C1191" s="882"/>
      <c r="D1191" s="882"/>
      <c r="E1191" s="882"/>
      <c r="F1191" s="877"/>
      <c r="G1191" s="882"/>
      <c r="H1191" s="882"/>
      <c r="I1191" s="503"/>
      <c r="J1191" s="882"/>
      <c r="K1191" s="882"/>
      <c r="L1191" s="882"/>
      <c r="M1191" s="882"/>
      <c r="N1191" s="882"/>
      <c r="O1191" s="882"/>
      <c r="P1191" s="882"/>
      <c r="Q1191" s="503"/>
      <c r="R1191" s="883">
        <f>$A1191*Q1191</f>
        <v>0</v>
      </c>
      <c r="S1191" s="503"/>
      <c r="T1191" s="884">
        <f>$A1191*S1191*$T$1</f>
        <v>0</v>
      </c>
    </row>
    <row r="1192" spans="1:41" s="504" customFormat="1" ht="12.6" thickBot="1">
      <c r="A1192" s="885" t="s">
        <v>142</v>
      </c>
      <c r="B1192" s="886">
        <f>(R1191+T1191)</f>
        <v>0</v>
      </c>
      <c r="C1192" s="887"/>
      <c r="D1192" s="887"/>
      <c r="E1192" s="887"/>
      <c r="F1192" s="888"/>
      <c r="G1192" s="887" t="s">
        <v>143</v>
      </c>
      <c r="H1192" s="887"/>
      <c r="I1192" s="889"/>
      <c r="J1192" s="887"/>
      <c r="K1192" s="887" t="s">
        <v>3</v>
      </c>
      <c r="L1192" s="890" t="s">
        <v>140</v>
      </c>
      <c r="M1192" s="890"/>
      <c r="N1192" s="890"/>
      <c r="O1192" s="890"/>
      <c r="P1192" s="890"/>
      <c r="Q1192" s="891"/>
      <c r="R1192" s="892">
        <f ca="1">SUM(R1187:R1191)</f>
        <v>37.340000000000003</v>
      </c>
      <c r="S1192" s="887"/>
      <c r="T1192" s="892">
        <f ca="1">SUM(T1187:T1191)</f>
        <v>3.2170000000000001</v>
      </c>
      <c r="U1192" s="514"/>
      <c r="V1192" s="514"/>
      <c r="W1192" s="514"/>
      <c r="X1192" s="514"/>
      <c r="Y1192" s="514"/>
      <c r="Z1192" s="514"/>
      <c r="AA1192" s="514"/>
      <c r="AB1192" s="514"/>
      <c r="AC1192" s="514"/>
      <c r="AD1192" s="514"/>
      <c r="AE1192" s="514"/>
      <c r="AF1192" s="514"/>
      <c r="AG1192" s="514"/>
      <c r="AH1192" s="514"/>
      <c r="AI1192" s="514"/>
      <c r="AJ1192" s="514"/>
      <c r="AK1192" s="514"/>
      <c r="AL1192" s="514"/>
      <c r="AM1192" s="514"/>
      <c r="AN1192" s="514"/>
      <c r="AO1192" s="514"/>
    </row>
    <row r="1193" spans="1:41" s="504" customFormat="1" ht="12" thickTop="1">
      <c r="A1193" s="50"/>
      <c r="B1193" s="40"/>
      <c r="C1193" s="50"/>
      <c r="E1193" s="41" t="s">
        <v>136</v>
      </c>
      <c r="F1193" s="41" t="s">
        <v>137</v>
      </c>
      <c r="G1193" s="50"/>
      <c r="H1193" s="50"/>
      <c r="I1193" s="50"/>
      <c r="J1193" s="50"/>
      <c r="K1193" s="50" t="s">
        <v>138</v>
      </c>
      <c r="L1193" s="50"/>
      <c r="M1193" s="50"/>
      <c r="N1193" s="50"/>
      <c r="O1193" s="51"/>
      <c r="P1193" s="50"/>
      <c r="Q1193" s="50"/>
      <c r="R1193" s="50"/>
      <c r="S1193" s="50"/>
      <c r="T1193" s="40"/>
      <c r="AG1193" s="867" t="s">
        <v>241</v>
      </c>
      <c r="AH1193" s="867" t="s">
        <v>242</v>
      </c>
      <c r="AI1193" s="867" t="s">
        <v>243</v>
      </c>
      <c r="AJ1193" s="867" t="s">
        <v>244</v>
      </c>
      <c r="AK1193" s="867" t="s">
        <v>245</v>
      </c>
      <c r="AM1193" s="868" t="s">
        <v>254</v>
      </c>
      <c r="AN1193" s="869" t="s">
        <v>255</v>
      </c>
      <c r="AO1193" s="505" t="s">
        <v>251</v>
      </c>
    </row>
    <row r="1194" spans="1:41" s="504" customFormat="1" ht="12" customHeight="1">
      <c r="A1194" s="870">
        <v>2</v>
      </c>
      <c r="B1194" s="871" t="s">
        <v>335</v>
      </c>
      <c r="C1194" s="872"/>
      <c r="D1194" s="873" t="s">
        <v>822</v>
      </c>
      <c r="E1194" s="874">
        <f ca="1">IF(AND($A1194=0,$A$1="DIF"),0, ROUND(ROUND(($R1200*$S$2+($T1200*$T$2))/A1194,2)*$C$2,2))</f>
        <v>119.8</v>
      </c>
      <c r="F1194" s="875">
        <f ca="1">ROUND($A1194*$E1194,2)</f>
        <v>239.6</v>
      </c>
      <c r="G1194" s="876" t="s">
        <v>139</v>
      </c>
      <c r="H1194" s="877"/>
      <c r="I1194" s="878"/>
      <c r="J1194" s="877"/>
      <c r="K1194" s="877" t="s">
        <v>3</v>
      </c>
      <c r="L1194" s="879" t="s">
        <v>140</v>
      </c>
      <c r="M1194" s="879"/>
      <c r="N1194" s="879"/>
      <c r="O1194" s="879"/>
      <c r="P1194" s="879"/>
      <c r="Q1194" s="50"/>
      <c r="T1194" s="880" t="str">
        <f ca="1">IF(AND($R1200=0,$T1200=0),"0.00","mu :" &amp; ROUND($F1194/$C$2/($R1200+$T1200*$D$9),2))</f>
        <v>mu :1.22</v>
      </c>
      <c r="W1194" s="507"/>
      <c r="AG1194" s="465">
        <f ca="1">IF($E1194=0,0,ROUND($R1200*$S$2*$C$2/$A1194,2))</f>
        <v>63.22</v>
      </c>
      <c r="AH1194" s="465">
        <f ca="1">$AG1194*$A1194</f>
        <v>126.44</v>
      </c>
      <c r="AI1194" s="508">
        <f ca="1">$E1194-$AG1194</f>
        <v>56.58</v>
      </c>
      <c r="AJ1194" s="508">
        <f ca="1">$A1194*$AI1194</f>
        <v>113.16</v>
      </c>
      <c r="AK1194" s="509">
        <f ca="1">ROUND(($AG1194+$AI1194)*$A1194,2)</f>
        <v>239.6</v>
      </c>
      <c r="AM1194" s="510">
        <f ca="1">ROUND(R1200,2)</f>
        <v>103.64</v>
      </c>
      <c r="AN1194" s="511">
        <f ca="1">ROUND(T1200,2)</f>
        <v>3.22</v>
      </c>
      <c r="AO1194" s="512">
        <f ca="1">ROUND(AM1194+AN1194,2)*A1194</f>
        <v>213.72</v>
      </c>
    </row>
    <row r="1195" spans="1:41" s="504" customFormat="1" ht="13.2">
      <c r="A1195" s="872"/>
      <c r="B1195"/>
      <c r="C1195" s="872"/>
      <c r="D1195" s="916" t="s">
        <v>396</v>
      </c>
      <c r="E1195" s="917"/>
      <c r="F1195" s="918"/>
      <c r="G1195" s="919"/>
      <c r="H1195" s="918"/>
      <c r="I1195" s="920"/>
      <c r="J1195" s="918"/>
      <c r="K1195" s="918" t="s">
        <v>141</v>
      </c>
      <c r="L1195" s="918"/>
      <c r="M1195" s="918"/>
      <c r="N1195" s="918"/>
      <c r="O1195" s="918"/>
      <c r="P1195" s="918"/>
      <c r="Q1195" s="921"/>
      <c r="R1195" s="513"/>
      <c r="S1195" s="881"/>
      <c r="T1195" s="877"/>
    </row>
    <row r="1196" spans="1:41" s="997" customFormat="1" ht="13.2">
      <c r="A1196"/>
      <c r="B1196" s="1065"/>
      <c r="C1196" s="1065" t="s">
        <v>1006</v>
      </c>
      <c r="D1196" s="1065" t="str">
        <f ca="1">CELL("Address",Elec_Rates!D$486)</f>
        <v>[EL25_0662B_Brittania_Hotel_Elec_Revised_Estim_B.xlsx]Elec_Rates!$D$486</v>
      </c>
      <c r="E1196" s="1066"/>
      <c r="F1196" s="1066"/>
      <c r="G1196" s="1067" t="s">
        <v>1007</v>
      </c>
      <c r="H1196" s="1067"/>
      <c r="I1196" s="1067"/>
      <c r="J1196" s="1067"/>
      <c r="K1196" s="1068"/>
      <c r="L1196" s="1066"/>
      <c r="M1196" s="1066"/>
      <c r="N1196" s="1066"/>
      <c r="O1196" s="1069"/>
      <c r="P1196" s="1066"/>
      <c r="Q1196" s="1070"/>
      <c r="R1196" s="1071"/>
      <c r="S1196" s="1070"/>
      <c r="T1196" s="1072"/>
      <c r="U1196" s="1073"/>
    </row>
    <row r="1197" spans="1:41" s="997" customFormat="1" ht="11.4">
      <c r="A1197" s="1074">
        <v>2</v>
      </c>
      <c r="B1197" s="1075">
        <v>1</v>
      </c>
      <c r="C1197" s="1075">
        <f>$A1197*$B1197</f>
        <v>2</v>
      </c>
      <c r="D1197" s="1076" t="str">
        <f>Elec_Rates!$D$486</f>
        <v>058# General Power Point in LSZH Conduit</v>
      </c>
      <c r="E1197" s="1076"/>
      <c r="F1197" s="1076"/>
      <c r="G1197" s="1077" t="s">
        <v>1008</v>
      </c>
      <c r="H1197" s="1077"/>
      <c r="I1197" s="1077"/>
      <c r="J1197" s="1077"/>
      <c r="K1197" s="1078"/>
      <c r="L1197" s="1073"/>
      <c r="M1197" s="1073"/>
      <c r="N1197" s="1073"/>
      <c r="O1197" s="1079"/>
      <c r="P1197" s="1076"/>
      <c r="Q1197" s="1080">
        <f ca="1">$B1197*Elec_Rates!$R$486</f>
        <v>13.92</v>
      </c>
      <c r="R1197" s="1071">
        <f ca="1">$A1197*Q1197</f>
        <v>27.84</v>
      </c>
      <c r="S1197" s="1080">
        <f ca="1">$B1197*Elec_Rates!$T$486</f>
        <v>1.43</v>
      </c>
      <c r="T1197" s="1072">
        <f ca="1">$A1197*S1197</f>
        <v>2.86</v>
      </c>
      <c r="U1197" s="1081"/>
    </row>
    <row r="1198" spans="1:41" s="1039" customFormat="1" ht="13.2">
      <c r="A1198" s="112">
        <v>2</v>
      </c>
      <c r="B1198" s="1039" t="s">
        <v>949</v>
      </c>
      <c r="D1198" s="1039" t="s">
        <v>1235</v>
      </c>
      <c r="G1198" s="1040" t="s">
        <v>1231</v>
      </c>
      <c r="H1198" s="1041">
        <v>705</v>
      </c>
      <c r="I1198" s="1039" t="s">
        <v>1183</v>
      </c>
      <c r="J1198" s="1039" t="s">
        <v>1232</v>
      </c>
      <c r="O1198" s="1042">
        <v>3</v>
      </c>
      <c r="P1198" s="1043">
        <v>34669</v>
      </c>
      <c r="Q1198" s="1044">
        <v>37.9</v>
      </c>
      <c r="R1198" s="1045">
        <f>$A1198*Q1198</f>
        <v>75.8</v>
      </c>
      <c r="S1198" s="1044">
        <v>0.17</v>
      </c>
      <c r="T1198" s="1046">
        <f>$A1198*S1198*$T$1</f>
        <v>0.35700000000000004</v>
      </c>
    </row>
    <row r="1199" spans="1:41" s="504" customFormat="1" ht="12">
      <c r="A1199" s="882"/>
      <c r="B1199" s="882"/>
      <c r="C1199" s="882"/>
      <c r="D1199" s="882"/>
      <c r="E1199" s="882"/>
      <c r="F1199" s="877"/>
      <c r="G1199" s="882"/>
      <c r="H1199" s="882"/>
      <c r="I1199" s="503"/>
      <c r="J1199" s="882"/>
      <c r="K1199" s="882"/>
      <c r="L1199" s="882"/>
      <c r="M1199" s="882"/>
      <c r="N1199" s="882"/>
      <c r="O1199" s="882"/>
      <c r="P1199" s="882"/>
      <c r="Q1199" s="503"/>
      <c r="R1199" s="883">
        <f>$A1199*Q1199</f>
        <v>0</v>
      </c>
      <c r="S1199" s="503"/>
      <c r="T1199" s="884">
        <f>$A1199*S1199*$T$1</f>
        <v>0</v>
      </c>
    </row>
    <row r="1200" spans="1:41" s="504" customFormat="1" ht="12.6" thickBot="1">
      <c r="A1200" s="885" t="s">
        <v>142</v>
      </c>
      <c r="B1200" s="886">
        <f>(R1199+T1199)</f>
        <v>0</v>
      </c>
      <c r="C1200" s="887"/>
      <c r="D1200" s="887"/>
      <c r="E1200" s="887"/>
      <c r="F1200" s="888"/>
      <c r="G1200" s="887" t="s">
        <v>143</v>
      </c>
      <c r="H1200" s="887"/>
      <c r="I1200" s="889"/>
      <c r="J1200" s="887"/>
      <c r="K1200" s="887" t="s">
        <v>3</v>
      </c>
      <c r="L1200" s="890" t="s">
        <v>140</v>
      </c>
      <c r="M1200" s="890"/>
      <c r="N1200" s="890"/>
      <c r="O1200" s="890"/>
      <c r="P1200" s="890"/>
      <c r="Q1200" s="891"/>
      <c r="R1200" s="892">
        <f ca="1">SUM(R1195:R1199)</f>
        <v>103.64</v>
      </c>
      <c r="S1200" s="887"/>
      <c r="T1200" s="892">
        <f ca="1">SUM(T1195:T1199)</f>
        <v>3.2170000000000001</v>
      </c>
      <c r="U1200" s="514"/>
      <c r="V1200" s="514"/>
      <c r="W1200" s="514"/>
      <c r="X1200" s="514"/>
      <c r="Y1200" s="514"/>
      <c r="Z1200" s="514"/>
      <c r="AA1200" s="514"/>
      <c r="AB1200" s="514"/>
      <c r="AC1200" s="514"/>
      <c r="AD1200" s="514"/>
      <c r="AE1200" s="514"/>
      <c r="AF1200" s="514"/>
      <c r="AG1200" s="514"/>
      <c r="AH1200" s="514"/>
      <c r="AI1200" s="514"/>
      <c r="AJ1200" s="514"/>
      <c r="AK1200" s="514"/>
      <c r="AL1200" s="514"/>
      <c r="AM1200" s="514"/>
      <c r="AN1200" s="514"/>
      <c r="AO1200" s="514"/>
    </row>
    <row r="1201" spans="1:41" s="504" customFormat="1" ht="12" thickTop="1">
      <c r="A1201" s="47" t="s">
        <v>145</v>
      </c>
      <c r="D1201" s="13"/>
      <c r="E1201" s="41"/>
      <c r="O1201" s="893"/>
    </row>
    <row r="1202" spans="1:41" s="504" customFormat="1" ht="13.2">
      <c r="B1202" s="3"/>
      <c r="O1202" s="893"/>
    </row>
    <row r="1203" spans="1:41" s="504" customFormat="1" ht="12">
      <c r="B1203" s="894">
        <f ca="1">$F1203/$C$2-($R1203*$S$2+$T1203*$T$2)</f>
        <v>-7.218112999908044E-2</v>
      </c>
      <c r="D1203" s="895" t="s">
        <v>817</v>
      </c>
      <c r="E1203" s="896"/>
      <c r="F1203" s="897">
        <f ca="1">SUMIF($L1050:$L1201,"ITEM",F1050:F1201)</f>
        <v>5595.8300000000008</v>
      </c>
      <c r="G1203" s="882"/>
      <c r="H1203" s="882"/>
      <c r="I1203" s="503"/>
      <c r="J1203" s="882"/>
      <c r="K1203" s="882"/>
      <c r="L1203" s="879" t="s">
        <v>154</v>
      </c>
      <c r="M1203" s="879"/>
      <c r="N1203" s="879"/>
      <c r="O1203" s="879"/>
      <c r="P1203" s="879"/>
      <c r="R1203" s="897">
        <f ca="1">SUMIF($L1050:$L1201,"ITEM",R1050:R1201)</f>
        <v>1615.5500000000002</v>
      </c>
      <c r="S1203" s="898"/>
      <c r="T1203" s="897">
        <f ca="1">SUMIF($L1050:$L1201,"ITEM",T1050:T1201)</f>
        <v>103.0505</v>
      </c>
    </row>
    <row r="1204" spans="1:41" s="504" customFormat="1" ht="13.2">
      <c r="A1204" s="50"/>
      <c r="B1204" s="48" t="s">
        <v>816</v>
      </c>
      <c r="C1204" s="50"/>
      <c r="D1204" s="3"/>
      <c r="F1204" s="899" t="s">
        <v>155</v>
      </c>
      <c r="G1204" s="882"/>
      <c r="H1204" s="882"/>
      <c r="I1204" s="503"/>
      <c r="J1204" s="882"/>
      <c r="K1204" s="882"/>
      <c r="L1204" s="882"/>
      <c r="M1204" s="882"/>
      <c r="N1204" s="882"/>
      <c r="O1204" s="882"/>
      <c r="P1204" s="882"/>
      <c r="Q1204" s="900"/>
      <c r="R1204" s="899" t="s">
        <v>156</v>
      </c>
      <c r="S1204" s="38"/>
      <c r="T1204" s="899" t="s">
        <v>157</v>
      </c>
    </row>
    <row r="1205" spans="1:41" s="504" customFormat="1" ht="13.2">
      <c r="A1205" s="882"/>
      <c r="B1205" s="3"/>
      <c r="C1205" s="882"/>
      <c r="D1205" s="3"/>
      <c r="E1205" s="3"/>
      <c r="G1205" s="3"/>
      <c r="H1205" s="3"/>
      <c r="I1205" s="3"/>
      <c r="J1205" s="3"/>
      <c r="K1205" s="3"/>
      <c r="L1205" s="3"/>
      <c r="M1205" s="3"/>
      <c r="N1205" s="3"/>
      <c r="O1205" s="103"/>
      <c r="P1205" s="3"/>
      <c r="Q1205" s="3"/>
      <c r="R1205" s="3"/>
      <c r="S1205" s="3"/>
      <c r="T1205" s="3"/>
    </row>
    <row r="1206" spans="1:41" s="504" customFormat="1" ht="12" thickBot="1">
      <c r="A1206" s="514"/>
      <c r="B1206" s="887"/>
      <c r="C1206" s="887"/>
      <c r="D1206" s="514"/>
      <c r="E1206" s="39"/>
      <c r="F1206" s="901"/>
      <c r="G1206" s="887"/>
      <c r="H1206" s="887"/>
      <c r="I1206" s="889"/>
      <c r="J1206" s="887"/>
      <c r="K1206" s="887"/>
      <c r="L1206" s="890"/>
      <c r="M1206" s="890"/>
      <c r="N1206" s="890"/>
      <c r="O1206" s="890"/>
      <c r="P1206" s="890"/>
      <c r="Q1206" s="891"/>
      <c r="R1206" s="901"/>
      <c r="S1206" s="902"/>
      <c r="T1206" s="901"/>
      <c r="U1206" s="514"/>
      <c r="V1206" s="514"/>
      <c r="W1206" s="514"/>
      <c r="X1206" s="514"/>
      <c r="Y1206" s="514"/>
      <c r="Z1206" s="514"/>
      <c r="AA1206" s="514"/>
      <c r="AB1206" s="514"/>
      <c r="AC1206" s="514"/>
      <c r="AD1206" s="514"/>
      <c r="AE1206" s="514"/>
      <c r="AF1206" s="514"/>
      <c r="AG1206" s="514"/>
      <c r="AH1206" s="514"/>
      <c r="AI1206" s="514"/>
      <c r="AJ1206" s="514"/>
      <c r="AK1206" s="514"/>
    </row>
    <row r="1207" spans="1:41" s="504" customFormat="1" thickTop="1">
      <c r="A1207" s="50"/>
      <c r="B1207" s="50"/>
      <c r="C1207" s="3"/>
      <c r="D1207" s="3"/>
      <c r="E1207" s="50"/>
      <c r="F1207" s="50"/>
      <c r="G1207" s="50"/>
      <c r="H1207" s="50"/>
      <c r="I1207" s="50"/>
      <c r="J1207" s="50"/>
      <c r="K1207" s="50" t="s">
        <v>133</v>
      </c>
      <c r="L1207" s="50"/>
      <c r="M1207" s="50"/>
      <c r="N1207" s="50"/>
      <c r="O1207" s="51"/>
      <c r="P1207" s="50"/>
      <c r="Q1207" s="50"/>
      <c r="R1207" s="50"/>
      <c r="S1207" s="50"/>
      <c r="T1207" s="50"/>
    </row>
    <row r="1208" spans="1:41" s="504" customFormat="1" ht="12">
      <c r="A1208" s="50"/>
      <c r="B1208" s="50"/>
      <c r="C1208" s="50" t="s">
        <v>134</v>
      </c>
      <c r="D1208" s="37"/>
      <c r="E1208" s="50"/>
      <c r="F1208" s="50"/>
      <c r="G1208" s="50"/>
      <c r="H1208" s="50"/>
      <c r="I1208" s="50"/>
      <c r="J1208" s="50"/>
      <c r="K1208" s="50"/>
      <c r="L1208" s="50"/>
      <c r="M1208" s="50"/>
      <c r="N1208" s="50"/>
      <c r="O1208" s="51"/>
      <c r="P1208" s="50"/>
      <c r="Q1208" s="50"/>
      <c r="R1208" s="50"/>
      <c r="S1208" s="50"/>
      <c r="T1208" s="50"/>
    </row>
    <row r="1209" spans="1:41" s="504" customFormat="1" ht="12">
      <c r="A1209" s="50"/>
      <c r="B1209" s="50"/>
      <c r="C1209" s="50"/>
      <c r="D1209" s="37" t="s">
        <v>802</v>
      </c>
      <c r="E1209" s="50"/>
      <c r="F1209" s="50"/>
      <c r="G1209" s="50"/>
      <c r="H1209" s="50"/>
      <c r="I1209" s="50"/>
      <c r="J1209" s="50"/>
      <c r="K1209" s="50"/>
      <c r="L1209" s="50"/>
      <c r="M1209" s="50"/>
      <c r="N1209" s="50"/>
      <c r="O1209" s="51"/>
      <c r="P1209" s="50"/>
      <c r="Q1209" s="50"/>
      <c r="R1209" s="50"/>
      <c r="S1209" s="38"/>
      <c r="T1209" s="38"/>
    </row>
    <row r="1210" spans="1:41" s="3" customFormat="1" thickBot="1">
      <c r="A1210" s="514"/>
      <c r="O1210" s="103"/>
    </row>
    <row r="1211" spans="1:41" s="504" customFormat="1" thickTop="1">
      <c r="A1211" s="50"/>
      <c r="B1211" s="50"/>
      <c r="C1211" s="3"/>
      <c r="D1211" s="3"/>
      <c r="E1211" s="50"/>
      <c r="F1211" s="50"/>
      <c r="G1211" s="50"/>
      <c r="H1211" s="50"/>
      <c r="I1211" s="50"/>
      <c r="J1211" s="50"/>
      <c r="K1211" s="50" t="s">
        <v>133</v>
      </c>
      <c r="L1211" s="50"/>
      <c r="M1211" s="50"/>
      <c r="N1211" s="50"/>
      <c r="O1211" s="51"/>
      <c r="P1211" s="50"/>
      <c r="Q1211" s="50"/>
      <c r="R1211" s="50"/>
      <c r="S1211" s="50"/>
      <c r="T1211" s="50"/>
    </row>
    <row r="1212" spans="1:41" s="504" customFormat="1" ht="12">
      <c r="A1212" s="50"/>
      <c r="B1212" s="50"/>
      <c r="C1212" s="50" t="s">
        <v>134</v>
      </c>
      <c r="D1212" s="37" t="s">
        <v>856</v>
      </c>
      <c r="E1212" s="50"/>
      <c r="F1212" s="50"/>
      <c r="G1212" s="50"/>
      <c r="H1212" s="50"/>
      <c r="I1212" s="50"/>
      <c r="J1212" s="50"/>
      <c r="K1212" s="50"/>
      <c r="L1212" s="50"/>
      <c r="M1212" s="50"/>
      <c r="N1212" s="50"/>
      <c r="O1212" s="51"/>
      <c r="P1212" s="50"/>
      <c r="Q1212" s="50"/>
      <c r="R1212" s="50"/>
      <c r="S1212" s="50"/>
      <c r="T1212" s="50"/>
    </row>
    <row r="1213" spans="1:41" s="504" customFormat="1" ht="12">
      <c r="A1213" s="50"/>
      <c r="B1213" s="50"/>
      <c r="C1213" s="50"/>
      <c r="D1213" s="37" t="s">
        <v>293</v>
      </c>
      <c r="E1213" s="50"/>
      <c r="F1213" s="50"/>
      <c r="G1213" s="50"/>
      <c r="H1213" s="50"/>
      <c r="I1213" s="50"/>
      <c r="J1213" s="50"/>
      <c r="K1213" s="50"/>
      <c r="L1213" s="50"/>
      <c r="M1213" s="50"/>
      <c r="N1213" s="50"/>
      <c r="O1213" s="51"/>
      <c r="P1213" s="50"/>
      <c r="Q1213" s="50"/>
      <c r="R1213" s="50"/>
      <c r="S1213" s="38"/>
      <c r="T1213" s="38"/>
    </row>
    <row r="1214" spans="1:41" s="3" customFormat="1" thickBot="1">
      <c r="A1214" s="514"/>
      <c r="O1214" s="103"/>
    </row>
    <row r="1215" spans="1:41" s="504" customFormat="1" ht="12" thickTop="1">
      <c r="A1215" s="50"/>
      <c r="B1215" s="40"/>
      <c r="C1215" s="50"/>
      <c r="E1215" s="41" t="s">
        <v>136</v>
      </c>
      <c r="F1215" s="41" t="s">
        <v>137</v>
      </c>
      <c r="G1215" s="50"/>
      <c r="H1215" s="50"/>
      <c r="I1215" s="50"/>
      <c r="J1215" s="50"/>
      <c r="K1215" s="50" t="s">
        <v>138</v>
      </c>
      <c r="L1215" s="50"/>
      <c r="M1215" s="50"/>
      <c r="N1215" s="50"/>
      <c r="O1215" s="51"/>
      <c r="P1215" s="50"/>
      <c r="Q1215" s="50"/>
      <c r="R1215" s="50"/>
      <c r="S1215" s="50"/>
      <c r="T1215" s="40"/>
      <c r="AG1215" s="867" t="s">
        <v>241</v>
      </c>
      <c r="AH1215" s="867" t="s">
        <v>242</v>
      </c>
      <c r="AI1215" s="867" t="s">
        <v>243</v>
      </c>
      <c r="AJ1215" s="867" t="s">
        <v>244</v>
      </c>
      <c r="AK1215" s="867" t="s">
        <v>245</v>
      </c>
      <c r="AM1215" s="868" t="s">
        <v>254</v>
      </c>
      <c r="AN1215" s="869" t="s">
        <v>255</v>
      </c>
      <c r="AO1215" s="505" t="s">
        <v>251</v>
      </c>
    </row>
    <row r="1216" spans="1:41" s="504" customFormat="1" ht="12" customHeight="1">
      <c r="A1216" s="870">
        <v>1</v>
      </c>
      <c r="B1216" s="871" t="s">
        <v>335</v>
      </c>
      <c r="C1216" s="872"/>
      <c r="D1216" s="873" t="s">
        <v>804</v>
      </c>
      <c r="E1216" s="874">
        <f>IF(AND($A1216=0,$A$1="DIF"),0, ROUND(ROUND(($R1220*$S$2+($T1220*$T$2))/A1216,2)*$C$2,2))</f>
        <v>1096.8699999999999</v>
      </c>
      <c r="F1216" s="875">
        <f>ROUND($A1216*$E1216,2)</f>
        <v>1096.8699999999999</v>
      </c>
      <c r="G1216" s="876" t="s">
        <v>139</v>
      </c>
      <c r="H1216" s="877"/>
      <c r="I1216" s="878"/>
      <c r="J1216" s="877"/>
      <c r="K1216" s="877" t="s">
        <v>3</v>
      </c>
      <c r="L1216" s="879" t="s">
        <v>140</v>
      </c>
      <c r="M1216" s="879"/>
      <c r="N1216" s="879"/>
      <c r="O1216" s="879"/>
      <c r="P1216" s="879"/>
      <c r="Q1216" s="50"/>
      <c r="T1216" s="880" t="str">
        <f>IF(AND($R1220=0,$T1220=0),"0.00","mu :" &amp; ROUND($F1216/$C$2/($R1220+$T1220*$D$9),2))</f>
        <v>mu :1.22</v>
      </c>
      <c r="W1216" s="507"/>
      <c r="AG1216" s="465">
        <f>IF($E1216=0,0,ROUND($R1220*$S$2*$C$2/$A1216,2))</f>
        <v>1096.8699999999999</v>
      </c>
      <c r="AH1216" s="465">
        <f>$AG1216*$A1216</f>
        <v>1096.8699999999999</v>
      </c>
      <c r="AI1216" s="508">
        <f>$E1216-$AG1216</f>
        <v>0</v>
      </c>
      <c r="AJ1216" s="508">
        <f>$A1216*$AI1216</f>
        <v>0</v>
      </c>
      <c r="AK1216" s="509">
        <f>ROUND(($AG1216+$AI1216)*$A1216,2)</f>
        <v>1096.8699999999999</v>
      </c>
      <c r="AM1216" s="510">
        <f>ROUND(R1220,2)</f>
        <v>899.07</v>
      </c>
      <c r="AN1216" s="511">
        <f>ROUND(T1220,2)</f>
        <v>0</v>
      </c>
      <c r="AO1216" s="512">
        <f>ROUND(AM1216+AN1216,2)*A1216</f>
        <v>899.07</v>
      </c>
    </row>
    <row r="1217" spans="1:41" s="504" customFormat="1" ht="13.2">
      <c r="A1217" s="872"/>
      <c r="B1217"/>
      <c r="C1217" s="872"/>
      <c r="D1217" s="873" t="s">
        <v>397</v>
      </c>
      <c r="F1217" s="877"/>
      <c r="G1217" s="3"/>
      <c r="H1217" s="877"/>
      <c r="I1217" s="878"/>
      <c r="J1217" s="877"/>
      <c r="K1217" s="877" t="s">
        <v>141</v>
      </c>
      <c r="L1217" s="877"/>
      <c r="M1217" s="877"/>
      <c r="N1217" s="877"/>
      <c r="O1217" s="877"/>
      <c r="P1217" s="877"/>
      <c r="Q1217" s="50"/>
      <c r="R1217" s="513"/>
      <c r="S1217" s="881"/>
      <c r="T1217" s="877"/>
    </row>
    <row r="1218" spans="1:41" s="504" customFormat="1" ht="13.2">
      <c r="A1218">
        <v>1</v>
      </c>
      <c r="B1218" s="1039" t="s">
        <v>949</v>
      </c>
      <c r="C1218" s="1039"/>
      <c r="D1218" s="1039" t="s">
        <v>1288</v>
      </c>
      <c r="E1218" s="1039"/>
      <c r="F1218" s="1039"/>
      <c r="G1218" s="1040" t="s">
        <v>950</v>
      </c>
      <c r="H1218" s="1041">
        <v>510</v>
      </c>
      <c r="I1218" s="1039" t="s">
        <v>951</v>
      </c>
      <c r="J1218" s="1039"/>
      <c r="K1218" s="882"/>
      <c r="L1218" s="1039"/>
      <c r="M1218" s="1039"/>
      <c r="N1218" s="1039"/>
      <c r="O1218" s="1042">
        <v>2</v>
      </c>
      <c r="P1218" s="1043"/>
      <c r="Q1218" s="1044">
        <v>899.07</v>
      </c>
      <c r="R1218" s="883">
        <f>$A1218*Q1218</f>
        <v>899.07</v>
      </c>
      <c r="S1218" s="1044"/>
      <c r="T1218" s="1046">
        <f>$A1218*S1218*$T$1</f>
        <v>0</v>
      </c>
    </row>
    <row r="1219" spans="1:41" s="504" customFormat="1" ht="12">
      <c r="A1219" s="882"/>
      <c r="B1219" s="882"/>
      <c r="C1219" s="882"/>
      <c r="D1219" s="882"/>
      <c r="E1219" s="882"/>
      <c r="F1219" s="877"/>
      <c r="G1219" s="882"/>
      <c r="H1219" s="882"/>
      <c r="I1219" s="503"/>
      <c r="J1219" s="882"/>
      <c r="K1219" s="882"/>
      <c r="L1219" s="882"/>
      <c r="M1219" s="882"/>
      <c r="N1219" s="882"/>
      <c r="O1219" s="882"/>
      <c r="P1219" s="882"/>
      <c r="Q1219" s="503"/>
      <c r="R1219" s="883">
        <f>$A1219*Q1219</f>
        <v>0</v>
      </c>
      <c r="S1219" s="503"/>
      <c r="T1219" s="884">
        <f>$A1219*S1219*$T$1</f>
        <v>0</v>
      </c>
    </row>
    <row r="1220" spans="1:41" s="504" customFormat="1" ht="12.6" thickBot="1">
      <c r="A1220" s="885" t="s">
        <v>142</v>
      </c>
      <c r="B1220" s="886">
        <f>(R1219+T1219)</f>
        <v>0</v>
      </c>
      <c r="C1220" s="887"/>
      <c r="D1220" s="887"/>
      <c r="E1220" s="887"/>
      <c r="F1220" s="888"/>
      <c r="G1220" s="887" t="s">
        <v>143</v>
      </c>
      <c r="H1220" s="887"/>
      <c r="I1220" s="889"/>
      <c r="J1220" s="887"/>
      <c r="K1220" s="887" t="s">
        <v>3</v>
      </c>
      <c r="L1220" s="890" t="s">
        <v>140</v>
      </c>
      <c r="M1220" s="890"/>
      <c r="N1220" s="890"/>
      <c r="O1220" s="890"/>
      <c r="P1220" s="890"/>
      <c r="Q1220" s="891"/>
      <c r="R1220" s="892">
        <f>SUM(R1217:R1219)</f>
        <v>899.07</v>
      </c>
      <c r="S1220" s="887"/>
      <c r="T1220" s="892">
        <f>SUM(T1217:T1219)</f>
        <v>0</v>
      </c>
      <c r="U1220" s="514"/>
      <c r="V1220" s="514"/>
      <c r="W1220" s="514"/>
      <c r="X1220" s="514"/>
      <c r="Y1220" s="514"/>
      <c r="Z1220" s="514"/>
      <c r="AA1220" s="514"/>
      <c r="AB1220" s="514"/>
      <c r="AC1220" s="514"/>
      <c r="AD1220" s="514"/>
      <c r="AE1220" s="514"/>
      <c r="AF1220" s="514"/>
      <c r="AG1220" s="514"/>
      <c r="AH1220" s="514"/>
      <c r="AI1220" s="514"/>
      <c r="AJ1220" s="514"/>
      <c r="AK1220" s="514"/>
      <c r="AL1220" s="514"/>
      <c r="AM1220" s="514"/>
      <c r="AN1220" s="514"/>
      <c r="AO1220" s="514"/>
    </row>
    <row r="1221" spans="1:41" s="504" customFormat="1" ht="12" thickTop="1">
      <c r="A1221" s="50"/>
      <c r="B1221" s="40"/>
      <c r="C1221" s="50"/>
      <c r="E1221" s="41" t="s">
        <v>136</v>
      </c>
      <c r="F1221" s="41" t="s">
        <v>137</v>
      </c>
      <c r="G1221" s="50"/>
      <c r="H1221" s="50"/>
      <c r="I1221" s="50"/>
      <c r="J1221" s="50"/>
      <c r="K1221" s="50" t="s">
        <v>138</v>
      </c>
      <c r="L1221" s="50"/>
      <c r="M1221" s="50"/>
      <c r="N1221" s="50"/>
      <c r="O1221" s="51"/>
      <c r="P1221" s="50"/>
      <c r="Q1221" s="50"/>
      <c r="R1221" s="50"/>
      <c r="S1221" s="50"/>
      <c r="T1221" s="40"/>
      <c r="AG1221" s="867" t="s">
        <v>241</v>
      </c>
      <c r="AH1221" s="867" t="s">
        <v>242</v>
      </c>
      <c r="AI1221" s="867" t="s">
        <v>243</v>
      </c>
      <c r="AJ1221" s="867" t="s">
        <v>244</v>
      </c>
      <c r="AK1221" s="867" t="s">
        <v>245</v>
      </c>
      <c r="AM1221" s="868" t="s">
        <v>254</v>
      </c>
      <c r="AN1221" s="869" t="s">
        <v>255</v>
      </c>
      <c r="AO1221" s="505" t="s">
        <v>251</v>
      </c>
    </row>
    <row r="1222" spans="1:41" s="504" customFormat="1" ht="12" customHeight="1">
      <c r="A1222" s="870">
        <v>1</v>
      </c>
      <c r="B1222" s="871" t="s">
        <v>335</v>
      </c>
      <c r="C1222" s="872"/>
      <c r="D1222" s="873" t="s">
        <v>806</v>
      </c>
      <c r="E1222" s="874">
        <f>IF(AND($A1222=0,$A$1="DIF"),0, ROUND(ROUND(($R1226*$S$2+($T1226*$T$2))/A1222,2)*$C$2,2))</f>
        <v>251.32</v>
      </c>
      <c r="F1222" s="875">
        <f>ROUND($A1222*$E1222,2)</f>
        <v>251.32</v>
      </c>
      <c r="G1222" s="876" t="s">
        <v>139</v>
      </c>
      <c r="H1222" s="877"/>
      <c r="I1222" s="878"/>
      <c r="J1222" s="877"/>
      <c r="K1222" s="877" t="s">
        <v>3</v>
      </c>
      <c r="L1222" s="879" t="s">
        <v>140</v>
      </c>
      <c r="M1222" s="879"/>
      <c r="N1222" s="879"/>
      <c r="O1222" s="879"/>
      <c r="P1222" s="879"/>
      <c r="Q1222" s="50"/>
      <c r="T1222" s="880" t="str">
        <f>IF(AND($R1226=0,$T1226=0),"0.00","mu :" &amp; ROUND($F1222/$C$2/($R1226+$T1226*$D$9),2))</f>
        <v>mu :1.22</v>
      </c>
      <c r="W1222" s="507"/>
      <c r="AG1222" s="465">
        <f>IF($E1222=0,0,ROUND($R1226*$S$2*$C$2/$A1222,2))</f>
        <v>251.32</v>
      </c>
      <c r="AH1222" s="465">
        <f>$AG1222*$A1222</f>
        <v>251.32</v>
      </c>
      <c r="AI1222" s="508">
        <f>$E1222-$AG1222</f>
        <v>0</v>
      </c>
      <c r="AJ1222" s="508">
        <f>$A1222*$AI1222</f>
        <v>0</v>
      </c>
      <c r="AK1222" s="509">
        <f>ROUND(($AG1222+$AI1222)*$A1222,2)</f>
        <v>251.32</v>
      </c>
      <c r="AM1222" s="510">
        <f>ROUND(R1226,2)</f>
        <v>206</v>
      </c>
      <c r="AN1222" s="511">
        <f>ROUND(T1226,2)</f>
        <v>0</v>
      </c>
      <c r="AO1222" s="512">
        <f>ROUND(AM1222+AN1222,2)*A1222</f>
        <v>206</v>
      </c>
    </row>
    <row r="1223" spans="1:41" s="504" customFormat="1" ht="13.2">
      <c r="A1223" s="872"/>
      <c r="B1223"/>
      <c r="C1223" s="872"/>
      <c r="D1223" s="873" t="s">
        <v>398</v>
      </c>
      <c r="F1223" s="877"/>
      <c r="G1223" s="3"/>
      <c r="H1223" s="877"/>
      <c r="I1223" s="878"/>
      <c r="J1223" s="877"/>
      <c r="K1223" s="877" t="s">
        <v>141</v>
      </c>
      <c r="L1223" s="877"/>
      <c r="M1223" s="877"/>
      <c r="N1223" s="877"/>
      <c r="O1223" s="877"/>
      <c r="P1223" s="877"/>
      <c r="Q1223" s="50"/>
      <c r="R1223" s="513"/>
      <c r="S1223" s="881"/>
      <c r="T1223" s="877"/>
    </row>
    <row r="1224" spans="1:41" s="504" customFormat="1" ht="13.2">
      <c r="A1224">
        <v>1</v>
      </c>
      <c r="B1224" s="1039" t="s">
        <v>949</v>
      </c>
      <c r="C1224" s="1039"/>
      <c r="D1224" s="1039" t="s">
        <v>1289</v>
      </c>
      <c r="E1224" s="1039"/>
      <c r="F1224" s="1039"/>
      <c r="G1224" s="1040" t="s">
        <v>950</v>
      </c>
      <c r="H1224" s="1041">
        <v>510</v>
      </c>
      <c r="I1224" s="1039" t="s">
        <v>951</v>
      </c>
      <c r="J1224" s="1039"/>
      <c r="K1224" s="882"/>
      <c r="L1224" s="1039"/>
      <c r="M1224" s="1039"/>
      <c r="N1224" s="1039"/>
      <c r="O1224" s="1042">
        <v>2</v>
      </c>
      <c r="P1224" s="1043"/>
      <c r="Q1224" s="1044">
        <v>206</v>
      </c>
      <c r="R1224" s="883">
        <f>$A1224*Q1224</f>
        <v>206</v>
      </c>
      <c r="S1224" s="1044"/>
      <c r="T1224" s="1046">
        <f>$A1224*S1224*$T$1</f>
        <v>0</v>
      </c>
    </row>
    <row r="1225" spans="1:41" s="504" customFormat="1" ht="12">
      <c r="A1225" s="882"/>
      <c r="B1225" s="882"/>
      <c r="C1225" s="882"/>
      <c r="D1225" s="882"/>
      <c r="E1225" s="882"/>
      <c r="F1225" s="877"/>
      <c r="G1225" s="882"/>
      <c r="H1225" s="882"/>
      <c r="I1225" s="503"/>
      <c r="J1225" s="882"/>
      <c r="K1225" s="882"/>
      <c r="L1225" s="882"/>
      <c r="M1225" s="882"/>
      <c r="N1225" s="882"/>
      <c r="O1225" s="882"/>
      <c r="P1225" s="882"/>
      <c r="Q1225" s="503"/>
      <c r="R1225" s="883">
        <f>$A1225*Q1225</f>
        <v>0</v>
      </c>
      <c r="S1225" s="503"/>
      <c r="T1225" s="884">
        <f>$A1225*S1225*$T$1</f>
        <v>0</v>
      </c>
    </row>
    <row r="1226" spans="1:41" s="504" customFormat="1" ht="12.6" thickBot="1">
      <c r="A1226" s="885" t="s">
        <v>142</v>
      </c>
      <c r="B1226" s="886">
        <f>(R1225+T1225)</f>
        <v>0</v>
      </c>
      <c r="C1226" s="887"/>
      <c r="D1226" s="887"/>
      <c r="E1226" s="887"/>
      <c r="F1226" s="888"/>
      <c r="G1226" s="887" t="s">
        <v>143</v>
      </c>
      <c r="H1226" s="887"/>
      <c r="I1226" s="889"/>
      <c r="J1226" s="887"/>
      <c r="K1226" s="887" t="s">
        <v>3</v>
      </c>
      <c r="L1226" s="890" t="s">
        <v>140</v>
      </c>
      <c r="M1226" s="890"/>
      <c r="N1226" s="890"/>
      <c r="O1226" s="890"/>
      <c r="P1226" s="890"/>
      <c r="Q1226" s="891"/>
      <c r="R1226" s="892">
        <f>SUM(R1223:R1225)</f>
        <v>206</v>
      </c>
      <c r="S1226" s="887"/>
      <c r="T1226" s="892">
        <f>SUM(T1223:T1225)</f>
        <v>0</v>
      </c>
      <c r="U1226" s="514"/>
      <c r="V1226" s="514"/>
      <c r="W1226" s="514"/>
      <c r="X1226" s="514"/>
      <c r="Y1226" s="514"/>
      <c r="Z1226" s="514"/>
      <c r="AA1226" s="514"/>
      <c r="AB1226" s="514"/>
      <c r="AC1226" s="514"/>
      <c r="AD1226" s="514"/>
      <c r="AE1226" s="514"/>
      <c r="AF1226" s="514"/>
      <c r="AG1226" s="514"/>
      <c r="AH1226" s="514"/>
      <c r="AI1226" s="514"/>
      <c r="AJ1226" s="514"/>
      <c r="AK1226" s="514"/>
      <c r="AL1226" s="514"/>
      <c r="AM1226" s="514"/>
      <c r="AN1226" s="514"/>
      <c r="AO1226" s="514"/>
    </row>
    <row r="1227" spans="1:41" s="504" customFormat="1" ht="12" thickTop="1">
      <c r="A1227" s="50"/>
      <c r="B1227" s="40"/>
      <c r="C1227" s="50"/>
      <c r="E1227" s="41" t="s">
        <v>136</v>
      </c>
      <c r="F1227" s="41" t="s">
        <v>137</v>
      </c>
      <c r="G1227" s="50"/>
      <c r="H1227" s="50"/>
      <c r="I1227" s="50"/>
      <c r="J1227" s="50"/>
      <c r="K1227" s="50" t="s">
        <v>138</v>
      </c>
      <c r="L1227" s="50"/>
      <c r="M1227" s="50"/>
      <c r="N1227" s="50"/>
      <c r="O1227" s="51"/>
      <c r="P1227" s="50"/>
      <c r="Q1227" s="50"/>
      <c r="R1227" s="50"/>
      <c r="S1227" s="50"/>
      <c r="T1227" s="40"/>
      <c r="AG1227" s="867" t="s">
        <v>241</v>
      </c>
      <c r="AH1227" s="867" t="s">
        <v>242</v>
      </c>
      <c r="AI1227" s="867" t="s">
        <v>243</v>
      </c>
      <c r="AJ1227" s="867" t="s">
        <v>244</v>
      </c>
      <c r="AK1227" s="867" t="s">
        <v>245</v>
      </c>
      <c r="AM1227" s="868" t="s">
        <v>254</v>
      </c>
      <c r="AN1227" s="869" t="s">
        <v>255</v>
      </c>
      <c r="AO1227" s="505" t="s">
        <v>251</v>
      </c>
    </row>
    <row r="1228" spans="1:41" s="504" customFormat="1" ht="12" customHeight="1">
      <c r="A1228" s="870">
        <v>1</v>
      </c>
      <c r="B1228" s="871" t="s">
        <v>335</v>
      </c>
      <c r="C1228" s="872"/>
      <c r="D1228" s="873" t="s">
        <v>808</v>
      </c>
      <c r="E1228" s="874">
        <f>IF(AND($A1228=0,$A$1="DIF"),0, ROUND(ROUND(($R1233*$S$2+($T1233*$T$2))/A1228,2)*$C$2,2))</f>
        <v>115.89</v>
      </c>
      <c r="F1228" s="875">
        <f>ROUND($A1228*$E1228,2)</f>
        <v>115.89</v>
      </c>
      <c r="G1228" s="876" t="s">
        <v>139</v>
      </c>
      <c r="H1228" s="877"/>
      <c r="I1228" s="878"/>
      <c r="J1228" s="877"/>
      <c r="K1228" s="877" t="s">
        <v>3</v>
      </c>
      <c r="L1228" s="879" t="s">
        <v>140</v>
      </c>
      <c r="M1228" s="879"/>
      <c r="N1228" s="879"/>
      <c r="O1228" s="879"/>
      <c r="P1228" s="879"/>
      <c r="Q1228" s="50"/>
      <c r="T1228" s="880" t="str">
        <f>IF(AND($R1233=0,$T1233=0),"0.00","mu :" &amp; ROUND($F1228/$C$2/($R1233+$T1233*$D$9),2))</f>
        <v>mu :1.22</v>
      </c>
      <c r="W1228" s="507"/>
      <c r="AG1228" s="465">
        <f>IF($E1228=0,0,ROUND($R1233*$S$2*$C$2/$A1228,2))</f>
        <v>115.89</v>
      </c>
      <c r="AH1228" s="465">
        <f>$AG1228*$A1228</f>
        <v>115.89</v>
      </c>
      <c r="AI1228" s="508">
        <f>$E1228-$AG1228</f>
        <v>0</v>
      </c>
      <c r="AJ1228" s="508">
        <f>$A1228*$AI1228</f>
        <v>0</v>
      </c>
      <c r="AK1228" s="509">
        <f>ROUND(($AG1228+$AI1228)*$A1228,2)</f>
        <v>115.89</v>
      </c>
      <c r="AM1228" s="510">
        <f>ROUND(R1233,2)</f>
        <v>94.99</v>
      </c>
      <c r="AN1228" s="511">
        <f>ROUND(T1233,2)</f>
        <v>0</v>
      </c>
      <c r="AO1228" s="512">
        <f>ROUND(AM1228+AN1228,2)*A1228</f>
        <v>94.99</v>
      </c>
    </row>
    <row r="1229" spans="1:41" s="504" customFormat="1" ht="13.2">
      <c r="A1229" s="872"/>
      <c r="B1229"/>
      <c r="C1229" s="872"/>
      <c r="D1229" s="873" t="s">
        <v>399</v>
      </c>
      <c r="F1229" s="877"/>
      <c r="G1229" s="3"/>
      <c r="H1229" s="877"/>
      <c r="I1229" s="878"/>
      <c r="J1229" s="877"/>
      <c r="K1229" s="877" t="s">
        <v>141</v>
      </c>
      <c r="L1229" s="877"/>
      <c r="M1229" s="877"/>
      <c r="N1229" s="877"/>
      <c r="O1229" s="877"/>
      <c r="P1229" s="877"/>
      <c r="Q1229" s="50"/>
      <c r="R1229" s="513"/>
      <c r="S1229" s="881"/>
      <c r="T1229" s="877"/>
    </row>
    <row r="1230" spans="1:41" s="1039" customFormat="1" ht="11.4">
      <c r="A1230" s="50">
        <v>1</v>
      </c>
      <c r="B1230" s="1039" t="s">
        <v>949</v>
      </c>
      <c r="D1230" s="1039" t="s">
        <v>1291</v>
      </c>
      <c r="G1230" s="1040" t="s">
        <v>1182</v>
      </c>
      <c r="H1230" s="1041">
        <v>705</v>
      </c>
      <c r="I1230" s="1039" t="s">
        <v>1183</v>
      </c>
      <c r="J1230" s="1039" t="s">
        <v>1184</v>
      </c>
      <c r="O1230" s="1042">
        <v>3</v>
      </c>
      <c r="P1230" s="1043">
        <v>34669</v>
      </c>
      <c r="Q1230" s="1044">
        <v>53.35</v>
      </c>
      <c r="R1230" s="1045">
        <f>$A1230*Q1230</f>
        <v>53.35</v>
      </c>
      <c r="S1230" s="1044"/>
      <c r="T1230" s="1046">
        <f>$A1230*S1230*$T$1</f>
        <v>0</v>
      </c>
    </row>
    <row r="1231" spans="1:41" s="1039" customFormat="1" ht="11.4">
      <c r="A1231" s="50">
        <v>1</v>
      </c>
      <c r="B1231" s="1039" t="s">
        <v>949</v>
      </c>
      <c r="D1231" s="1039" t="s">
        <v>1292</v>
      </c>
      <c r="G1231" s="1040" t="s">
        <v>1182</v>
      </c>
      <c r="H1231" s="1041">
        <v>705</v>
      </c>
      <c r="I1231" s="1039" t="s">
        <v>1183</v>
      </c>
      <c r="J1231" s="1039" t="s">
        <v>1184</v>
      </c>
      <c r="O1231" s="1042">
        <v>3</v>
      </c>
      <c r="P1231" s="1043">
        <v>34669</v>
      </c>
      <c r="Q1231" s="1044">
        <v>41.64</v>
      </c>
      <c r="R1231" s="1045">
        <f>$A1231*Q1231</f>
        <v>41.64</v>
      </c>
      <c r="S1231" s="1044"/>
      <c r="T1231" s="1046">
        <f>$A1231*S1231*$T$1</f>
        <v>0</v>
      </c>
    </row>
    <row r="1232" spans="1:41" s="504" customFormat="1" ht="12">
      <c r="A1232" s="882"/>
      <c r="B1232" s="882"/>
      <c r="C1232" s="882"/>
      <c r="D1232" s="882"/>
      <c r="E1232" s="882"/>
      <c r="F1232" s="877"/>
      <c r="G1232" s="882"/>
      <c r="H1232" s="882"/>
      <c r="I1232" s="503"/>
      <c r="J1232" s="882"/>
      <c r="K1232" s="882"/>
      <c r="L1232" s="882"/>
      <c r="M1232" s="882"/>
      <c r="N1232" s="882"/>
      <c r="O1232" s="882"/>
      <c r="P1232" s="882"/>
      <c r="Q1232" s="503"/>
      <c r="R1232" s="883">
        <f>$A1232*Q1232</f>
        <v>0</v>
      </c>
      <c r="S1232" s="503"/>
      <c r="T1232" s="884">
        <f>$A1232*S1232*$T$1</f>
        <v>0</v>
      </c>
    </row>
    <row r="1233" spans="1:41" s="504" customFormat="1" ht="12.6" thickBot="1">
      <c r="A1233" s="885" t="s">
        <v>142</v>
      </c>
      <c r="B1233" s="886">
        <f>(R1232+T1232)</f>
        <v>0</v>
      </c>
      <c r="C1233" s="887"/>
      <c r="D1233" s="887"/>
      <c r="E1233" s="887"/>
      <c r="F1233" s="888"/>
      <c r="G1233" s="887" t="s">
        <v>143</v>
      </c>
      <c r="H1233" s="887"/>
      <c r="I1233" s="889"/>
      <c r="J1233" s="887"/>
      <c r="K1233" s="887" t="s">
        <v>3</v>
      </c>
      <c r="L1233" s="890" t="s">
        <v>140</v>
      </c>
      <c r="M1233" s="890"/>
      <c r="N1233" s="890"/>
      <c r="O1233" s="890"/>
      <c r="P1233" s="890"/>
      <c r="Q1233" s="891"/>
      <c r="R1233" s="892">
        <f>SUM(R1229:R1232)</f>
        <v>94.990000000000009</v>
      </c>
      <c r="S1233" s="887"/>
      <c r="T1233" s="892">
        <f>SUM(T1229:T1232)</f>
        <v>0</v>
      </c>
      <c r="U1233" s="514"/>
      <c r="V1233" s="514"/>
      <c r="W1233" s="514"/>
      <c r="X1233" s="514"/>
      <c r="Y1233" s="514"/>
      <c r="Z1233" s="514"/>
      <c r="AA1233" s="514"/>
      <c r="AB1233" s="514"/>
      <c r="AC1233" s="514"/>
      <c r="AD1233" s="514"/>
      <c r="AE1233" s="514"/>
      <c r="AF1233" s="514"/>
      <c r="AG1233" s="514"/>
      <c r="AH1233" s="514"/>
      <c r="AI1233" s="514"/>
      <c r="AJ1233" s="514"/>
      <c r="AK1233" s="514"/>
      <c r="AL1233" s="514"/>
      <c r="AM1233" s="514"/>
      <c r="AN1233" s="514"/>
      <c r="AO1233" s="514"/>
    </row>
    <row r="1234" spans="1:41" s="504" customFormat="1" thickTop="1">
      <c r="A1234" s="50"/>
      <c r="B1234" s="50"/>
      <c r="C1234" s="3"/>
      <c r="D1234" s="3"/>
      <c r="E1234" s="50"/>
      <c r="F1234" s="50"/>
      <c r="G1234" s="50"/>
      <c r="H1234" s="50"/>
      <c r="I1234" s="50"/>
      <c r="J1234" s="50"/>
      <c r="K1234" s="50" t="s">
        <v>133</v>
      </c>
      <c r="L1234" s="50"/>
      <c r="M1234" s="50"/>
      <c r="N1234" s="50"/>
      <c r="O1234" s="51"/>
      <c r="P1234" s="50"/>
      <c r="Q1234" s="50"/>
      <c r="R1234" s="50"/>
      <c r="S1234" s="50"/>
      <c r="T1234" s="50"/>
    </row>
    <row r="1235" spans="1:41" s="504" customFormat="1" ht="12">
      <c r="A1235" s="50"/>
      <c r="B1235" s="50"/>
      <c r="C1235" s="50" t="s">
        <v>134</v>
      </c>
      <c r="D1235" s="37" t="s">
        <v>857</v>
      </c>
      <c r="E1235" s="50"/>
      <c r="F1235" s="50"/>
      <c r="G1235" s="50"/>
      <c r="H1235" s="50"/>
      <c r="I1235" s="50"/>
      <c r="J1235" s="50"/>
      <c r="K1235" s="50"/>
      <c r="L1235" s="50"/>
      <c r="M1235" s="50"/>
      <c r="N1235" s="50"/>
      <c r="O1235" s="51"/>
      <c r="P1235" s="50"/>
      <c r="Q1235" s="50"/>
      <c r="R1235" s="50"/>
      <c r="S1235" s="50"/>
      <c r="T1235" s="50"/>
    </row>
    <row r="1236" spans="1:41" s="504" customFormat="1" ht="12">
      <c r="A1236" s="50"/>
      <c r="B1236" s="50"/>
      <c r="C1236" s="50"/>
      <c r="D1236" s="37" t="s">
        <v>304</v>
      </c>
      <c r="E1236" s="50"/>
      <c r="F1236" s="50"/>
      <c r="G1236" s="50"/>
      <c r="H1236" s="50"/>
      <c r="I1236" s="50"/>
      <c r="J1236" s="50"/>
      <c r="K1236" s="50"/>
      <c r="L1236" s="50"/>
      <c r="M1236" s="50"/>
      <c r="N1236" s="50"/>
      <c r="O1236" s="51"/>
      <c r="P1236" s="50"/>
      <c r="Q1236" s="50"/>
      <c r="R1236" s="50"/>
      <c r="S1236" s="38"/>
      <c r="T1236" s="38"/>
    </row>
    <row r="1237" spans="1:41" s="3" customFormat="1" thickBot="1">
      <c r="A1237" s="514"/>
      <c r="O1237" s="103"/>
    </row>
    <row r="1238" spans="1:41" s="504" customFormat="1" ht="12" thickTop="1">
      <c r="A1238" s="50"/>
      <c r="B1238" s="40"/>
      <c r="C1238" s="50"/>
      <c r="E1238" s="41" t="s">
        <v>136</v>
      </c>
      <c r="F1238" s="41" t="s">
        <v>137</v>
      </c>
      <c r="G1238" s="50"/>
      <c r="H1238" s="50"/>
      <c r="I1238" s="50"/>
      <c r="J1238" s="50"/>
      <c r="K1238" s="50" t="s">
        <v>138</v>
      </c>
      <c r="L1238" s="50"/>
      <c r="M1238" s="50"/>
      <c r="N1238" s="50"/>
      <c r="O1238" s="51"/>
      <c r="P1238" s="50"/>
      <c r="Q1238" s="50"/>
      <c r="R1238" s="50"/>
      <c r="S1238" s="50"/>
      <c r="T1238" s="40"/>
      <c r="AG1238" s="867" t="s">
        <v>241</v>
      </c>
      <c r="AH1238" s="867" t="s">
        <v>242</v>
      </c>
      <c r="AI1238" s="867" t="s">
        <v>243</v>
      </c>
      <c r="AJ1238" s="867" t="s">
        <v>244</v>
      </c>
      <c r="AK1238" s="867" t="s">
        <v>245</v>
      </c>
      <c r="AM1238" s="868" t="s">
        <v>254</v>
      </c>
      <c r="AN1238" s="869" t="s">
        <v>255</v>
      </c>
      <c r="AO1238" s="505" t="s">
        <v>251</v>
      </c>
    </row>
    <row r="1239" spans="1:41" s="504" customFormat="1" ht="12" customHeight="1">
      <c r="A1239" s="870">
        <v>1</v>
      </c>
      <c r="B1239" s="871" t="s">
        <v>335</v>
      </c>
      <c r="C1239" s="872"/>
      <c r="D1239" s="873" t="s">
        <v>804</v>
      </c>
      <c r="E1239" s="874">
        <f>IF(AND($A1239=0,$A$1="DIF"),0, ROUND(ROUND(($R1246*$S$2+($T1246*$T$2))/A1239,2)*$C$2,2))</f>
        <v>309.48</v>
      </c>
      <c r="F1239" s="875">
        <f>ROUND($A1239*$E1239,2)</f>
        <v>309.48</v>
      </c>
      <c r="G1239" s="876" t="s">
        <v>139</v>
      </c>
      <c r="H1239" s="877"/>
      <c r="I1239" s="878"/>
      <c r="J1239" s="877"/>
      <c r="K1239" s="877" t="s">
        <v>3</v>
      </c>
      <c r="L1239" s="879" t="s">
        <v>140</v>
      </c>
      <c r="M1239" s="879"/>
      <c r="N1239" s="879"/>
      <c r="O1239" s="879"/>
      <c r="P1239" s="879"/>
      <c r="Q1239" s="50"/>
      <c r="T1239" s="880" t="str">
        <f>IF(AND($R1246=0,$T1246=0),"0.00","mu :" &amp; ROUND($F1239/$C$2/($R1246+$T1246*$D$9),2))</f>
        <v>mu :1.22</v>
      </c>
      <c r="W1239" s="507"/>
      <c r="AG1239" s="465">
        <f>IF($E1239=0,0,ROUND($R1246*$S$2*$C$2/$A1239,2))</f>
        <v>12.34</v>
      </c>
      <c r="AH1239" s="465">
        <f>$AG1239*$A1239</f>
        <v>12.34</v>
      </c>
      <c r="AI1239" s="508">
        <f>$E1239-$AG1239</f>
        <v>297.14000000000004</v>
      </c>
      <c r="AJ1239" s="508">
        <f>$A1239*$AI1239</f>
        <v>297.14000000000004</v>
      </c>
      <c r="AK1239" s="509">
        <f>ROUND(($AG1239+$AI1239)*$A1239,2)</f>
        <v>309.48</v>
      </c>
      <c r="AM1239" s="510">
        <f>ROUND(R1246,2)</f>
        <v>10.119999999999999</v>
      </c>
      <c r="AN1239" s="511">
        <f>ROUND(T1246,2)</f>
        <v>8.4499999999999993</v>
      </c>
      <c r="AO1239" s="512">
        <f>ROUND(AM1239+AN1239,2)*A1239</f>
        <v>18.57</v>
      </c>
    </row>
    <row r="1240" spans="1:41" s="504" customFormat="1" ht="13.2">
      <c r="A1240" s="872"/>
      <c r="B1240"/>
      <c r="C1240" s="872"/>
      <c r="D1240" s="873" t="s">
        <v>397</v>
      </c>
      <c r="F1240" s="877"/>
      <c r="G1240" s="3"/>
      <c r="H1240" s="877"/>
      <c r="I1240" s="878"/>
      <c r="J1240" s="877"/>
      <c r="K1240" s="877" t="s">
        <v>141</v>
      </c>
      <c r="L1240" s="877"/>
      <c r="M1240" s="877"/>
      <c r="N1240" s="877"/>
      <c r="O1240" s="877"/>
      <c r="P1240" s="877"/>
      <c r="Q1240" s="50"/>
      <c r="R1240" s="513"/>
      <c r="S1240" s="881"/>
      <c r="T1240" s="877"/>
    </row>
    <row r="1241" spans="1:41" s="504" customFormat="1" ht="13.2">
      <c r="A1241">
        <v>1</v>
      </c>
      <c r="B1241" s="1039" t="s">
        <v>949</v>
      </c>
      <c r="C1241" s="1039"/>
      <c r="D1241" s="1039" t="s">
        <v>1287</v>
      </c>
      <c r="E1241" s="1039"/>
      <c r="F1241" s="1039"/>
      <c r="G1241" s="1040" t="s">
        <v>950</v>
      </c>
      <c r="H1241" s="1041">
        <v>510</v>
      </c>
      <c r="I1241" s="1039" t="s">
        <v>951</v>
      </c>
      <c r="J1241" s="1039"/>
      <c r="K1241" s="882"/>
      <c r="L1241" s="1039"/>
      <c r="M1241" s="1039"/>
      <c r="N1241" s="1039"/>
      <c r="O1241" s="1042">
        <v>2</v>
      </c>
      <c r="P1241" s="1043"/>
      <c r="Q1241" s="1044">
        <v>0</v>
      </c>
      <c r="R1241" s="883">
        <f>$A1241*Q1241</f>
        <v>0</v>
      </c>
      <c r="S1241" s="1044">
        <f>2+(12*0.5)</f>
        <v>8</v>
      </c>
      <c r="T1241" s="1046">
        <f>$A1241*S1241*$T$1</f>
        <v>8.4</v>
      </c>
    </row>
    <row r="1242" spans="1:41" s="504" customFormat="1" ht="13.2">
      <c r="A1242" s="112">
        <v>1</v>
      </c>
      <c r="B1242" s="1039" t="s">
        <v>949</v>
      </c>
      <c r="C1242" s="1039"/>
      <c r="D1242" s="1039" t="s">
        <v>957</v>
      </c>
      <c r="E1242" s="1039"/>
      <c r="F1242" s="1039"/>
      <c r="G1242" s="1040" t="s">
        <v>958</v>
      </c>
      <c r="H1242" s="1041">
        <v>875</v>
      </c>
      <c r="I1242" s="1039" t="s">
        <v>951</v>
      </c>
      <c r="J1242" s="1039"/>
      <c r="K1242" s="882"/>
      <c r="L1242" s="1039"/>
      <c r="M1242" s="1039"/>
      <c r="N1242" s="1039"/>
      <c r="O1242" s="1042">
        <v>3</v>
      </c>
      <c r="P1242" s="1043">
        <v>34820</v>
      </c>
      <c r="Q1242" s="1044">
        <f>0.9 *(5.82)</f>
        <v>5.2380000000000004</v>
      </c>
      <c r="R1242" s="883">
        <f>$A1242*Q1242</f>
        <v>5.2380000000000004</v>
      </c>
      <c r="S1242" s="1044">
        <f>0.9 *(0.05)</f>
        <v>4.5000000000000005E-2</v>
      </c>
      <c r="T1242" s="1046">
        <f>$A1242*S1242*$T$1</f>
        <v>4.7250000000000007E-2</v>
      </c>
    </row>
    <row r="1243" spans="1:41" s="504" customFormat="1" ht="13.2">
      <c r="A1243" s="112">
        <v>1</v>
      </c>
      <c r="B1243" s="1039" t="s">
        <v>949</v>
      </c>
      <c r="C1243" s="1039"/>
      <c r="D1243" s="1039" t="s">
        <v>1239</v>
      </c>
      <c r="E1243" s="1039"/>
      <c r="F1243" s="1039"/>
      <c r="G1243" s="1040" t="s">
        <v>1240</v>
      </c>
      <c r="H1243" s="1041">
        <v>880</v>
      </c>
      <c r="I1243" s="1039" t="s">
        <v>951</v>
      </c>
      <c r="J1243" s="1039"/>
      <c r="K1243" s="882"/>
      <c r="L1243" s="1039"/>
      <c r="M1243" s="1039"/>
      <c r="N1243" s="1039"/>
      <c r="O1243" s="1042">
        <v>3</v>
      </c>
      <c r="P1243" s="1043">
        <v>35443</v>
      </c>
      <c r="Q1243" s="1044">
        <f>0.9 *(4.66)</f>
        <v>4.194</v>
      </c>
      <c r="R1243" s="883">
        <f>$A1243*Q1243</f>
        <v>4.194</v>
      </c>
      <c r="S1243" s="1044"/>
      <c r="T1243" s="1046">
        <f>$A1243*S1243*$T$1</f>
        <v>0</v>
      </c>
    </row>
    <row r="1244" spans="1:41" s="504" customFormat="1" ht="13.2">
      <c r="A1244" s="112">
        <v>4</v>
      </c>
      <c r="B1244" s="1039" t="s">
        <v>949</v>
      </c>
      <c r="C1244" s="1039"/>
      <c r="D1244" s="1039" t="s">
        <v>1241</v>
      </c>
      <c r="E1244" s="1039"/>
      <c r="F1244" s="1039"/>
      <c r="G1244" s="1040" t="s">
        <v>1242</v>
      </c>
      <c r="H1244" s="1041">
        <v>875</v>
      </c>
      <c r="I1244" s="1039" t="s">
        <v>1243</v>
      </c>
      <c r="J1244" s="1039" t="s">
        <v>1244</v>
      </c>
      <c r="K1244" s="882"/>
      <c r="L1244" s="1039"/>
      <c r="M1244" s="1039"/>
      <c r="N1244" s="1039"/>
      <c r="O1244" s="1042">
        <v>1</v>
      </c>
      <c r="P1244" s="1043">
        <v>36175</v>
      </c>
      <c r="Q1244" s="1044">
        <f>0.9 *(0.19)</f>
        <v>0.17100000000000001</v>
      </c>
      <c r="R1244" s="883">
        <f>$A1244*Q1244</f>
        <v>0.68400000000000005</v>
      </c>
      <c r="S1244" s="1044"/>
      <c r="T1244" s="1046">
        <f>$A1244*S1244*$T$1</f>
        <v>0</v>
      </c>
    </row>
    <row r="1245" spans="1:41" s="504" customFormat="1" ht="12">
      <c r="A1245" s="882"/>
      <c r="B1245" s="882"/>
      <c r="C1245" s="882"/>
      <c r="D1245" s="882"/>
      <c r="E1245" s="882"/>
      <c r="F1245" s="877"/>
      <c r="G1245" s="882"/>
      <c r="H1245" s="882"/>
      <c r="I1245" s="503"/>
      <c r="J1245" s="882"/>
      <c r="K1245" s="882"/>
      <c r="L1245" s="882"/>
      <c r="M1245" s="882"/>
      <c r="N1245" s="882"/>
      <c r="O1245" s="882"/>
      <c r="P1245" s="882"/>
      <c r="Q1245" s="503"/>
      <c r="R1245" s="883">
        <f>$A1245*Q1245</f>
        <v>0</v>
      </c>
      <c r="S1245" s="503"/>
      <c r="T1245" s="884">
        <f>$A1245*S1245*$T$1</f>
        <v>0</v>
      </c>
    </row>
    <row r="1246" spans="1:41" s="504" customFormat="1" ht="12.6" thickBot="1">
      <c r="A1246" s="885" t="s">
        <v>142</v>
      </c>
      <c r="B1246" s="886">
        <f>(R1245+T1245)</f>
        <v>0</v>
      </c>
      <c r="C1246" s="887"/>
      <c r="D1246" s="887"/>
      <c r="E1246" s="887"/>
      <c r="F1246" s="888"/>
      <c r="G1246" s="887" t="s">
        <v>143</v>
      </c>
      <c r="H1246" s="887"/>
      <c r="I1246" s="889"/>
      <c r="J1246" s="887"/>
      <c r="K1246" s="887" t="s">
        <v>3</v>
      </c>
      <c r="L1246" s="890" t="s">
        <v>140</v>
      </c>
      <c r="M1246" s="890"/>
      <c r="N1246" s="890"/>
      <c r="O1246" s="890"/>
      <c r="P1246" s="890"/>
      <c r="Q1246" s="891"/>
      <c r="R1246" s="892">
        <f>SUM(R1240:R1245)</f>
        <v>10.116</v>
      </c>
      <c r="S1246" s="887"/>
      <c r="T1246" s="892">
        <f>SUM(T1240:T1245)</f>
        <v>8.4472500000000004</v>
      </c>
      <c r="U1246" s="514"/>
      <c r="V1246" s="514"/>
      <c r="W1246" s="514"/>
      <c r="X1246" s="514"/>
      <c r="Y1246" s="514"/>
      <c r="Z1246" s="514"/>
      <c r="AA1246" s="514"/>
      <c r="AB1246" s="514"/>
      <c r="AC1246" s="514"/>
      <c r="AD1246" s="514"/>
      <c r="AE1246" s="514"/>
      <c r="AF1246" s="514"/>
      <c r="AG1246" s="514"/>
      <c r="AH1246" s="514"/>
      <c r="AI1246" s="514"/>
      <c r="AJ1246" s="514"/>
      <c r="AK1246" s="514"/>
      <c r="AL1246" s="514"/>
      <c r="AM1246" s="514"/>
      <c r="AN1246" s="514"/>
      <c r="AO1246" s="514"/>
    </row>
    <row r="1247" spans="1:41" s="504" customFormat="1" ht="12" thickTop="1">
      <c r="A1247" s="50"/>
      <c r="B1247" s="40"/>
      <c r="C1247" s="50"/>
      <c r="E1247" s="41" t="s">
        <v>136</v>
      </c>
      <c r="F1247" s="41" t="s">
        <v>137</v>
      </c>
      <c r="G1247" s="50"/>
      <c r="H1247" s="50"/>
      <c r="I1247" s="50"/>
      <c r="J1247" s="50"/>
      <c r="K1247" s="50" t="s">
        <v>138</v>
      </c>
      <c r="L1247" s="50"/>
      <c r="M1247" s="50"/>
      <c r="N1247" s="50"/>
      <c r="O1247" s="51"/>
      <c r="P1247" s="50"/>
      <c r="Q1247" s="50"/>
      <c r="R1247" s="50"/>
      <c r="S1247" s="50"/>
      <c r="T1247" s="40"/>
      <c r="AG1247" s="867" t="s">
        <v>241</v>
      </c>
      <c r="AH1247" s="867" t="s">
        <v>242</v>
      </c>
      <c r="AI1247" s="867" t="s">
        <v>243</v>
      </c>
      <c r="AJ1247" s="867" t="s">
        <v>244</v>
      </c>
      <c r="AK1247" s="867" t="s">
        <v>245</v>
      </c>
      <c r="AM1247" s="868" t="s">
        <v>254</v>
      </c>
      <c r="AN1247" s="869" t="s">
        <v>255</v>
      </c>
      <c r="AO1247" s="505" t="s">
        <v>251</v>
      </c>
    </row>
    <row r="1248" spans="1:41" s="504" customFormat="1" ht="12" customHeight="1">
      <c r="A1248" s="870">
        <v>1</v>
      </c>
      <c r="B1248" s="871" t="s">
        <v>335</v>
      </c>
      <c r="C1248" s="872"/>
      <c r="D1248" s="873" t="s">
        <v>806</v>
      </c>
      <c r="E1248" s="874">
        <f>IF(AND($A1248=0,$A$1="DIF"),0, ROUND(ROUND(($R1255*$S$2+($T1255*$T$2))/A1248,2)*$C$2,2))</f>
        <v>161.74</v>
      </c>
      <c r="F1248" s="875">
        <f>ROUND($A1248*$E1248,2)</f>
        <v>161.74</v>
      </c>
      <c r="G1248" s="876" t="s">
        <v>139</v>
      </c>
      <c r="H1248" s="877"/>
      <c r="I1248" s="878"/>
      <c r="J1248" s="877"/>
      <c r="K1248" s="877" t="s">
        <v>3</v>
      </c>
      <c r="L1248" s="879" t="s">
        <v>140</v>
      </c>
      <c r="M1248" s="879"/>
      <c r="N1248" s="879"/>
      <c r="O1248" s="879"/>
      <c r="P1248" s="879"/>
      <c r="Q1248" s="50"/>
      <c r="T1248" s="880" t="str">
        <f>IF(AND($R1255=0,$T1255=0),"0.00","mu :" &amp; ROUND($F1248/$C$2/($R1255+$T1255*$D$9),2))</f>
        <v>mu :1.22</v>
      </c>
      <c r="W1248" s="507"/>
      <c r="AG1248" s="465">
        <f>IF($E1248=0,0,ROUND($R1255*$S$2*$C$2/$A1248,2))</f>
        <v>12.34</v>
      </c>
      <c r="AH1248" s="465">
        <f>$AG1248*$A1248</f>
        <v>12.34</v>
      </c>
      <c r="AI1248" s="508">
        <f>$E1248-$AG1248</f>
        <v>149.4</v>
      </c>
      <c r="AJ1248" s="508">
        <f>$A1248*$AI1248</f>
        <v>149.4</v>
      </c>
      <c r="AK1248" s="509">
        <f>ROUND(($AG1248+$AI1248)*$A1248,2)</f>
        <v>161.74</v>
      </c>
      <c r="AM1248" s="510">
        <f>ROUND(R1255,2)</f>
        <v>10.119999999999999</v>
      </c>
      <c r="AN1248" s="511">
        <f>ROUND(T1255,2)</f>
        <v>4.25</v>
      </c>
      <c r="AO1248" s="512">
        <f>ROUND(AM1248+AN1248,2)*A1248</f>
        <v>14.37</v>
      </c>
    </row>
    <row r="1249" spans="1:41" s="504" customFormat="1" ht="13.2">
      <c r="A1249" s="872"/>
      <c r="B1249"/>
      <c r="C1249" s="872"/>
      <c r="D1249" s="873" t="s">
        <v>398</v>
      </c>
      <c r="F1249" s="877"/>
      <c r="G1249" s="3"/>
      <c r="H1249" s="877"/>
      <c r="I1249" s="878"/>
      <c r="J1249" s="877"/>
      <c r="K1249" s="877" t="s">
        <v>141</v>
      </c>
      <c r="L1249" s="877"/>
      <c r="M1249" s="877"/>
      <c r="N1249" s="877"/>
      <c r="O1249" s="877"/>
      <c r="P1249" s="877"/>
      <c r="Q1249" s="50"/>
      <c r="R1249" s="513"/>
      <c r="S1249" s="881"/>
      <c r="T1249" s="877"/>
    </row>
    <row r="1250" spans="1:41" s="504" customFormat="1" ht="13.2">
      <c r="A1250">
        <v>1</v>
      </c>
      <c r="B1250" s="1039" t="s">
        <v>949</v>
      </c>
      <c r="C1250" s="1039"/>
      <c r="D1250" s="1039" t="s">
        <v>1290</v>
      </c>
      <c r="E1250" s="1039"/>
      <c r="F1250" s="1039"/>
      <c r="G1250" s="1040" t="s">
        <v>950</v>
      </c>
      <c r="H1250" s="1041">
        <v>510</v>
      </c>
      <c r="I1250" s="1039" t="s">
        <v>951</v>
      </c>
      <c r="J1250" s="1039"/>
      <c r="K1250" s="882"/>
      <c r="L1250" s="1039"/>
      <c r="M1250" s="1039"/>
      <c r="N1250" s="1039"/>
      <c r="O1250" s="1042">
        <v>2</v>
      </c>
      <c r="P1250" s="1043"/>
      <c r="Q1250" s="1044">
        <v>0</v>
      </c>
      <c r="R1250" s="883">
        <f>$A1250*Q1250</f>
        <v>0</v>
      </c>
      <c r="S1250" s="1044">
        <f>2+(4*0.5)</f>
        <v>4</v>
      </c>
      <c r="T1250" s="1046">
        <f>$A1250*S1250*$T$1</f>
        <v>4.2</v>
      </c>
    </row>
    <row r="1251" spans="1:41" s="504" customFormat="1" ht="13.2">
      <c r="A1251" s="112">
        <v>1</v>
      </c>
      <c r="B1251" s="1039" t="s">
        <v>949</v>
      </c>
      <c r="C1251" s="1039"/>
      <c r="D1251" s="1039" t="s">
        <v>957</v>
      </c>
      <c r="E1251" s="1039"/>
      <c r="F1251" s="1039"/>
      <c r="G1251" s="1040" t="s">
        <v>958</v>
      </c>
      <c r="H1251" s="1041">
        <v>875</v>
      </c>
      <c r="I1251" s="1039" t="s">
        <v>951</v>
      </c>
      <c r="J1251" s="1039"/>
      <c r="K1251" s="882"/>
      <c r="L1251" s="1039"/>
      <c r="M1251" s="1039"/>
      <c r="N1251" s="1039"/>
      <c r="O1251" s="1042">
        <v>3</v>
      </c>
      <c r="P1251" s="1043">
        <v>34820</v>
      </c>
      <c r="Q1251" s="1044">
        <f>0.9 *(5.82)</f>
        <v>5.2380000000000004</v>
      </c>
      <c r="R1251" s="883">
        <f>$A1251*Q1251</f>
        <v>5.2380000000000004</v>
      </c>
      <c r="S1251" s="1044">
        <f>0.9 *(0.05)</f>
        <v>4.5000000000000005E-2</v>
      </c>
      <c r="T1251" s="1046">
        <f>$A1251*S1251*$T$1</f>
        <v>4.7250000000000007E-2</v>
      </c>
    </row>
    <row r="1252" spans="1:41" s="504" customFormat="1" ht="13.2">
      <c r="A1252" s="112">
        <v>1</v>
      </c>
      <c r="B1252" s="1039" t="s">
        <v>949</v>
      </c>
      <c r="C1252" s="1039"/>
      <c r="D1252" s="1039" t="s">
        <v>1239</v>
      </c>
      <c r="E1252" s="1039"/>
      <c r="F1252" s="1039"/>
      <c r="G1252" s="1040" t="s">
        <v>1240</v>
      </c>
      <c r="H1252" s="1041">
        <v>880</v>
      </c>
      <c r="I1252" s="1039" t="s">
        <v>951</v>
      </c>
      <c r="J1252" s="1039"/>
      <c r="K1252" s="882"/>
      <c r="L1252" s="1039"/>
      <c r="M1252" s="1039"/>
      <c r="N1252" s="1039"/>
      <c r="O1252" s="1042">
        <v>3</v>
      </c>
      <c r="P1252" s="1043">
        <v>35443</v>
      </c>
      <c r="Q1252" s="1044">
        <f>0.9 *(4.66)</f>
        <v>4.194</v>
      </c>
      <c r="R1252" s="883">
        <f>$A1252*Q1252</f>
        <v>4.194</v>
      </c>
      <c r="S1252" s="1044"/>
      <c r="T1252" s="1046">
        <f>$A1252*S1252*$T$1</f>
        <v>0</v>
      </c>
    </row>
    <row r="1253" spans="1:41" s="504" customFormat="1" ht="13.2">
      <c r="A1253" s="112">
        <v>4</v>
      </c>
      <c r="B1253" s="1039" t="s">
        <v>949</v>
      </c>
      <c r="C1253" s="1039"/>
      <c r="D1253" s="1039" t="s">
        <v>1241</v>
      </c>
      <c r="E1253" s="1039"/>
      <c r="F1253" s="1039"/>
      <c r="G1253" s="1040" t="s">
        <v>1242</v>
      </c>
      <c r="H1253" s="1041">
        <v>875</v>
      </c>
      <c r="I1253" s="1039" t="s">
        <v>1243</v>
      </c>
      <c r="J1253" s="1039" t="s">
        <v>1244</v>
      </c>
      <c r="K1253" s="882"/>
      <c r="L1253" s="1039"/>
      <c r="M1253" s="1039"/>
      <c r="N1253" s="1039"/>
      <c r="O1253" s="1042">
        <v>1</v>
      </c>
      <c r="P1253" s="1043">
        <v>36175</v>
      </c>
      <c r="Q1253" s="1044">
        <f>0.9 *(0.19)</f>
        <v>0.17100000000000001</v>
      </c>
      <c r="R1253" s="883">
        <f>$A1253*Q1253</f>
        <v>0.68400000000000005</v>
      </c>
      <c r="S1253" s="1044"/>
      <c r="T1253" s="1046">
        <f>$A1253*S1253*$T$1</f>
        <v>0</v>
      </c>
    </row>
    <row r="1254" spans="1:41" s="504" customFormat="1" ht="12">
      <c r="A1254" s="882"/>
      <c r="B1254" s="882"/>
      <c r="C1254" s="882"/>
      <c r="D1254" s="882"/>
      <c r="E1254" s="882"/>
      <c r="F1254" s="877"/>
      <c r="G1254" s="882"/>
      <c r="H1254" s="882"/>
      <c r="I1254" s="503"/>
      <c r="J1254" s="882"/>
      <c r="K1254" s="882"/>
      <c r="L1254" s="882"/>
      <c r="M1254" s="882"/>
      <c r="N1254" s="882"/>
      <c r="O1254" s="882"/>
      <c r="P1254" s="882"/>
      <c r="Q1254" s="503"/>
      <c r="R1254" s="883">
        <f>$A1254*Q1254</f>
        <v>0</v>
      </c>
      <c r="S1254" s="503"/>
      <c r="T1254" s="884">
        <f>$A1254*S1254*$T$1</f>
        <v>0</v>
      </c>
    </row>
    <row r="1255" spans="1:41" s="504" customFormat="1" ht="12.6" thickBot="1">
      <c r="A1255" s="885" t="s">
        <v>142</v>
      </c>
      <c r="B1255" s="886">
        <f>(R1254+T1254)</f>
        <v>0</v>
      </c>
      <c r="C1255" s="887"/>
      <c r="D1255" s="887"/>
      <c r="E1255" s="887"/>
      <c r="F1255" s="888"/>
      <c r="G1255" s="887" t="s">
        <v>143</v>
      </c>
      <c r="H1255" s="887"/>
      <c r="I1255" s="889"/>
      <c r="J1255" s="887"/>
      <c r="K1255" s="887" t="s">
        <v>3</v>
      </c>
      <c r="L1255" s="890" t="s">
        <v>140</v>
      </c>
      <c r="M1255" s="890"/>
      <c r="N1255" s="890"/>
      <c r="O1255" s="890"/>
      <c r="P1255" s="890"/>
      <c r="Q1255" s="891"/>
      <c r="R1255" s="892">
        <f>SUM(R1249:R1254)</f>
        <v>10.116</v>
      </c>
      <c r="S1255" s="887"/>
      <c r="T1255" s="892">
        <f>SUM(T1249:T1254)</f>
        <v>4.2472500000000002</v>
      </c>
      <c r="U1255" s="514"/>
      <c r="V1255" s="514"/>
      <c r="W1255" s="514"/>
      <c r="X1255" s="514"/>
      <c r="Y1255" s="514"/>
      <c r="Z1255" s="514"/>
      <c r="AA1255" s="514"/>
      <c r="AB1255" s="514"/>
      <c r="AC1255" s="514"/>
      <c r="AD1255" s="514"/>
      <c r="AE1255" s="514"/>
      <c r="AF1255" s="514"/>
      <c r="AG1255" s="514"/>
      <c r="AH1255" s="514"/>
      <c r="AI1255" s="514"/>
      <c r="AJ1255" s="514"/>
      <c r="AK1255" s="514"/>
      <c r="AL1255" s="514"/>
      <c r="AM1255" s="514"/>
      <c r="AN1255" s="514"/>
      <c r="AO1255" s="514"/>
    </row>
    <row r="1256" spans="1:41" s="504" customFormat="1" ht="12" thickTop="1">
      <c r="A1256" s="50"/>
      <c r="B1256" s="40"/>
      <c r="C1256" s="50"/>
      <c r="E1256" s="41" t="s">
        <v>136</v>
      </c>
      <c r="F1256" s="41" t="s">
        <v>137</v>
      </c>
      <c r="G1256" s="50"/>
      <c r="H1256" s="50"/>
      <c r="I1256" s="50"/>
      <c r="J1256" s="50"/>
      <c r="K1256" s="50" t="s">
        <v>138</v>
      </c>
      <c r="L1256" s="50"/>
      <c r="M1256" s="50"/>
      <c r="N1256" s="50"/>
      <c r="O1256" s="51"/>
      <c r="P1256" s="50"/>
      <c r="Q1256" s="50"/>
      <c r="R1256" s="50"/>
      <c r="S1256" s="50"/>
      <c r="T1256" s="40"/>
      <c r="AG1256" s="867" t="s">
        <v>241</v>
      </c>
      <c r="AH1256" s="867" t="s">
        <v>242</v>
      </c>
      <c r="AI1256" s="867" t="s">
        <v>243</v>
      </c>
      <c r="AJ1256" s="867" t="s">
        <v>244</v>
      </c>
      <c r="AK1256" s="867" t="s">
        <v>245</v>
      </c>
      <c r="AM1256" s="868" t="s">
        <v>254</v>
      </c>
      <c r="AN1256" s="869" t="s">
        <v>255</v>
      </c>
      <c r="AO1256" s="505" t="s">
        <v>251</v>
      </c>
    </row>
    <row r="1257" spans="1:41" s="504" customFormat="1" ht="12" customHeight="1">
      <c r="A1257" s="870">
        <v>1</v>
      </c>
      <c r="B1257" s="871" t="s">
        <v>335</v>
      </c>
      <c r="C1257" s="872"/>
      <c r="D1257" s="873" t="s">
        <v>808</v>
      </c>
      <c r="E1257" s="874">
        <f>IF(AND($A1257=0,$A$1="DIF"),0, ROUND(ROUND(($R1262*$S$2+($T1262*$T$2))/A1257,2)*$C$2,2))</f>
        <v>46.17</v>
      </c>
      <c r="F1257" s="875">
        <f>ROUND($A1257*$E1257,2)</f>
        <v>46.17</v>
      </c>
      <c r="G1257" s="876" t="s">
        <v>139</v>
      </c>
      <c r="H1257" s="877"/>
      <c r="I1257" s="878"/>
      <c r="J1257" s="877"/>
      <c r="K1257" s="877" t="s">
        <v>3</v>
      </c>
      <c r="L1257" s="879" t="s">
        <v>140</v>
      </c>
      <c r="M1257" s="879"/>
      <c r="N1257" s="879"/>
      <c r="O1257" s="879"/>
      <c r="P1257" s="879"/>
      <c r="Q1257" s="50"/>
      <c r="T1257" s="880" t="str">
        <f>IF(AND($R1262=0,$T1262=0),"0.00","mu :" &amp; ROUND($F1257/$C$2/($R1262+$T1262*$D$9),2))</f>
        <v>mu :1.22</v>
      </c>
      <c r="W1257" s="507"/>
      <c r="AG1257" s="465">
        <f>IF($E1257=0,0,ROUND($R1262*$S$2*$C$2/$A1257,2))</f>
        <v>0</v>
      </c>
      <c r="AH1257" s="465">
        <f>$AG1257*$A1257</f>
        <v>0</v>
      </c>
      <c r="AI1257" s="508">
        <f>$E1257-$AG1257</f>
        <v>46.17</v>
      </c>
      <c r="AJ1257" s="508">
        <f>$A1257*$AI1257</f>
        <v>46.17</v>
      </c>
      <c r="AK1257" s="509">
        <f>ROUND(($AG1257+$AI1257)*$A1257,2)</f>
        <v>46.17</v>
      </c>
      <c r="AM1257" s="510">
        <f>ROUND(R1262,2)</f>
        <v>0</v>
      </c>
      <c r="AN1257" s="511">
        <f>ROUND(T1262,2)</f>
        <v>1.31</v>
      </c>
      <c r="AO1257" s="512">
        <f>ROUND(AM1257+AN1257,2)*A1257</f>
        <v>1.31</v>
      </c>
    </row>
    <row r="1258" spans="1:41" s="504" customFormat="1" ht="13.2">
      <c r="A1258" s="872"/>
      <c r="B1258"/>
      <c r="C1258" s="872"/>
      <c r="D1258" s="873" t="s">
        <v>399</v>
      </c>
      <c r="F1258" s="877"/>
      <c r="G1258" s="3"/>
      <c r="H1258" s="877"/>
      <c r="I1258" s="878"/>
      <c r="J1258" s="877"/>
      <c r="K1258" s="877" t="s">
        <v>141</v>
      </c>
      <c r="L1258" s="877"/>
      <c r="M1258" s="877"/>
      <c r="N1258" s="877"/>
      <c r="O1258" s="877"/>
      <c r="P1258" s="877"/>
      <c r="Q1258" s="50"/>
      <c r="R1258" s="513"/>
      <c r="S1258" s="881"/>
      <c r="T1258" s="877"/>
    </row>
    <row r="1259" spans="1:41" s="1039" customFormat="1" ht="11.4">
      <c r="A1259" s="50">
        <v>1</v>
      </c>
      <c r="B1259" s="1039" t="s">
        <v>949</v>
      </c>
      <c r="D1259" s="1039" t="s">
        <v>1291</v>
      </c>
      <c r="G1259" s="1040" t="s">
        <v>1182</v>
      </c>
      <c r="H1259" s="1041">
        <v>705</v>
      </c>
      <c r="I1259" s="1039" t="s">
        <v>1183</v>
      </c>
      <c r="J1259" s="1039" t="s">
        <v>1184</v>
      </c>
      <c r="O1259" s="1042">
        <v>3</v>
      </c>
      <c r="P1259" s="1043">
        <v>34669</v>
      </c>
      <c r="Q1259" s="1044">
        <v>0</v>
      </c>
      <c r="R1259" s="1045">
        <f>$A1259*Q1259</f>
        <v>0</v>
      </c>
      <c r="S1259" s="1044">
        <v>0.75</v>
      </c>
      <c r="T1259" s="1046">
        <f>$A1259*S1259*$T$1</f>
        <v>0.78750000000000009</v>
      </c>
    </row>
    <row r="1260" spans="1:41" s="1039" customFormat="1" ht="11.4">
      <c r="A1260" s="50">
        <v>1</v>
      </c>
      <c r="B1260" s="1039" t="s">
        <v>949</v>
      </c>
      <c r="D1260" s="1039" t="s">
        <v>1292</v>
      </c>
      <c r="G1260" s="1040" t="s">
        <v>1182</v>
      </c>
      <c r="H1260" s="1041">
        <v>705</v>
      </c>
      <c r="I1260" s="1039" t="s">
        <v>1183</v>
      </c>
      <c r="J1260" s="1039" t="s">
        <v>1184</v>
      </c>
      <c r="O1260" s="1042">
        <v>3</v>
      </c>
      <c r="P1260" s="1043">
        <v>34669</v>
      </c>
      <c r="Q1260" s="1044">
        <v>0</v>
      </c>
      <c r="R1260" s="1045">
        <f>$A1260*Q1260</f>
        <v>0</v>
      </c>
      <c r="S1260" s="1044">
        <v>0.5</v>
      </c>
      <c r="T1260" s="1046">
        <f>$A1260*S1260*$T$1</f>
        <v>0.52500000000000002</v>
      </c>
    </row>
    <row r="1261" spans="1:41" s="504" customFormat="1" ht="12">
      <c r="A1261" s="882"/>
      <c r="B1261" s="882"/>
      <c r="C1261" s="882"/>
      <c r="D1261" s="882"/>
      <c r="E1261" s="882"/>
      <c r="F1261" s="877"/>
      <c r="G1261" s="882"/>
      <c r="H1261" s="882"/>
      <c r="I1261" s="503"/>
      <c r="J1261" s="882"/>
      <c r="K1261" s="882"/>
      <c r="L1261" s="882"/>
      <c r="M1261" s="882"/>
      <c r="N1261" s="882"/>
      <c r="O1261" s="882"/>
      <c r="P1261" s="882"/>
      <c r="Q1261" s="503"/>
      <c r="R1261" s="883">
        <f>$A1261*Q1261</f>
        <v>0</v>
      </c>
      <c r="S1261" s="503"/>
      <c r="T1261" s="884">
        <f>$A1261*S1261*$T$1</f>
        <v>0</v>
      </c>
    </row>
    <row r="1262" spans="1:41" s="504" customFormat="1" ht="12.6" thickBot="1">
      <c r="A1262" s="885" t="s">
        <v>142</v>
      </c>
      <c r="B1262" s="886">
        <f>(R1261+T1261)</f>
        <v>0</v>
      </c>
      <c r="C1262" s="887"/>
      <c r="D1262" s="887"/>
      <c r="E1262" s="887"/>
      <c r="F1262" s="888"/>
      <c r="G1262" s="887" t="s">
        <v>143</v>
      </c>
      <c r="H1262" s="887"/>
      <c r="I1262" s="889"/>
      <c r="J1262" s="887"/>
      <c r="K1262" s="887" t="s">
        <v>3</v>
      </c>
      <c r="L1262" s="890" t="s">
        <v>140</v>
      </c>
      <c r="M1262" s="890"/>
      <c r="N1262" s="890"/>
      <c r="O1262" s="890"/>
      <c r="P1262" s="890"/>
      <c r="Q1262" s="891"/>
      <c r="R1262" s="892">
        <f>SUM(R1258:R1261)</f>
        <v>0</v>
      </c>
      <c r="S1262" s="887"/>
      <c r="T1262" s="892">
        <f>SUM(T1258:T1261)</f>
        <v>1.3125</v>
      </c>
      <c r="U1262" s="514"/>
      <c r="V1262" s="514"/>
      <c r="W1262" s="514"/>
      <c r="X1262" s="514"/>
      <c r="Y1262" s="514"/>
      <c r="Z1262" s="514"/>
      <c r="AA1262" s="514"/>
      <c r="AB1262" s="514"/>
      <c r="AC1262" s="514"/>
      <c r="AD1262" s="514"/>
      <c r="AE1262" s="514"/>
      <c r="AF1262" s="514"/>
      <c r="AG1262" s="514"/>
      <c r="AH1262" s="514"/>
      <c r="AI1262" s="514"/>
      <c r="AJ1262" s="514"/>
      <c r="AK1262" s="514"/>
      <c r="AL1262" s="514"/>
      <c r="AM1262" s="514"/>
      <c r="AN1262" s="514"/>
      <c r="AO1262" s="514"/>
    </row>
    <row r="1263" spans="1:41" s="504" customFormat="1" ht="12" thickTop="1">
      <c r="A1263" s="47" t="s">
        <v>145</v>
      </c>
      <c r="D1263" s="13"/>
      <c r="E1263" s="41"/>
      <c r="O1263" s="893"/>
    </row>
    <row r="1264" spans="1:41" s="504" customFormat="1" ht="13.2">
      <c r="B1264" s="3"/>
      <c r="O1264" s="893"/>
    </row>
    <row r="1265" spans="1:37" s="504" customFormat="1" ht="12">
      <c r="B1265" s="894">
        <f>$F1265/$C$2-($R1265*$S$2+$T1265*$T$2)</f>
        <v>-1.1382000025150774E-4</v>
      </c>
      <c r="D1265" s="895" t="s">
        <v>817</v>
      </c>
      <c r="E1265" s="896"/>
      <c r="F1265" s="897">
        <f>SUMIF($L1207:$L1263,"ITEM",F1207:F1263)</f>
        <v>1981.47</v>
      </c>
      <c r="G1265" s="882"/>
      <c r="H1265" s="882"/>
      <c r="I1265" s="503"/>
      <c r="J1265" s="882"/>
      <c r="K1265" s="882"/>
      <c r="L1265" s="879" t="s">
        <v>154</v>
      </c>
      <c r="M1265" s="879"/>
      <c r="N1265" s="879"/>
      <c r="O1265" s="879"/>
      <c r="P1265" s="879"/>
      <c r="R1265" s="897">
        <f>SUMIF($L1207:$L1263,"ITEM",R1207:R1263)</f>
        <v>1220.2920000000001</v>
      </c>
      <c r="S1265" s="898"/>
      <c r="T1265" s="897">
        <f>SUMIF($L1207:$L1263,"ITEM",T1207:T1263)</f>
        <v>14.007000000000001</v>
      </c>
    </row>
    <row r="1266" spans="1:37" s="504" customFormat="1" ht="13.2">
      <c r="A1266" s="50"/>
      <c r="B1266" s="48" t="s">
        <v>816</v>
      </c>
      <c r="C1266" s="50"/>
      <c r="D1266" s="3"/>
      <c r="F1266" s="899" t="s">
        <v>155</v>
      </c>
      <c r="G1266" s="882"/>
      <c r="H1266" s="882"/>
      <c r="I1266" s="503"/>
      <c r="J1266" s="882"/>
      <c r="K1266" s="882"/>
      <c r="L1266" s="882"/>
      <c r="M1266" s="882"/>
      <c r="N1266" s="882"/>
      <c r="O1266" s="882"/>
      <c r="P1266" s="882"/>
      <c r="Q1266" s="900"/>
      <c r="R1266" s="899" t="s">
        <v>156</v>
      </c>
      <c r="S1266" s="38"/>
      <c r="T1266" s="899" t="s">
        <v>157</v>
      </c>
    </row>
    <row r="1267" spans="1:37" s="504" customFormat="1" ht="13.2">
      <c r="A1267" s="882"/>
      <c r="B1267" s="3"/>
      <c r="C1267" s="882"/>
      <c r="D1267" s="3"/>
      <c r="E1267" s="3"/>
      <c r="G1267" s="3"/>
      <c r="H1267" s="3"/>
      <c r="I1267" s="3"/>
      <c r="J1267" s="3"/>
      <c r="K1267" s="3"/>
      <c r="L1267" s="3"/>
      <c r="M1267" s="3"/>
      <c r="N1267" s="3"/>
      <c r="O1267" s="103"/>
      <c r="P1267" s="3"/>
      <c r="Q1267" s="3"/>
      <c r="R1267" s="3"/>
      <c r="S1267" s="3"/>
      <c r="T1267" s="3"/>
    </row>
    <row r="1268" spans="1:37" s="504" customFormat="1" ht="12" thickBot="1">
      <c r="A1268" s="514"/>
      <c r="B1268" s="887"/>
      <c r="C1268" s="887"/>
      <c r="D1268" s="514"/>
      <c r="E1268" s="39"/>
      <c r="F1268" s="901"/>
      <c r="G1268" s="887"/>
      <c r="H1268" s="887"/>
      <c r="I1268" s="889"/>
      <c r="J1268" s="887"/>
      <c r="K1268" s="887"/>
      <c r="L1268" s="890"/>
      <c r="M1268" s="890"/>
      <c r="N1268" s="890"/>
      <c r="O1268" s="890"/>
      <c r="P1268" s="890"/>
      <c r="Q1268" s="891"/>
      <c r="R1268" s="901"/>
      <c r="S1268" s="902"/>
      <c r="T1268" s="901"/>
      <c r="U1268" s="514"/>
      <c r="V1268" s="514"/>
      <c r="W1268" s="514"/>
      <c r="X1268" s="514"/>
      <c r="Y1268" s="514"/>
      <c r="Z1268" s="514"/>
      <c r="AA1268" s="514"/>
      <c r="AB1268" s="514"/>
      <c r="AC1268" s="514"/>
      <c r="AD1268" s="514"/>
      <c r="AE1268" s="514"/>
      <c r="AF1268" s="514"/>
      <c r="AG1268" s="514"/>
      <c r="AH1268" s="514"/>
      <c r="AI1268" s="514"/>
      <c r="AJ1268" s="514"/>
      <c r="AK1268" s="514"/>
    </row>
    <row r="1269" spans="1:37" s="504" customFormat="1" thickTop="1">
      <c r="A1269" s="50"/>
      <c r="B1269" s="50"/>
      <c r="C1269" s="3"/>
      <c r="D1269" s="3"/>
      <c r="E1269" s="50"/>
      <c r="F1269" s="50"/>
      <c r="G1269" s="50"/>
      <c r="H1269" s="50"/>
      <c r="I1269" s="50"/>
      <c r="J1269" s="50"/>
      <c r="K1269" s="50" t="s">
        <v>133</v>
      </c>
      <c r="L1269" s="50"/>
      <c r="M1269" s="50"/>
      <c r="N1269" s="50"/>
      <c r="O1269" s="51"/>
      <c r="P1269" s="50"/>
      <c r="Q1269" s="50"/>
      <c r="R1269" s="50"/>
      <c r="S1269" s="50"/>
      <c r="T1269" s="50"/>
    </row>
    <row r="1270" spans="1:37" s="504" customFormat="1" ht="12">
      <c r="A1270" s="50"/>
      <c r="B1270" s="50"/>
      <c r="C1270" s="50" t="s">
        <v>134</v>
      </c>
      <c r="D1270" s="37"/>
      <c r="E1270" s="50"/>
      <c r="F1270" s="50"/>
      <c r="G1270" s="50"/>
      <c r="H1270" s="50"/>
      <c r="I1270" s="50"/>
      <c r="J1270" s="50"/>
      <c r="K1270" s="50"/>
      <c r="L1270" s="50"/>
      <c r="M1270" s="50"/>
      <c r="N1270" s="50"/>
      <c r="O1270" s="51"/>
      <c r="P1270" s="50"/>
      <c r="Q1270" s="50"/>
      <c r="R1270" s="50"/>
      <c r="S1270" s="50"/>
      <c r="T1270" s="50"/>
    </row>
    <row r="1271" spans="1:37" s="504" customFormat="1" ht="12">
      <c r="A1271" s="50"/>
      <c r="B1271" s="50"/>
      <c r="C1271" s="50"/>
      <c r="D1271" s="37" t="s">
        <v>400</v>
      </c>
      <c r="E1271" s="50"/>
      <c r="F1271" s="50"/>
      <c r="G1271" s="50"/>
      <c r="H1271" s="50"/>
      <c r="I1271" s="50"/>
      <c r="J1271" s="50"/>
      <c r="K1271" s="50"/>
      <c r="L1271" s="50"/>
      <c r="M1271" s="50"/>
      <c r="N1271" s="50"/>
      <c r="O1271" s="51"/>
      <c r="P1271" s="50"/>
      <c r="Q1271" s="50"/>
      <c r="R1271" s="50"/>
      <c r="S1271" s="38"/>
      <c r="T1271" s="38"/>
    </row>
    <row r="1272" spans="1:37" s="3" customFormat="1" thickBot="1">
      <c r="A1272" s="514"/>
      <c r="O1272" s="103"/>
    </row>
    <row r="1273" spans="1:37" s="504" customFormat="1" thickTop="1">
      <c r="A1273" s="50"/>
      <c r="B1273" s="50"/>
      <c r="C1273" s="3"/>
      <c r="D1273" s="3"/>
      <c r="E1273" s="50"/>
      <c r="F1273" s="50"/>
      <c r="G1273" s="50"/>
      <c r="H1273" s="50"/>
      <c r="I1273" s="50"/>
      <c r="J1273" s="50"/>
      <c r="K1273" s="50" t="s">
        <v>133</v>
      </c>
      <c r="L1273" s="50"/>
      <c r="M1273" s="50"/>
      <c r="N1273" s="50"/>
      <c r="O1273" s="51"/>
      <c r="P1273" s="50"/>
      <c r="Q1273" s="50"/>
      <c r="R1273" s="50"/>
      <c r="S1273" s="50"/>
      <c r="T1273" s="50"/>
    </row>
    <row r="1274" spans="1:37" s="504" customFormat="1" ht="12">
      <c r="A1274" s="50"/>
      <c r="B1274" s="50"/>
      <c r="C1274" s="50" t="s">
        <v>134</v>
      </c>
      <c r="D1274" s="37"/>
      <c r="E1274" s="50"/>
      <c r="F1274" s="50"/>
      <c r="G1274" s="50"/>
      <c r="H1274" s="50"/>
      <c r="I1274" s="50"/>
      <c r="J1274" s="50"/>
      <c r="K1274" s="50"/>
      <c r="L1274" s="50"/>
      <c r="M1274" s="50"/>
      <c r="N1274" s="50"/>
      <c r="O1274" s="51"/>
      <c r="P1274" s="50"/>
      <c r="Q1274" s="50"/>
      <c r="R1274" s="50"/>
      <c r="S1274" s="50"/>
      <c r="T1274" s="50"/>
    </row>
    <row r="1275" spans="1:37" s="504" customFormat="1" ht="12">
      <c r="A1275" s="50"/>
      <c r="B1275" s="50"/>
      <c r="C1275" s="50"/>
      <c r="D1275" s="37" t="s">
        <v>332</v>
      </c>
      <c r="E1275" s="50"/>
      <c r="F1275" s="50"/>
      <c r="G1275" s="50"/>
      <c r="H1275" s="50"/>
      <c r="I1275" s="50"/>
      <c r="J1275" s="50"/>
      <c r="K1275" s="50"/>
      <c r="L1275" s="50"/>
      <c r="M1275" s="50"/>
      <c r="N1275" s="50"/>
      <c r="O1275" s="51"/>
      <c r="P1275" s="50"/>
      <c r="Q1275" s="50"/>
      <c r="R1275" s="50"/>
      <c r="S1275" s="38"/>
      <c r="T1275" s="38"/>
    </row>
    <row r="1276" spans="1:37" s="3" customFormat="1" thickBot="1">
      <c r="A1276" s="514"/>
      <c r="O1276" s="103"/>
    </row>
    <row r="1277" spans="1:37" s="504" customFormat="1" thickTop="1">
      <c r="A1277" s="50"/>
      <c r="B1277" s="50"/>
      <c r="C1277" s="3"/>
      <c r="D1277" s="3"/>
      <c r="E1277" s="50"/>
      <c r="F1277" s="50"/>
      <c r="G1277" s="50"/>
      <c r="H1277" s="50"/>
      <c r="I1277" s="50"/>
      <c r="J1277" s="50"/>
      <c r="K1277" s="50" t="s">
        <v>133</v>
      </c>
      <c r="L1277" s="50"/>
      <c r="M1277" s="50"/>
      <c r="N1277" s="50"/>
      <c r="O1277" s="51"/>
      <c r="P1277" s="50"/>
      <c r="Q1277" s="50"/>
      <c r="R1277" s="50"/>
      <c r="S1277" s="50"/>
      <c r="T1277" s="50"/>
    </row>
    <row r="1278" spans="1:37" s="504" customFormat="1" ht="12">
      <c r="A1278" s="50"/>
      <c r="B1278" s="50"/>
      <c r="C1278" s="50" t="s">
        <v>134</v>
      </c>
      <c r="D1278" s="37" t="s">
        <v>858</v>
      </c>
      <c r="E1278" s="50"/>
      <c r="F1278" s="50"/>
      <c r="G1278" s="50"/>
      <c r="H1278" s="50"/>
      <c r="I1278" s="50"/>
      <c r="J1278" s="50"/>
      <c r="K1278" s="50"/>
      <c r="L1278" s="50"/>
      <c r="M1278" s="50"/>
      <c r="N1278" s="50"/>
      <c r="O1278" s="51"/>
      <c r="P1278" s="50"/>
      <c r="Q1278" s="50"/>
      <c r="R1278" s="50"/>
      <c r="S1278" s="50"/>
      <c r="T1278" s="50"/>
    </row>
    <row r="1279" spans="1:37" s="504" customFormat="1" ht="12">
      <c r="A1279" s="50"/>
      <c r="B1279" s="50"/>
      <c r="C1279" s="50"/>
      <c r="D1279" s="37" t="s">
        <v>839</v>
      </c>
      <c r="E1279" s="50"/>
      <c r="F1279" s="50"/>
      <c r="G1279" s="50"/>
      <c r="H1279" s="50"/>
      <c r="I1279" s="50"/>
      <c r="J1279" s="50"/>
      <c r="K1279" s="50"/>
      <c r="L1279" s="50"/>
      <c r="M1279" s="50"/>
      <c r="N1279" s="50"/>
      <c r="O1279" s="51"/>
      <c r="P1279" s="50"/>
      <c r="Q1279" s="50"/>
      <c r="R1279" s="50"/>
      <c r="S1279" s="38"/>
      <c r="T1279" s="38"/>
    </row>
    <row r="1280" spans="1:37" s="3" customFormat="1" thickBot="1">
      <c r="A1280" s="514"/>
      <c r="O1280" s="103"/>
    </row>
    <row r="1281" spans="1:41" s="504" customFormat="1" ht="12" thickTop="1">
      <c r="A1281" s="50"/>
      <c r="B1281" s="40"/>
      <c r="C1281" s="50"/>
      <c r="E1281" s="41" t="s">
        <v>136</v>
      </c>
      <c r="F1281" s="41" t="s">
        <v>137</v>
      </c>
      <c r="G1281" s="50"/>
      <c r="H1281" s="50"/>
      <c r="I1281" s="50"/>
      <c r="J1281" s="50"/>
      <c r="K1281" s="50" t="s">
        <v>138</v>
      </c>
      <c r="L1281" s="50"/>
      <c r="M1281" s="50"/>
      <c r="N1281" s="50"/>
      <c r="O1281" s="51"/>
      <c r="P1281" s="50"/>
      <c r="Q1281" s="50"/>
      <c r="R1281" s="50"/>
      <c r="S1281" s="50"/>
      <c r="T1281" s="40"/>
      <c r="AG1281" s="867" t="s">
        <v>241</v>
      </c>
      <c r="AH1281" s="867" t="s">
        <v>242</v>
      </c>
      <c r="AI1281" s="867" t="s">
        <v>243</v>
      </c>
      <c r="AJ1281" s="867" t="s">
        <v>244</v>
      </c>
      <c r="AK1281" s="867" t="s">
        <v>245</v>
      </c>
      <c r="AM1281" s="868" t="s">
        <v>254</v>
      </c>
      <c r="AN1281" s="869" t="s">
        <v>255</v>
      </c>
      <c r="AO1281" s="505" t="s">
        <v>251</v>
      </c>
    </row>
    <row r="1282" spans="1:41" s="504" customFormat="1" ht="12" customHeight="1">
      <c r="A1282" s="870">
        <v>6</v>
      </c>
      <c r="B1282" s="871" t="s">
        <v>335</v>
      </c>
      <c r="C1282" s="872"/>
      <c r="D1282" s="873" t="s">
        <v>804</v>
      </c>
      <c r="E1282" s="874">
        <f ca="1">IF(AND($A1282=0,$A$1="DIF"),0, ROUND(ROUND(($R1287*$S$2+($T1287*$T$2))/A1282,2)*$C$2,2))</f>
        <v>57.85</v>
      </c>
      <c r="F1282" s="875">
        <f ca="1">ROUND($A1282*$E1282,2)</f>
        <v>347.1</v>
      </c>
      <c r="G1282" s="876" t="s">
        <v>139</v>
      </c>
      <c r="H1282" s="877"/>
      <c r="I1282" s="878"/>
      <c r="J1282" s="877"/>
      <c r="K1282" s="877" t="s">
        <v>3</v>
      </c>
      <c r="L1282" s="879" t="s">
        <v>140</v>
      </c>
      <c r="M1282" s="879"/>
      <c r="N1282" s="879"/>
      <c r="O1282" s="879"/>
      <c r="P1282" s="879"/>
      <c r="Q1282" s="50"/>
      <c r="T1282" s="880" t="str">
        <f ca="1">IF(AND($R1287=0,$T1287=0),"0.00","mu :" &amp; ROUND($F1282/$C$2/($R1287+$T1287*$D$9),2))</f>
        <v>mu :1.22</v>
      </c>
      <c r="W1282" s="507"/>
      <c r="AG1282" s="465">
        <f ca="1">IF($E1282=0,0,ROUND($R1287*$S$2*$C$2/$A1282,2))</f>
        <v>11.77</v>
      </c>
      <c r="AH1282" s="465">
        <f ca="1">$AG1282*$A1282</f>
        <v>70.62</v>
      </c>
      <c r="AI1282" s="508">
        <f ca="1">$E1282-$AG1282</f>
        <v>46.08</v>
      </c>
      <c r="AJ1282" s="508">
        <f ca="1">$A1282*$AI1282</f>
        <v>276.48</v>
      </c>
      <c r="AK1282" s="509">
        <f ca="1">ROUND(($AG1282+$AI1282)*$A1282,2)</f>
        <v>347.1</v>
      </c>
      <c r="AM1282" s="510">
        <f ca="1">ROUND(R1287,2)</f>
        <v>57.9</v>
      </c>
      <c r="AN1282" s="511">
        <f ca="1">ROUND(T1287,2)</f>
        <v>7.86</v>
      </c>
      <c r="AO1282" s="512">
        <f ca="1">ROUND(AM1282+AN1282,2)*A1282</f>
        <v>394.56000000000006</v>
      </c>
    </row>
    <row r="1283" spans="1:41" s="504" customFormat="1" ht="13.2">
      <c r="A1283" s="872"/>
      <c r="B1283"/>
      <c r="C1283" s="872"/>
      <c r="D1283" s="873" t="s">
        <v>334</v>
      </c>
      <c r="F1283" s="877"/>
      <c r="G1283" s="3"/>
      <c r="H1283" s="877"/>
      <c r="I1283" s="878"/>
      <c r="J1283" s="877"/>
      <c r="K1283" s="877" t="s">
        <v>141</v>
      </c>
      <c r="L1283" s="877"/>
      <c r="M1283" s="877"/>
      <c r="N1283" s="877"/>
      <c r="O1283" s="877"/>
      <c r="P1283" s="877"/>
      <c r="Q1283" s="50"/>
      <c r="R1283" s="513"/>
      <c r="S1283" s="881"/>
      <c r="T1283" s="877"/>
    </row>
    <row r="1284" spans="1:41" s="997" customFormat="1" ht="13.2">
      <c r="A1284"/>
      <c r="B1284" s="1065"/>
      <c r="C1284" s="1065" t="s">
        <v>1006</v>
      </c>
      <c r="D1284" s="1065" t="str">
        <f ca="1">CELL("Address",Elec_Rates!D$200)</f>
        <v>[EL25_0662B_Brittania_Hotel_Elec_Revised_Estim_B.xlsx]Elec_Rates!$D$200</v>
      </c>
      <c r="E1284" s="1066"/>
      <c r="F1284" s="1066"/>
      <c r="G1284" s="1067" t="s">
        <v>1007</v>
      </c>
      <c r="H1284" s="1067"/>
      <c r="I1284" s="1067"/>
      <c r="J1284" s="1067"/>
      <c r="K1284" s="1068"/>
      <c r="L1284" s="1066"/>
      <c r="M1284" s="1066"/>
      <c r="N1284" s="1066"/>
      <c r="O1284" s="1069"/>
      <c r="P1284" s="1066"/>
      <c r="Q1284" s="1070"/>
      <c r="R1284" s="1071"/>
      <c r="S1284" s="1070"/>
      <c r="T1284" s="1072"/>
      <c r="U1284" s="1073"/>
    </row>
    <row r="1285" spans="1:41" s="997" customFormat="1" ht="11.4">
      <c r="A1285" s="1074">
        <v>6</v>
      </c>
      <c r="B1285" s="1075">
        <v>1</v>
      </c>
      <c r="C1285" s="1075">
        <f>$A1285*$B1285</f>
        <v>6</v>
      </c>
      <c r="D1285" s="1076" t="str">
        <f>Elec_Rates!$D$200</f>
        <v>019# Lighting point in LSZH Conduit</v>
      </c>
      <c r="E1285" s="1076"/>
      <c r="F1285" s="1076" t="s">
        <v>1293</v>
      </c>
      <c r="G1285" s="1077" t="s">
        <v>1008</v>
      </c>
      <c r="H1285" s="1077"/>
      <c r="I1285" s="1077"/>
      <c r="J1285" s="1077"/>
      <c r="K1285" s="1078"/>
      <c r="L1285" s="1073"/>
      <c r="M1285" s="1073"/>
      <c r="N1285" s="1073"/>
      <c r="O1285" s="1079"/>
      <c r="P1285" s="1076"/>
      <c r="Q1285" s="1080">
        <f ca="1">$B1285*Elec_Rates!$R$200</f>
        <v>9.65</v>
      </c>
      <c r="R1285" s="1071">
        <f ca="1">$A1285*Q1285</f>
        <v>57.900000000000006</v>
      </c>
      <c r="S1285" s="1080">
        <f ca="1">$B1285*Elec_Rates!$T$200</f>
        <v>1.31</v>
      </c>
      <c r="T1285" s="1072">
        <f ca="1">$A1285*S1285</f>
        <v>7.86</v>
      </c>
      <c r="U1285" s="1081"/>
    </row>
    <row r="1286" spans="1:41" s="504" customFormat="1" ht="12">
      <c r="A1286" s="882"/>
      <c r="B1286" s="882"/>
      <c r="C1286" s="882"/>
      <c r="D1286" s="882"/>
      <c r="E1286" s="882"/>
      <c r="F1286" s="877"/>
      <c r="G1286" s="882"/>
      <c r="H1286" s="882"/>
      <c r="I1286" s="503"/>
      <c r="J1286" s="882"/>
      <c r="K1286" s="882"/>
      <c r="L1286" s="882"/>
      <c r="M1286" s="882"/>
      <c r="N1286" s="882"/>
      <c r="O1286" s="882"/>
      <c r="P1286" s="882"/>
      <c r="Q1286" s="503"/>
      <c r="R1286" s="883">
        <f>$A1286*Q1286</f>
        <v>0</v>
      </c>
      <c r="S1286" s="503"/>
      <c r="T1286" s="884">
        <f>$A1286*S1286*$T$1</f>
        <v>0</v>
      </c>
    </row>
    <row r="1287" spans="1:41" s="504" customFormat="1" ht="12.6" thickBot="1">
      <c r="A1287" s="885" t="s">
        <v>142</v>
      </c>
      <c r="B1287" s="886">
        <f>(R1286+T1286)</f>
        <v>0</v>
      </c>
      <c r="C1287" s="887"/>
      <c r="D1287" s="887"/>
      <c r="E1287" s="887"/>
      <c r="F1287" s="888"/>
      <c r="G1287" s="887" t="s">
        <v>143</v>
      </c>
      <c r="H1287" s="887"/>
      <c r="I1287" s="889"/>
      <c r="J1287" s="887"/>
      <c r="K1287" s="887" t="s">
        <v>3</v>
      </c>
      <c r="L1287" s="890" t="s">
        <v>140</v>
      </c>
      <c r="M1287" s="890"/>
      <c r="N1287" s="890"/>
      <c r="O1287" s="890"/>
      <c r="P1287" s="890"/>
      <c r="Q1287" s="891"/>
      <c r="R1287" s="892">
        <f ca="1">SUM(R1283:R1286)</f>
        <v>57.900000000000006</v>
      </c>
      <c r="S1287" s="887"/>
      <c r="T1287" s="892">
        <f ca="1">SUM(T1283:T1286)</f>
        <v>7.86</v>
      </c>
      <c r="U1287" s="514"/>
      <c r="V1287" s="514"/>
      <c r="W1287" s="514"/>
      <c r="X1287" s="514"/>
      <c r="Y1287" s="514"/>
      <c r="Z1287" s="514"/>
      <c r="AA1287" s="514"/>
      <c r="AB1287" s="514"/>
      <c r="AC1287" s="514"/>
      <c r="AD1287" s="514"/>
      <c r="AE1287" s="514"/>
      <c r="AF1287" s="514"/>
      <c r="AG1287" s="514"/>
      <c r="AH1287" s="514"/>
      <c r="AI1287" s="514"/>
      <c r="AJ1287" s="514"/>
      <c r="AK1287" s="514"/>
      <c r="AL1287" s="514"/>
      <c r="AM1287" s="514"/>
      <c r="AN1287" s="514"/>
      <c r="AO1287" s="514"/>
    </row>
    <row r="1288" spans="1:41" s="504" customFormat="1" ht="12" thickTop="1">
      <c r="A1288" s="50"/>
      <c r="B1288" s="40"/>
      <c r="C1288" s="50"/>
      <c r="E1288" s="41" t="s">
        <v>136</v>
      </c>
      <c r="F1288" s="41" t="s">
        <v>137</v>
      </c>
      <c r="G1288" s="50"/>
      <c r="H1288" s="50"/>
      <c r="I1288" s="50"/>
      <c r="J1288" s="50"/>
      <c r="K1288" s="50" t="s">
        <v>138</v>
      </c>
      <c r="L1288" s="50"/>
      <c r="M1288" s="50"/>
      <c r="N1288" s="50"/>
      <c r="O1288" s="51"/>
      <c r="P1288" s="50"/>
      <c r="Q1288" s="50"/>
      <c r="R1288" s="50"/>
      <c r="S1288" s="50"/>
      <c r="T1288" s="40"/>
      <c r="AG1288" s="867" t="s">
        <v>241</v>
      </c>
      <c r="AH1288" s="867" t="s">
        <v>242</v>
      </c>
      <c r="AI1288" s="867" t="s">
        <v>243</v>
      </c>
      <c r="AJ1288" s="867" t="s">
        <v>244</v>
      </c>
      <c r="AK1288" s="867" t="s">
        <v>245</v>
      </c>
      <c r="AM1288" s="868" t="s">
        <v>254</v>
      </c>
      <c r="AN1288" s="869" t="s">
        <v>255</v>
      </c>
      <c r="AO1288" s="505" t="s">
        <v>251</v>
      </c>
    </row>
    <row r="1289" spans="1:41" s="504" customFormat="1" ht="12" customHeight="1">
      <c r="A1289" s="870">
        <v>2</v>
      </c>
      <c r="B1289" s="871" t="s">
        <v>335</v>
      </c>
      <c r="C1289" s="872"/>
      <c r="D1289" s="873" t="s">
        <v>806</v>
      </c>
      <c r="E1289" s="874">
        <f ca="1">IF(AND($A1289=0,$A$1="DIF"),0, ROUND(ROUND(($R1294*$S$2+($T1294*$T$2))/A1289,2)*$C$2,2))</f>
        <v>86.78</v>
      </c>
      <c r="F1289" s="875">
        <f ca="1">ROUND($A1289*$E1289,2)</f>
        <v>173.56</v>
      </c>
      <c r="G1289" s="876" t="s">
        <v>139</v>
      </c>
      <c r="H1289" s="877"/>
      <c r="I1289" s="878"/>
      <c r="J1289" s="877"/>
      <c r="K1289" s="877" t="s">
        <v>3</v>
      </c>
      <c r="L1289" s="879" t="s">
        <v>140</v>
      </c>
      <c r="M1289" s="879"/>
      <c r="N1289" s="879"/>
      <c r="O1289" s="879"/>
      <c r="P1289" s="879"/>
      <c r="Q1289" s="50"/>
      <c r="T1289" s="880" t="str">
        <f ca="1">IF(AND($R1294=0,$T1294=0),"0.00","mu :" &amp; ROUND($F1289/$C$2/($R1294+$T1294*$D$9),2))</f>
        <v>mu :1.22</v>
      </c>
      <c r="W1289" s="507"/>
      <c r="AG1289" s="465">
        <f ca="1">IF($E1289=0,0,ROUND($R1294*$S$2*$C$2/$A1289,2))</f>
        <v>17.66</v>
      </c>
      <c r="AH1289" s="465">
        <f ca="1">$AG1289*$A1289</f>
        <v>35.32</v>
      </c>
      <c r="AI1289" s="508">
        <f ca="1">$E1289-$AG1289</f>
        <v>69.12</v>
      </c>
      <c r="AJ1289" s="508">
        <f ca="1">$A1289*$AI1289</f>
        <v>138.24</v>
      </c>
      <c r="AK1289" s="509">
        <f ca="1">ROUND(($AG1289+$AI1289)*$A1289,2)</f>
        <v>173.56</v>
      </c>
      <c r="AM1289" s="510">
        <f ca="1">ROUND(R1294,2)</f>
        <v>28.95</v>
      </c>
      <c r="AN1289" s="511">
        <f ca="1">ROUND(T1294,2)</f>
        <v>3.93</v>
      </c>
      <c r="AO1289" s="512">
        <f ca="1">ROUND(AM1289+AN1289,2)*A1289</f>
        <v>65.760000000000005</v>
      </c>
    </row>
    <row r="1290" spans="1:41" s="504" customFormat="1" ht="13.2">
      <c r="A1290" s="872"/>
      <c r="B1290"/>
      <c r="C1290" s="872"/>
      <c r="D1290" s="873" t="s">
        <v>401</v>
      </c>
      <c r="F1290" s="877"/>
      <c r="G1290" s="3"/>
      <c r="H1290" s="877"/>
      <c r="I1290" s="878"/>
      <c r="J1290" s="877"/>
      <c r="K1290" s="877" t="s">
        <v>141</v>
      </c>
      <c r="L1290" s="877"/>
      <c r="M1290" s="877"/>
      <c r="N1290" s="877"/>
      <c r="O1290" s="877"/>
      <c r="P1290" s="877"/>
      <c r="Q1290" s="50"/>
      <c r="R1290" s="513"/>
      <c r="S1290" s="881"/>
      <c r="T1290" s="877"/>
    </row>
    <row r="1291" spans="1:41" s="997" customFormat="1" ht="13.2">
      <c r="A1291"/>
      <c r="B1291" s="1065"/>
      <c r="C1291" s="1065" t="s">
        <v>1006</v>
      </c>
      <c r="D1291" s="1065" t="str">
        <f ca="1">CELL("Address",Elec_Rates!D$200)</f>
        <v>[EL25_0662B_Brittania_Hotel_Elec_Revised_Estim_B.xlsx]Elec_Rates!$D$200</v>
      </c>
      <c r="E1291" s="1066"/>
      <c r="F1291" s="1066"/>
      <c r="G1291" s="1067" t="s">
        <v>1007</v>
      </c>
      <c r="H1291" s="1067"/>
      <c r="I1291" s="1067"/>
      <c r="J1291" s="1067"/>
      <c r="K1291" s="1068"/>
      <c r="L1291" s="1066"/>
      <c r="M1291" s="1066"/>
      <c r="N1291" s="1066"/>
      <c r="O1291" s="1069"/>
      <c r="P1291" s="1066"/>
      <c r="Q1291" s="1070"/>
      <c r="R1291" s="1071"/>
      <c r="S1291" s="1070"/>
      <c r="T1291" s="1072"/>
      <c r="U1291" s="1073"/>
    </row>
    <row r="1292" spans="1:41" s="997" customFormat="1" ht="11.4">
      <c r="A1292" s="1074">
        <v>2</v>
      </c>
      <c r="B1292" s="1075">
        <v>1.5</v>
      </c>
      <c r="C1292" s="1075">
        <f>$A1292*$B1292</f>
        <v>3</v>
      </c>
      <c r="D1292" s="1076" t="str">
        <f>Elec_Rates!$D$200</f>
        <v>019# Lighting point in LSZH Conduit</v>
      </c>
      <c r="E1292" s="1076"/>
      <c r="F1292" s="1076" t="s">
        <v>1294</v>
      </c>
      <c r="G1292" s="1077" t="s">
        <v>1008</v>
      </c>
      <c r="H1292" s="1077"/>
      <c r="I1292" s="1077"/>
      <c r="J1292" s="1077"/>
      <c r="K1292" s="1078"/>
      <c r="L1292" s="1073"/>
      <c r="M1292" s="1073"/>
      <c r="N1292" s="1073"/>
      <c r="O1292" s="1079"/>
      <c r="P1292" s="1076"/>
      <c r="Q1292" s="1080">
        <f ca="1">$B1292*Elec_Rates!$R$200</f>
        <v>14.475000000000001</v>
      </c>
      <c r="R1292" s="1071">
        <f ca="1">$A1292*Q1292</f>
        <v>28.950000000000003</v>
      </c>
      <c r="S1292" s="1080">
        <f ca="1">$B1292*Elec_Rates!$T$200</f>
        <v>1.9650000000000001</v>
      </c>
      <c r="T1292" s="1072">
        <f ca="1">$A1292*S1292</f>
        <v>3.93</v>
      </c>
      <c r="U1292" s="1081"/>
    </row>
    <row r="1293" spans="1:41" s="504" customFormat="1" ht="12">
      <c r="A1293" s="882"/>
      <c r="B1293" s="882"/>
      <c r="C1293" s="882"/>
      <c r="D1293" s="882"/>
      <c r="E1293" s="882"/>
      <c r="F1293" s="877"/>
      <c r="G1293" s="882"/>
      <c r="H1293" s="882"/>
      <c r="I1293" s="503"/>
      <c r="J1293" s="882"/>
      <c r="K1293" s="882"/>
      <c r="L1293" s="882"/>
      <c r="M1293" s="882"/>
      <c r="N1293" s="882"/>
      <c r="O1293" s="882"/>
      <c r="P1293" s="882"/>
      <c r="Q1293" s="503"/>
      <c r="R1293" s="883">
        <f>$A1293*Q1293</f>
        <v>0</v>
      </c>
      <c r="S1293" s="503"/>
      <c r="T1293" s="884">
        <f>$A1293*S1293*$T$1</f>
        <v>0</v>
      </c>
    </row>
    <row r="1294" spans="1:41" s="504" customFormat="1" ht="12.6" thickBot="1">
      <c r="A1294" s="885" t="s">
        <v>142</v>
      </c>
      <c r="B1294" s="886">
        <f>(R1293+T1293)</f>
        <v>0</v>
      </c>
      <c r="C1294" s="887"/>
      <c r="D1294" s="887"/>
      <c r="E1294" s="887"/>
      <c r="F1294" s="888"/>
      <c r="G1294" s="887" t="s">
        <v>143</v>
      </c>
      <c r="H1294" s="887"/>
      <c r="I1294" s="889"/>
      <c r="J1294" s="887"/>
      <c r="K1294" s="887" t="s">
        <v>3</v>
      </c>
      <c r="L1294" s="890" t="s">
        <v>140</v>
      </c>
      <c r="M1294" s="890"/>
      <c r="N1294" s="890"/>
      <c r="O1294" s="890"/>
      <c r="P1294" s="890"/>
      <c r="Q1294" s="891"/>
      <c r="R1294" s="892">
        <f ca="1">SUM(R1290:R1293)</f>
        <v>28.950000000000003</v>
      </c>
      <c r="S1294" s="887"/>
      <c r="T1294" s="892">
        <f ca="1">SUM(T1290:T1293)</f>
        <v>3.93</v>
      </c>
      <c r="U1294" s="514"/>
      <c r="V1294" s="514"/>
      <c r="W1294" s="514"/>
      <c r="X1294" s="514"/>
      <c r="Y1294" s="514"/>
      <c r="Z1294" s="514"/>
      <c r="AA1294" s="514"/>
      <c r="AB1294" s="514"/>
      <c r="AC1294" s="514"/>
      <c r="AD1294" s="514"/>
      <c r="AE1294" s="514"/>
      <c r="AF1294" s="514"/>
      <c r="AG1294" s="514"/>
      <c r="AH1294" s="514"/>
      <c r="AI1294" s="514"/>
      <c r="AJ1294" s="514"/>
      <c r="AK1294" s="514"/>
      <c r="AL1294" s="514"/>
      <c r="AM1294" s="514"/>
      <c r="AN1294" s="514"/>
      <c r="AO1294" s="514"/>
    </row>
    <row r="1295" spans="1:41" s="504" customFormat="1" ht="12" thickTop="1">
      <c r="A1295" s="50"/>
      <c r="B1295" s="40"/>
      <c r="C1295" s="50"/>
      <c r="E1295" s="41" t="s">
        <v>136</v>
      </c>
      <c r="F1295" s="41" t="s">
        <v>137</v>
      </c>
      <c r="G1295" s="50"/>
      <c r="H1295" s="50"/>
      <c r="I1295" s="50"/>
      <c r="J1295" s="50"/>
      <c r="K1295" s="50" t="s">
        <v>138</v>
      </c>
      <c r="L1295" s="50"/>
      <c r="M1295" s="50"/>
      <c r="N1295" s="50"/>
      <c r="O1295" s="51"/>
      <c r="P1295" s="50"/>
      <c r="Q1295" s="50"/>
      <c r="R1295" s="50"/>
      <c r="S1295" s="50"/>
      <c r="T1295" s="40"/>
      <c r="AG1295" s="867" t="s">
        <v>241</v>
      </c>
      <c r="AH1295" s="867" t="s">
        <v>242</v>
      </c>
      <c r="AI1295" s="867" t="s">
        <v>243</v>
      </c>
      <c r="AJ1295" s="867" t="s">
        <v>244</v>
      </c>
      <c r="AK1295" s="867" t="s">
        <v>245</v>
      </c>
      <c r="AM1295" s="868" t="s">
        <v>254</v>
      </c>
      <c r="AN1295" s="869" t="s">
        <v>255</v>
      </c>
      <c r="AO1295" s="505" t="s">
        <v>251</v>
      </c>
    </row>
    <row r="1296" spans="1:41" s="504" customFormat="1" ht="12" customHeight="1">
      <c r="A1296" s="870">
        <v>2</v>
      </c>
      <c r="B1296" s="871" t="s">
        <v>335</v>
      </c>
      <c r="C1296" s="872"/>
      <c r="D1296" s="873" t="s">
        <v>808</v>
      </c>
      <c r="E1296" s="874">
        <f ca="1">IF(AND($A1296=0,$A$1="DIF"),0, ROUND(ROUND(($R1301*$S$2+($T1301*$T$2))/A1296,2)*$C$2,2))</f>
        <v>173.56</v>
      </c>
      <c r="F1296" s="875">
        <f ca="1">ROUND($A1296*$E1296,2)</f>
        <v>347.12</v>
      </c>
      <c r="G1296" s="876" t="s">
        <v>139</v>
      </c>
      <c r="H1296" s="877"/>
      <c r="I1296" s="878"/>
      <c r="J1296" s="877"/>
      <c r="K1296" s="877" t="s">
        <v>3</v>
      </c>
      <c r="L1296" s="879" t="s">
        <v>140</v>
      </c>
      <c r="M1296" s="879"/>
      <c r="N1296" s="879"/>
      <c r="O1296" s="879"/>
      <c r="P1296" s="879"/>
      <c r="Q1296" s="50"/>
      <c r="T1296" s="880" t="str">
        <f ca="1">IF(AND($R1301=0,$T1301=0),"0.00","mu :" &amp; ROUND($F1296/$C$2/($R1301+$T1301*$D$9),2))</f>
        <v>mu :1.22</v>
      </c>
      <c r="W1296" s="507"/>
      <c r="AG1296" s="465">
        <f ca="1">IF($E1296=0,0,ROUND($R1301*$S$2*$C$2/$A1296,2))</f>
        <v>35.32</v>
      </c>
      <c r="AH1296" s="465">
        <f ca="1">$AG1296*$A1296</f>
        <v>70.64</v>
      </c>
      <c r="AI1296" s="508">
        <f ca="1">$E1296-$AG1296</f>
        <v>138.24</v>
      </c>
      <c r="AJ1296" s="508">
        <f ca="1">$A1296*$AI1296</f>
        <v>276.48</v>
      </c>
      <c r="AK1296" s="509">
        <f ca="1">ROUND(($AG1296+$AI1296)*$A1296,2)</f>
        <v>347.12</v>
      </c>
      <c r="AM1296" s="510">
        <f ca="1">ROUND(R1301,2)</f>
        <v>57.9</v>
      </c>
      <c r="AN1296" s="511">
        <f ca="1">ROUND(T1301,2)</f>
        <v>7.86</v>
      </c>
      <c r="AO1296" s="512">
        <f ca="1">ROUND(AM1296+AN1296,2)*A1296</f>
        <v>131.52000000000001</v>
      </c>
    </row>
    <row r="1297" spans="1:41" s="504" customFormat="1" ht="13.2">
      <c r="A1297" s="872"/>
      <c r="B1297"/>
      <c r="C1297" s="872"/>
      <c r="D1297" s="916" t="s">
        <v>402</v>
      </c>
      <c r="E1297" s="917"/>
      <c r="F1297" s="918"/>
      <c r="G1297" s="919"/>
      <c r="H1297" s="918"/>
      <c r="I1297" s="920"/>
      <c r="J1297" s="918"/>
      <c r="K1297" s="918"/>
      <c r="L1297" s="918"/>
      <c r="M1297" s="918"/>
      <c r="N1297" s="918"/>
      <c r="O1297" s="918"/>
      <c r="P1297" s="918"/>
      <c r="Q1297" s="921"/>
      <c r="R1297" s="513"/>
      <c r="S1297" s="881"/>
      <c r="T1297" s="877"/>
    </row>
    <row r="1298" spans="1:41" s="997" customFormat="1" ht="13.2">
      <c r="A1298"/>
      <c r="B1298" s="1065"/>
      <c r="C1298" s="1065" t="s">
        <v>1006</v>
      </c>
      <c r="D1298" s="1065" t="str">
        <f ca="1">CELL("Address",Elec_Rates!D$200)</f>
        <v>[EL25_0662B_Brittania_Hotel_Elec_Revised_Estim_B.xlsx]Elec_Rates!$D$200</v>
      </c>
      <c r="E1298" s="1066"/>
      <c r="F1298" s="1066"/>
      <c r="G1298" s="1067" t="s">
        <v>1007</v>
      </c>
      <c r="H1298" s="1067"/>
      <c r="I1298" s="1067"/>
      <c r="J1298" s="1067"/>
      <c r="K1298" s="1068"/>
      <c r="L1298" s="1066"/>
      <c r="M1298" s="1066"/>
      <c r="N1298" s="1066"/>
      <c r="O1298" s="1069"/>
      <c r="P1298" s="1066"/>
      <c r="Q1298" s="1070"/>
      <c r="R1298" s="1071"/>
      <c r="S1298" s="1070"/>
      <c r="T1298" s="1072"/>
      <c r="U1298" s="1073"/>
    </row>
    <row r="1299" spans="1:41" s="997" customFormat="1" ht="11.4">
      <c r="A1299" s="1074">
        <v>2</v>
      </c>
      <c r="B1299" s="1075">
        <v>3</v>
      </c>
      <c r="C1299" s="1075">
        <f>$A1299*$B1299</f>
        <v>6</v>
      </c>
      <c r="D1299" s="1076" t="str">
        <f>Elec_Rates!$D$200</f>
        <v>019# Lighting point in LSZH Conduit</v>
      </c>
      <c r="E1299" s="1076"/>
      <c r="F1299" s="1076" t="s">
        <v>1295</v>
      </c>
      <c r="G1299" s="1077" t="s">
        <v>1008</v>
      </c>
      <c r="H1299" s="1077"/>
      <c r="I1299" s="1077"/>
      <c r="J1299" s="1077"/>
      <c r="K1299" s="1078"/>
      <c r="L1299" s="1073"/>
      <c r="M1299" s="1073"/>
      <c r="N1299" s="1073"/>
      <c r="O1299" s="1079"/>
      <c r="P1299" s="1076"/>
      <c r="Q1299" s="1080">
        <f ca="1">$B1299*Elec_Rates!$R$200</f>
        <v>28.950000000000003</v>
      </c>
      <c r="R1299" s="1071">
        <f ca="1">$A1299*Q1299</f>
        <v>57.900000000000006</v>
      </c>
      <c r="S1299" s="1080">
        <f ca="1">$B1299*Elec_Rates!$T$200</f>
        <v>3.93</v>
      </c>
      <c r="T1299" s="1072">
        <f ca="1">$A1299*S1299</f>
        <v>7.86</v>
      </c>
      <c r="U1299" s="1081"/>
    </row>
    <row r="1300" spans="1:41" s="504" customFormat="1" ht="12">
      <c r="A1300" s="882"/>
      <c r="B1300" s="882"/>
      <c r="C1300" s="882"/>
      <c r="D1300" s="882"/>
      <c r="E1300" s="882"/>
      <c r="F1300" s="877"/>
      <c r="G1300" s="882"/>
      <c r="H1300" s="882"/>
      <c r="I1300" s="503"/>
      <c r="J1300" s="882"/>
      <c r="K1300" s="882"/>
      <c r="L1300" s="882"/>
      <c r="M1300" s="882"/>
      <c r="N1300" s="882"/>
      <c r="O1300" s="882"/>
      <c r="P1300" s="882"/>
      <c r="Q1300" s="503"/>
      <c r="R1300" s="883">
        <f>$A1300*Q1300</f>
        <v>0</v>
      </c>
      <c r="S1300" s="503"/>
      <c r="T1300" s="884">
        <f>$A1300*S1300*$T$1</f>
        <v>0</v>
      </c>
    </row>
    <row r="1301" spans="1:41" s="504" customFormat="1" ht="12.6" thickBot="1">
      <c r="A1301" s="885" t="s">
        <v>142</v>
      </c>
      <c r="B1301" s="886">
        <f>(R1300+T1300)</f>
        <v>0</v>
      </c>
      <c r="C1301" s="887"/>
      <c r="D1301" s="887"/>
      <c r="E1301" s="887"/>
      <c r="F1301" s="888"/>
      <c r="G1301" s="887" t="s">
        <v>143</v>
      </c>
      <c r="H1301" s="887"/>
      <c r="I1301" s="889"/>
      <c r="J1301" s="887"/>
      <c r="K1301" s="887" t="s">
        <v>3</v>
      </c>
      <c r="L1301" s="890" t="s">
        <v>140</v>
      </c>
      <c r="M1301" s="890"/>
      <c r="N1301" s="890"/>
      <c r="O1301" s="890"/>
      <c r="P1301" s="890"/>
      <c r="Q1301" s="891"/>
      <c r="R1301" s="892">
        <f ca="1">SUM(R1297:R1300)</f>
        <v>57.900000000000006</v>
      </c>
      <c r="S1301" s="887"/>
      <c r="T1301" s="892">
        <f ca="1">SUM(T1297:T1300)</f>
        <v>7.86</v>
      </c>
      <c r="U1301" s="514"/>
      <c r="V1301" s="514"/>
      <c r="W1301" s="514"/>
      <c r="X1301" s="514"/>
      <c r="Y1301" s="514"/>
      <c r="Z1301" s="514"/>
      <c r="AA1301" s="514"/>
      <c r="AB1301" s="514"/>
      <c r="AC1301" s="514"/>
      <c r="AD1301" s="514"/>
      <c r="AE1301" s="514"/>
      <c r="AF1301" s="514"/>
      <c r="AG1301" s="514"/>
      <c r="AH1301" s="514"/>
      <c r="AI1301" s="514"/>
      <c r="AJ1301" s="514"/>
      <c r="AK1301" s="514"/>
      <c r="AL1301" s="514"/>
      <c r="AM1301" s="514"/>
      <c r="AN1301" s="514"/>
      <c r="AO1301" s="514"/>
    </row>
    <row r="1302" spans="1:41" s="504" customFormat="1" ht="12" thickTop="1">
      <c r="A1302" s="50"/>
      <c r="B1302" s="40"/>
      <c r="C1302" s="50"/>
      <c r="E1302" s="41" t="s">
        <v>136</v>
      </c>
      <c r="F1302" s="41" t="s">
        <v>137</v>
      </c>
      <c r="G1302" s="50"/>
      <c r="H1302" s="50"/>
      <c r="I1302" s="50"/>
      <c r="J1302" s="50"/>
      <c r="K1302" s="50" t="s">
        <v>138</v>
      </c>
      <c r="L1302" s="50"/>
      <c r="M1302" s="50"/>
      <c r="N1302" s="50"/>
      <c r="O1302" s="51"/>
      <c r="P1302" s="50"/>
      <c r="Q1302" s="50"/>
      <c r="R1302" s="50"/>
      <c r="S1302" s="50"/>
      <c r="T1302" s="40"/>
      <c r="AG1302" s="867" t="s">
        <v>241</v>
      </c>
      <c r="AH1302" s="867" t="s">
        <v>242</v>
      </c>
      <c r="AI1302" s="867" t="s">
        <v>243</v>
      </c>
      <c r="AJ1302" s="867" t="s">
        <v>244</v>
      </c>
      <c r="AK1302" s="867" t="s">
        <v>245</v>
      </c>
      <c r="AM1302" s="868" t="s">
        <v>254</v>
      </c>
      <c r="AN1302" s="869" t="s">
        <v>255</v>
      </c>
      <c r="AO1302" s="505" t="s">
        <v>251</v>
      </c>
    </row>
    <row r="1303" spans="1:41" s="504" customFormat="1" ht="12" customHeight="1">
      <c r="A1303" s="870">
        <v>1</v>
      </c>
      <c r="B1303" s="871" t="s">
        <v>335</v>
      </c>
      <c r="C1303" s="872"/>
      <c r="D1303" s="873" t="s">
        <v>810</v>
      </c>
      <c r="E1303" s="874">
        <f ca="1">IF(AND($A1303=0,$A$1="DIF"),0, ROUND(ROUND(($R1308*$S$2+($T1308*$T$2))/A1303,2)*$C$2,2))</f>
        <v>202.49</v>
      </c>
      <c r="F1303" s="875">
        <f ca="1">ROUND($A1303*$E1303,2)</f>
        <v>202.49</v>
      </c>
      <c r="G1303" s="876" t="s">
        <v>139</v>
      </c>
      <c r="H1303" s="877"/>
      <c r="I1303" s="878"/>
      <c r="J1303" s="877"/>
      <c r="K1303" s="877" t="s">
        <v>3</v>
      </c>
      <c r="L1303" s="879" t="s">
        <v>140</v>
      </c>
      <c r="M1303" s="879"/>
      <c r="N1303" s="879"/>
      <c r="O1303" s="879"/>
      <c r="P1303" s="879"/>
      <c r="Q1303" s="50"/>
      <c r="T1303" s="880" t="str">
        <f ca="1">IF(AND($R1308=0,$T1308=0),"0.00","mu :" &amp; ROUND($F1303/$C$2/($R1308+$T1308*$D$9),2))</f>
        <v>mu :1.22</v>
      </c>
      <c r="W1303" s="507"/>
      <c r="AG1303" s="465">
        <f ca="1">IF($E1303=0,0,ROUND($R1308*$S$2*$C$2/$A1303,2))</f>
        <v>41.21</v>
      </c>
      <c r="AH1303" s="465">
        <f ca="1">$AG1303*$A1303</f>
        <v>41.21</v>
      </c>
      <c r="AI1303" s="508">
        <f ca="1">$E1303-$AG1303</f>
        <v>161.28</v>
      </c>
      <c r="AJ1303" s="508">
        <f ca="1">$A1303*$AI1303</f>
        <v>161.28</v>
      </c>
      <c r="AK1303" s="509">
        <f ca="1">ROUND(($AG1303+$AI1303)*$A1303,2)</f>
        <v>202.49</v>
      </c>
      <c r="AM1303" s="510">
        <f ca="1">ROUND(R1308,2)</f>
        <v>33.78</v>
      </c>
      <c r="AN1303" s="511">
        <f ca="1">ROUND(T1308,2)</f>
        <v>4.59</v>
      </c>
      <c r="AO1303" s="512">
        <f ca="1">ROUND(AM1303+AN1303,2)*A1303</f>
        <v>38.369999999999997</v>
      </c>
    </row>
    <row r="1304" spans="1:41" s="504" customFormat="1" ht="13.2">
      <c r="A1304" s="872"/>
      <c r="B1304"/>
      <c r="C1304" s="872"/>
      <c r="D1304" s="916" t="s">
        <v>403</v>
      </c>
      <c r="E1304" s="917"/>
      <c r="F1304" s="918"/>
      <c r="G1304" s="919"/>
      <c r="H1304" s="918"/>
      <c r="I1304" s="920"/>
      <c r="J1304" s="918"/>
      <c r="K1304" s="918"/>
      <c r="L1304" s="918"/>
      <c r="M1304" s="918"/>
      <c r="N1304" s="918"/>
      <c r="O1304" s="918"/>
      <c r="P1304" s="918"/>
      <c r="Q1304" s="921"/>
      <c r="R1304" s="513"/>
      <c r="S1304" s="881"/>
      <c r="T1304" s="877"/>
    </row>
    <row r="1305" spans="1:41" s="997" customFormat="1" ht="13.2">
      <c r="A1305"/>
      <c r="B1305" s="1065"/>
      <c r="C1305" s="1065" t="s">
        <v>1006</v>
      </c>
      <c r="D1305" s="1065" t="str">
        <f ca="1">CELL("Address",Elec_Rates!D$200)</f>
        <v>[EL25_0662B_Brittania_Hotel_Elec_Revised_Estim_B.xlsx]Elec_Rates!$D$200</v>
      </c>
      <c r="E1305" s="1066"/>
      <c r="F1305" s="1066"/>
      <c r="G1305" s="1067" t="s">
        <v>1007</v>
      </c>
      <c r="H1305" s="1067"/>
      <c r="I1305" s="1067"/>
      <c r="J1305" s="1067"/>
      <c r="K1305" s="1068"/>
      <c r="L1305" s="1066"/>
      <c r="M1305" s="1066"/>
      <c r="N1305" s="1066"/>
      <c r="O1305" s="1069"/>
      <c r="P1305" s="1066"/>
      <c r="Q1305" s="1070"/>
      <c r="R1305" s="1071"/>
      <c r="S1305" s="1070"/>
      <c r="T1305" s="1072"/>
      <c r="U1305" s="1073"/>
    </row>
    <row r="1306" spans="1:41" s="997" customFormat="1" ht="11.4">
      <c r="A1306" s="1074">
        <v>1</v>
      </c>
      <c r="B1306" s="1075">
        <v>3.5</v>
      </c>
      <c r="C1306" s="1075">
        <f>$A1306*$B1306</f>
        <v>3.5</v>
      </c>
      <c r="D1306" s="1076" t="str">
        <f>Elec_Rates!$D$200</f>
        <v>019# Lighting point in LSZH Conduit</v>
      </c>
      <c r="E1306" s="1076"/>
      <c r="F1306" s="1076" t="s">
        <v>1296</v>
      </c>
      <c r="G1306" s="1077" t="s">
        <v>1008</v>
      </c>
      <c r="H1306" s="1077"/>
      <c r="I1306" s="1077"/>
      <c r="J1306" s="1077"/>
      <c r="K1306" s="1078"/>
      <c r="L1306" s="1073"/>
      <c r="M1306" s="1073"/>
      <c r="N1306" s="1073"/>
      <c r="O1306" s="1079"/>
      <c r="P1306" s="1076"/>
      <c r="Q1306" s="1080">
        <f ca="1">$B1306*Elec_Rates!$R$200</f>
        <v>33.774999999999999</v>
      </c>
      <c r="R1306" s="1071">
        <f ca="1">$A1306*Q1306</f>
        <v>33.774999999999999</v>
      </c>
      <c r="S1306" s="1080">
        <f ca="1">$B1306*Elec_Rates!$T$200</f>
        <v>4.585</v>
      </c>
      <c r="T1306" s="1072">
        <f ca="1">$A1306*S1306</f>
        <v>4.585</v>
      </c>
      <c r="U1306" s="1081"/>
    </row>
    <row r="1307" spans="1:41" s="504" customFormat="1" ht="12">
      <c r="A1307" s="882"/>
      <c r="B1307" s="882"/>
      <c r="C1307" s="882"/>
      <c r="D1307" s="882"/>
      <c r="E1307" s="882"/>
      <c r="F1307" s="877"/>
      <c r="G1307" s="882"/>
      <c r="H1307" s="882"/>
      <c r="I1307" s="503"/>
      <c r="J1307" s="882"/>
      <c r="K1307" s="882"/>
      <c r="L1307" s="882"/>
      <c r="M1307" s="882"/>
      <c r="N1307" s="882"/>
      <c r="O1307" s="882"/>
      <c r="P1307" s="882"/>
      <c r="Q1307" s="503"/>
      <c r="R1307" s="883">
        <f>$A1307*Q1307</f>
        <v>0</v>
      </c>
      <c r="S1307" s="503"/>
      <c r="T1307" s="884">
        <f>$A1307*S1307*$T$1</f>
        <v>0</v>
      </c>
    </row>
    <row r="1308" spans="1:41" s="504" customFormat="1" ht="12.6" thickBot="1">
      <c r="A1308" s="885" t="s">
        <v>142</v>
      </c>
      <c r="B1308" s="886">
        <f>(R1307+T1307)</f>
        <v>0</v>
      </c>
      <c r="C1308" s="887"/>
      <c r="D1308" s="887"/>
      <c r="E1308" s="887"/>
      <c r="F1308" s="888"/>
      <c r="G1308" s="887" t="s">
        <v>143</v>
      </c>
      <c r="H1308" s="887"/>
      <c r="I1308" s="889"/>
      <c r="J1308" s="887"/>
      <c r="K1308" s="887" t="s">
        <v>3</v>
      </c>
      <c r="L1308" s="890" t="s">
        <v>140</v>
      </c>
      <c r="M1308" s="890"/>
      <c r="N1308" s="890"/>
      <c r="O1308" s="890"/>
      <c r="P1308" s="890"/>
      <c r="Q1308" s="891"/>
      <c r="R1308" s="892">
        <f ca="1">SUM(R1304:R1307)</f>
        <v>33.774999999999999</v>
      </c>
      <c r="S1308" s="887"/>
      <c r="T1308" s="892">
        <f ca="1">SUM(T1304:T1307)</f>
        <v>4.585</v>
      </c>
      <c r="U1308" s="514"/>
      <c r="V1308" s="514"/>
      <c r="W1308" s="514"/>
      <c r="X1308" s="514"/>
      <c r="Y1308" s="514"/>
      <c r="Z1308" s="514"/>
      <c r="AA1308" s="514"/>
      <c r="AB1308" s="514"/>
      <c r="AC1308" s="514"/>
      <c r="AD1308" s="514"/>
      <c r="AE1308" s="514"/>
      <c r="AF1308" s="514"/>
      <c r="AG1308" s="514"/>
      <c r="AH1308" s="514"/>
      <c r="AI1308" s="514"/>
      <c r="AJ1308" s="514"/>
      <c r="AK1308" s="514"/>
      <c r="AL1308" s="514"/>
      <c r="AM1308" s="514"/>
      <c r="AN1308" s="514"/>
      <c r="AO1308" s="514"/>
    </row>
    <row r="1309" spans="1:41" s="504" customFormat="1" ht="12" thickTop="1">
      <c r="A1309" s="50"/>
      <c r="B1309" s="40"/>
      <c r="C1309" s="50"/>
      <c r="E1309" s="41" t="s">
        <v>136</v>
      </c>
      <c r="F1309" s="41" t="s">
        <v>137</v>
      </c>
      <c r="G1309" s="50"/>
      <c r="H1309" s="50"/>
      <c r="I1309" s="50"/>
      <c r="J1309" s="50"/>
      <c r="K1309" s="50" t="s">
        <v>138</v>
      </c>
      <c r="L1309" s="50"/>
      <c r="M1309" s="50"/>
      <c r="N1309" s="50"/>
      <c r="O1309" s="51"/>
      <c r="P1309" s="50"/>
      <c r="Q1309" s="50"/>
      <c r="R1309" s="50"/>
      <c r="S1309" s="50"/>
      <c r="T1309" s="40"/>
      <c r="AG1309" s="867" t="s">
        <v>241</v>
      </c>
      <c r="AH1309" s="867" t="s">
        <v>242</v>
      </c>
      <c r="AI1309" s="867" t="s">
        <v>243</v>
      </c>
      <c r="AJ1309" s="867" t="s">
        <v>244</v>
      </c>
      <c r="AK1309" s="867" t="s">
        <v>245</v>
      </c>
      <c r="AM1309" s="868" t="s">
        <v>254</v>
      </c>
      <c r="AN1309" s="869" t="s">
        <v>255</v>
      </c>
      <c r="AO1309" s="505" t="s">
        <v>251</v>
      </c>
    </row>
    <row r="1310" spans="1:41" s="504" customFormat="1" ht="12" customHeight="1">
      <c r="A1310" s="870">
        <v>1</v>
      </c>
      <c r="B1310" s="871" t="s">
        <v>335</v>
      </c>
      <c r="C1310" s="872"/>
      <c r="D1310" s="873" t="s">
        <v>812</v>
      </c>
      <c r="E1310" s="874">
        <f ca="1">IF(AND($A1310=0,$A$1="DIF"),0, ROUND(ROUND(($R1315*$S$2+($T1315*$T$2))/A1310,2)*$C$2,2))</f>
        <v>260.33999999999997</v>
      </c>
      <c r="F1310" s="875">
        <f ca="1">ROUND($A1310*$E1310,2)</f>
        <v>260.33999999999997</v>
      </c>
      <c r="G1310" s="876" t="s">
        <v>139</v>
      </c>
      <c r="H1310" s="877"/>
      <c r="I1310" s="878"/>
      <c r="J1310" s="877"/>
      <c r="K1310" s="877" t="s">
        <v>3</v>
      </c>
      <c r="L1310" s="879" t="s">
        <v>140</v>
      </c>
      <c r="M1310" s="879"/>
      <c r="N1310" s="879"/>
      <c r="O1310" s="879"/>
      <c r="P1310" s="879"/>
      <c r="Q1310" s="50"/>
      <c r="T1310" s="880" t="str">
        <f ca="1">IF(AND($R1315=0,$T1315=0),"0.00","mu :" &amp; ROUND($F1310/$C$2/($R1315+$T1315*$D$9),2))</f>
        <v>mu :1.22</v>
      </c>
      <c r="W1310" s="507"/>
      <c r="AG1310" s="465">
        <f ca="1">IF($E1310=0,0,ROUND($R1315*$S$2*$C$2/$A1310,2))</f>
        <v>52.98</v>
      </c>
      <c r="AH1310" s="465">
        <f ca="1">$AG1310*$A1310</f>
        <v>52.98</v>
      </c>
      <c r="AI1310" s="508">
        <f ca="1">$E1310-$AG1310</f>
        <v>207.35999999999999</v>
      </c>
      <c r="AJ1310" s="508">
        <f ca="1">$A1310*$AI1310</f>
        <v>207.35999999999999</v>
      </c>
      <c r="AK1310" s="509">
        <f ca="1">ROUND(($AG1310+$AI1310)*$A1310,2)</f>
        <v>260.33999999999997</v>
      </c>
      <c r="AM1310" s="510">
        <f ca="1">ROUND(R1315,2)</f>
        <v>43.43</v>
      </c>
      <c r="AN1310" s="511">
        <f ca="1">ROUND(T1315,2)</f>
        <v>5.9</v>
      </c>
      <c r="AO1310" s="512">
        <f ca="1">ROUND(AM1310+AN1310,2)*A1310</f>
        <v>49.33</v>
      </c>
    </row>
    <row r="1311" spans="1:41" s="504" customFormat="1" ht="13.2">
      <c r="A1311" s="872"/>
      <c r="B1311"/>
      <c r="C1311" s="872"/>
      <c r="D1311" s="873" t="s">
        <v>404</v>
      </c>
      <c r="F1311" s="877"/>
      <c r="G1311" s="3"/>
      <c r="H1311" s="877"/>
      <c r="I1311" s="878"/>
      <c r="J1311" s="877"/>
      <c r="K1311" s="877" t="s">
        <v>141</v>
      </c>
      <c r="L1311" s="877"/>
      <c r="M1311" s="877"/>
      <c r="N1311" s="877"/>
      <c r="O1311" s="877"/>
      <c r="P1311" s="877"/>
      <c r="Q1311" s="50"/>
      <c r="R1311" s="513"/>
      <c r="S1311" s="881"/>
      <c r="T1311" s="877"/>
    </row>
    <row r="1312" spans="1:41" s="997" customFormat="1" ht="13.2">
      <c r="A1312"/>
      <c r="B1312" s="1065"/>
      <c r="C1312" s="1065" t="s">
        <v>1006</v>
      </c>
      <c r="D1312" s="1065" t="str">
        <f ca="1">CELL("Address",Elec_Rates!D$200)</f>
        <v>[EL25_0662B_Brittania_Hotel_Elec_Revised_Estim_B.xlsx]Elec_Rates!$D$200</v>
      </c>
      <c r="E1312" s="1066"/>
      <c r="F1312" s="1066"/>
      <c r="G1312" s="1067" t="s">
        <v>1007</v>
      </c>
      <c r="H1312" s="1067"/>
      <c r="I1312" s="1067"/>
      <c r="J1312" s="1067"/>
      <c r="K1312" s="1068"/>
      <c r="L1312" s="1066"/>
      <c r="M1312" s="1066"/>
      <c r="N1312" s="1066"/>
      <c r="O1312" s="1069"/>
      <c r="P1312" s="1066"/>
      <c r="Q1312" s="1070"/>
      <c r="R1312" s="1071"/>
      <c r="S1312" s="1070"/>
      <c r="T1312" s="1072"/>
      <c r="U1312" s="1073"/>
    </row>
    <row r="1313" spans="1:41" s="997" customFormat="1" ht="11.4">
      <c r="A1313" s="1074">
        <v>1</v>
      </c>
      <c r="B1313" s="1075">
        <v>4.5</v>
      </c>
      <c r="C1313" s="1075">
        <f>$A1313*$B1313</f>
        <v>4.5</v>
      </c>
      <c r="D1313" s="1076" t="str">
        <f>Elec_Rates!$D$200</f>
        <v>019# Lighting point in LSZH Conduit</v>
      </c>
      <c r="E1313" s="1076"/>
      <c r="F1313" s="1076" t="s">
        <v>1297</v>
      </c>
      <c r="G1313" s="1077" t="s">
        <v>1008</v>
      </c>
      <c r="H1313" s="1077"/>
      <c r="I1313" s="1077"/>
      <c r="J1313" s="1077"/>
      <c r="K1313" s="1078"/>
      <c r="L1313" s="1073"/>
      <c r="M1313" s="1073"/>
      <c r="N1313" s="1073"/>
      <c r="O1313" s="1079"/>
      <c r="P1313" s="1076"/>
      <c r="Q1313" s="1080">
        <f ca="1">$B1313*Elec_Rates!$R$200</f>
        <v>43.425000000000004</v>
      </c>
      <c r="R1313" s="1071">
        <f ca="1">$A1313*Q1313</f>
        <v>43.425000000000004</v>
      </c>
      <c r="S1313" s="1080">
        <f ca="1">$B1313*Elec_Rates!$T$200</f>
        <v>5.8950000000000005</v>
      </c>
      <c r="T1313" s="1072">
        <f ca="1">$A1313*S1313</f>
        <v>5.8950000000000005</v>
      </c>
      <c r="U1313" s="1081"/>
    </row>
    <row r="1314" spans="1:41" s="504" customFormat="1" ht="12">
      <c r="A1314" s="882"/>
      <c r="B1314" s="882"/>
      <c r="C1314" s="882"/>
      <c r="D1314" s="882"/>
      <c r="E1314" s="882"/>
      <c r="F1314" s="877"/>
      <c r="G1314" s="882"/>
      <c r="H1314" s="882"/>
      <c r="I1314" s="503"/>
      <c r="J1314" s="882"/>
      <c r="K1314" s="882"/>
      <c r="L1314" s="882"/>
      <c r="M1314" s="882"/>
      <c r="N1314" s="882"/>
      <c r="O1314" s="882"/>
      <c r="P1314" s="882"/>
      <c r="Q1314" s="503"/>
      <c r="R1314" s="883">
        <f>$A1314*Q1314</f>
        <v>0</v>
      </c>
      <c r="S1314" s="503"/>
      <c r="T1314" s="884">
        <f>$A1314*S1314*$T$1</f>
        <v>0</v>
      </c>
    </row>
    <row r="1315" spans="1:41" s="504" customFormat="1" ht="12.6" thickBot="1">
      <c r="A1315" s="885" t="s">
        <v>142</v>
      </c>
      <c r="B1315" s="886">
        <f>(R1314+T1314)</f>
        <v>0</v>
      </c>
      <c r="C1315" s="887"/>
      <c r="D1315" s="887"/>
      <c r="E1315" s="887"/>
      <c r="F1315" s="888"/>
      <c r="G1315" s="887" t="s">
        <v>143</v>
      </c>
      <c r="H1315" s="887"/>
      <c r="I1315" s="889"/>
      <c r="J1315" s="887"/>
      <c r="K1315" s="887" t="s">
        <v>3</v>
      </c>
      <c r="L1315" s="890" t="s">
        <v>140</v>
      </c>
      <c r="M1315" s="890"/>
      <c r="N1315" s="890"/>
      <c r="O1315" s="890"/>
      <c r="P1315" s="890"/>
      <c r="Q1315" s="891"/>
      <c r="R1315" s="892">
        <f ca="1">SUM(R1311:R1314)</f>
        <v>43.425000000000004</v>
      </c>
      <c r="S1315" s="887"/>
      <c r="T1315" s="892">
        <f ca="1">SUM(T1311:T1314)</f>
        <v>5.8950000000000005</v>
      </c>
      <c r="U1315" s="514"/>
      <c r="V1315" s="514"/>
      <c r="W1315" s="514"/>
      <c r="X1315" s="514"/>
      <c r="Y1315" s="514"/>
      <c r="Z1315" s="514"/>
      <c r="AA1315" s="514"/>
      <c r="AB1315" s="514"/>
      <c r="AC1315" s="514"/>
      <c r="AD1315" s="514"/>
      <c r="AE1315" s="514"/>
      <c r="AF1315" s="514"/>
      <c r="AG1315" s="514"/>
      <c r="AH1315" s="514"/>
      <c r="AI1315" s="514"/>
      <c r="AJ1315" s="514"/>
      <c r="AK1315" s="514"/>
      <c r="AL1315" s="514"/>
      <c r="AM1315" s="514"/>
      <c r="AN1315" s="514"/>
      <c r="AO1315" s="514"/>
    </row>
    <row r="1316" spans="1:41" s="504" customFormat="1" ht="12" thickTop="1">
      <c r="A1316" s="50"/>
      <c r="B1316" s="40"/>
      <c r="C1316" s="50"/>
      <c r="E1316" s="41" t="s">
        <v>136</v>
      </c>
      <c r="F1316" s="41" t="s">
        <v>137</v>
      </c>
      <c r="G1316" s="50"/>
      <c r="H1316" s="50"/>
      <c r="I1316" s="50"/>
      <c r="J1316" s="50"/>
      <c r="K1316" s="50" t="s">
        <v>138</v>
      </c>
      <c r="L1316" s="50"/>
      <c r="M1316" s="50"/>
      <c r="N1316" s="50"/>
      <c r="O1316" s="51"/>
      <c r="P1316" s="50"/>
      <c r="Q1316" s="50"/>
      <c r="R1316" s="50"/>
      <c r="S1316" s="50"/>
      <c r="T1316" s="40"/>
      <c r="AG1316" s="867" t="s">
        <v>241</v>
      </c>
      <c r="AH1316" s="867" t="s">
        <v>242</v>
      </c>
      <c r="AI1316" s="867" t="s">
        <v>243</v>
      </c>
      <c r="AJ1316" s="867" t="s">
        <v>244</v>
      </c>
      <c r="AK1316" s="867" t="s">
        <v>245</v>
      </c>
      <c r="AM1316" s="868" t="s">
        <v>254</v>
      </c>
      <c r="AN1316" s="869" t="s">
        <v>255</v>
      </c>
      <c r="AO1316" s="505" t="s">
        <v>251</v>
      </c>
    </row>
    <row r="1317" spans="1:41" s="504" customFormat="1" ht="12" customHeight="1">
      <c r="A1317" s="870">
        <v>1</v>
      </c>
      <c r="B1317" s="871" t="s">
        <v>335</v>
      </c>
      <c r="C1317" s="872"/>
      <c r="D1317" s="873" t="s">
        <v>819</v>
      </c>
      <c r="E1317" s="874">
        <f ca="1">IF(AND($A1317=0,$A$1="DIF"),0, ROUND(ROUND(($R1322*$S$2+($T1322*$T$2))/A1317,2)*$C$2,2))</f>
        <v>318.2</v>
      </c>
      <c r="F1317" s="875">
        <f ca="1">ROUND($A1317*$E1317,2)</f>
        <v>318.2</v>
      </c>
      <c r="G1317" s="876" t="s">
        <v>139</v>
      </c>
      <c r="H1317" s="877"/>
      <c r="I1317" s="878"/>
      <c r="J1317" s="877"/>
      <c r="K1317" s="877" t="s">
        <v>3</v>
      </c>
      <c r="L1317" s="879" t="s">
        <v>140</v>
      </c>
      <c r="M1317" s="879"/>
      <c r="N1317" s="879"/>
      <c r="O1317" s="879"/>
      <c r="P1317" s="879"/>
      <c r="Q1317" s="50"/>
      <c r="T1317" s="880" t="str">
        <f ca="1">IF(AND($R1322=0,$T1322=0),"0.00","mu :" &amp; ROUND($F1317/$C$2/($R1322+$T1322*$D$9),2))</f>
        <v>mu :1.22</v>
      </c>
      <c r="W1317" s="507"/>
      <c r="AG1317" s="465">
        <f ca="1">IF($E1317=0,0,ROUND($R1322*$S$2*$C$2/$A1317,2))</f>
        <v>64.75</v>
      </c>
      <c r="AH1317" s="465">
        <f ca="1">$AG1317*$A1317</f>
        <v>64.75</v>
      </c>
      <c r="AI1317" s="508">
        <f ca="1">$E1317-$AG1317</f>
        <v>253.45</v>
      </c>
      <c r="AJ1317" s="508">
        <f ca="1">$A1317*$AI1317</f>
        <v>253.45</v>
      </c>
      <c r="AK1317" s="509">
        <f ca="1">ROUND(($AG1317+$AI1317)*$A1317,2)</f>
        <v>318.2</v>
      </c>
      <c r="AM1317" s="510">
        <f ca="1">ROUND(R1322,2)</f>
        <v>53.08</v>
      </c>
      <c r="AN1317" s="511">
        <f ca="1">ROUND(T1322,2)</f>
        <v>7.21</v>
      </c>
      <c r="AO1317" s="512">
        <f ca="1">ROUND(AM1317+AN1317,2)*A1317</f>
        <v>60.29</v>
      </c>
    </row>
    <row r="1318" spans="1:41" s="504" customFormat="1" ht="13.2">
      <c r="A1318" s="872"/>
      <c r="B1318"/>
      <c r="C1318" s="872"/>
      <c r="D1318" s="873" t="s">
        <v>405</v>
      </c>
      <c r="F1318" s="877"/>
      <c r="G1318" s="3"/>
      <c r="H1318" s="877"/>
      <c r="I1318" s="878"/>
      <c r="J1318" s="877"/>
      <c r="K1318" s="877" t="s">
        <v>141</v>
      </c>
      <c r="L1318" s="877"/>
      <c r="M1318" s="877"/>
      <c r="N1318" s="877"/>
      <c r="O1318" s="877"/>
      <c r="P1318" s="877"/>
      <c r="Q1318" s="50"/>
      <c r="R1318" s="513"/>
      <c r="S1318" s="881"/>
      <c r="T1318" s="877"/>
    </row>
    <row r="1319" spans="1:41" s="997" customFormat="1" ht="13.2">
      <c r="A1319"/>
      <c r="B1319" s="1065"/>
      <c r="C1319" s="1065" t="s">
        <v>1006</v>
      </c>
      <c r="D1319" s="1065" t="str">
        <f ca="1">CELL("Address",Elec_Rates!D$200)</f>
        <v>[EL25_0662B_Brittania_Hotel_Elec_Revised_Estim_B.xlsx]Elec_Rates!$D$200</v>
      </c>
      <c r="E1319" s="1066"/>
      <c r="F1319" s="1066"/>
      <c r="G1319" s="1067" t="s">
        <v>1007</v>
      </c>
      <c r="H1319" s="1067"/>
      <c r="I1319" s="1067"/>
      <c r="J1319" s="1067"/>
      <c r="K1319" s="1068"/>
      <c r="L1319" s="1066"/>
      <c r="M1319" s="1066"/>
      <c r="N1319" s="1066"/>
      <c r="O1319" s="1069"/>
      <c r="P1319" s="1066"/>
      <c r="Q1319" s="1070"/>
      <c r="R1319" s="1071"/>
      <c r="S1319" s="1070"/>
      <c r="T1319" s="1072"/>
      <c r="U1319" s="1073"/>
    </row>
    <row r="1320" spans="1:41" s="997" customFormat="1" ht="11.4">
      <c r="A1320" s="1074">
        <v>1</v>
      </c>
      <c r="B1320" s="1075">
        <v>5.5</v>
      </c>
      <c r="C1320" s="1075">
        <f>$A1320*$B1320</f>
        <v>5.5</v>
      </c>
      <c r="D1320" s="1076" t="str">
        <f>Elec_Rates!$D$200</f>
        <v>019# Lighting point in LSZH Conduit</v>
      </c>
      <c r="E1320" s="1076"/>
      <c r="F1320" s="1076" t="s">
        <v>1298</v>
      </c>
      <c r="G1320" s="1077" t="s">
        <v>1008</v>
      </c>
      <c r="H1320" s="1077"/>
      <c r="I1320" s="1077"/>
      <c r="J1320" s="1077"/>
      <c r="K1320" s="1078"/>
      <c r="L1320" s="1073"/>
      <c r="M1320" s="1073"/>
      <c r="N1320" s="1073"/>
      <c r="O1320" s="1079"/>
      <c r="P1320" s="1076"/>
      <c r="Q1320" s="1080">
        <f ca="1">$B1320*Elec_Rates!$R$200</f>
        <v>53.075000000000003</v>
      </c>
      <c r="R1320" s="1071">
        <f ca="1">$A1320*Q1320</f>
        <v>53.075000000000003</v>
      </c>
      <c r="S1320" s="1080">
        <f ca="1">$B1320*Elec_Rates!$T$200</f>
        <v>7.2050000000000001</v>
      </c>
      <c r="T1320" s="1072">
        <f ca="1">$A1320*S1320</f>
        <v>7.2050000000000001</v>
      </c>
      <c r="U1320" s="1081"/>
    </row>
    <row r="1321" spans="1:41" s="504" customFormat="1" ht="12">
      <c r="A1321" s="882"/>
      <c r="B1321" s="882"/>
      <c r="C1321" s="882"/>
      <c r="D1321" s="882"/>
      <c r="E1321" s="882"/>
      <c r="F1321" s="877"/>
      <c r="G1321" s="882"/>
      <c r="H1321" s="882"/>
      <c r="I1321" s="503"/>
      <c r="J1321" s="882"/>
      <c r="K1321" s="882"/>
      <c r="L1321" s="882"/>
      <c r="M1321" s="882"/>
      <c r="N1321" s="882"/>
      <c r="O1321" s="882"/>
      <c r="P1321" s="882"/>
      <c r="Q1321" s="503"/>
      <c r="R1321" s="883">
        <f>$A1321*Q1321</f>
        <v>0</v>
      </c>
      <c r="S1321" s="503"/>
      <c r="T1321" s="884">
        <f>$A1321*S1321*$T$1</f>
        <v>0</v>
      </c>
    </row>
    <row r="1322" spans="1:41" s="504" customFormat="1" ht="12.6" thickBot="1">
      <c r="A1322" s="885" t="s">
        <v>142</v>
      </c>
      <c r="B1322" s="886">
        <f>(R1321+T1321)</f>
        <v>0</v>
      </c>
      <c r="C1322" s="887"/>
      <c r="D1322" s="887"/>
      <c r="E1322" s="887"/>
      <c r="F1322" s="888"/>
      <c r="G1322" s="887" t="s">
        <v>143</v>
      </c>
      <c r="H1322" s="887"/>
      <c r="I1322" s="889"/>
      <c r="J1322" s="887"/>
      <c r="K1322" s="887" t="s">
        <v>3</v>
      </c>
      <c r="L1322" s="890" t="s">
        <v>140</v>
      </c>
      <c r="M1322" s="890"/>
      <c r="N1322" s="890"/>
      <c r="O1322" s="890"/>
      <c r="P1322" s="890"/>
      <c r="Q1322" s="891"/>
      <c r="R1322" s="892">
        <f ca="1">SUM(R1318:R1321)</f>
        <v>53.075000000000003</v>
      </c>
      <c r="S1322" s="887"/>
      <c r="T1322" s="892">
        <f ca="1">SUM(T1318:T1321)</f>
        <v>7.2050000000000001</v>
      </c>
      <c r="U1322" s="514"/>
      <c r="V1322" s="514"/>
      <c r="W1322" s="514"/>
      <c r="X1322" s="514"/>
      <c r="Y1322" s="514"/>
      <c r="Z1322" s="514"/>
      <c r="AA1322" s="514"/>
      <c r="AB1322" s="514"/>
      <c r="AC1322" s="514"/>
      <c r="AD1322" s="514"/>
      <c r="AE1322" s="514"/>
      <c r="AF1322" s="514"/>
      <c r="AG1322" s="514"/>
      <c r="AH1322" s="514"/>
      <c r="AI1322" s="514"/>
      <c r="AJ1322" s="514"/>
      <c r="AK1322" s="514"/>
      <c r="AL1322" s="514"/>
      <c r="AM1322" s="514"/>
      <c r="AN1322" s="514"/>
      <c r="AO1322" s="514"/>
    </row>
    <row r="1323" spans="1:41" s="504" customFormat="1" ht="12" thickTop="1">
      <c r="A1323" s="50"/>
      <c r="B1323" s="40"/>
      <c r="C1323" s="50"/>
      <c r="E1323" s="41" t="s">
        <v>136</v>
      </c>
      <c r="F1323" s="41" t="s">
        <v>137</v>
      </c>
      <c r="G1323" s="50"/>
      <c r="H1323" s="50"/>
      <c r="I1323" s="50"/>
      <c r="J1323" s="50"/>
      <c r="K1323" s="50" t="s">
        <v>138</v>
      </c>
      <c r="L1323" s="50"/>
      <c r="M1323" s="50"/>
      <c r="N1323" s="50"/>
      <c r="O1323" s="51"/>
      <c r="P1323" s="50"/>
      <c r="Q1323" s="50"/>
      <c r="R1323" s="50"/>
      <c r="S1323" s="50"/>
      <c r="T1323" s="40"/>
      <c r="AG1323" s="867" t="s">
        <v>241</v>
      </c>
      <c r="AH1323" s="867" t="s">
        <v>242</v>
      </c>
      <c r="AI1323" s="867" t="s">
        <v>243</v>
      </c>
      <c r="AJ1323" s="867" t="s">
        <v>244</v>
      </c>
      <c r="AK1323" s="867" t="s">
        <v>245</v>
      </c>
      <c r="AM1323" s="868" t="s">
        <v>254</v>
      </c>
      <c r="AN1323" s="869" t="s">
        <v>255</v>
      </c>
      <c r="AO1323" s="505" t="s">
        <v>251</v>
      </c>
    </row>
    <row r="1324" spans="1:41" s="504" customFormat="1" ht="12" customHeight="1">
      <c r="A1324" s="870">
        <v>2</v>
      </c>
      <c r="B1324" s="871" t="s">
        <v>335</v>
      </c>
      <c r="C1324" s="872"/>
      <c r="D1324" s="873" t="s">
        <v>820</v>
      </c>
      <c r="E1324" s="874">
        <f ca="1">IF(AND($A1324=0,$A$1="DIF"),0, ROUND(ROUND(($R1331*$S$2+($T1331*$T$2))/A1324,2)*$C$2,2))</f>
        <v>117.48</v>
      </c>
      <c r="F1324" s="875">
        <f ca="1">ROUND($A1324*$E1324,2)</f>
        <v>234.96</v>
      </c>
      <c r="G1324" s="876" t="s">
        <v>139</v>
      </c>
      <c r="H1324" s="877"/>
      <c r="I1324" s="878"/>
      <c r="J1324" s="877"/>
      <c r="K1324" s="877" t="s">
        <v>3</v>
      </c>
      <c r="L1324" s="879" t="s">
        <v>140</v>
      </c>
      <c r="M1324" s="879"/>
      <c r="N1324" s="879"/>
      <c r="O1324" s="879"/>
      <c r="P1324" s="879"/>
      <c r="Q1324" s="50"/>
      <c r="T1324" s="880" t="str">
        <f ca="1">IF(AND($R1331=0,$T1331=0),"0.00","mu :" &amp; ROUND($F1324/$C$2/($R1331+$T1331*$D$9),2))</f>
        <v>mu :1.22</v>
      </c>
      <c r="W1324" s="507"/>
      <c r="AG1324" s="465">
        <f ca="1">IF($E1324=0,0,ROUND($R1331*$S$2*$C$2/$A1324,2))</f>
        <v>39.22</v>
      </c>
      <c r="AH1324" s="465">
        <f ca="1">$AG1324*$A1324</f>
        <v>78.44</v>
      </c>
      <c r="AI1324" s="508">
        <f ca="1">$E1324-$AG1324</f>
        <v>78.260000000000005</v>
      </c>
      <c r="AJ1324" s="508">
        <f ca="1">$A1324*$AI1324</f>
        <v>156.52000000000001</v>
      </c>
      <c r="AK1324" s="509">
        <f ca="1">ROUND(($AG1324+$AI1324)*$A1324,2)</f>
        <v>234.96</v>
      </c>
      <c r="AM1324" s="510">
        <f ca="1">ROUND(R1331,2)</f>
        <v>64.290000000000006</v>
      </c>
      <c r="AN1324" s="511">
        <f ca="1">ROUND(T1331,2)</f>
        <v>4.45</v>
      </c>
      <c r="AO1324" s="512">
        <f ca="1">ROUND(AM1324+AN1324,2)*A1324</f>
        <v>137.47999999999999</v>
      </c>
    </row>
    <row r="1325" spans="1:41" s="504" customFormat="1" ht="13.2">
      <c r="A1325" s="872"/>
      <c r="B1325"/>
      <c r="C1325" s="872"/>
      <c r="D1325" s="873" t="s">
        <v>340</v>
      </c>
      <c r="F1325" s="877"/>
      <c r="G1325" s="3"/>
      <c r="H1325" s="877"/>
      <c r="I1325" s="878"/>
      <c r="J1325" s="877"/>
      <c r="K1325" s="877" t="s">
        <v>141</v>
      </c>
      <c r="L1325" s="877"/>
      <c r="M1325" s="877"/>
      <c r="N1325" s="877"/>
      <c r="O1325" s="877"/>
      <c r="P1325" s="877"/>
      <c r="Q1325" s="50"/>
      <c r="R1325" s="513"/>
      <c r="S1325" s="881"/>
      <c r="T1325" s="877"/>
    </row>
    <row r="1326" spans="1:41" s="997" customFormat="1" ht="13.2">
      <c r="A1326"/>
      <c r="B1326" s="1065"/>
      <c r="C1326" s="1065" t="s">
        <v>1006</v>
      </c>
      <c r="D1326" s="1065" t="str">
        <f ca="1">CELL("Address",Elec_Rates!D$200)</f>
        <v>[EL25_0662B_Brittania_Hotel_Elec_Revised_Estim_B.xlsx]Elec_Rates!$D$200</v>
      </c>
      <c r="E1326" s="1066"/>
      <c r="F1326" s="1066"/>
      <c r="G1326" s="1067" t="s">
        <v>1007</v>
      </c>
      <c r="H1326" s="1067"/>
      <c r="I1326" s="1067"/>
      <c r="J1326" s="1067"/>
      <c r="K1326" s="1068"/>
      <c r="L1326" s="1066"/>
      <c r="M1326" s="1066"/>
      <c r="N1326" s="1066"/>
      <c r="O1326" s="1069"/>
      <c r="P1326" s="1066"/>
      <c r="Q1326" s="1070"/>
      <c r="R1326" s="1071"/>
      <c r="S1326" s="1070"/>
      <c r="T1326" s="1072"/>
      <c r="U1326" s="1073"/>
    </row>
    <row r="1327" spans="1:41" s="997" customFormat="1" ht="11.4">
      <c r="A1327" s="1074">
        <v>2</v>
      </c>
      <c r="B1327" s="1075">
        <v>1.5</v>
      </c>
      <c r="C1327" s="1075">
        <f>$A1327*$B1327</f>
        <v>3</v>
      </c>
      <c r="D1327" s="1076" t="str">
        <f>Elec_Rates!$D$200</f>
        <v>019# Lighting point in LSZH Conduit</v>
      </c>
      <c r="E1327" s="1076"/>
      <c r="F1327" s="1076" t="s">
        <v>1177</v>
      </c>
      <c r="G1327" s="1077" t="s">
        <v>1008</v>
      </c>
      <c r="H1327" s="1077"/>
      <c r="I1327" s="1077"/>
      <c r="J1327" s="1077"/>
      <c r="K1327" s="1078"/>
      <c r="L1327" s="1073"/>
      <c r="M1327" s="1073"/>
      <c r="N1327" s="1073"/>
      <c r="O1327" s="1079"/>
      <c r="P1327" s="1076"/>
      <c r="Q1327" s="1080">
        <f ca="1">$B1327*Elec_Rates!$R$200</f>
        <v>14.475000000000001</v>
      </c>
      <c r="R1327" s="1071">
        <f ca="1">$A1327*Q1327</f>
        <v>28.950000000000003</v>
      </c>
      <c r="S1327" s="1080">
        <f ca="1">$B1327*Elec_Rates!$T$200</f>
        <v>1.9650000000000001</v>
      </c>
      <c r="T1327" s="1072">
        <f ca="1">$A1327*S1327</f>
        <v>3.93</v>
      </c>
      <c r="U1327" s="1081"/>
    </row>
    <row r="1328" spans="1:41" s="997" customFormat="1" ht="13.2">
      <c r="A1328"/>
      <c r="B1328" s="1065"/>
      <c r="C1328" s="1065" t="s">
        <v>1006</v>
      </c>
      <c r="D1328" s="1065" t="str">
        <f ca="1">CELL("Address",Elec_Rates!D$210)</f>
        <v>[EL25_0662B_Brittania_Hotel_Elec_Revised_Estim_B.xlsx]Elec_Rates!$D$210</v>
      </c>
      <c r="E1328" s="1066"/>
      <c r="F1328" s="1066"/>
      <c r="G1328" s="1067" t="s">
        <v>1007</v>
      </c>
      <c r="H1328" s="1067"/>
      <c r="I1328" s="1067"/>
      <c r="J1328" s="1067"/>
      <c r="K1328" s="1068"/>
      <c r="L1328" s="1066"/>
      <c r="M1328" s="1066"/>
      <c r="N1328" s="1066"/>
      <c r="O1328" s="1069"/>
      <c r="P1328" s="1066"/>
      <c r="Q1328" s="1070"/>
      <c r="R1328" s="1071"/>
      <c r="S1328" s="1070"/>
      <c r="T1328" s="1072"/>
      <c r="U1328" s="1073"/>
    </row>
    <row r="1329" spans="1:41" s="997" customFormat="1" ht="11.4">
      <c r="A1329" s="1074">
        <v>2</v>
      </c>
      <c r="B1329" s="1075">
        <v>1</v>
      </c>
      <c r="C1329" s="1075">
        <f>$A1329*$B1329</f>
        <v>2</v>
      </c>
      <c r="D1329" s="1076" t="str">
        <f>Elec_Rates!$D$210</f>
        <v>020# Movement Detector</v>
      </c>
      <c r="E1329" s="1076"/>
      <c r="F1329" s="1076"/>
      <c r="G1329" s="1077" t="s">
        <v>1008</v>
      </c>
      <c r="H1329" s="1077"/>
      <c r="I1329" s="1077"/>
      <c r="J1329" s="1077"/>
      <c r="K1329" s="1078"/>
      <c r="L1329" s="1073"/>
      <c r="M1329" s="1073"/>
      <c r="N1329" s="1073"/>
      <c r="O1329" s="1079"/>
      <c r="P1329" s="1076"/>
      <c r="Q1329" s="1080">
        <f ca="1">$B1329*Elec_Rates!$R$210</f>
        <v>17.670000000000002</v>
      </c>
      <c r="R1329" s="1071">
        <f ca="1">$A1329*Q1329</f>
        <v>35.340000000000003</v>
      </c>
      <c r="S1329" s="1080">
        <f ca="1">$B1329*Elec_Rates!$T$210</f>
        <v>0.26</v>
      </c>
      <c r="T1329" s="1072">
        <f ca="1">$A1329*S1329</f>
        <v>0.52</v>
      </c>
      <c r="U1329" s="1081"/>
    </row>
    <row r="1330" spans="1:41" s="504" customFormat="1" ht="12">
      <c r="A1330" s="882"/>
      <c r="B1330" s="882"/>
      <c r="C1330" s="882"/>
      <c r="D1330" s="882"/>
      <c r="E1330" s="882"/>
      <c r="F1330" s="877"/>
      <c r="G1330" s="882"/>
      <c r="H1330" s="882"/>
      <c r="I1330" s="503"/>
      <c r="J1330" s="882"/>
      <c r="K1330" s="882"/>
      <c r="L1330" s="882"/>
      <c r="M1330" s="882"/>
      <c r="N1330" s="882"/>
      <c r="O1330" s="882"/>
      <c r="P1330" s="882"/>
      <c r="Q1330" s="503"/>
      <c r="R1330" s="883">
        <f>$A1330*Q1330</f>
        <v>0</v>
      </c>
      <c r="S1330" s="503"/>
      <c r="T1330" s="884">
        <f>$A1330*S1330*$T$1</f>
        <v>0</v>
      </c>
    </row>
    <row r="1331" spans="1:41" s="504" customFormat="1" ht="12.6" thickBot="1">
      <c r="A1331" s="885" t="s">
        <v>142</v>
      </c>
      <c r="B1331" s="886">
        <f>(R1330+T1330)</f>
        <v>0</v>
      </c>
      <c r="C1331" s="887"/>
      <c r="D1331" s="887"/>
      <c r="E1331" s="887"/>
      <c r="F1331" s="888"/>
      <c r="G1331" s="887" t="s">
        <v>143</v>
      </c>
      <c r="H1331" s="887"/>
      <c r="I1331" s="889"/>
      <c r="J1331" s="887"/>
      <c r="K1331" s="887" t="s">
        <v>3</v>
      </c>
      <c r="L1331" s="890" t="s">
        <v>140</v>
      </c>
      <c r="M1331" s="890"/>
      <c r="N1331" s="890"/>
      <c r="O1331" s="890"/>
      <c r="P1331" s="890"/>
      <c r="Q1331" s="891"/>
      <c r="R1331" s="892">
        <f ca="1">SUM(R1325:R1330)</f>
        <v>64.290000000000006</v>
      </c>
      <c r="S1331" s="887"/>
      <c r="T1331" s="892">
        <f ca="1">SUM(T1325:T1330)</f>
        <v>4.45</v>
      </c>
      <c r="U1331" s="514"/>
      <c r="V1331" s="514"/>
      <c r="W1331" s="514"/>
      <c r="X1331" s="514"/>
      <c r="Y1331" s="514"/>
      <c r="Z1331" s="514"/>
      <c r="AA1331" s="514"/>
      <c r="AB1331" s="514"/>
      <c r="AC1331" s="514"/>
      <c r="AD1331" s="514"/>
      <c r="AE1331" s="514"/>
      <c r="AF1331" s="514"/>
      <c r="AG1331" s="514"/>
      <c r="AH1331" s="514"/>
      <c r="AI1331" s="514"/>
      <c r="AJ1331" s="514"/>
      <c r="AK1331" s="514"/>
      <c r="AL1331" s="514"/>
      <c r="AM1331" s="514"/>
      <c r="AN1331" s="514"/>
      <c r="AO1331" s="514"/>
    </row>
    <row r="1332" spans="1:41" s="504" customFormat="1" ht="12" thickTop="1">
      <c r="A1332" s="50"/>
      <c r="B1332" s="40"/>
      <c r="C1332" s="50"/>
      <c r="E1332" s="41" t="s">
        <v>136</v>
      </c>
      <c r="F1332" s="41" t="s">
        <v>137</v>
      </c>
      <c r="G1332" s="50"/>
      <c r="H1332" s="50"/>
      <c r="I1332" s="50"/>
      <c r="J1332" s="50"/>
      <c r="K1332" s="50" t="s">
        <v>138</v>
      </c>
      <c r="L1332" s="50"/>
      <c r="M1332" s="50"/>
      <c r="N1332" s="50"/>
      <c r="O1332" s="51"/>
      <c r="P1332" s="50"/>
      <c r="Q1332" s="50"/>
      <c r="R1332" s="50"/>
      <c r="S1332" s="50"/>
      <c r="T1332" s="40"/>
      <c r="AG1332" s="867" t="s">
        <v>241</v>
      </c>
      <c r="AH1332" s="867" t="s">
        <v>242</v>
      </c>
      <c r="AI1332" s="867" t="s">
        <v>243</v>
      </c>
      <c r="AJ1332" s="867" t="s">
        <v>244</v>
      </c>
      <c r="AK1332" s="867" t="s">
        <v>245</v>
      </c>
      <c r="AM1332" s="868" t="s">
        <v>254</v>
      </c>
      <c r="AN1332" s="869" t="s">
        <v>255</v>
      </c>
      <c r="AO1332" s="505" t="s">
        <v>251</v>
      </c>
    </row>
    <row r="1333" spans="1:41" s="504" customFormat="1" ht="12" customHeight="1">
      <c r="A1333" s="870">
        <v>9</v>
      </c>
      <c r="B1333" s="871" t="s">
        <v>335</v>
      </c>
      <c r="C1333" s="872"/>
      <c r="D1333" s="873" t="s">
        <v>821</v>
      </c>
      <c r="E1333" s="874">
        <f ca="1">IF(AND($A1333=0,$A$1="DIF"),0, ROUND(ROUND(($R1339*$S$2+($T1339*$T$2))/A1333,2)*$C$2,2))</f>
        <v>74.08</v>
      </c>
      <c r="F1333" s="875">
        <f ca="1">ROUND($A1333*$E1333,2)</f>
        <v>666.72</v>
      </c>
      <c r="G1333" s="876" t="s">
        <v>139</v>
      </c>
      <c r="H1333" s="877"/>
      <c r="I1333" s="878"/>
      <c r="J1333" s="877"/>
      <c r="K1333" s="877" t="s">
        <v>3</v>
      </c>
      <c r="L1333" s="879" t="s">
        <v>140</v>
      </c>
      <c r="M1333" s="879"/>
      <c r="N1333" s="879"/>
      <c r="O1333" s="879"/>
      <c r="P1333" s="879"/>
      <c r="Q1333" s="50"/>
      <c r="T1333" s="880" t="str">
        <f ca="1">IF(AND($R1339=0,$T1339=0),"0.00","mu :" &amp; ROUND($F1333/$C$2/($R1339+$T1339*$D$9),2))</f>
        <v>mu :1.22</v>
      </c>
      <c r="W1333" s="507"/>
      <c r="AG1333" s="465">
        <f ca="1">IF($E1333=0,0,ROUND($R1339*$S$2*$C$2/$A1333,2))</f>
        <v>21.72</v>
      </c>
      <c r="AH1333" s="465">
        <f ca="1">$AG1333*$A1333</f>
        <v>195.48</v>
      </c>
      <c r="AI1333" s="508">
        <f ca="1">$E1333-$AG1333</f>
        <v>52.36</v>
      </c>
      <c r="AJ1333" s="508">
        <f ca="1">$A1333*$AI1333</f>
        <v>471.24</v>
      </c>
      <c r="AK1333" s="509">
        <f ca="1">ROUND(($AG1333+$AI1333)*$A1333,2)</f>
        <v>666.72</v>
      </c>
      <c r="AM1333" s="510">
        <f ca="1">ROUND(R1339,2)</f>
        <v>160.19999999999999</v>
      </c>
      <c r="AN1333" s="511">
        <f ca="1">ROUND(T1339,2)</f>
        <v>13.4</v>
      </c>
      <c r="AO1333" s="512">
        <f ca="1">ROUND(AM1333+AN1333,2)*A1333</f>
        <v>1562.3999999999999</v>
      </c>
    </row>
    <row r="1334" spans="1:41" s="504" customFormat="1" ht="13.2">
      <c r="A1334" s="872"/>
      <c r="B1334"/>
      <c r="C1334" s="872"/>
      <c r="D1334" s="873" t="s">
        <v>381</v>
      </c>
      <c r="F1334" s="877"/>
      <c r="G1334" s="3"/>
      <c r="H1334" s="877"/>
      <c r="I1334" s="878"/>
      <c r="J1334" s="877"/>
      <c r="K1334" s="877" t="s">
        <v>141</v>
      </c>
      <c r="L1334" s="877"/>
      <c r="M1334" s="877"/>
      <c r="N1334" s="877"/>
      <c r="O1334" s="877"/>
      <c r="P1334" s="877"/>
      <c r="Q1334" s="50"/>
      <c r="R1334" s="513"/>
      <c r="S1334" s="881"/>
      <c r="T1334" s="877"/>
    </row>
    <row r="1335" spans="1:41" s="997" customFormat="1" ht="13.2">
      <c r="A1335"/>
      <c r="B1335" s="1065"/>
      <c r="C1335" s="1065" t="s">
        <v>1006</v>
      </c>
      <c r="D1335" s="1065" t="str">
        <f ca="1">CELL("Address",Elec_Rates!D$200)</f>
        <v>[EL25_0662B_Brittania_Hotel_Elec_Revised_Estim_B.xlsx]Elec_Rates!$D$200</v>
      </c>
      <c r="E1335" s="1066"/>
      <c r="F1335" s="1066"/>
      <c r="G1335" s="1067" t="s">
        <v>1007</v>
      </c>
      <c r="H1335" s="1067"/>
      <c r="I1335" s="1067"/>
      <c r="J1335" s="1067"/>
      <c r="K1335" s="1068"/>
      <c r="L1335" s="1066"/>
      <c r="M1335" s="1066"/>
      <c r="N1335" s="1066"/>
      <c r="O1335" s="1069"/>
      <c r="P1335" s="1066"/>
      <c r="Q1335" s="1070"/>
      <c r="R1335" s="1071"/>
      <c r="S1335" s="1070"/>
      <c r="T1335" s="1072"/>
      <c r="U1335" s="1073"/>
    </row>
    <row r="1336" spans="1:41" s="997" customFormat="1" ht="11.4">
      <c r="A1336" s="1074">
        <v>9</v>
      </c>
      <c r="B1336" s="1075">
        <v>1</v>
      </c>
      <c r="C1336" s="1075">
        <f>$A1336*$B1336</f>
        <v>9</v>
      </c>
      <c r="D1336" s="1076" t="str">
        <f>Elec_Rates!$D$200</f>
        <v>019# Lighting point in LSZH Conduit</v>
      </c>
      <c r="E1336" s="1076"/>
      <c r="F1336" s="1076" t="s">
        <v>1169</v>
      </c>
      <c r="G1336" s="1077" t="s">
        <v>1008</v>
      </c>
      <c r="H1336" s="1077"/>
      <c r="I1336" s="1077"/>
      <c r="J1336" s="1077"/>
      <c r="K1336" s="1078"/>
      <c r="L1336" s="1073"/>
      <c r="M1336" s="1073"/>
      <c r="N1336" s="1073"/>
      <c r="O1336" s="1079"/>
      <c r="P1336" s="1076"/>
      <c r="Q1336" s="1080">
        <f ca="1">$B1336*Elec_Rates!$R$200</f>
        <v>9.65</v>
      </c>
      <c r="R1336" s="1071">
        <f ca="1">$A1336*Q1336</f>
        <v>86.850000000000009</v>
      </c>
      <c r="S1336" s="1080">
        <f ca="1">$B1336*Elec_Rates!$T$200</f>
        <v>1.31</v>
      </c>
      <c r="T1336" s="1072">
        <f ca="1">$A1336*S1336</f>
        <v>11.790000000000001</v>
      </c>
      <c r="U1336" s="1081"/>
    </row>
    <row r="1337" spans="1:41" s="1039" customFormat="1" ht="11.4">
      <c r="A1337" s="1074">
        <v>9</v>
      </c>
      <c r="B1337" s="1039" t="s">
        <v>949</v>
      </c>
      <c r="D1337" s="1039" t="s">
        <v>1299</v>
      </c>
      <c r="G1337" s="1040" t="s">
        <v>1182</v>
      </c>
      <c r="H1337" s="1041">
        <v>705</v>
      </c>
      <c r="I1337" s="1039" t="s">
        <v>1183</v>
      </c>
      <c r="J1337" s="1039" t="s">
        <v>1184</v>
      </c>
      <c r="O1337" s="1042">
        <v>3</v>
      </c>
      <c r="P1337" s="1043">
        <v>34669</v>
      </c>
      <c r="Q1337" s="1044">
        <v>8.15</v>
      </c>
      <c r="R1337" s="1045">
        <f>$A1337*Q1337</f>
        <v>73.350000000000009</v>
      </c>
      <c r="S1337" s="1044">
        <v>0.17</v>
      </c>
      <c r="T1337" s="1046">
        <f>$A1337*S1337*$T$1</f>
        <v>1.6065</v>
      </c>
    </row>
    <row r="1338" spans="1:41" s="504" customFormat="1" ht="12">
      <c r="A1338" s="882"/>
      <c r="B1338" s="882"/>
      <c r="C1338" s="882"/>
      <c r="D1338" s="882"/>
      <c r="E1338" s="882"/>
      <c r="F1338" s="877"/>
      <c r="G1338" s="882"/>
      <c r="H1338" s="882"/>
      <c r="I1338" s="503"/>
      <c r="J1338" s="882"/>
      <c r="K1338" s="882"/>
      <c r="L1338" s="882"/>
      <c r="M1338" s="882"/>
      <c r="N1338" s="882"/>
      <c r="O1338" s="882"/>
      <c r="P1338" s="882"/>
      <c r="Q1338" s="503"/>
      <c r="R1338" s="883">
        <f>$A1338*Q1338</f>
        <v>0</v>
      </c>
      <c r="S1338" s="503"/>
      <c r="T1338" s="884">
        <f>$A1338*S1338*$T$1</f>
        <v>0</v>
      </c>
    </row>
    <row r="1339" spans="1:41" s="504" customFormat="1" ht="12.6" thickBot="1">
      <c r="A1339" s="885" t="s">
        <v>142</v>
      </c>
      <c r="B1339" s="886">
        <f>(R1338+T1338)</f>
        <v>0</v>
      </c>
      <c r="C1339" s="887"/>
      <c r="D1339" s="887"/>
      <c r="E1339" s="887"/>
      <c r="F1339" s="888"/>
      <c r="G1339" s="887" t="s">
        <v>143</v>
      </c>
      <c r="H1339" s="887"/>
      <c r="I1339" s="889"/>
      <c r="J1339" s="887"/>
      <c r="K1339" s="887" t="s">
        <v>3</v>
      </c>
      <c r="L1339" s="890" t="s">
        <v>140</v>
      </c>
      <c r="M1339" s="890"/>
      <c r="N1339" s="890"/>
      <c r="O1339" s="890"/>
      <c r="P1339" s="890"/>
      <c r="Q1339" s="891"/>
      <c r="R1339" s="892">
        <f ca="1">SUM(R1334:R1338)</f>
        <v>160.20000000000002</v>
      </c>
      <c r="S1339" s="887"/>
      <c r="T1339" s="892">
        <f ca="1">SUM(T1334:T1338)</f>
        <v>13.396500000000001</v>
      </c>
      <c r="U1339" s="514"/>
      <c r="V1339" s="514"/>
      <c r="W1339" s="514"/>
      <c r="X1339" s="514"/>
      <c r="Y1339" s="514"/>
      <c r="Z1339" s="514"/>
      <c r="AA1339" s="514"/>
      <c r="AB1339" s="514"/>
      <c r="AC1339" s="514"/>
      <c r="AD1339" s="514"/>
      <c r="AE1339" s="514"/>
      <c r="AF1339" s="514"/>
      <c r="AG1339" s="514"/>
      <c r="AH1339" s="514"/>
      <c r="AI1339" s="514"/>
      <c r="AJ1339" s="514"/>
      <c r="AK1339" s="514"/>
      <c r="AL1339" s="514"/>
      <c r="AM1339" s="514"/>
      <c r="AN1339" s="514"/>
      <c r="AO1339" s="514"/>
    </row>
    <row r="1340" spans="1:41" s="504" customFormat="1" ht="12" thickTop="1">
      <c r="A1340" s="50"/>
      <c r="B1340" s="40"/>
      <c r="C1340" s="50"/>
      <c r="E1340" s="41" t="s">
        <v>136</v>
      </c>
      <c r="F1340" s="41" t="s">
        <v>137</v>
      </c>
      <c r="G1340" s="50"/>
      <c r="H1340" s="50"/>
      <c r="I1340" s="50"/>
      <c r="J1340" s="50"/>
      <c r="K1340" s="50" t="s">
        <v>138</v>
      </c>
      <c r="L1340" s="50"/>
      <c r="M1340" s="50"/>
      <c r="N1340" s="50"/>
      <c r="O1340" s="51"/>
      <c r="P1340" s="50"/>
      <c r="Q1340" s="50"/>
      <c r="R1340" s="50"/>
      <c r="S1340" s="50"/>
      <c r="T1340" s="40"/>
      <c r="AG1340" s="867" t="s">
        <v>241</v>
      </c>
      <c r="AH1340" s="867" t="s">
        <v>242</v>
      </c>
      <c r="AI1340" s="867" t="s">
        <v>243</v>
      </c>
      <c r="AJ1340" s="867" t="s">
        <v>244</v>
      </c>
      <c r="AK1340" s="867" t="s">
        <v>245</v>
      </c>
      <c r="AM1340" s="868" t="s">
        <v>254</v>
      </c>
      <c r="AN1340" s="869" t="s">
        <v>255</v>
      </c>
      <c r="AO1340" s="505" t="s">
        <v>251</v>
      </c>
    </row>
    <row r="1341" spans="1:41" s="504" customFormat="1" ht="12" customHeight="1">
      <c r="A1341" s="870">
        <v>6</v>
      </c>
      <c r="B1341" s="871" t="s">
        <v>335</v>
      </c>
      <c r="C1341" s="872"/>
      <c r="D1341" s="873" t="s">
        <v>822</v>
      </c>
      <c r="E1341" s="874">
        <f ca="1">IF(AND($A1341=0,$A$1="DIF"),0, ROUND(ROUND(($R1346*$S$2+($T1346*$T$2))/A1341,2)*$C$2,2))</f>
        <v>57.85</v>
      </c>
      <c r="F1341" s="875">
        <f ca="1">ROUND($A1341*$E1341,2)</f>
        <v>347.1</v>
      </c>
      <c r="G1341" s="876" t="s">
        <v>139</v>
      </c>
      <c r="H1341" s="877"/>
      <c r="I1341" s="878"/>
      <c r="J1341" s="877"/>
      <c r="K1341" s="877" t="s">
        <v>3</v>
      </c>
      <c r="L1341" s="879" t="s">
        <v>140</v>
      </c>
      <c r="M1341" s="879"/>
      <c r="N1341" s="879"/>
      <c r="O1341" s="879"/>
      <c r="P1341" s="879"/>
      <c r="Q1341" s="50"/>
      <c r="T1341" s="880" t="str">
        <f ca="1">IF(AND($R1346=0,$T1346=0),"0.00","mu :" &amp; ROUND($F1341/$C$2/($R1346+$T1346*$D$9),2))</f>
        <v>mu :1.22</v>
      </c>
      <c r="W1341" s="507"/>
      <c r="AG1341" s="465">
        <f ca="1">IF($E1341=0,0,ROUND($R1346*$S$2*$C$2/$A1341,2))</f>
        <v>11.77</v>
      </c>
      <c r="AH1341" s="465">
        <f ca="1">$AG1341*$A1341</f>
        <v>70.62</v>
      </c>
      <c r="AI1341" s="508">
        <f ca="1">$E1341-$AG1341</f>
        <v>46.08</v>
      </c>
      <c r="AJ1341" s="508">
        <f ca="1">$A1341*$AI1341</f>
        <v>276.48</v>
      </c>
      <c r="AK1341" s="509">
        <f ca="1">ROUND(($AG1341+$AI1341)*$A1341,2)</f>
        <v>347.1</v>
      </c>
      <c r="AM1341" s="510">
        <f ca="1">ROUND(R1346,2)</f>
        <v>57.9</v>
      </c>
      <c r="AN1341" s="511">
        <f ca="1">ROUND(T1346,2)</f>
        <v>7.86</v>
      </c>
      <c r="AO1341" s="512">
        <f ca="1">ROUND(AM1341+AN1341,2)*A1341</f>
        <v>394.56000000000006</v>
      </c>
    </row>
    <row r="1342" spans="1:41" s="504" customFormat="1" ht="13.2">
      <c r="A1342" s="872"/>
      <c r="B1342"/>
      <c r="C1342" s="872"/>
      <c r="D1342" s="873" t="s">
        <v>406</v>
      </c>
      <c r="F1342" s="877"/>
      <c r="G1342" s="3"/>
      <c r="H1342" s="877"/>
      <c r="I1342" s="878"/>
      <c r="J1342" s="877"/>
      <c r="K1342" s="877" t="s">
        <v>141</v>
      </c>
      <c r="L1342" s="877"/>
      <c r="M1342" s="877"/>
      <c r="N1342" s="877"/>
      <c r="O1342" s="877"/>
      <c r="P1342" s="877"/>
      <c r="Q1342" s="50"/>
      <c r="R1342" s="513"/>
      <c r="S1342" s="881"/>
      <c r="T1342" s="877"/>
    </row>
    <row r="1343" spans="1:41" s="997" customFormat="1" ht="13.2">
      <c r="A1343"/>
      <c r="B1343" s="1065"/>
      <c r="C1343" s="1065" t="s">
        <v>1006</v>
      </c>
      <c r="D1343" s="1065" t="str">
        <f ca="1">CELL("Address",Elec_Rates!D$200)</f>
        <v>[EL25_0662B_Brittania_Hotel_Elec_Revised_Estim_B.xlsx]Elec_Rates!$D$200</v>
      </c>
      <c r="E1343" s="1066"/>
      <c r="F1343" s="1066"/>
      <c r="G1343" s="1067" t="s">
        <v>1007</v>
      </c>
      <c r="H1343" s="1067"/>
      <c r="I1343" s="1067"/>
      <c r="J1343" s="1067"/>
      <c r="K1343" s="1068"/>
      <c r="L1343" s="1066"/>
      <c r="M1343" s="1066"/>
      <c r="N1343" s="1066"/>
      <c r="O1343" s="1069"/>
      <c r="P1343" s="1066"/>
      <c r="Q1343" s="1070"/>
      <c r="R1343" s="1071"/>
      <c r="S1343" s="1070"/>
      <c r="T1343" s="1072"/>
      <c r="U1343" s="1073"/>
    </row>
    <row r="1344" spans="1:41" s="997" customFormat="1" ht="11.4">
      <c r="A1344" s="1074">
        <v>6</v>
      </c>
      <c r="B1344" s="1075">
        <v>1</v>
      </c>
      <c r="C1344" s="1075">
        <f>$A1344*$B1344</f>
        <v>6</v>
      </c>
      <c r="D1344" s="1076" t="str">
        <f>Elec_Rates!$D$200</f>
        <v>019# Lighting point in LSZH Conduit</v>
      </c>
      <c r="E1344" s="1076"/>
      <c r="F1344" s="1076" t="s">
        <v>1169</v>
      </c>
      <c r="G1344" s="1077" t="s">
        <v>1008</v>
      </c>
      <c r="H1344" s="1077"/>
      <c r="I1344" s="1077"/>
      <c r="J1344" s="1077"/>
      <c r="K1344" s="1078"/>
      <c r="L1344" s="1073"/>
      <c r="M1344" s="1073"/>
      <c r="N1344" s="1073"/>
      <c r="O1344" s="1079"/>
      <c r="P1344" s="1076"/>
      <c r="Q1344" s="1080">
        <f ca="1">$B1344*Elec_Rates!$R$200</f>
        <v>9.65</v>
      </c>
      <c r="R1344" s="1071">
        <f ca="1">$A1344*Q1344</f>
        <v>57.900000000000006</v>
      </c>
      <c r="S1344" s="1080">
        <f ca="1">$B1344*Elec_Rates!$T$200</f>
        <v>1.31</v>
      </c>
      <c r="T1344" s="1072">
        <f ca="1">$A1344*S1344</f>
        <v>7.86</v>
      </c>
      <c r="U1344" s="1081"/>
    </row>
    <row r="1345" spans="1:41" s="504" customFormat="1" ht="12">
      <c r="A1345" s="882"/>
      <c r="B1345" s="882"/>
      <c r="C1345" s="882"/>
      <c r="D1345" s="882"/>
      <c r="E1345" s="882"/>
      <c r="F1345" s="877"/>
      <c r="G1345" s="882"/>
      <c r="H1345" s="882"/>
      <c r="I1345" s="503"/>
      <c r="J1345" s="882"/>
      <c r="K1345" s="882"/>
      <c r="L1345" s="882"/>
      <c r="M1345" s="882"/>
      <c r="N1345" s="882"/>
      <c r="O1345" s="882"/>
      <c r="P1345" s="882"/>
      <c r="Q1345" s="503"/>
      <c r="R1345" s="883">
        <f>$A1345*Q1345</f>
        <v>0</v>
      </c>
      <c r="S1345" s="503"/>
      <c r="T1345" s="884">
        <f>$A1345*S1345*$T$1</f>
        <v>0</v>
      </c>
    </row>
    <row r="1346" spans="1:41" s="504" customFormat="1" ht="12.6" thickBot="1">
      <c r="A1346" s="885" t="s">
        <v>142</v>
      </c>
      <c r="B1346" s="886">
        <f>(R1345+T1345)</f>
        <v>0</v>
      </c>
      <c r="C1346" s="887"/>
      <c r="D1346" s="887"/>
      <c r="E1346" s="887"/>
      <c r="F1346" s="888"/>
      <c r="G1346" s="887" t="s">
        <v>143</v>
      </c>
      <c r="H1346" s="887"/>
      <c r="I1346" s="889"/>
      <c r="J1346" s="887"/>
      <c r="K1346" s="887" t="s">
        <v>3</v>
      </c>
      <c r="L1346" s="890" t="s">
        <v>140</v>
      </c>
      <c r="M1346" s="890"/>
      <c r="N1346" s="890"/>
      <c r="O1346" s="890"/>
      <c r="P1346" s="890"/>
      <c r="Q1346" s="891"/>
      <c r="R1346" s="892">
        <f ca="1">SUM(R1342:R1345)</f>
        <v>57.900000000000006</v>
      </c>
      <c r="S1346" s="887"/>
      <c r="T1346" s="892">
        <f ca="1">SUM(T1342:T1345)</f>
        <v>7.86</v>
      </c>
      <c r="U1346" s="514"/>
      <c r="V1346" s="514"/>
      <c r="W1346" s="514"/>
      <c r="X1346" s="514"/>
      <c r="Y1346" s="514"/>
      <c r="Z1346" s="514"/>
      <c r="AA1346" s="514"/>
      <c r="AB1346" s="514"/>
      <c r="AC1346" s="514"/>
      <c r="AD1346" s="514"/>
      <c r="AE1346" s="514"/>
      <c r="AF1346" s="514"/>
      <c r="AG1346" s="514"/>
      <c r="AH1346" s="514"/>
      <c r="AI1346" s="514"/>
      <c r="AJ1346" s="514"/>
      <c r="AK1346" s="514"/>
      <c r="AL1346" s="514"/>
      <c r="AM1346" s="514"/>
      <c r="AN1346" s="514"/>
      <c r="AO1346" s="514"/>
    </row>
    <row r="1347" spans="1:41" s="504" customFormat="1" ht="12" thickTop="1">
      <c r="A1347" s="50"/>
      <c r="B1347" s="40"/>
      <c r="C1347" s="50"/>
      <c r="E1347" s="41" t="s">
        <v>136</v>
      </c>
      <c r="F1347" s="41" t="s">
        <v>137</v>
      </c>
      <c r="G1347" s="50"/>
      <c r="H1347" s="50"/>
      <c r="I1347" s="50"/>
      <c r="J1347" s="50"/>
      <c r="K1347" s="50" t="s">
        <v>138</v>
      </c>
      <c r="L1347" s="50"/>
      <c r="M1347" s="50"/>
      <c r="N1347" s="50"/>
      <c r="O1347" s="51"/>
      <c r="P1347" s="50"/>
      <c r="Q1347" s="50"/>
      <c r="R1347" s="50"/>
      <c r="S1347" s="50"/>
      <c r="T1347" s="40"/>
      <c r="AG1347" s="867" t="s">
        <v>241</v>
      </c>
      <c r="AH1347" s="867" t="s">
        <v>242</v>
      </c>
      <c r="AI1347" s="867" t="s">
        <v>243</v>
      </c>
      <c r="AJ1347" s="867" t="s">
        <v>244</v>
      </c>
      <c r="AK1347" s="867" t="s">
        <v>245</v>
      </c>
      <c r="AM1347" s="868" t="s">
        <v>254</v>
      </c>
      <c r="AN1347" s="869" t="s">
        <v>255</v>
      </c>
      <c r="AO1347" s="505" t="s">
        <v>251</v>
      </c>
    </row>
    <row r="1348" spans="1:41" s="504" customFormat="1" ht="12" customHeight="1">
      <c r="A1348" s="870">
        <v>2</v>
      </c>
      <c r="B1348" s="871" t="s">
        <v>335</v>
      </c>
      <c r="C1348" s="872"/>
      <c r="D1348" s="873" t="s">
        <v>823</v>
      </c>
      <c r="E1348" s="874">
        <f ca="1">IF(AND($A1348=0,$A$1="DIF"),0, ROUND(ROUND(($R1353*$S$2+($T1353*$T$2))/A1348,2)*$C$2,2))</f>
        <v>57.85</v>
      </c>
      <c r="F1348" s="875">
        <f ca="1">ROUND($A1348*$E1348,2)</f>
        <v>115.7</v>
      </c>
      <c r="G1348" s="876" t="s">
        <v>139</v>
      </c>
      <c r="H1348" s="877"/>
      <c r="I1348" s="878"/>
      <c r="J1348" s="877"/>
      <c r="K1348" s="877" t="s">
        <v>3</v>
      </c>
      <c r="L1348" s="879" t="s">
        <v>140</v>
      </c>
      <c r="M1348" s="879"/>
      <c r="N1348" s="879"/>
      <c r="O1348" s="879"/>
      <c r="P1348" s="879"/>
      <c r="Q1348" s="50"/>
      <c r="T1348" s="880" t="str">
        <f ca="1">IF(AND($R1353=0,$T1353=0),"0.00","mu :" &amp; ROUND($F1348/$C$2/($R1353+$T1353*$D$9),2))</f>
        <v>mu :1.22</v>
      </c>
      <c r="W1348" s="507"/>
      <c r="AG1348" s="465">
        <f ca="1">IF($E1348=0,0,ROUND($R1353*$S$2*$C$2/$A1348,2))</f>
        <v>11.77</v>
      </c>
      <c r="AH1348" s="465">
        <f ca="1">$AG1348*$A1348</f>
        <v>23.54</v>
      </c>
      <c r="AI1348" s="508">
        <f ca="1">$E1348-$AG1348</f>
        <v>46.08</v>
      </c>
      <c r="AJ1348" s="508">
        <f ca="1">$A1348*$AI1348</f>
        <v>92.16</v>
      </c>
      <c r="AK1348" s="509">
        <f ca="1">ROUND(($AG1348+$AI1348)*$A1348,2)</f>
        <v>115.7</v>
      </c>
      <c r="AM1348" s="510">
        <f ca="1">ROUND(R1353,2)</f>
        <v>19.3</v>
      </c>
      <c r="AN1348" s="511">
        <f ca="1">ROUND(T1353,2)</f>
        <v>2.62</v>
      </c>
      <c r="AO1348" s="512">
        <f ca="1">ROUND(AM1348+AN1348,2)*A1348</f>
        <v>43.84</v>
      </c>
    </row>
    <row r="1349" spans="1:41" s="504" customFormat="1" ht="13.2">
      <c r="A1349" s="872"/>
      <c r="B1349"/>
      <c r="C1349" s="872"/>
      <c r="D1349" s="873" t="s">
        <v>407</v>
      </c>
      <c r="F1349" s="877"/>
      <c r="G1349" s="3"/>
      <c r="H1349" s="877"/>
      <c r="I1349" s="878"/>
      <c r="J1349" s="877"/>
      <c r="K1349" s="877" t="s">
        <v>141</v>
      </c>
      <c r="L1349" s="877"/>
      <c r="M1349" s="877"/>
      <c r="N1349" s="877"/>
      <c r="O1349" s="877"/>
      <c r="P1349" s="877"/>
      <c r="Q1349" s="50"/>
      <c r="R1349" s="513"/>
      <c r="S1349" s="881"/>
      <c r="T1349" s="877"/>
    </row>
    <row r="1350" spans="1:41" s="997" customFormat="1" ht="13.2">
      <c r="A1350"/>
      <c r="B1350" s="1065"/>
      <c r="C1350" s="1065" t="s">
        <v>1006</v>
      </c>
      <c r="D1350" s="1065" t="str">
        <f ca="1">CELL("Address",Elec_Rates!D$200)</f>
        <v>[EL25_0662B_Brittania_Hotel_Elec_Revised_Estim_B.xlsx]Elec_Rates!$D$200</v>
      </c>
      <c r="E1350" s="1066"/>
      <c r="F1350" s="1066"/>
      <c r="G1350" s="1067" t="s">
        <v>1007</v>
      </c>
      <c r="H1350" s="1067"/>
      <c r="I1350" s="1067"/>
      <c r="J1350" s="1067"/>
      <c r="K1350" s="1068"/>
      <c r="L1350" s="1066"/>
      <c r="M1350" s="1066"/>
      <c r="N1350" s="1066"/>
      <c r="O1350" s="1069"/>
      <c r="P1350" s="1066"/>
      <c r="Q1350" s="1070"/>
      <c r="R1350" s="1071"/>
      <c r="S1350" s="1070"/>
      <c r="T1350" s="1072"/>
      <c r="U1350" s="1073"/>
    </row>
    <row r="1351" spans="1:41" s="997" customFormat="1" ht="11.4">
      <c r="A1351" s="1074">
        <v>2</v>
      </c>
      <c r="B1351" s="1075">
        <v>1</v>
      </c>
      <c r="C1351" s="1075">
        <f>$A1351*$B1351</f>
        <v>2</v>
      </c>
      <c r="D1351" s="1076" t="str">
        <f>Elec_Rates!$D$200</f>
        <v>019# Lighting point in LSZH Conduit</v>
      </c>
      <c r="E1351" s="1076"/>
      <c r="F1351" s="1076" t="s">
        <v>1169</v>
      </c>
      <c r="G1351" s="1077" t="s">
        <v>1008</v>
      </c>
      <c r="H1351" s="1077"/>
      <c r="I1351" s="1077"/>
      <c r="J1351" s="1077"/>
      <c r="K1351" s="1078"/>
      <c r="L1351" s="1073"/>
      <c r="M1351" s="1073"/>
      <c r="N1351" s="1073"/>
      <c r="O1351" s="1079"/>
      <c r="P1351" s="1076"/>
      <c r="Q1351" s="1080">
        <f ca="1">$B1351*Elec_Rates!$R$200</f>
        <v>9.65</v>
      </c>
      <c r="R1351" s="1071">
        <f ca="1">$A1351*Q1351</f>
        <v>19.3</v>
      </c>
      <c r="S1351" s="1080">
        <f ca="1">$B1351*Elec_Rates!$T$200</f>
        <v>1.31</v>
      </c>
      <c r="T1351" s="1072">
        <f ca="1">$A1351*S1351</f>
        <v>2.62</v>
      </c>
      <c r="U1351" s="1081"/>
    </row>
    <row r="1352" spans="1:41" s="504" customFormat="1" ht="12">
      <c r="A1352" s="882"/>
      <c r="B1352" s="882"/>
      <c r="C1352" s="882"/>
      <c r="D1352" s="882"/>
      <c r="E1352" s="882"/>
      <c r="F1352" s="877"/>
      <c r="G1352" s="882"/>
      <c r="H1352" s="882"/>
      <c r="I1352" s="503"/>
      <c r="J1352" s="882"/>
      <c r="K1352" s="882"/>
      <c r="L1352" s="882"/>
      <c r="M1352" s="882"/>
      <c r="N1352" s="882"/>
      <c r="O1352" s="882"/>
      <c r="P1352" s="882"/>
      <c r="Q1352" s="503"/>
      <c r="R1352" s="883">
        <f>$A1352*Q1352</f>
        <v>0</v>
      </c>
      <c r="S1352" s="503"/>
      <c r="T1352" s="884">
        <f>$A1352*S1352*$T$1</f>
        <v>0</v>
      </c>
    </row>
    <row r="1353" spans="1:41" s="504" customFormat="1" ht="12.6" thickBot="1">
      <c r="A1353" s="885" t="s">
        <v>142</v>
      </c>
      <c r="B1353" s="886">
        <f>(R1352+T1352)</f>
        <v>0</v>
      </c>
      <c r="C1353" s="887"/>
      <c r="D1353" s="887"/>
      <c r="E1353" s="887"/>
      <c r="F1353" s="888"/>
      <c r="G1353" s="887" t="s">
        <v>143</v>
      </c>
      <c r="H1353" s="887"/>
      <c r="I1353" s="889"/>
      <c r="J1353" s="887"/>
      <c r="K1353" s="887" t="s">
        <v>3</v>
      </c>
      <c r="L1353" s="890" t="s">
        <v>140</v>
      </c>
      <c r="M1353" s="890"/>
      <c r="N1353" s="890"/>
      <c r="O1353" s="890"/>
      <c r="P1353" s="890"/>
      <c r="Q1353" s="891"/>
      <c r="R1353" s="892">
        <f ca="1">SUM(R1349:R1352)</f>
        <v>19.3</v>
      </c>
      <c r="S1353" s="887"/>
      <c r="T1353" s="892">
        <f ca="1">SUM(T1349:T1352)</f>
        <v>2.62</v>
      </c>
      <c r="U1353" s="514"/>
      <c r="V1353" s="514"/>
      <c r="W1353" s="514"/>
      <c r="X1353" s="514"/>
      <c r="Y1353" s="514"/>
      <c r="Z1353" s="514"/>
      <c r="AA1353" s="514"/>
      <c r="AB1353" s="514"/>
      <c r="AC1353" s="514"/>
      <c r="AD1353" s="514"/>
      <c r="AE1353" s="514"/>
      <c r="AF1353" s="514"/>
      <c r="AG1353" s="514"/>
      <c r="AH1353" s="514"/>
      <c r="AI1353" s="514"/>
      <c r="AJ1353" s="514"/>
      <c r="AK1353" s="514"/>
      <c r="AL1353" s="514"/>
      <c r="AM1353" s="514"/>
      <c r="AN1353" s="514"/>
      <c r="AO1353" s="514"/>
    </row>
    <row r="1354" spans="1:41" s="504" customFormat="1" ht="12" thickTop="1">
      <c r="A1354" s="50"/>
      <c r="B1354" s="40"/>
      <c r="C1354" s="50"/>
      <c r="E1354" s="41" t="s">
        <v>136</v>
      </c>
      <c r="F1354" s="41" t="s">
        <v>137</v>
      </c>
      <c r="G1354" s="50"/>
      <c r="H1354" s="50"/>
      <c r="I1354" s="50"/>
      <c r="J1354" s="50"/>
      <c r="K1354" s="50" t="s">
        <v>138</v>
      </c>
      <c r="L1354" s="50"/>
      <c r="M1354" s="50"/>
      <c r="N1354" s="50"/>
      <c r="O1354" s="51"/>
      <c r="P1354" s="50"/>
      <c r="Q1354" s="50"/>
      <c r="R1354" s="50"/>
      <c r="S1354" s="50"/>
      <c r="T1354" s="40"/>
      <c r="AG1354" s="867" t="s">
        <v>241</v>
      </c>
      <c r="AH1354" s="867" t="s">
        <v>242</v>
      </c>
      <c r="AI1354" s="867" t="s">
        <v>243</v>
      </c>
      <c r="AJ1354" s="867" t="s">
        <v>244</v>
      </c>
      <c r="AK1354" s="867" t="s">
        <v>245</v>
      </c>
      <c r="AM1354" s="868" t="s">
        <v>254</v>
      </c>
      <c r="AN1354" s="869" t="s">
        <v>255</v>
      </c>
      <c r="AO1354" s="505" t="s">
        <v>251</v>
      </c>
    </row>
    <row r="1355" spans="1:41" s="504" customFormat="1" ht="12" customHeight="1">
      <c r="A1355" s="870">
        <v>3</v>
      </c>
      <c r="B1355" s="871" t="s">
        <v>335</v>
      </c>
      <c r="C1355" s="872"/>
      <c r="D1355" s="873" t="s">
        <v>824</v>
      </c>
      <c r="E1355" s="874">
        <f ca="1">IF(AND($A1355=0,$A$1="DIF"),0, ROUND(ROUND(($R1360*$S$2+($T1360*$T$2))/A1355,2)*$C$2,2))</f>
        <v>57.85</v>
      </c>
      <c r="F1355" s="875">
        <f ca="1">ROUND($A1355*$E1355,2)</f>
        <v>173.55</v>
      </c>
      <c r="G1355" s="876" t="s">
        <v>139</v>
      </c>
      <c r="H1355" s="877"/>
      <c r="I1355" s="878"/>
      <c r="J1355" s="877"/>
      <c r="K1355" s="877" t="s">
        <v>3</v>
      </c>
      <c r="L1355" s="879" t="s">
        <v>140</v>
      </c>
      <c r="M1355" s="879"/>
      <c r="N1355" s="879"/>
      <c r="O1355" s="879"/>
      <c r="P1355" s="879"/>
      <c r="Q1355" s="50"/>
      <c r="T1355" s="880" t="str">
        <f ca="1">IF(AND($R1360=0,$T1360=0),"0.00","mu :" &amp; ROUND($F1355/$C$2/($R1360+$T1360*$D$9),2))</f>
        <v>mu :1.22</v>
      </c>
      <c r="W1355" s="507"/>
      <c r="AG1355" s="465">
        <f ca="1">IF($E1355=0,0,ROUND($R1360*$S$2*$C$2/$A1355,2))</f>
        <v>11.77</v>
      </c>
      <c r="AH1355" s="465">
        <f ca="1">$AG1355*$A1355</f>
        <v>35.31</v>
      </c>
      <c r="AI1355" s="508">
        <f ca="1">$E1355-$AG1355</f>
        <v>46.08</v>
      </c>
      <c r="AJ1355" s="508">
        <f ca="1">$A1355*$AI1355</f>
        <v>138.24</v>
      </c>
      <c r="AK1355" s="509">
        <f ca="1">ROUND(($AG1355+$AI1355)*$A1355,2)</f>
        <v>173.55</v>
      </c>
      <c r="AM1355" s="510">
        <f ca="1">ROUND(R1360,2)</f>
        <v>28.95</v>
      </c>
      <c r="AN1355" s="511">
        <f ca="1">ROUND(T1360,2)</f>
        <v>3.93</v>
      </c>
      <c r="AO1355" s="512">
        <f ca="1">ROUND(AM1355+AN1355,2)*A1355</f>
        <v>98.640000000000015</v>
      </c>
    </row>
    <row r="1356" spans="1:41" s="504" customFormat="1" ht="13.2">
      <c r="A1356" s="872"/>
      <c r="B1356"/>
      <c r="C1356" s="872"/>
      <c r="D1356" s="873" t="s">
        <v>408</v>
      </c>
      <c r="F1356" s="877"/>
      <c r="G1356" s="3"/>
      <c r="H1356" s="877"/>
      <c r="I1356" s="878"/>
      <c r="J1356" s="877"/>
      <c r="K1356" s="877" t="s">
        <v>141</v>
      </c>
      <c r="L1356" s="877"/>
      <c r="M1356" s="877"/>
      <c r="N1356" s="877"/>
      <c r="O1356" s="877"/>
      <c r="P1356" s="877"/>
      <c r="Q1356" s="50"/>
      <c r="R1356" s="513"/>
      <c r="S1356" s="881"/>
      <c r="T1356" s="877"/>
    </row>
    <row r="1357" spans="1:41" s="997" customFormat="1" ht="13.2">
      <c r="A1357"/>
      <c r="B1357" s="1065"/>
      <c r="C1357" s="1065" t="s">
        <v>1006</v>
      </c>
      <c r="D1357" s="1065" t="str">
        <f ca="1">CELL("Address",Elec_Rates!D$200)</f>
        <v>[EL25_0662B_Brittania_Hotel_Elec_Revised_Estim_B.xlsx]Elec_Rates!$D$200</v>
      </c>
      <c r="E1357" s="1066"/>
      <c r="F1357" s="1066"/>
      <c r="G1357" s="1067" t="s">
        <v>1007</v>
      </c>
      <c r="H1357" s="1067"/>
      <c r="I1357" s="1067"/>
      <c r="J1357" s="1067"/>
      <c r="K1357" s="1068"/>
      <c r="L1357" s="1066"/>
      <c r="M1357" s="1066"/>
      <c r="N1357" s="1066"/>
      <c r="O1357" s="1069"/>
      <c r="P1357" s="1066"/>
      <c r="Q1357" s="1070"/>
      <c r="R1357" s="1071"/>
      <c r="S1357" s="1070"/>
      <c r="T1357" s="1072"/>
      <c r="U1357" s="1073"/>
    </row>
    <row r="1358" spans="1:41" s="997" customFormat="1" ht="11.4">
      <c r="A1358" s="1074">
        <v>3</v>
      </c>
      <c r="B1358" s="1075">
        <v>1</v>
      </c>
      <c r="C1358" s="1075">
        <f>$A1358*$B1358</f>
        <v>3</v>
      </c>
      <c r="D1358" s="1076" t="str">
        <f>Elec_Rates!$D$200</f>
        <v>019# Lighting point in LSZH Conduit</v>
      </c>
      <c r="E1358" s="1076"/>
      <c r="F1358" s="1076" t="s">
        <v>1169</v>
      </c>
      <c r="G1358" s="1077" t="s">
        <v>1008</v>
      </c>
      <c r="H1358" s="1077"/>
      <c r="I1358" s="1077"/>
      <c r="J1358" s="1077"/>
      <c r="K1358" s="1078"/>
      <c r="L1358" s="1073"/>
      <c r="M1358" s="1073"/>
      <c r="N1358" s="1073"/>
      <c r="O1358" s="1079"/>
      <c r="P1358" s="1076"/>
      <c r="Q1358" s="1080">
        <f ca="1">$B1358*Elec_Rates!$R$200</f>
        <v>9.65</v>
      </c>
      <c r="R1358" s="1071">
        <f ca="1">$A1358*Q1358</f>
        <v>28.950000000000003</v>
      </c>
      <c r="S1358" s="1080">
        <f ca="1">$B1358*Elec_Rates!$T$200</f>
        <v>1.31</v>
      </c>
      <c r="T1358" s="1072">
        <f ca="1">$A1358*S1358</f>
        <v>3.93</v>
      </c>
      <c r="U1358" s="1081"/>
    </row>
    <row r="1359" spans="1:41" s="504" customFormat="1" ht="12">
      <c r="A1359" s="882"/>
      <c r="B1359" s="882"/>
      <c r="C1359" s="882"/>
      <c r="D1359" s="882"/>
      <c r="E1359" s="882"/>
      <c r="F1359" s="877"/>
      <c r="G1359" s="882"/>
      <c r="H1359" s="882"/>
      <c r="I1359" s="503"/>
      <c r="J1359" s="882"/>
      <c r="K1359" s="882"/>
      <c r="L1359" s="882"/>
      <c r="M1359" s="882"/>
      <c r="N1359" s="882"/>
      <c r="O1359" s="882"/>
      <c r="P1359" s="882"/>
      <c r="Q1359" s="503"/>
      <c r="R1359" s="883">
        <f>$A1359*Q1359</f>
        <v>0</v>
      </c>
      <c r="S1359" s="503"/>
      <c r="T1359" s="884">
        <f>$A1359*S1359*$T$1</f>
        <v>0</v>
      </c>
    </row>
    <row r="1360" spans="1:41" s="504" customFormat="1" ht="12.6" thickBot="1">
      <c r="A1360" s="885" t="s">
        <v>142</v>
      </c>
      <c r="B1360" s="886">
        <f>(R1359+T1359)</f>
        <v>0</v>
      </c>
      <c r="C1360" s="887"/>
      <c r="D1360" s="887"/>
      <c r="E1360" s="887"/>
      <c r="F1360" s="888"/>
      <c r="G1360" s="887" t="s">
        <v>143</v>
      </c>
      <c r="H1360" s="887"/>
      <c r="I1360" s="889"/>
      <c r="J1360" s="887"/>
      <c r="K1360" s="887" t="s">
        <v>3</v>
      </c>
      <c r="L1360" s="890" t="s">
        <v>140</v>
      </c>
      <c r="M1360" s="890"/>
      <c r="N1360" s="890"/>
      <c r="O1360" s="890"/>
      <c r="P1360" s="890"/>
      <c r="Q1360" s="891"/>
      <c r="R1360" s="892">
        <f ca="1">SUM(R1356:R1359)</f>
        <v>28.950000000000003</v>
      </c>
      <c r="S1360" s="887"/>
      <c r="T1360" s="892">
        <f ca="1">SUM(T1356:T1359)</f>
        <v>3.93</v>
      </c>
      <c r="U1360" s="514"/>
      <c r="V1360" s="514"/>
      <c r="W1360" s="514"/>
      <c r="X1360" s="514"/>
      <c r="Y1360" s="514"/>
      <c r="Z1360" s="514"/>
      <c r="AA1360" s="514"/>
      <c r="AB1360" s="514"/>
      <c r="AC1360" s="514"/>
      <c r="AD1360" s="514"/>
      <c r="AE1360" s="514"/>
      <c r="AF1360" s="514"/>
      <c r="AG1360" s="514"/>
      <c r="AH1360" s="514"/>
      <c r="AI1360" s="514"/>
      <c r="AJ1360" s="514"/>
      <c r="AK1360" s="514"/>
      <c r="AL1360" s="514"/>
      <c r="AM1360" s="514"/>
      <c r="AN1360" s="514"/>
      <c r="AO1360" s="514"/>
    </row>
    <row r="1361" spans="1:41" s="504" customFormat="1" ht="12" thickTop="1">
      <c r="A1361" s="50"/>
      <c r="B1361" s="40"/>
      <c r="C1361" s="50"/>
      <c r="E1361" s="41" t="s">
        <v>136</v>
      </c>
      <c r="F1361" s="41" t="s">
        <v>137</v>
      </c>
      <c r="G1361" s="50"/>
      <c r="H1361" s="50"/>
      <c r="I1361" s="50"/>
      <c r="J1361" s="50"/>
      <c r="K1361" s="50" t="s">
        <v>138</v>
      </c>
      <c r="L1361" s="50"/>
      <c r="M1361" s="50"/>
      <c r="N1361" s="50"/>
      <c r="O1361" s="51"/>
      <c r="P1361" s="50"/>
      <c r="Q1361" s="50"/>
      <c r="R1361" s="50"/>
      <c r="S1361" s="50"/>
      <c r="T1361" s="40"/>
      <c r="AG1361" s="867" t="s">
        <v>241</v>
      </c>
      <c r="AH1361" s="867" t="s">
        <v>242</v>
      </c>
      <c r="AI1361" s="867" t="s">
        <v>243</v>
      </c>
      <c r="AJ1361" s="867" t="s">
        <v>244</v>
      </c>
      <c r="AK1361" s="867" t="s">
        <v>245</v>
      </c>
      <c r="AM1361" s="868" t="s">
        <v>254</v>
      </c>
      <c r="AN1361" s="869" t="s">
        <v>255</v>
      </c>
      <c r="AO1361" s="505" t="s">
        <v>251</v>
      </c>
    </row>
    <row r="1362" spans="1:41" s="504" customFormat="1" ht="12" customHeight="1">
      <c r="A1362" s="870">
        <v>3</v>
      </c>
      <c r="B1362" s="871" t="s">
        <v>335</v>
      </c>
      <c r="C1362" s="872"/>
      <c r="D1362" s="873" t="s">
        <v>825</v>
      </c>
      <c r="E1362" s="874">
        <f ca="1">IF(AND($A1362=0,$A$1="DIF"),0, ROUND(ROUND(($R1367*$S$2+($T1367*$T$2))/A1362,2)*$C$2,2))</f>
        <v>57.85</v>
      </c>
      <c r="F1362" s="875">
        <f ca="1">ROUND($A1362*$E1362,2)</f>
        <v>173.55</v>
      </c>
      <c r="G1362" s="876" t="s">
        <v>139</v>
      </c>
      <c r="H1362" s="877"/>
      <c r="I1362" s="878"/>
      <c r="J1362" s="877"/>
      <c r="K1362" s="877" t="s">
        <v>3</v>
      </c>
      <c r="L1362" s="879" t="s">
        <v>140</v>
      </c>
      <c r="M1362" s="879"/>
      <c r="N1362" s="879"/>
      <c r="O1362" s="879"/>
      <c r="P1362" s="879"/>
      <c r="Q1362" s="50"/>
      <c r="T1362" s="880" t="str">
        <f ca="1">IF(AND($R1367=0,$T1367=0),"0.00","mu :" &amp; ROUND($F1362/$C$2/($R1367+$T1367*$D$9),2))</f>
        <v>mu :1.22</v>
      </c>
      <c r="W1362" s="507"/>
      <c r="AG1362" s="465">
        <f ca="1">IF($E1362=0,0,ROUND($R1367*$S$2*$C$2/$A1362,2))</f>
        <v>11.77</v>
      </c>
      <c r="AH1362" s="465">
        <f ca="1">$AG1362*$A1362</f>
        <v>35.31</v>
      </c>
      <c r="AI1362" s="508">
        <f ca="1">$E1362-$AG1362</f>
        <v>46.08</v>
      </c>
      <c r="AJ1362" s="508">
        <f ca="1">$A1362*$AI1362</f>
        <v>138.24</v>
      </c>
      <c r="AK1362" s="509">
        <f ca="1">ROUND(($AG1362+$AI1362)*$A1362,2)</f>
        <v>173.55</v>
      </c>
      <c r="AM1362" s="510">
        <f ca="1">ROUND(R1367,2)</f>
        <v>28.95</v>
      </c>
      <c r="AN1362" s="511">
        <f ca="1">ROUND(T1367,2)</f>
        <v>3.93</v>
      </c>
      <c r="AO1362" s="512">
        <f ca="1">ROUND(AM1362+AN1362,2)*A1362</f>
        <v>98.640000000000015</v>
      </c>
    </row>
    <row r="1363" spans="1:41" s="504" customFormat="1" ht="13.2">
      <c r="A1363" s="872"/>
      <c r="B1363"/>
      <c r="C1363" s="872"/>
      <c r="D1363" s="873" t="s">
        <v>409</v>
      </c>
      <c r="F1363" s="877"/>
      <c r="G1363" s="3"/>
      <c r="H1363" s="877"/>
      <c r="I1363" s="878"/>
      <c r="J1363" s="877"/>
      <c r="K1363" s="877" t="s">
        <v>141</v>
      </c>
      <c r="L1363" s="877"/>
      <c r="M1363" s="877"/>
      <c r="N1363" s="877"/>
      <c r="O1363" s="877"/>
      <c r="P1363" s="877"/>
      <c r="Q1363" s="50"/>
      <c r="R1363" s="513"/>
      <c r="S1363" s="881"/>
      <c r="T1363" s="877"/>
    </row>
    <row r="1364" spans="1:41" s="997" customFormat="1" ht="13.2">
      <c r="A1364"/>
      <c r="B1364" s="1065"/>
      <c r="C1364" s="1065" t="s">
        <v>1006</v>
      </c>
      <c r="D1364" s="1065" t="str">
        <f ca="1">CELL("Address",Elec_Rates!D$200)</f>
        <v>[EL25_0662B_Brittania_Hotel_Elec_Revised_Estim_B.xlsx]Elec_Rates!$D$200</v>
      </c>
      <c r="E1364" s="1066"/>
      <c r="F1364" s="1066"/>
      <c r="G1364" s="1067" t="s">
        <v>1007</v>
      </c>
      <c r="H1364" s="1067"/>
      <c r="I1364" s="1067"/>
      <c r="J1364" s="1067"/>
      <c r="K1364" s="1068"/>
      <c r="L1364" s="1066"/>
      <c r="M1364" s="1066"/>
      <c r="N1364" s="1066"/>
      <c r="O1364" s="1069"/>
      <c r="P1364" s="1066"/>
      <c r="Q1364" s="1070"/>
      <c r="R1364" s="1071"/>
      <c r="S1364" s="1070"/>
      <c r="T1364" s="1072"/>
      <c r="U1364" s="1073"/>
    </row>
    <row r="1365" spans="1:41" s="997" customFormat="1" ht="11.4">
      <c r="A1365" s="1074">
        <v>3</v>
      </c>
      <c r="B1365" s="1075">
        <v>1</v>
      </c>
      <c r="C1365" s="1075">
        <f>$A1365*$B1365</f>
        <v>3</v>
      </c>
      <c r="D1365" s="1076" t="str">
        <f>Elec_Rates!$D$200</f>
        <v>019# Lighting point in LSZH Conduit</v>
      </c>
      <c r="E1365" s="1076"/>
      <c r="F1365" s="1076" t="s">
        <v>1169</v>
      </c>
      <c r="G1365" s="1077" t="s">
        <v>1008</v>
      </c>
      <c r="H1365" s="1077"/>
      <c r="I1365" s="1077"/>
      <c r="J1365" s="1077"/>
      <c r="K1365" s="1078"/>
      <c r="L1365" s="1073"/>
      <c r="M1365" s="1073"/>
      <c r="N1365" s="1073"/>
      <c r="O1365" s="1079"/>
      <c r="P1365" s="1076"/>
      <c r="Q1365" s="1080">
        <f ca="1">$B1365*Elec_Rates!$R$200</f>
        <v>9.65</v>
      </c>
      <c r="R1365" s="1071">
        <f ca="1">$A1365*Q1365</f>
        <v>28.950000000000003</v>
      </c>
      <c r="S1365" s="1080">
        <f ca="1">$B1365*Elec_Rates!$T$200</f>
        <v>1.31</v>
      </c>
      <c r="T1365" s="1072">
        <f ca="1">$A1365*S1365</f>
        <v>3.93</v>
      </c>
      <c r="U1365" s="1081"/>
    </row>
    <row r="1366" spans="1:41" s="504" customFormat="1" ht="12">
      <c r="A1366" s="882"/>
      <c r="B1366" s="882"/>
      <c r="C1366" s="882"/>
      <c r="D1366" s="882"/>
      <c r="E1366" s="882"/>
      <c r="F1366" s="877"/>
      <c r="G1366" s="882"/>
      <c r="H1366" s="882"/>
      <c r="I1366" s="503"/>
      <c r="J1366" s="882"/>
      <c r="K1366" s="882"/>
      <c r="L1366" s="882"/>
      <c r="M1366" s="882"/>
      <c r="N1366" s="882"/>
      <c r="O1366" s="882"/>
      <c r="P1366" s="882"/>
      <c r="Q1366" s="503"/>
      <c r="R1366" s="883">
        <f>$A1366*Q1366</f>
        <v>0</v>
      </c>
      <c r="S1366" s="503"/>
      <c r="T1366" s="884">
        <f>$A1366*S1366*$T$1</f>
        <v>0</v>
      </c>
    </row>
    <row r="1367" spans="1:41" s="504" customFormat="1" ht="12.6" thickBot="1">
      <c r="A1367" s="885" t="s">
        <v>142</v>
      </c>
      <c r="B1367" s="886">
        <f>(R1366+T1366)</f>
        <v>0</v>
      </c>
      <c r="C1367" s="887"/>
      <c r="D1367" s="887"/>
      <c r="E1367" s="887"/>
      <c r="F1367" s="888"/>
      <c r="G1367" s="887" t="s">
        <v>143</v>
      </c>
      <c r="H1367" s="887"/>
      <c r="I1367" s="889"/>
      <c r="J1367" s="887"/>
      <c r="K1367" s="887" t="s">
        <v>3</v>
      </c>
      <c r="L1367" s="890" t="s">
        <v>140</v>
      </c>
      <c r="M1367" s="890"/>
      <c r="N1367" s="890"/>
      <c r="O1367" s="890"/>
      <c r="P1367" s="890"/>
      <c r="Q1367" s="891"/>
      <c r="R1367" s="892">
        <f ca="1">SUM(R1363:R1366)</f>
        <v>28.950000000000003</v>
      </c>
      <c r="S1367" s="887"/>
      <c r="T1367" s="892">
        <f ca="1">SUM(T1363:T1366)</f>
        <v>3.93</v>
      </c>
      <c r="U1367" s="514"/>
      <c r="V1367" s="514"/>
      <c r="W1367" s="514"/>
      <c r="X1367" s="514"/>
      <c r="Y1367" s="514"/>
      <c r="Z1367" s="514"/>
      <c r="AA1367" s="514"/>
      <c r="AB1367" s="514"/>
      <c r="AC1367" s="514"/>
      <c r="AD1367" s="514"/>
      <c r="AE1367" s="514"/>
      <c r="AF1367" s="514"/>
      <c r="AG1367" s="514"/>
      <c r="AH1367" s="514"/>
      <c r="AI1367" s="514"/>
      <c r="AJ1367" s="514"/>
      <c r="AK1367" s="514"/>
      <c r="AL1367" s="514"/>
      <c r="AM1367" s="514"/>
      <c r="AN1367" s="514"/>
      <c r="AO1367" s="514"/>
    </row>
    <row r="1368" spans="1:41" s="504" customFormat="1" ht="12" thickTop="1">
      <c r="A1368" s="50"/>
      <c r="B1368" s="40"/>
      <c r="C1368" s="50"/>
      <c r="E1368" s="41" t="s">
        <v>136</v>
      </c>
      <c r="F1368" s="41" t="s">
        <v>137</v>
      </c>
      <c r="G1368" s="50"/>
      <c r="H1368" s="50"/>
      <c r="I1368" s="50"/>
      <c r="J1368" s="50"/>
      <c r="K1368" s="50" t="s">
        <v>138</v>
      </c>
      <c r="L1368" s="50"/>
      <c r="M1368" s="50"/>
      <c r="N1368" s="50"/>
      <c r="O1368" s="51"/>
      <c r="P1368" s="50"/>
      <c r="Q1368" s="50"/>
      <c r="R1368" s="50"/>
      <c r="S1368" s="50"/>
      <c r="T1368" s="40"/>
      <c r="AG1368" s="867" t="s">
        <v>241</v>
      </c>
      <c r="AH1368" s="867" t="s">
        <v>242</v>
      </c>
      <c r="AI1368" s="867" t="s">
        <v>243</v>
      </c>
      <c r="AJ1368" s="867" t="s">
        <v>244</v>
      </c>
      <c r="AK1368" s="867" t="s">
        <v>245</v>
      </c>
      <c r="AM1368" s="868" t="s">
        <v>254</v>
      </c>
      <c r="AN1368" s="869" t="s">
        <v>255</v>
      </c>
      <c r="AO1368" s="505" t="s">
        <v>251</v>
      </c>
    </row>
    <row r="1369" spans="1:41" s="504" customFormat="1" ht="12" customHeight="1">
      <c r="A1369" s="870">
        <v>3</v>
      </c>
      <c r="B1369" s="871" t="s">
        <v>335</v>
      </c>
      <c r="C1369" s="872"/>
      <c r="D1369" s="873" t="s">
        <v>826</v>
      </c>
      <c r="E1369" s="874">
        <f ca="1">IF(AND($A1369=0,$A$1="DIF"),0, ROUND(ROUND(($R1378*$S$2+($T1378*$T$2))/A1369,2)*$C$2,2))</f>
        <v>317.52</v>
      </c>
      <c r="F1369" s="875">
        <f ca="1">ROUND($A1369*$E1369,2)</f>
        <v>952.56</v>
      </c>
      <c r="G1369" s="876" t="s">
        <v>139</v>
      </c>
      <c r="H1369" s="877"/>
      <c r="I1369" s="878"/>
      <c r="J1369" s="877"/>
      <c r="K1369" s="877" t="s">
        <v>3</v>
      </c>
      <c r="L1369" s="879" t="s">
        <v>140</v>
      </c>
      <c r="M1369" s="879"/>
      <c r="N1369" s="879"/>
      <c r="O1369" s="879"/>
      <c r="P1369" s="879"/>
      <c r="Q1369" s="50"/>
      <c r="T1369" s="880" t="str">
        <f ca="1">IF(AND($R1378=0,$T1378=0),"0.00","mu :" &amp; ROUND($F1369/$C$2/($R1378+$T1378*$D$9),2))</f>
        <v>mu :1.22</v>
      </c>
      <c r="W1369" s="507"/>
      <c r="AG1369" s="465">
        <f ca="1">IF($E1369=0,0,ROUND($R1378*$S$2*$C$2/$A1369,2))</f>
        <v>142.69</v>
      </c>
      <c r="AH1369" s="465">
        <f ca="1">$AG1369*$A1369</f>
        <v>428.07</v>
      </c>
      <c r="AI1369" s="508">
        <f ca="1">$E1369-$AG1369</f>
        <v>174.82999999999998</v>
      </c>
      <c r="AJ1369" s="508">
        <f ca="1">$A1369*$AI1369</f>
        <v>524.49</v>
      </c>
      <c r="AK1369" s="509">
        <f ca="1">ROUND(($AG1369+$AI1369)*$A1369,2)</f>
        <v>952.56</v>
      </c>
      <c r="AM1369" s="510">
        <f ca="1">ROUND(R1378,2)</f>
        <v>350.88</v>
      </c>
      <c r="AN1369" s="511">
        <f ca="1">ROUND(T1378,2)</f>
        <v>14.91</v>
      </c>
      <c r="AO1369" s="512">
        <f ca="1">ROUND(AM1369+AN1369,2)*A1369</f>
        <v>1097.3700000000001</v>
      </c>
    </row>
    <row r="1370" spans="1:41" s="504" customFormat="1" ht="13.2">
      <c r="A1370" s="872"/>
      <c r="B1370"/>
      <c r="C1370" s="872"/>
      <c r="D1370" s="916" t="s">
        <v>410</v>
      </c>
      <c r="E1370" s="917"/>
      <c r="F1370" s="918"/>
      <c r="G1370" s="919"/>
      <c r="H1370" s="918"/>
      <c r="I1370" s="920"/>
      <c r="J1370" s="918"/>
      <c r="K1370" s="918"/>
      <c r="L1370" s="918"/>
      <c r="M1370" s="918"/>
      <c r="N1370" s="918"/>
      <c r="O1370" s="918"/>
      <c r="P1370" s="918"/>
      <c r="Q1370" s="921"/>
      <c r="R1370" s="513"/>
      <c r="S1370" s="881"/>
      <c r="T1370" s="877"/>
    </row>
    <row r="1371" spans="1:41" s="997" customFormat="1" ht="13.2">
      <c r="A1371"/>
      <c r="B1371" s="1065"/>
      <c r="C1371" s="1065" t="s">
        <v>1006</v>
      </c>
      <c r="D1371" s="1065" t="str">
        <f ca="1">CELL("Address",Elec_Rates!D$200)</f>
        <v>[EL25_0662B_Brittania_Hotel_Elec_Revised_Estim_B.xlsx]Elec_Rates!$D$200</v>
      </c>
      <c r="E1371" s="1066"/>
      <c r="F1371" s="1066"/>
      <c r="G1371" s="1067" t="s">
        <v>1007</v>
      </c>
      <c r="H1371" s="1067"/>
      <c r="I1371" s="1067"/>
      <c r="J1371" s="1067"/>
      <c r="K1371" s="1068"/>
      <c r="L1371" s="1066"/>
      <c r="M1371" s="1066"/>
      <c r="N1371" s="1066"/>
      <c r="O1371" s="1069"/>
      <c r="P1371" s="1066"/>
      <c r="Q1371" s="1070"/>
      <c r="R1371" s="1071"/>
      <c r="S1371" s="1070"/>
      <c r="T1371" s="1072"/>
      <c r="U1371" s="1073"/>
    </row>
    <row r="1372" spans="1:41" s="997" customFormat="1" ht="11.4">
      <c r="A1372" s="1074">
        <v>3</v>
      </c>
      <c r="B1372" s="1075">
        <v>3</v>
      </c>
      <c r="C1372" s="1075">
        <f>$A1372*$B1372</f>
        <v>9</v>
      </c>
      <c r="D1372" s="1076" t="str">
        <f>Elec_Rates!$D$200</f>
        <v>019# Lighting point in LSZH Conduit</v>
      </c>
      <c r="E1372" s="1076"/>
      <c r="F1372" s="1076"/>
      <c r="G1372" s="1077" t="s">
        <v>1008</v>
      </c>
      <c r="H1372" s="1077"/>
      <c r="I1372" s="1077"/>
      <c r="J1372" s="1077"/>
      <c r="K1372" s="1078"/>
      <c r="L1372" s="1073"/>
      <c r="M1372" s="1073"/>
      <c r="N1372" s="1073"/>
      <c r="O1372" s="1079"/>
      <c r="P1372" s="1076"/>
      <c r="Q1372" s="1080">
        <f ca="1">$B1372*Elec_Rates!$R$200</f>
        <v>28.950000000000003</v>
      </c>
      <c r="R1372" s="1071">
        <f ca="1">$A1372*Q1372</f>
        <v>86.850000000000009</v>
      </c>
      <c r="S1372" s="1080">
        <f ca="1">$B1372*Elec_Rates!$T$200</f>
        <v>3.93</v>
      </c>
      <c r="T1372" s="1072">
        <f ca="1">$A1372*S1372</f>
        <v>11.790000000000001</v>
      </c>
      <c r="U1372" s="1081"/>
    </row>
    <row r="1373" spans="1:41" s="997" customFormat="1" ht="13.2">
      <c r="A1373"/>
      <c r="B1373" s="1065"/>
      <c r="C1373" s="1065" t="s">
        <v>1006</v>
      </c>
      <c r="D1373" s="1065" t="str">
        <f ca="1">CELL("Address",Elec_Rates!D$210)</f>
        <v>[EL25_0662B_Brittania_Hotel_Elec_Revised_Estim_B.xlsx]Elec_Rates!$D$210</v>
      </c>
      <c r="E1373" s="1066"/>
      <c r="F1373" s="1066"/>
      <c r="G1373" s="1067" t="s">
        <v>1007</v>
      </c>
      <c r="H1373" s="1067"/>
      <c r="I1373" s="1067"/>
      <c r="J1373" s="1067"/>
      <c r="K1373" s="1068"/>
      <c r="L1373" s="1066"/>
      <c r="M1373" s="1066"/>
      <c r="N1373" s="1066"/>
      <c r="O1373" s="1069"/>
      <c r="P1373" s="1066"/>
      <c r="Q1373" s="1070"/>
      <c r="R1373" s="1071"/>
      <c r="S1373" s="1070"/>
      <c r="T1373" s="1072"/>
      <c r="U1373" s="1073"/>
    </row>
    <row r="1374" spans="1:41" s="997" customFormat="1" ht="11.4">
      <c r="A1374" s="1074">
        <v>3</v>
      </c>
      <c r="B1374" s="1075">
        <v>3</v>
      </c>
      <c r="C1374" s="1075">
        <f>$A1374*$B1374</f>
        <v>9</v>
      </c>
      <c r="D1374" s="1076" t="str">
        <f>Elec_Rates!$D$210</f>
        <v>020# Movement Detector</v>
      </c>
      <c r="E1374" s="1076"/>
      <c r="F1374" s="1076"/>
      <c r="G1374" s="1077" t="s">
        <v>1008</v>
      </c>
      <c r="H1374" s="1077"/>
      <c r="I1374" s="1077"/>
      <c r="J1374" s="1077"/>
      <c r="K1374" s="1078"/>
      <c r="L1374" s="1073"/>
      <c r="M1374" s="1073"/>
      <c r="N1374" s="1073"/>
      <c r="O1374" s="1079"/>
      <c r="P1374" s="1076"/>
      <c r="Q1374" s="1080">
        <f ca="1">$B1374*Elec_Rates!$R$210</f>
        <v>53.010000000000005</v>
      </c>
      <c r="R1374" s="1071">
        <f ca="1">$A1374*Q1374</f>
        <v>159.03000000000003</v>
      </c>
      <c r="S1374" s="1080">
        <f ca="1">$B1374*Elec_Rates!$T$210</f>
        <v>0.78</v>
      </c>
      <c r="T1374" s="1072">
        <f ca="1">$A1374*S1374</f>
        <v>2.34</v>
      </c>
      <c r="U1374" s="1081"/>
    </row>
    <row r="1375" spans="1:41" s="997" customFormat="1" ht="13.2">
      <c r="A1375"/>
      <c r="B1375" s="1065"/>
      <c r="C1375" s="1065" t="s">
        <v>1006</v>
      </c>
      <c r="D1375" s="1065" t="str">
        <f ca="1">CELL("Address",Elec_Rates!D$524)</f>
        <v>[EL25_0662B_Brittania_Hotel_Elec_Revised_Estim_B.xlsx]Elec_Rates!$D$524</v>
      </c>
      <c r="E1375" s="1066"/>
      <c r="F1375" s="1066"/>
      <c r="G1375" s="1067" t="s">
        <v>1007</v>
      </c>
      <c r="H1375" s="1067"/>
      <c r="I1375" s="1067"/>
      <c r="J1375" s="1067"/>
      <c r="K1375" s="1068"/>
      <c r="L1375" s="1066"/>
      <c r="M1375" s="1066"/>
      <c r="N1375" s="1066"/>
      <c r="O1375" s="1069"/>
      <c r="P1375" s="1066"/>
      <c r="Q1375" s="1070"/>
      <c r="R1375" s="1071"/>
      <c r="S1375" s="1070"/>
      <c r="T1375" s="1072"/>
      <c r="U1375" s="1073"/>
    </row>
    <row r="1376" spans="1:41" s="997" customFormat="1" ht="11.4">
      <c r="A1376" s="1074">
        <v>3</v>
      </c>
      <c r="B1376" s="1075">
        <v>1</v>
      </c>
      <c r="C1376" s="1075">
        <f>$A1376*$B1376</f>
        <v>3</v>
      </c>
      <c r="D1376" s="1076" t="str">
        <f>Elec_Rates!$D$524</f>
        <v>062# 230V 2P 16A Contactor</v>
      </c>
      <c r="E1376" s="1076"/>
      <c r="F1376" s="1076"/>
      <c r="G1376" s="1077" t="s">
        <v>1008</v>
      </c>
      <c r="H1376" s="1077"/>
      <c r="I1376" s="1077"/>
      <c r="J1376" s="1077"/>
      <c r="K1376" s="1078"/>
      <c r="L1376" s="1073"/>
      <c r="M1376" s="1073"/>
      <c r="N1376" s="1073"/>
      <c r="O1376" s="1079"/>
      <c r="P1376" s="1076"/>
      <c r="Q1376" s="1080">
        <f ca="1">$B1376*Elec_Rates!$R$524</f>
        <v>35</v>
      </c>
      <c r="R1376" s="1071">
        <f ca="1">$A1376*Q1376</f>
        <v>105</v>
      </c>
      <c r="S1376" s="1080">
        <f ca="1">$B1376*Elec_Rates!$T$524</f>
        <v>0.26</v>
      </c>
      <c r="T1376" s="1072">
        <f ca="1">$A1376*S1376</f>
        <v>0.78</v>
      </c>
      <c r="U1376" s="1081"/>
    </row>
    <row r="1377" spans="1:41" s="504" customFormat="1" ht="12">
      <c r="A1377" s="882"/>
      <c r="B1377" s="882"/>
      <c r="C1377" s="882"/>
      <c r="D1377" s="882"/>
      <c r="E1377" s="882"/>
      <c r="F1377" s="877"/>
      <c r="G1377" s="882"/>
      <c r="H1377" s="882"/>
      <c r="I1377" s="503"/>
      <c r="J1377" s="882"/>
      <c r="K1377" s="882"/>
      <c r="L1377" s="882"/>
      <c r="M1377" s="882"/>
      <c r="N1377" s="882"/>
      <c r="O1377" s="882"/>
      <c r="P1377" s="882"/>
      <c r="Q1377" s="503"/>
      <c r="R1377" s="883">
        <f>$A1377*Q1377</f>
        <v>0</v>
      </c>
      <c r="S1377" s="503"/>
      <c r="T1377" s="884">
        <f>$A1377*S1377*$T$1</f>
        <v>0</v>
      </c>
    </row>
    <row r="1378" spans="1:41" s="504" customFormat="1" ht="12.6" thickBot="1">
      <c r="A1378" s="885" t="s">
        <v>142</v>
      </c>
      <c r="B1378" s="886">
        <f>(R1377+T1377)</f>
        <v>0</v>
      </c>
      <c r="C1378" s="887"/>
      <c r="D1378" s="887"/>
      <c r="E1378" s="887"/>
      <c r="F1378" s="888"/>
      <c r="G1378" s="887" t="s">
        <v>143</v>
      </c>
      <c r="H1378" s="887"/>
      <c r="I1378" s="889"/>
      <c r="J1378" s="887"/>
      <c r="K1378" s="887" t="s">
        <v>3</v>
      </c>
      <c r="L1378" s="890" t="s">
        <v>140</v>
      </c>
      <c r="M1378" s="890"/>
      <c r="N1378" s="890"/>
      <c r="O1378" s="890"/>
      <c r="P1378" s="890"/>
      <c r="Q1378" s="891"/>
      <c r="R1378" s="892">
        <f ca="1">SUM(R1370:R1377)</f>
        <v>350.88000000000005</v>
      </c>
      <c r="S1378" s="887"/>
      <c r="T1378" s="892">
        <f ca="1">SUM(T1370:T1377)</f>
        <v>14.91</v>
      </c>
      <c r="U1378" s="514"/>
      <c r="V1378" s="514"/>
      <c r="W1378" s="514"/>
      <c r="X1378" s="514"/>
      <c r="Y1378" s="514"/>
      <c r="Z1378" s="514"/>
      <c r="AA1378" s="514"/>
      <c r="AB1378" s="514"/>
      <c r="AC1378" s="514"/>
      <c r="AD1378" s="514"/>
      <c r="AE1378" s="514"/>
      <c r="AF1378" s="514"/>
      <c r="AG1378" s="514"/>
      <c r="AH1378" s="514"/>
      <c r="AI1378" s="514"/>
      <c r="AJ1378" s="514"/>
      <c r="AK1378" s="514"/>
      <c r="AL1378" s="514"/>
      <c r="AM1378" s="514"/>
      <c r="AN1378" s="514"/>
      <c r="AO1378" s="514"/>
    </row>
    <row r="1379" spans="1:41" s="504" customFormat="1" ht="12" thickTop="1">
      <c r="A1379" s="50"/>
      <c r="B1379" s="40"/>
      <c r="C1379" s="50"/>
      <c r="E1379" s="41" t="s">
        <v>136</v>
      </c>
      <c r="F1379" s="41" t="s">
        <v>137</v>
      </c>
      <c r="G1379" s="50"/>
      <c r="H1379" s="50"/>
      <c r="I1379" s="50"/>
      <c r="J1379" s="50"/>
      <c r="K1379" s="50" t="s">
        <v>138</v>
      </c>
      <c r="L1379" s="50"/>
      <c r="M1379" s="50"/>
      <c r="N1379" s="50"/>
      <c r="O1379" s="51"/>
      <c r="P1379" s="50"/>
      <c r="Q1379" s="50"/>
      <c r="R1379" s="50"/>
      <c r="S1379" s="50"/>
      <c r="T1379" s="40"/>
      <c r="AG1379" s="867" t="s">
        <v>241</v>
      </c>
      <c r="AH1379" s="867" t="s">
        <v>242</v>
      </c>
      <c r="AI1379" s="867" t="s">
        <v>243</v>
      </c>
      <c r="AJ1379" s="867" t="s">
        <v>244</v>
      </c>
      <c r="AK1379" s="867" t="s">
        <v>245</v>
      </c>
      <c r="AM1379" s="868" t="s">
        <v>254</v>
      </c>
      <c r="AN1379" s="869" t="s">
        <v>255</v>
      </c>
      <c r="AO1379" s="505" t="s">
        <v>251</v>
      </c>
    </row>
    <row r="1380" spans="1:41" s="504" customFormat="1" ht="12" customHeight="1">
      <c r="A1380" s="870">
        <v>3</v>
      </c>
      <c r="B1380" s="871" t="s">
        <v>335</v>
      </c>
      <c r="C1380" s="872"/>
      <c r="D1380" s="873" t="s">
        <v>827</v>
      </c>
      <c r="E1380" s="874">
        <f ca="1">IF(AND($A1380=0,$A$1="DIF"),0, ROUND(ROUND(($R1385*$S$2+($T1385*$T$2))/A1380,2)*$C$2,2))</f>
        <v>57.85</v>
      </c>
      <c r="F1380" s="875">
        <f ca="1">ROUND($A1380*$E1380,2)</f>
        <v>173.55</v>
      </c>
      <c r="G1380" s="876" t="s">
        <v>139</v>
      </c>
      <c r="H1380" s="877"/>
      <c r="I1380" s="878"/>
      <c r="J1380" s="877"/>
      <c r="K1380" s="877" t="s">
        <v>3</v>
      </c>
      <c r="L1380" s="879" t="s">
        <v>140</v>
      </c>
      <c r="M1380" s="879"/>
      <c r="N1380" s="879"/>
      <c r="O1380" s="879"/>
      <c r="P1380" s="879"/>
      <c r="Q1380" s="50"/>
      <c r="T1380" s="880" t="str">
        <f ca="1">IF(AND($R1385=0,$T1385=0),"0.00","mu :" &amp; ROUND($F1380/$C$2/($R1385+$T1385*$D$9),2))</f>
        <v>mu :1.22</v>
      </c>
      <c r="W1380" s="507"/>
      <c r="AG1380" s="465">
        <f ca="1">IF($E1380=0,0,ROUND($R1385*$S$2*$C$2/$A1380,2))</f>
        <v>11.77</v>
      </c>
      <c r="AH1380" s="465">
        <f ca="1">$AG1380*$A1380</f>
        <v>35.31</v>
      </c>
      <c r="AI1380" s="508">
        <f ca="1">$E1380-$AG1380</f>
        <v>46.08</v>
      </c>
      <c r="AJ1380" s="508">
        <f ca="1">$A1380*$AI1380</f>
        <v>138.24</v>
      </c>
      <c r="AK1380" s="509">
        <f ca="1">ROUND(($AG1380+$AI1380)*$A1380,2)</f>
        <v>173.55</v>
      </c>
      <c r="AM1380" s="510">
        <f ca="1">ROUND(R1385,2)</f>
        <v>28.95</v>
      </c>
      <c r="AN1380" s="511">
        <f ca="1">ROUND(T1385,2)</f>
        <v>3.93</v>
      </c>
      <c r="AO1380" s="512">
        <f ca="1">ROUND(AM1380+AN1380,2)*A1380</f>
        <v>98.640000000000015</v>
      </c>
    </row>
    <row r="1381" spans="1:41" s="504" customFormat="1" ht="13.2">
      <c r="A1381" s="872"/>
      <c r="B1381"/>
      <c r="C1381" s="872"/>
      <c r="D1381" s="873" t="s">
        <v>344</v>
      </c>
      <c r="F1381" s="877"/>
      <c r="G1381" s="3"/>
      <c r="H1381" s="877"/>
      <c r="I1381" s="878"/>
      <c r="J1381" s="877"/>
      <c r="K1381" s="877" t="s">
        <v>141</v>
      </c>
      <c r="L1381" s="877"/>
      <c r="M1381" s="877"/>
      <c r="N1381" s="877"/>
      <c r="O1381" s="877"/>
      <c r="P1381" s="877"/>
      <c r="Q1381" s="50"/>
      <c r="R1381" s="513"/>
      <c r="S1381" s="881"/>
      <c r="T1381" s="877"/>
    </row>
    <row r="1382" spans="1:41" s="997" customFormat="1" ht="13.2">
      <c r="A1382"/>
      <c r="B1382" s="1065"/>
      <c r="C1382" s="1065" t="s">
        <v>1006</v>
      </c>
      <c r="D1382" s="1065" t="str">
        <f ca="1">CELL("Address",Elec_Rates!D$200)</f>
        <v>[EL25_0662B_Brittania_Hotel_Elec_Revised_Estim_B.xlsx]Elec_Rates!$D$200</v>
      </c>
      <c r="E1382" s="1066"/>
      <c r="F1382" s="1066"/>
      <c r="G1382" s="1067" t="s">
        <v>1007</v>
      </c>
      <c r="H1382" s="1067"/>
      <c r="I1382" s="1067"/>
      <c r="J1382" s="1067"/>
      <c r="K1382" s="1068"/>
      <c r="L1382" s="1066"/>
      <c r="M1382" s="1066"/>
      <c r="N1382" s="1066"/>
      <c r="O1382" s="1069"/>
      <c r="P1382" s="1066"/>
      <c r="Q1382" s="1070"/>
      <c r="R1382" s="1071"/>
      <c r="S1382" s="1070"/>
      <c r="T1382" s="1072"/>
      <c r="U1382" s="1073"/>
    </row>
    <row r="1383" spans="1:41" s="997" customFormat="1" ht="11.4">
      <c r="A1383" s="1074">
        <v>3</v>
      </c>
      <c r="B1383" s="1075">
        <v>1</v>
      </c>
      <c r="C1383" s="1075">
        <f>$A1383*$B1383</f>
        <v>3</v>
      </c>
      <c r="D1383" s="1076" t="str">
        <f>Elec_Rates!$D$200</f>
        <v>019# Lighting point in LSZH Conduit</v>
      </c>
      <c r="E1383" s="1076"/>
      <c r="F1383" s="1076" t="s">
        <v>1179</v>
      </c>
      <c r="G1383" s="1077" t="s">
        <v>1008</v>
      </c>
      <c r="H1383" s="1077"/>
      <c r="I1383" s="1077"/>
      <c r="J1383" s="1077"/>
      <c r="K1383" s="1078"/>
      <c r="L1383" s="1073"/>
      <c r="M1383" s="1073"/>
      <c r="N1383" s="1073"/>
      <c r="O1383" s="1079"/>
      <c r="P1383" s="1076"/>
      <c r="Q1383" s="1080">
        <f ca="1">$B1383*Elec_Rates!$R$200</f>
        <v>9.65</v>
      </c>
      <c r="R1383" s="1071">
        <f ca="1">$A1383*Q1383</f>
        <v>28.950000000000003</v>
      </c>
      <c r="S1383" s="1080">
        <f ca="1">$B1383*Elec_Rates!$T$200</f>
        <v>1.31</v>
      </c>
      <c r="T1383" s="1072">
        <f ca="1">$A1383*S1383</f>
        <v>3.93</v>
      </c>
      <c r="U1383" s="1081"/>
    </row>
    <row r="1384" spans="1:41" s="504" customFormat="1" ht="12">
      <c r="A1384" s="882"/>
      <c r="B1384" s="882"/>
      <c r="C1384" s="882"/>
      <c r="D1384" s="882"/>
      <c r="E1384" s="882"/>
      <c r="F1384" s="877"/>
      <c r="G1384" s="882"/>
      <c r="H1384" s="882"/>
      <c r="I1384" s="503"/>
      <c r="J1384" s="882"/>
      <c r="K1384" s="882"/>
      <c r="L1384" s="882"/>
      <c r="M1384" s="882"/>
      <c r="N1384" s="882"/>
      <c r="O1384" s="882"/>
      <c r="P1384" s="882"/>
      <c r="Q1384" s="503"/>
      <c r="R1384" s="883">
        <f>$A1384*Q1384</f>
        <v>0</v>
      </c>
      <c r="S1384" s="503"/>
      <c r="T1384" s="884">
        <f>$A1384*S1384*$T$1</f>
        <v>0</v>
      </c>
    </row>
    <row r="1385" spans="1:41" s="504" customFormat="1" ht="12.6" thickBot="1">
      <c r="A1385" s="885" t="s">
        <v>142</v>
      </c>
      <c r="B1385" s="886">
        <f>(R1384+T1384)</f>
        <v>0</v>
      </c>
      <c r="C1385" s="887"/>
      <c r="D1385" s="887"/>
      <c r="E1385" s="887"/>
      <c r="F1385" s="888"/>
      <c r="G1385" s="887" t="s">
        <v>143</v>
      </c>
      <c r="H1385" s="887"/>
      <c r="I1385" s="889"/>
      <c r="J1385" s="887"/>
      <c r="K1385" s="887" t="s">
        <v>3</v>
      </c>
      <c r="L1385" s="890" t="s">
        <v>140</v>
      </c>
      <c r="M1385" s="890"/>
      <c r="N1385" s="890"/>
      <c r="O1385" s="890"/>
      <c r="P1385" s="890"/>
      <c r="Q1385" s="891"/>
      <c r="R1385" s="892">
        <f ca="1">SUM(R1381:R1384)</f>
        <v>28.950000000000003</v>
      </c>
      <c r="S1385" s="887"/>
      <c r="T1385" s="892">
        <f ca="1">SUM(T1381:T1384)</f>
        <v>3.93</v>
      </c>
      <c r="U1385" s="514"/>
      <c r="V1385" s="514"/>
      <c r="W1385" s="514"/>
      <c r="X1385" s="514"/>
      <c r="Y1385" s="514"/>
      <c r="Z1385" s="514"/>
      <c r="AA1385" s="514"/>
      <c r="AB1385" s="514"/>
      <c r="AC1385" s="514"/>
      <c r="AD1385" s="514"/>
      <c r="AE1385" s="514"/>
      <c r="AF1385" s="514"/>
      <c r="AG1385" s="514"/>
      <c r="AH1385" s="514"/>
      <c r="AI1385" s="514"/>
      <c r="AJ1385" s="514"/>
      <c r="AK1385" s="514"/>
      <c r="AL1385" s="514"/>
      <c r="AM1385" s="514"/>
      <c r="AN1385" s="514"/>
      <c r="AO1385" s="514"/>
    </row>
    <row r="1386" spans="1:41" s="504" customFormat="1" thickTop="1">
      <c r="A1386" s="50"/>
      <c r="B1386" s="50"/>
      <c r="C1386" s="3"/>
      <c r="D1386" s="3"/>
      <c r="E1386" s="50"/>
      <c r="F1386" s="50"/>
      <c r="G1386" s="50"/>
      <c r="H1386" s="50"/>
      <c r="I1386" s="50"/>
      <c r="J1386" s="50"/>
      <c r="K1386" s="50" t="s">
        <v>133</v>
      </c>
      <c r="L1386" s="50"/>
      <c r="M1386" s="50"/>
      <c r="N1386" s="50"/>
      <c r="O1386" s="51"/>
      <c r="P1386" s="50"/>
      <c r="Q1386" s="50"/>
      <c r="R1386" s="50"/>
      <c r="S1386" s="50"/>
      <c r="T1386" s="50"/>
    </row>
    <row r="1387" spans="1:41" s="504" customFormat="1" ht="12">
      <c r="A1387" s="50"/>
      <c r="B1387" s="50"/>
      <c r="C1387" s="50" t="s">
        <v>134</v>
      </c>
      <c r="D1387" s="37" t="s">
        <v>859</v>
      </c>
      <c r="E1387" s="50"/>
      <c r="F1387" s="50"/>
      <c r="G1387" s="50"/>
      <c r="H1387" s="50"/>
      <c r="I1387" s="50"/>
      <c r="J1387" s="50"/>
      <c r="K1387" s="50"/>
      <c r="L1387" s="50"/>
      <c r="M1387" s="50"/>
      <c r="N1387" s="50"/>
      <c r="O1387" s="51"/>
      <c r="P1387" s="50"/>
      <c r="Q1387" s="50"/>
      <c r="R1387" s="50"/>
      <c r="S1387" s="50"/>
      <c r="T1387" s="50"/>
    </row>
    <row r="1388" spans="1:41" s="504" customFormat="1" ht="12">
      <c r="A1388" s="50"/>
      <c r="B1388" s="50"/>
      <c r="C1388" s="50"/>
      <c r="D1388" s="37" t="s">
        <v>850</v>
      </c>
      <c r="E1388" s="50"/>
      <c r="F1388" s="50"/>
      <c r="G1388" s="50"/>
      <c r="H1388" s="50"/>
      <c r="I1388" s="50"/>
      <c r="J1388" s="50"/>
      <c r="K1388" s="50"/>
      <c r="L1388" s="50"/>
      <c r="M1388" s="50"/>
      <c r="N1388" s="50"/>
      <c r="O1388" s="51"/>
      <c r="P1388" s="50"/>
      <c r="Q1388" s="50"/>
      <c r="R1388" s="50"/>
      <c r="S1388" s="38"/>
      <c r="T1388" s="38"/>
    </row>
    <row r="1389" spans="1:41" s="3" customFormat="1" thickBot="1">
      <c r="A1389" s="514"/>
      <c r="O1389" s="103"/>
    </row>
    <row r="1390" spans="1:41" s="504" customFormat="1" ht="12" thickTop="1">
      <c r="A1390" s="50"/>
      <c r="B1390" s="40"/>
      <c r="C1390" s="50"/>
      <c r="E1390" s="41" t="s">
        <v>136</v>
      </c>
      <c r="F1390" s="41" t="s">
        <v>137</v>
      </c>
      <c r="G1390" s="50"/>
      <c r="H1390" s="50"/>
      <c r="I1390" s="50"/>
      <c r="J1390" s="50"/>
      <c r="K1390" s="50" t="s">
        <v>138</v>
      </c>
      <c r="L1390" s="50"/>
      <c r="M1390" s="50"/>
      <c r="N1390" s="50"/>
      <c r="O1390" s="51"/>
      <c r="P1390" s="50"/>
      <c r="Q1390" s="50"/>
      <c r="R1390" s="50"/>
      <c r="S1390" s="50"/>
      <c r="T1390" s="40"/>
      <c r="AG1390" s="867" t="s">
        <v>241</v>
      </c>
      <c r="AH1390" s="867" t="s">
        <v>242</v>
      </c>
      <c r="AI1390" s="867" t="s">
        <v>243</v>
      </c>
      <c r="AJ1390" s="867" t="s">
        <v>244</v>
      </c>
      <c r="AK1390" s="867" t="s">
        <v>245</v>
      </c>
      <c r="AM1390" s="868" t="s">
        <v>254</v>
      </c>
      <c r="AN1390" s="869" t="s">
        <v>255</v>
      </c>
      <c r="AO1390" s="505" t="s">
        <v>251</v>
      </c>
    </row>
    <row r="1391" spans="1:41" s="504" customFormat="1" ht="12" customHeight="1">
      <c r="A1391" s="870">
        <v>20</v>
      </c>
      <c r="B1391" s="871" t="s">
        <v>335</v>
      </c>
      <c r="C1391" s="872"/>
      <c r="D1391" s="873" t="s">
        <v>804</v>
      </c>
      <c r="E1391" s="874">
        <f ca="1">IF(AND($A1391=0,$A$1="DIF"),0, ROUND(ROUND(($R1398*$S$2+($T1398*$T$2))/A1391,2)*$C$2,2))</f>
        <v>67.06</v>
      </c>
      <c r="F1391" s="875">
        <f ca="1">ROUND($A1391*$E1391,2)</f>
        <v>1341.2</v>
      </c>
      <c r="G1391" s="876" t="s">
        <v>139</v>
      </c>
      <c r="H1391" s="877"/>
      <c r="I1391" s="878"/>
      <c r="J1391" s="877"/>
      <c r="K1391" s="877" t="s">
        <v>3</v>
      </c>
      <c r="L1391" s="879" t="s">
        <v>140</v>
      </c>
      <c r="M1391" s="879"/>
      <c r="N1391" s="879"/>
      <c r="O1391" s="879"/>
      <c r="P1391" s="879"/>
      <c r="Q1391" s="50"/>
      <c r="T1391" s="880" t="str">
        <f ca="1">IF(AND($R1398=0,$T1398=0),"0.00","mu :" &amp; ROUND($F1391/$C$2/($R1398+$T1398*$D$9),2))</f>
        <v>mu :1.22</v>
      </c>
      <c r="W1391" s="507"/>
      <c r="AG1391" s="465">
        <f ca="1">IF($E1391=0,0,ROUND($R1398*$S$2*$C$2/$A1391,2))</f>
        <v>14.3</v>
      </c>
      <c r="AH1391" s="465">
        <f ca="1">$AG1391*$A1391</f>
        <v>286</v>
      </c>
      <c r="AI1391" s="508">
        <f ca="1">$E1391-$AG1391</f>
        <v>52.760000000000005</v>
      </c>
      <c r="AJ1391" s="508">
        <f ca="1">$A1391*$AI1391</f>
        <v>1055.2</v>
      </c>
      <c r="AK1391" s="509">
        <f ca="1">ROUND(($AG1391+$AI1391)*$A1391,2)</f>
        <v>1341.2</v>
      </c>
      <c r="AM1391" s="510">
        <f ca="1">ROUND(R1398,2)</f>
        <v>234.4</v>
      </c>
      <c r="AN1391" s="511">
        <f ca="1">ROUND(T1398,2)</f>
        <v>30</v>
      </c>
      <c r="AO1391" s="512">
        <f ca="1">ROUND(AM1391+AN1391,2)*A1391</f>
        <v>5288</v>
      </c>
    </row>
    <row r="1392" spans="1:41" s="504" customFormat="1" ht="13.2">
      <c r="A1392" s="872"/>
      <c r="B1392"/>
      <c r="C1392" s="872"/>
      <c r="D1392" s="873" t="s">
        <v>377</v>
      </c>
      <c r="F1392" s="877"/>
      <c r="G1392" s="3"/>
      <c r="H1392" s="877"/>
      <c r="I1392" s="878"/>
      <c r="J1392" s="877"/>
      <c r="K1392" s="877" t="s">
        <v>141</v>
      </c>
      <c r="L1392" s="877"/>
      <c r="M1392" s="877"/>
      <c r="N1392" s="877"/>
      <c r="O1392" s="877"/>
      <c r="P1392" s="877"/>
      <c r="Q1392" s="50"/>
      <c r="R1392" s="513"/>
      <c r="S1392" s="881"/>
      <c r="T1392" s="877"/>
    </row>
    <row r="1393" spans="1:41" s="997" customFormat="1" ht="13.2">
      <c r="A1393"/>
      <c r="B1393" s="1065"/>
      <c r="C1393" s="1065" t="s">
        <v>1006</v>
      </c>
      <c r="D1393" s="1065" t="str">
        <f ca="1">CELL("Address",Elec_Rates!D$200)</f>
        <v>[EL25_0662B_Brittania_Hotel_Elec_Revised_Estim_B.xlsx]Elec_Rates!$D$200</v>
      </c>
      <c r="E1393" s="1066"/>
      <c r="F1393" s="1066"/>
      <c r="G1393" s="1067" t="s">
        <v>1007</v>
      </c>
      <c r="H1393" s="1067"/>
      <c r="I1393" s="1067"/>
      <c r="J1393" s="1067"/>
      <c r="K1393" s="1068"/>
      <c r="L1393" s="1066"/>
      <c r="M1393" s="1066"/>
      <c r="N1393" s="1066"/>
      <c r="O1393" s="1069"/>
      <c r="P1393" s="1066"/>
      <c r="Q1393" s="1070"/>
      <c r="R1393" s="1071"/>
      <c r="S1393" s="1070"/>
      <c r="T1393" s="1072"/>
      <c r="U1393" s="1073"/>
    </row>
    <row r="1394" spans="1:41" s="997" customFormat="1" ht="11.4">
      <c r="A1394" s="1074">
        <v>20</v>
      </c>
      <c r="B1394" s="1075">
        <v>1</v>
      </c>
      <c r="C1394" s="1075">
        <f>$A1394*$B1394</f>
        <v>20</v>
      </c>
      <c r="D1394" s="1076" t="str">
        <f>Elec_Rates!$D$200</f>
        <v>019# Lighting point in LSZH Conduit</v>
      </c>
      <c r="E1394" s="1076"/>
      <c r="F1394" s="1076"/>
      <c r="G1394" s="1077" t="s">
        <v>1008</v>
      </c>
      <c r="H1394" s="1077"/>
      <c r="I1394" s="1077"/>
      <c r="J1394" s="1077"/>
      <c r="K1394" s="1078"/>
      <c r="L1394" s="1073"/>
      <c r="M1394" s="1073"/>
      <c r="N1394" s="1073"/>
      <c r="O1394" s="1079"/>
      <c r="P1394" s="1076"/>
      <c r="Q1394" s="1080">
        <f ca="1">$B1394*Elec_Rates!$R$200</f>
        <v>9.65</v>
      </c>
      <c r="R1394" s="1071">
        <f ca="1">$A1394*Q1394</f>
        <v>193</v>
      </c>
      <c r="S1394" s="1080">
        <f ca="1">$B1394*Elec_Rates!$T$200</f>
        <v>1.31</v>
      </c>
      <c r="T1394" s="1072">
        <f ca="1">$A1394*S1394</f>
        <v>26.200000000000003</v>
      </c>
      <c r="U1394" s="1081"/>
    </row>
    <row r="1395" spans="1:41" s="997" customFormat="1" ht="13.2">
      <c r="A1395"/>
      <c r="B1395" s="1065"/>
      <c r="C1395" s="1065" t="s">
        <v>1006</v>
      </c>
      <c r="D1395" s="1065" t="str">
        <f ca="1">CELL("Address",Elec_Rates!D$517)</f>
        <v>[EL25_0662B_Brittania_Hotel_Elec_Revised_Estim_B.xlsx]Elec_Rates!$D$517</v>
      </c>
      <c r="E1395" s="1066"/>
      <c r="F1395" s="1066"/>
      <c r="G1395" s="1067" t="s">
        <v>1007</v>
      </c>
      <c r="H1395" s="1067"/>
      <c r="I1395" s="1067"/>
      <c r="J1395" s="1067"/>
      <c r="K1395" s="1068"/>
      <c r="L1395" s="1066"/>
      <c r="M1395" s="1066"/>
      <c r="N1395" s="1066"/>
      <c r="O1395" s="1069"/>
      <c r="P1395" s="1066"/>
      <c r="Q1395" s="1070"/>
      <c r="R1395" s="1071"/>
      <c r="S1395" s="1070"/>
      <c r="T1395" s="1072"/>
      <c r="U1395" s="1073"/>
    </row>
    <row r="1396" spans="1:41" s="997" customFormat="1" ht="11.4">
      <c r="A1396" s="1074">
        <v>20</v>
      </c>
      <c r="B1396" s="1075">
        <v>1</v>
      </c>
      <c r="C1396" s="1075">
        <f>$A1396*$B1396</f>
        <v>20</v>
      </c>
      <c r="D1396" s="1076" t="str">
        <f>Elec_Rates!$D$517</f>
        <v>061# DALI Wiring cables</v>
      </c>
      <c r="E1396" s="1076"/>
      <c r="F1396" s="1076"/>
      <c r="G1396" s="1077" t="s">
        <v>1008</v>
      </c>
      <c r="H1396" s="1077"/>
      <c r="I1396" s="1077"/>
      <c r="J1396" s="1077"/>
      <c r="K1396" s="1078"/>
      <c r="L1396" s="1073"/>
      <c r="M1396" s="1073"/>
      <c r="N1396" s="1073"/>
      <c r="O1396" s="1079"/>
      <c r="P1396" s="1076"/>
      <c r="Q1396" s="1080">
        <f ca="1">$B1396*Elec_Rates!$R$517</f>
        <v>2.0699999999999998</v>
      </c>
      <c r="R1396" s="1071">
        <f ca="1">$A1396*Q1396</f>
        <v>41.4</v>
      </c>
      <c r="S1396" s="1080">
        <f ca="1">$B1396*Elec_Rates!$T$517</f>
        <v>0.19</v>
      </c>
      <c r="T1396" s="1072">
        <f ca="1">$A1396*S1396</f>
        <v>3.8</v>
      </c>
      <c r="U1396" s="1081"/>
    </row>
    <row r="1397" spans="1:41" s="504" customFormat="1" ht="12">
      <c r="A1397" s="882"/>
      <c r="B1397" s="882"/>
      <c r="C1397" s="882"/>
      <c r="D1397" s="882"/>
      <c r="E1397" s="882"/>
      <c r="F1397" s="877"/>
      <c r="G1397" s="882"/>
      <c r="H1397" s="882"/>
      <c r="I1397" s="503"/>
      <c r="J1397" s="882"/>
      <c r="K1397" s="882"/>
      <c r="L1397" s="882"/>
      <c r="M1397" s="882"/>
      <c r="N1397" s="882"/>
      <c r="O1397" s="882"/>
      <c r="P1397" s="882"/>
      <c r="Q1397" s="503"/>
      <c r="R1397" s="883">
        <f>$A1397*Q1397</f>
        <v>0</v>
      </c>
      <c r="S1397" s="503"/>
      <c r="T1397" s="884">
        <f>$A1397*S1397*$T$1</f>
        <v>0</v>
      </c>
    </row>
    <row r="1398" spans="1:41" s="504" customFormat="1" ht="12.6" thickBot="1">
      <c r="A1398" s="885" t="s">
        <v>142</v>
      </c>
      <c r="B1398" s="886">
        <f>(R1397+T1397)</f>
        <v>0</v>
      </c>
      <c r="C1398" s="887"/>
      <c r="D1398" s="887"/>
      <c r="E1398" s="887"/>
      <c r="F1398" s="888"/>
      <c r="G1398" s="887" t="s">
        <v>143</v>
      </c>
      <c r="H1398" s="887"/>
      <c r="I1398" s="889"/>
      <c r="J1398" s="887"/>
      <c r="K1398" s="887" t="s">
        <v>3</v>
      </c>
      <c r="L1398" s="890" t="s">
        <v>140</v>
      </c>
      <c r="M1398" s="890"/>
      <c r="N1398" s="890"/>
      <c r="O1398" s="890"/>
      <c r="P1398" s="890"/>
      <c r="Q1398" s="891"/>
      <c r="R1398" s="892">
        <f ca="1">SUM(R1392:R1397)</f>
        <v>234.4</v>
      </c>
      <c r="S1398" s="887"/>
      <c r="T1398" s="892">
        <f ca="1">SUM(T1392:T1397)</f>
        <v>30.000000000000004</v>
      </c>
      <c r="U1398" s="514"/>
      <c r="V1398" s="514"/>
      <c r="W1398" s="514"/>
      <c r="X1398" s="514"/>
      <c r="Y1398" s="514"/>
      <c r="Z1398" s="514"/>
      <c r="AA1398" s="514"/>
      <c r="AB1398" s="514"/>
      <c r="AC1398" s="514"/>
      <c r="AD1398" s="514"/>
      <c r="AE1398" s="514"/>
      <c r="AF1398" s="514"/>
      <c r="AG1398" s="514"/>
      <c r="AH1398" s="514"/>
      <c r="AI1398" s="514"/>
      <c r="AJ1398" s="514"/>
      <c r="AK1398" s="514"/>
      <c r="AL1398" s="514"/>
      <c r="AM1398" s="514"/>
      <c r="AN1398" s="514"/>
      <c r="AO1398" s="514"/>
    </row>
    <row r="1399" spans="1:41" s="504" customFormat="1" ht="12" thickTop="1">
      <c r="A1399" s="50"/>
      <c r="B1399" s="40"/>
      <c r="C1399" s="50"/>
      <c r="E1399" s="41" t="s">
        <v>136</v>
      </c>
      <c r="F1399" s="41" t="s">
        <v>137</v>
      </c>
      <c r="G1399" s="50"/>
      <c r="H1399" s="50"/>
      <c r="I1399" s="50"/>
      <c r="J1399" s="50"/>
      <c r="K1399" s="50" t="s">
        <v>138</v>
      </c>
      <c r="L1399" s="50"/>
      <c r="M1399" s="50"/>
      <c r="N1399" s="50"/>
      <c r="O1399" s="51"/>
      <c r="P1399" s="50"/>
      <c r="Q1399" s="50"/>
      <c r="R1399" s="50"/>
      <c r="S1399" s="50"/>
      <c r="T1399" s="40"/>
      <c r="AG1399" s="867" t="s">
        <v>241</v>
      </c>
      <c r="AH1399" s="867" t="s">
        <v>242</v>
      </c>
      <c r="AI1399" s="867" t="s">
        <v>243</v>
      </c>
      <c r="AJ1399" s="867" t="s">
        <v>244</v>
      </c>
      <c r="AK1399" s="867" t="s">
        <v>245</v>
      </c>
      <c r="AM1399" s="868" t="s">
        <v>254</v>
      </c>
      <c r="AN1399" s="869" t="s">
        <v>255</v>
      </c>
      <c r="AO1399" s="505" t="s">
        <v>251</v>
      </c>
    </row>
    <row r="1400" spans="1:41" s="504" customFormat="1" ht="12" customHeight="1">
      <c r="A1400" s="870">
        <v>10</v>
      </c>
      <c r="B1400" s="871" t="s">
        <v>335</v>
      </c>
      <c r="C1400" s="872"/>
      <c r="D1400" s="873" t="s">
        <v>806</v>
      </c>
      <c r="E1400" s="874">
        <f ca="1">IF(AND($A1400=0,$A$1="DIF"),0, ROUND(ROUND(($R1407*$S$2+($T1407*$T$2))/A1400,2)*$C$2,2))</f>
        <v>124.92</v>
      </c>
      <c r="F1400" s="875">
        <f ca="1">ROUND($A1400*$E1400,2)</f>
        <v>1249.2</v>
      </c>
      <c r="G1400" s="876" t="s">
        <v>139</v>
      </c>
      <c r="H1400" s="877"/>
      <c r="I1400" s="878"/>
      <c r="J1400" s="877"/>
      <c r="K1400" s="877" t="s">
        <v>3</v>
      </c>
      <c r="L1400" s="879" t="s">
        <v>140</v>
      </c>
      <c r="M1400" s="879"/>
      <c r="N1400" s="879"/>
      <c r="O1400" s="879"/>
      <c r="P1400" s="879"/>
      <c r="Q1400" s="50"/>
      <c r="T1400" s="880" t="str">
        <f ca="1">IF(AND($R1407=0,$T1407=0),"0.00","mu :" &amp; ROUND($F1400/$C$2/($R1407+$T1407*$D$9),2))</f>
        <v>mu :1.22</v>
      </c>
      <c r="W1400" s="507"/>
      <c r="AG1400" s="465">
        <f ca="1">IF($E1400=0,0,ROUND($R1407*$S$2*$C$2/$A1400,2))</f>
        <v>26.07</v>
      </c>
      <c r="AH1400" s="465">
        <f ca="1">$AG1400*$A1400</f>
        <v>260.7</v>
      </c>
      <c r="AI1400" s="508">
        <f ca="1">$E1400-$AG1400</f>
        <v>98.85</v>
      </c>
      <c r="AJ1400" s="508">
        <f ca="1">$A1400*$AI1400</f>
        <v>988.5</v>
      </c>
      <c r="AK1400" s="509">
        <f ca="1">ROUND(($AG1400+$AI1400)*$A1400,2)</f>
        <v>1249.2</v>
      </c>
      <c r="AM1400" s="510">
        <f ca="1">ROUND(R1407,2)</f>
        <v>213.7</v>
      </c>
      <c r="AN1400" s="511">
        <f ca="1">ROUND(T1407,2)</f>
        <v>28.1</v>
      </c>
      <c r="AO1400" s="512">
        <f ca="1">ROUND(AM1400+AN1400,2)*A1400</f>
        <v>2418</v>
      </c>
    </row>
    <row r="1401" spans="1:41" s="504" customFormat="1" ht="13.2">
      <c r="A1401" s="872"/>
      <c r="B1401"/>
      <c r="C1401" s="872"/>
      <c r="D1401" s="873" t="s">
        <v>378</v>
      </c>
      <c r="F1401" s="877"/>
      <c r="G1401" s="3"/>
      <c r="H1401" s="877"/>
      <c r="I1401" s="878"/>
      <c r="J1401" s="877"/>
      <c r="K1401" s="877" t="s">
        <v>141</v>
      </c>
      <c r="L1401" s="877"/>
      <c r="M1401" s="877"/>
      <c r="N1401" s="877"/>
      <c r="O1401" s="877"/>
      <c r="P1401" s="877"/>
      <c r="Q1401" s="50"/>
      <c r="R1401" s="513"/>
      <c r="S1401" s="881"/>
      <c r="T1401" s="877"/>
    </row>
    <row r="1402" spans="1:41" s="997" customFormat="1" ht="13.2">
      <c r="A1402"/>
      <c r="B1402" s="1065"/>
      <c r="C1402" s="1065" t="s">
        <v>1006</v>
      </c>
      <c r="D1402" s="1065" t="str">
        <f ca="1">CELL("Address",Elec_Rates!D$200)</f>
        <v>[EL25_0662B_Brittania_Hotel_Elec_Revised_Estim_B.xlsx]Elec_Rates!$D$200</v>
      </c>
      <c r="E1402" s="1066"/>
      <c r="F1402" s="1066"/>
      <c r="G1402" s="1067" t="s">
        <v>1007</v>
      </c>
      <c r="H1402" s="1067"/>
      <c r="I1402" s="1067"/>
      <c r="J1402" s="1067"/>
      <c r="K1402" s="1068"/>
      <c r="L1402" s="1066"/>
      <c r="M1402" s="1066"/>
      <c r="N1402" s="1066"/>
      <c r="O1402" s="1069"/>
      <c r="P1402" s="1066"/>
      <c r="Q1402" s="1070"/>
      <c r="R1402" s="1071"/>
      <c r="S1402" s="1070"/>
      <c r="T1402" s="1072"/>
      <c r="U1402" s="1073"/>
    </row>
    <row r="1403" spans="1:41" s="997" customFormat="1" ht="11.4">
      <c r="A1403" s="1074">
        <v>10</v>
      </c>
      <c r="B1403" s="1075">
        <v>2</v>
      </c>
      <c r="C1403" s="1075">
        <f>$A1403*$B1403</f>
        <v>20</v>
      </c>
      <c r="D1403" s="1076" t="str">
        <f>Elec_Rates!$D$200</f>
        <v>019# Lighting point in LSZH Conduit</v>
      </c>
      <c r="E1403" s="1076"/>
      <c r="F1403" s="1076"/>
      <c r="G1403" s="1077" t="s">
        <v>1008</v>
      </c>
      <c r="H1403" s="1077"/>
      <c r="I1403" s="1077"/>
      <c r="J1403" s="1077"/>
      <c r="K1403" s="1078"/>
      <c r="L1403" s="1073"/>
      <c r="M1403" s="1073"/>
      <c r="N1403" s="1073"/>
      <c r="O1403" s="1079"/>
      <c r="P1403" s="1076"/>
      <c r="Q1403" s="1080">
        <f ca="1">$B1403*Elec_Rates!$R$200</f>
        <v>19.3</v>
      </c>
      <c r="R1403" s="1071">
        <f ca="1">$A1403*Q1403</f>
        <v>193</v>
      </c>
      <c r="S1403" s="1080">
        <f ca="1">$B1403*Elec_Rates!$T$200</f>
        <v>2.62</v>
      </c>
      <c r="T1403" s="1072">
        <f ca="1">$A1403*S1403</f>
        <v>26.200000000000003</v>
      </c>
      <c r="U1403" s="1081"/>
    </row>
    <row r="1404" spans="1:41" s="997" customFormat="1" ht="13.2">
      <c r="A1404"/>
      <c r="B1404" s="1065"/>
      <c r="C1404" s="1065" t="s">
        <v>1006</v>
      </c>
      <c r="D1404" s="1065" t="str">
        <f ca="1">CELL("Address",Elec_Rates!D$517)</f>
        <v>[EL25_0662B_Brittania_Hotel_Elec_Revised_Estim_B.xlsx]Elec_Rates!$D$517</v>
      </c>
      <c r="E1404" s="1066"/>
      <c r="F1404" s="1066"/>
      <c r="G1404" s="1067" t="s">
        <v>1007</v>
      </c>
      <c r="H1404" s="1067"/>
      <c r="I1404" s="1067"/>
      <c r="J1404" s="1067"/>
      <c r="K1404" s="1068"/>
      <c r="L1404" s="1066"/>
      <c r="M1404" s="1066"/>
      <c r="N1404" s="1066"/>
      <c r="O1404" s="1069"/>
      <c r="P1404" s="1066"/>
      <c r="Q1404" s="1070"/>
      <c r="R1404" s="1071"/>
      <c r="S1404" s="1070"/>
      <c r="T1404" s="1072"/>
      <c r="U1404" s="1073"/>
    </row>
    <row r="1405" spans="1:41" s="997" customFormat="1" ht="11.4">
      <c r="A1405" s="1074">
        <v>10</v>
      </c>
      <c r="B1405" s="1075">
        <v>1</v>
      </c>
      <c r="C1405" s="1075">
        <f>$A1405*$B1405</f>
        <v>10</v>
      </c>
      <c r="D1405" s="1076" t="str">
        <f>Elec_Rates!$D$517</f>
        <v>061# DALI Wiring cables</v>
      </c>
      <c r="E1405" s="1076"/>
      <c r="F1405" s="1076"/>
      <c r="G1405" s="1077" t="s">
        <v>1008</v>
      </c>
      <c r="H1405" s="1077"/>
      <c r="I1405" s="1077"/>
      <c r="J1405" s="1077"/>
      <c r="K1405" s="1078"/>
      <c r="L1405" s="1073"/>
      <c r="M1405" s="1073"/>
      <c r="N1405" s="1073"/>
      <c r="O1405" s="1079"/>
      <c r="P1405" s="1076"/>
      <c r="Q1405" s="1080">
        <f ca="1">$B1405*Elec_Rates!$R$517</f>
        <v>2.0699999999999998</v>
      </c>
      <c r="R1405" s="1071">
        <f ca="1">$A1405*Q1405</f>
        <v>20.7</v>
      </c>
      <c r="S1405" s="1080">
        <f ca="1">$B1405*Elec_Rates!$T$517</f>
        <v>0.19</v>
      </c>
      <c r="T1405" s="1072">
        <f ca="1">$A1405*S1405</f>
        <v>1.9</v>
      </c>
      <c r="U1405" s="1081"/>
    </row>
    <row r="1406" spans="1:41" s="504" customFormat="1" ht="12">
      <c r="A1406" s="882"/>
      <c r="B1406" s="882"/>
      <c r="C1406" s="882"/>
      <c r="D1406" s="882"/>
      <c r="E1406" s="882"/>
      <c r="F1406" s="877"/>
      <c r="G1406" s="882"/>
      <c r="H1406" s="882"/>
      <c r="I1406" s="503"/>
      <c r="J1406" s="882"/>
      <c r="K1406" s="882"/>
      <c r="L1406" s="882"/>
      <c r="M1406" s="882"/>
      <c r="N1406" s="882"/>
      <c r="O1406" s="882"/>
      <c r="P1406" s="882"/>
      <c r="Q1406" s="503"/>
      <c r="R1406" s="883">
        <f>$A1406*Q1406</f>
        <v>0</v>
      </c>
      <c r="S1406" s="503"/>
      <c r="T1406" s="884">
        <f>$A1406*S1406*$T$1</f>
        <v>0</v>
      </c>
    </row>
    <row r="1407" spans="1:41" s="504" customFormat="1" ht="12.6" thickBot="1">
      <c r="A1407" s="885" t="s">
        <v>142</v>
      </c>
      <c r="B1407" s="886">
        <f>(R1406+T1406)</f>
        <v>0</v>
      </c>
      <c r="C1407" s="887"/>
      <c r="D1407" s="887"/>
      <c r="E1407" s="887"/>
      <c r="F1407" s="888"/>
      <c r="G1407" s="887" t="s">
        <v>143</v>
      </c>
      <c r="H1407" s="887"/>
      <c r="I1407" s="889"/>
      <c r="J1407" s="887"/>
      <c r="K1407" s="887" t="s">
        <v>3</v>
      </c>
      <c r="L1407" s="890" t="s">
        <v>140</v>
      </c>
      <c r="M1407" s="890"/>
      <c r="N1407" s="890"/>
      <c r="O1407" s="890"/>
      <c r="P1407" s="890"/>
      <c r="Q1407" s="891"/>
      <c r="R1407" s="892">
        <f ca="1">SUM(R1401:R1406)</f>
        <v>213.7</v>
      </c>
      <c r="S1407" s="887"/>
      <c r="T1407" s="892">
        <f ca="1">SUM(T1401:T1406)</f>
        <v>28.1</v>
      </c>
      <c r="U1407" s="514"/>
      <c r="V1407" s="514"/>
      <c r="W1407" s="514"/>
      <c r="X1407" s="514"/>
      <c r="Y1407" s="514"/>
      <c r="Z1407" s="514"/>
      <c r="AA1407" s="514"/>
      <c r="AB1407" s="514"/>
      <c r="AC1407" s="514"/>
      <c r="AD1407" s="514"/>
      <c r="AE1407" s="514"/>
      <c r="AF1407" s="514"/>
      <c r="AG1407" s="514"/>
      <c r="AH1407" s="514"/>
      <c r="AI1407" s="514"/>
      <c r="AJ1407" s="514"/>
      <c r="AK1407" s="514"/>
      <c r="AL1407" s="514"/>
      <c r="AM1407" s="514"/>
      <c r="AN1407" s="514"/>
      <c r="AO1407" s="514"/>
    </row>
    <row r="1408" spans="1:41" s="504" customFormat="1" ht="12" thickTop="1">
      <c r="A1408" s="47" t="s">
        <v>145</v>
      </c>
      <c r="D1408" s="13"/>
      <c r="E1408" s="41"/>
      <c r="O1408" s="893"/>
    </row>
    <row r="1409" spans="1:41" s="504" customFormat="1" ht="13.2">
      <c r="B1409" s="3"/>
      <c r="O1409" s="893"/>
    </row>
    <row r="1410" spans="1:41" s="504" customFormat="1" ht="12">
      <c r="B1410" s="894">
        <f ca="1">$F1410/$C$2-($R1410*$S$2+$T1410*$T$2)</f>
        <v>-7.7743990001181373E-2</v>
      </c>
      <c r="D1410" s="895" t="s">
        <v>817</v>
      </c>
      <c r="E1410" s="896"/>
      <c r="F1410" s="897">
        <f ca="1">SUMIF($L1269:$L1408,"ITEM",F1269:F1408)</f>
        <v>7076.9</v>
      </c>
      <c r="G1410" s="882"/>
      <c r="H1410" s="882"/>
      <c r="I1410" s="503"/>
      <c r="J1410" s="882"/>
      <c r="K1410" s="882"/>
      <c r="L1410" s="879" t="s">
        <v>154</v>
      </c>
      <c r="M1410" s="879"/>
      <c r="N1410" s="879"/>
      <c r="O1410" s="879"/>
      <c r="P1410" s="879"/>
      <c r="R1410" s="897">
        <f ca="1">SUMIF($L1269:$L1408,"ITEM",R1269:R1408)</f>
        <v>1462.5450000000003</v>
      </c>
      <c r="S1410" s="898"/>
      <c r="T1410" s="897">
        <f ca="1">SUMIF($L1269:$L1408,"ITEM",T1269:T1408)</f>
        <v>150.46150000000003</v>
      </c>
    </row>
    <row r="1411" spans="1:41" s="504" customFormat="1" ht="13.2">
      <c r="A1411" s="50"/>
      <c r="B1411" s="48" t="s">
        <v>816</v>
      </c>
      <c r="C1411" s="50"/>
      <c r="D1411" s="3"/>
      <c r="F1411" s="899" t="s">
        <v>155</v>
      </c>
      <c r="G1411" s="882"/>
      <c r="H1411" s="882"/>
      <c r="I1411" s="503"/>
      <c r="J1411" s="882"/>
      <c r="K1411" s="882"/>
      <c r="L1411" s="882"/>
      <c r="M1411" s="882"/>
      <c r="N1411" s="882"/>
      <c r="O1411" s="882"/>
      <c r="P1411" s="882"/>
      <c r="Q1411" s="900"/>
      <c r="R1411" s="899" t="s">
        <v>156</v>
      </c>
      <c r="S1411" s="38"/>
      <c r="T1411" s="899" t="s">
        <v>157</v>
      </c>
    </row>
    <row r="1412" spans="1:41" s="504" customFormat="1" ht="13.2">
      <c r="A1412" s="882"/>
      <c r="B1412" s="3"/>
      <c r="C1412" s="882"/>
      <c r="D1412" s="3"/>
      <c r="E1412" s="3"/>
      <c r="G1412" s="3"/>
      <c r="H1412" s="3"/>
      <c r="I1412" s="3"/>
      <c r="J1412" s="3"/>
      <c r="K1412" s="3"/>
      <c r="L1412" s="3"/>
      <c r="M1412" s="3"/>
      <c r="N1412" s="3"/>
      <c r="O1412" s="103"/>
      <c r="P1412" s="3"/>
      <c r="Q1412" s="3"/>
      <c r="R1412" s="3"/>
      <c r="S1412" s="3"/>
      <c r="T1412" s="3"/>
    </row>
    <row r="1413" spans="1:41" s="504" customFormat="1" ht="12" thickBot="1">
      <c r="A1413" s="514"/>
      <c r="B1413" s="887"/>
      <c r="C1413" s="887"/>
      <c r="D1413" s="514"/>
      <c r="E1413" s="39"/>
      <c r="F1413" s="901"/>
      <c r="G1413" s="887"/>
      <c r="H1413" s="887"/>
      <c r="I1413" s="889"/>
      <c r="J1413" s="887"/>
      <c r="K1413" s="887"/>
      <c r="L1413" s="890"/>
      <c r="M1413" s="890"/>
      <c r="N1413" s="890"/>
      <c r="O1413" s="890"/>
      <c r="P1413" s="890"/>
      <c r="Q1413" s="891"/>
      <c r="R1413" s="901"/>
      <c r="S1413" s="902"/>
      <c r="T1413" s="901"/>
      <c r="U1413" s="514"/>
      <c r="V1413" s="514"/>
      <c r="W1413" s="514"/>
      <c r="X1413" s="514"/>
      <c r="Y1413" s="514"/>
      <c r="Z1413" s="514"/>
      <c r="AA1413" s="514"/>
      <c r="AB1413" s="514"/>
      <c r="AC1413" s="514"/>
      <c r="AD1413" s="514"/>
      <c r="AE1413" s="514"/>
      <c r="AF1413" s="514"/>
      <c r="AG1413" s="514"/>
      <c r="AH1413" s="514"/>
      <c r="AI1413" s="514"/>
      <c r="AJ1413" s="514"/>
      <c r="AK1413" s="514"/>
    </row>
    <row r="1414" spans="1:41" s="504" customFormat="1" thickTop="1">
      <c r="A1414" s="50"/>
      <c r="B1414" s="50"/>
      <c r="C1414" s="3"/>
      <c r="D1414" s="3"/>
      <c r="E1414" s="50"/>
      <c r="F1414" s="50"/>
      <c r="G1414" s="50"/>
      <c r="H1414" s="50"/>
      <c r="I1414" s="50"/>
      <c r="J1414" s="50"/>
      <c r="K1414" s="50" t="s">
        <v>133</v>
      </c>
      <c r="L1414" s="50"/>
      <c r="M1414" s="50"/>
      <c r="N1414" s="50"/>
      <c r="O1414" s="51"/>
      <c r="P1414" s="50"/>
      <c r="Q1414" s="50"/>
      <c r="R1414" s="50"/>
      <c r="S1414" s="50"/>
      <c r="T1414" s="50"/>
    </row>
    <row r="1415" spans="1:41" s="504" customFormat="1" ht="12">
      <c r="A1415" s="50"/>
      <c r="B1415" s="50"/>
      <c r="C1415" s="50" t="s">
        <v>134</v>
      </c>
      <c r="D1415" s="37" t="s">
        <v>860</v>
      </c>
      <c r="E1415" s="50"/>
      <c r="F1415" s="50"/>
      <c r="G1415" s="50"/>
      <c r="H1415" s="50"/>
      <c r="I1415" s="50"/>
      <c r="J1415" s="50"/>
      <c r="K1415" s="50"/>
      <c r="L1415" s="50"/>
      <c r="M1415" s="50"/>
      <c r="N1415" s="50"/>
      <c r="O1415" s="51"/>
      <c r="P1415" s="50"/>
      <c r="Q1415" s="50"/>
      <c r="R1415" s="50"/>
      <c r="S1415" s="50"/>
      <c r="T1415" s="50"/>
    </row>
    <row r="1416" spans="1:41" s="504" customFormat="1" ht="12">
      <c r="A1416" s="50"/>
      <c r="B1416" s="50"/>
      <c r="C1416" s="50"/>
      <c r="D1416" s="37" t="s">
        <v>852</v>
      </c>
      <c r="E1416" s="50"/>
      <c r="F1416" s="50"/>
      <c r="G1416" s="50"/>
      <c r="H1416" s="50"/>
      <c r="I1416" s="50"/>
      <c r="J1416" s="50"/>
      <c r="K1416" s="50"/>
      <c r="L1416" s="50"/>
      <c r="M1416" s="50"/>
      <c r="N1416" s="50"/>
      <c r="O1416" s="51"/>
      <c r="P1416" s="50"/>
      <c r="Q1416" s="50"/>
      <c r="R1416" s="50"/>
      <c r="S1416" s="38"/>
      <c r="T1416" s="38"/>
    </row>
    <row r="1417" spans="1:41" s="3" customFormat="1" thickBot="1">
      <c r="A1417" s="514"/>
      <c r="O1417" s="103"/>
    </row>
    <row r="1418" spans="1:41" s="504" customFormat="1" thickTop="1">
      <c r="A1418" s="50"/>
      <c r="B1418" s="40"/>
      <c r="C1418" s="50"/>
      <c r="E1418" s="41" t="s">
        <v>136</v>
      </c>
      <c r="F1418" s="41" t="s">
        <v>137</v>
      </c>
      <c r="G1418" s="50"/>
      <c r="H1418" s="50"/>
      <c r="I1418" s="50"/>
      <c r="J1418" s="50"/>
      <c r="K1418" s="50" t="s">
        <v>138</v>
      </c>
      <c r="L1418" s="1219"/>
      <c r="M1418" s="50"/>
      <c r="N1418" s="50"/>
      <c r="O1418" s="51"/>
      <c r="P1418" s="50"/>
      <c r="Q1418"/>
      <c r="R1418"/>
      <c r="S1418"/>
      <c r="T1418" s="40"/>
      <c r="AG1418" s="867" t="s">
        <v>241</v>
      </c>
      <c r="AH1418" s="867" t="s">
        <v>242</v>
      </c>
      <c r="AI1418" s="867" t="s">
        <v>243</v>
      </c>
      <c r="AJ1418" s="867" t="s">
        <v>244</v>
      </c>
      <c r="AK1418" s="867" t="s">
        <v>245</v>
      </c>
      <c r="AM1418" s="868" t="s">
        <v>254</v>
      </c>
      <c r="AN1418" s="869" t="s">
        <v>255</v>
      </c>
      <c r="AO1418" s="505" t="s">
        <v>251</v>
      </c>
    </row>
    <row r="1419" spans="1:41" s="504" customFormat="1" ht="13.2">
      <c r="A1419" s="870">
        <v>3</v>
      </c>
      <c r="B1419" s="871" t="s">
        <v>335</v>
      </c>
      <c r="C1419" s="872"/>
      <c r="D1419" s="873" t="s">
        <v>804</v>
      </c>
      <c r="E1419" s="1220">
        <f ca="1">IF(AND($A1419=0,$A$1="DIF"),0, ROUND(ROUND(SUMIF($L1421:$L1429,"SUBI",$E1421:$E1429)/$A1419,2)*$C$12,2))</f>
        <v>55.19</v>
      </c>
      <c r="F1419" s="1221">
        <f ca="1">ROUND($A1419*$E1419,2)</f>
        <v>165.57</v>
      </c>
      <c r="G1419" s="876" t="s">
        <v>139</v>
      </c>
      <c r="H1419" s="877"/>
      <c r="I1419" s="878"/>
      <c r="J1419" s="877"/>
      <c r="K1419" s="1222"/>
      <c r="L1419" s="1223" t="s">
        <v>140</v>
      </c>
      <c r="M1419" s="879"/>
      <c r="N1419" s="879"/>
      <c r="O1419" s="879"/>
      <c r="P1419" s="879"/>
      <c r="Q1419"/>
      <c r="R1419"/>
      <c r="S1419"/>
      <c r="T1419" s="1224" t="str">
        <f ca="1">IF(AND($R1435=0,$T1435=0),"0.00","mu :" &amp; ROUND($F1419/$C$12/($R1435+$T1435*$D$9),2))</f>
        <v>mu :1.22</v>
      </c>
      <c r="W1419" s="507"/>
      <c r="AG1419" s="1225">
        <f ca="1">IF(A1419=0,0,ROUND(SUM(AG1421:AG1435)/A1419,2))</f>
        <v>42.23</v>
      </c>
      <c r="AH1419" s="1225">
        <f ca="1">$AG1419*$A1419</f>
        <v>126.69</v>
      </c>
      <c r="AI1419" s="1225">
        <f ca="1">$E1419-$AG1419</f>
        <v>12.96</v>
      </c>
      <c r="AJ1419" s="1225">
        <f ca="1">$A1419*$AI1419</f>
        <v>38.880000000000003</v>
      </c>
      <c r="AK1419" s="1226">
        <f ca="1">ROUND(($AG1419+$AI1419)*$A1419,2)</f>
        <v>165.57</v>
      </c>
      <c r="AM1419" s="510">
        <f ca="1">ROUND(R1435,2)</f>
        <v>103.83</v>
      </c>
      <c r="AN1419" s="511">
        <f ca="1">ROUND(T1435,2)</f>
        <v>1.1100000000000001</v>
      </c>
      <c r="AO1419" s="512">
        <f ca="1">ROUND(AM1419+AN1419,2)*A1419</f>
        <v>314.82</v>
      </c>
    </row>
    <row r="1420" spans="1:41" s="504" customFormat="1" ht="12">
      <c r="A1420" s="1302"/>
      <c r="B1420" s="1303"/>
      <c r="C1420" s="872"/>
      <c r="D1420" s="873" t="s">
        <v>411</v>
      </c>
      <c r="F1420" s="877"/>
      <c r="G1420" s="877"/>
      <c r="H1420" s="877"/>
      <c r="I1420" s="878"/>
      <c r="J1420" s="877"/>
      <c r="K1420" s="877" t="s">
        <v>141</v>
      </c>
      <c r="L1420" s="1227"/>
      <c r="M1420" s="877"/>
      <c r="N1420" s="877"/>
      <c r="O1420" s="877"/>
      <c r="P1420" s="877"/>
      <c r="Q1420" s="50"/>
      <c r="R1420" s="513"/>
      <c r="S1420" s="881"/>
      <c r="T1420" s="877"/>
    </row>
    <row r="1421" spans="1:41" s="504" customFormat="1" ht="12">
      <c r="A1421" s="1228"/>
      <c r="B1421" s="1229"/>
      <c r="C1421" s="882"/>
      <c r="D1421" s="877"/>
      <c r="E1421" s="1230">
        <f ca="1">F1419/$C$12-SUMIF($L1418:$L1435,"SUBI",$E1418:$E1435)</f>
        <v>9.9999999999909051E-3</v>
      </c>
      <c r="F1421" s="1231" t="s">
        <v>1472</v>
      </c>
      <c r="G1421" s="1232"/>
      <c r="H1421" s="1232"/>
      <c r="I1421" s="1233"/>
      <c r="J1421" s="1232"/>
      <c r="K1421" s="1232"/>
      <c r="L1421" s="1234"/>
      <c r="M1421" s="1235"/>
      <c r="N1421" s="1235"/>
      <c r="O1421" s="1235"/>
      <c r="P1421" s="1235"/>
      <c r="Q1421" s="1236"/>
      <c r="R1421" s="1237"/>
      <c r="S1421" s="1236"/>
      <c r="T1421" s="1238"/>
    </row>
    <row r="1422" spans="1:41" s="504" customFormat="1" ht="12" customHeight="1">
      <c r="A1422" s="1239"/>
      <c r="B1422" s="1304"/>
      <c r="C1422" s="1240"/>
      <c r="D1422" s="1240" t="str">
        <f>$F$2</f>
        <v>Electrical</v>
      </c>
      <c r="E1422" s="1240">
        <f ca="1">ROUND(($R1428*$S$2 + ($T1428*$T$2)), 2)</f>
        <v>64.98</v>
      </c>
      <c r="F1422" s="1305">
        <f ca="1">$E1422*$C$12</f>
        <v>64.98</v>
      </c>
      <c r="G1422" s="513"/>
      <c r="H1422" s="1241"/>
      <c r="I1422" s="513"/>
      <c r="J1422" s="51"/>
      <c r="K1422" s="1242" t="s">
        <v>3</v>
      </c>
      <c r="L1422" s="1243" t="s">
        <v>1473</v>
      </c>
      <c r="M1422" s="513"/>
      <c r="N1422" s="513"/>
      <c r="O1422" s="51"/>
      <c r="P1422" s="513"/>
      <c r="Q1422" s="513"/>
      <c r="R1422"/>
      <c r="S1422"/>
      <c r="T1422"/>
    </row>
    <row r="1423" spans="1:41" s="504" customFormat="1" ht="13.95" customHeight="1">
      <c r="A1423" s="930"/>
      <c r="B1423" s="1244" t="s">
        <v>1474</v>
      </c>
      <c r="C1423" s="513"/>
      <c r="D1423" s="513"/>
      <c r="E1423" s="513"/>
      <c r="F1423" s="513"/>
      <c r="G1423" s="513"/>
      <c r="H1423" s="1241"/>
      <c r="I1423" s="513"/>
      <c r="J1423" s="51"/>
      <c r="K1423" s="1245"/>
      <c r="L1423" s="1246"/>
      <c r="M1423" s="513"/>
      <c r="N1423" s="513"/>
      <c r="O1423" s="51"/>
      <c r="P1423" s="513"/>
      <c r="Q1423" s="513"/>
      <c r="R1423" s="1247">
        <f>$A1423*Q1423</f>
        <v>0</v>
      </c>
      <c r="S1423" s="513"/>
      <c r="T1423" s="884">
        <f>$A1423*S1423*$T$1</f>
        <v>0</v>
      </c>
    </row>
    <row r="1424" spans="1:41" s="997" customFormat="1" ht="13.2">
      <c r="A1424"/>
      <c r="B1424" s="1065"/>
      <c r="C1424" s="1065" t="s">
        <v>1006</v>
      </c>
      <c r="D1424" s="1065" t="str">
        <f ca="1">CELL("Address",Elec_Rates!D$517)</f>
        <v>[EL25_0662B_Brittania_Hotel_Elec_Revised_Estim_B.xlsx]Elec_Rates!$D$517</v>
      </c>
      <c r="E1424" s="1066"/>
      <c r="F1424" s="1066"/>
      <c r="G1424" s="1067" t="s">
        <v>1007</v>
      </c>
      <c r="H1424" s="1067"/>
      <c r="I1424" s="1067"/>
      <c r="J1424" s="1067"/>
      <c r="K1424" s="1068"/>
      <c r="L1424" s="1066"/>
      <c r="M1424" s="1066"/>
      <c r="N1424" s="1066"/>
      <c r="O1424" s="1069"/>
      <c r="P1424" s="1066"/>
      <c r="Q1424" s="1070"/>
      <c r="R1424" s="1071"/>
      <c r="S1424" s="1070"/>
      <c r="T1424" s="1072"/>
      <c r="U1424" s="1073"/>
    </row>
    <row r="1425" spans="1:41" s="997" customFormat="1" ht="11.4">
      <c r="A1425" s="1074">
        <v>3</v>
      </c>
      <c r="B1425" s="1075">
        <v>1</v>
      </c>
      <c r="C1425" s="1075">
        <f>$A1425*$B1425</f>
        <v>3</v>
      </c>
      <c r="D1425" s="1076" t="str">
        <f>Elec_Rates!$D$517</f>
        <v>061# DALI Wiring cables</v>
      </c>
      <c r="E1425" s="1076"/>
      <c r="F1425" s="1076"/>
      <c r="G1425" s="1077" t="s">
        <v>1008</v>
      </c>
      <c r="H1425" s="1077"/>
      <c r="I1425" s="1077"/>
      <c r="J1425" s="1077"/>
      <c r="K1425" s="1078"/>
      <c r="L1425" s="1073"/>
      <c r="M1425" s="1073"/>
      <c r="N1425" s="1073"/>
      <c r="O1425" s="1079"/>
      <c r="P1425" s="1076"/>
      <c r="Q1425" s="1080">
        <f ca="1">$B1425*Elec_Rates!$R$517</f>
        <v>2.0699999999999998</v>
      </c>
      <c r="R1425" s="1071">
        <f ca="1">$A1425*Q1425</f>
        <v>6.2099999999999991</v>
      </c>
      <c r="S1425" s="1080">
        <f ca="1">$B1425*Elec_Rates!$T$517</f>
        <v>0.19</v>
      </c>
      <c r="T1425" s="1072">
        <f ca="1">$A1425*S1425</f>
        <v>0.57000000000000006</v>
      </c>
      <c r="U1425" s="1081"/>
    </row>
    <row r="1426" spans="1:41" s="1039" customFormat="1" ht="11.4">
      <c r="A1426" s="1074">
        <v>3</v>
      </c>
      <c r="B1426" s="1039" t="s">
        <v>949</v>
      </c>
      <c r="D1426" s="1039" t="s">
        <v>1522</v>
      </c>
      <c r="F1426" s="1039" t="s">
        <v>1506</v>
      </c>
      <c r="G1426" s="1040" t="s">
        <v>1182</v>
      </c>
      <c r="H1426" s="1041">
        <v>705</v>
      </c>
      <c r="I1426" s="1039" t="s">
        <v>1183</v>
      </c>
      <c r="J1426" s="1039" t="s">
        <v>1184</v>
      </c>
      <c r="O1426" s="1042">
        <v>3</v>
      </c>
      <c r="P1426" s="1043">
        <v>34669</v>
      </c>
      <c r="Q1426" s="1044">
        <v>5.0599999999999996</v>
      </c>
      <c r="R1426" s="1045">
        <f t="shared" ref="R1426" si="16">$A1426*Q1426</f>
        <v>15.18</v>
      </c>
      <c r="S1426" s="1044">
        <v>0.17</v>
      </c>
      <c r="T1426" s="1046">
        <f t="shared" ref="T1426" si="17">$A1426*S1426*$T$1</f>
        <v>0.53550000000000009</v>
      </c>
      <c r="AC1426" s="997"/>
      <c r="AD1426" s="997"/>
      <c r="AE1426" s="997"/>
    </row>
    <row r="1427" spans="1:41" s="504" customFormat="1" ht="13.95" customHeight="1">
      <c r="A1427" s="930"/>
      <c r="B1427" s="513"/>
      <c r="C1427" s="513"/>
      <c r="D1427" s="513"/>
      <c r="E1427" s="513"/>
      <c r="F1427" s="513"/>
      <c r="G1427" s="513"/>
      <c r="H1427" s="1241"/>
      <c r="I1427" s="513"/>
      <c r="J1427" s="51"/>
      <c r="K1427" s="1245"/>
      <c r="L1427" s="1246"/>
      <c r="M1427" s="513"/>
      <c r="N1427" s="513"/>
      <c r="O1427" s="51"/>
      <c r="P1427" s="513"/>
      <c r="Q1427" s="513"/>
      <c r="R1427" s="1247">
        <f>$A1427*Q1427</f>
        <v>0</v>
      </c>
      <c r="S1427" s="513"/>
      <c r="T1427" s="884">
        <f>$A1427*S1427*$T$1</f>
        <v>0</v>
      </c>
    </row>
    <row r="1428" spans="1:41" s="504" customFormat="1" ht="12">
      <c r="A1428" s="1248" t="s">
        <v>142</v>
      </c>
      <c r="B1428" s="1249">
        <f>(R1427+T1427)</f>
        <v>0</v>
      </c>
      <c r="C1428" s="882"/>
      <c r="G1428" s="1250"/>
      <c r="H1428" s="1250"/>
      <c r="I1428" s="1250"/>
      <c r="J1428" s="1250"/>
      <c r="K1428" s="1251" t="s">
        <v>3</v>
      </c>
      <c r="L1428" s="1252" t="s">
        <v>1473</v>
      </c>
      <c r="M1428" s="1250"/>
      <c r="N1428" s="1250"/>
      <c r="O1428" s="1250"/>
      <c r="P1428" s="1250"/>
      <c r="Q1428" s="1253"/>
      <c r="R1428" s="1254">
        <f ca="1">SUM(R1422:R1427)</f>
        <v>21.39</v>
      </c>
      <c r="S1428" s="1255"/>
      <c r="T1428" s="1254">
        <f ca="1">SUM(T1422:T1427)</f>
        <v>1.1055000000000001</v>
      </c>
      <c r="AG1428" s="1256">
        <f ca="1">ROUND($R1428*$S$2,2)</f>
        <v>26.1</v>
      </c>
    </row>
    <row r="1429" spans="1:41" s="504" customFormat="1" ht="12" customHeight="1">
      <c r="A1429" s="1257"/>
      <c r="B1429" s="1306"/>
      <c r="C1429" s="1307"/>
      <c r="D1429" s="1307" t="str">
        <f>$F$3</f>
        <v>Controls Section (DALI)</v>
      </c>
      <c r="E1429" s="1307">
        <f>ROUND(($R1433*$S$3 + ($T1433*$T$3)), 2)</f>
        <v>100.58</v>
      </c>
      <c r="F1429" s="1308">
        <f ca="1">$F1419-SUMIF($L1421:$P1425,"SUBI",$F1421:$F1425)</f>
        <v>100.58999999999999</v>
      </c>
      <c r="G1429" s="503"/>
      <c r="H1429" s="503"/>
      <c r="I1429" s="503"/>
      <c r="J1429" s="503"/>
      <c r="K1429" s="1242" t="s">
        <v>5</v>
      </c>
      <c r="L1429" s="1243" t="s">
        <v>1473</v>
      </c>
      <c r="M1429" s="503"/>
      <c r="N1429" s="503"/>
      <c r="O1429" s="503"/>
      <c r="P1429" s="503"/>
      <c r="Q1429" s="503"/>
      <c r="R1429" s="1258"/>
      <c r="S1429" s="503"/>
      <c r="T1429" s="1258"/>
    </row>
    <row r="1430" spans="1:41" s="1271" customFormat="1" ht="14.4" customHeight="1">
      <c r="A1430" s="1259"/>
      <c r="B1430" s="1244" t="s">
        <v>1475</v>
      </c>
      <c r="C1430" s="1260"/>
      <c r="D1430" s="1261"/>
      <c r="E1430" s="1261"/>
      <c r="F1430" s="1261"/>
      <c r="G1430" s="1262"/>
      <c r="H1430" s="1263"/>
      <c r="I1430" s="1263"/>
      <c r="J1430" s="1264"/>
      <c r="K1430" s="1265"/>
      <c r="L1430" s="1260"/>
      <c r="M1430" s="1266"/>
      <c r="N1430" s="1267"/>
      <c r="O1430" s="1268"/>
      <c r="P1430" s="1269"/>
      <c r="Q1430" s="1270"/>
      <c r="R1430" s="1247">
        <f>$A1430*Q1430</f>
        <v>0</v>
      </c>
      <c r="S1430" s="513"/>
      <c r="T1430" s="884">
        <f>$A1430*S1430*$T$1</f>
        <v>0</v>
      </c>
    </row>
    <row r="1431" spans="1:41" s="1039" customFormat="1" ht="13.2">
      <c r="A1431">
        <v>3</v>
      </c>
      <c r="B1431" s="1039" t="s">
        <v>949</v>
      </c>
      <c r="D1431" s="1039" t="s">
        <v>1523</v>
      </c>
      <c r="G1431" s="1040" t="s">
        <v>1991</v>
      </c>
      <c r="H1431" s="1041">
        <v>512</v>
      </c>
      <c r="I1431" s="1039" t="s">
        <v>1519</v>
      </c>
      <c r="J1431" s="1039" t="s">
        <v>1520</v>
      </c>
      <c r="O1431" s="1042">
        <v>3</v>
      </c>
      <c r="P1431" s="1043">
        <v>38421</v>
      </c>
      <c r="Q1431" s="1044">
        <v>27.48</v>
      </c>
      <c r="R1431" s="1045">
        <f>$A1431*Q1431</f>
        <v>82.44</v>
      </c>
      <c r="S1431" s="513"/>
      <c r="T1431" s="1046">
        <f>$A1431*S1431*$T$1</f>
        <v>0</v>
      </c>
    </row>
    <row r="1432" spans="1:41" s="504" customFormat="1" ht="13.2">
      <c r="A1432" s="930"/>
      <c r="B1432" s="513"/>
      <c r="C1432" s="513"/>
      <c r="D1432" s="3"/>
      <c r="E1432" s="513"/>
      <c r="F1432" s="513"/>
      <c r="G1432" s="513"/>
      <c r="H1432" s="513"/>
      <c r="I1432" s="513"/>
      <c r="J1432" s="513"/>
      <c r="K1432" s="513"/>
      <c r="L1432" s="1246"/>
      <c r="M1432" s="513"/>
      <c r="N1432" s="513"/>
      <c r="O1432" s="513"/>
      <c r="P1432" s="513"/>
      <c r="Q1432" s="513"/>
      <c r="R1432" s="1247">
        <f>$A1432*Q1432</f>
        <v>0</v>
      </c>
      <c r="S1432" s="513"/>
      <c r="T1432" s="884">
        <f>$A1432*S1432*$T$1</f>
        <v>0</v>
      </c>
    </row>
    <row r="1433" spans="1:41" s="504" customFormat="1" ht="12" customHeight="1">
      <c r="A1433" s="1272" t="s">
        <v>142</v>
      </c>
      <c r="B1433" s="1273">
        <f>(R1432+T1432)</f>
        <v>0</v>
      </c>
      <c r="C1433" s="1274"/>
      <c r="D1433" s="1274"/>
      <c r="E1433" s="1274"/>
      <c r="F1433" s="1274"/>
      <c r="G1433" s="1253"/>
      <c r="H1433" s="1253"/>
      <c r="I1433" s="1253"/>
      <c r="J1433" s="1253"/>
      <c r="K1433" s="1275" t="s">
        <v>5</v>
      </c>
      <c r="L1433" s="1276" t="s">
        <v>1473</v>
      </c>
      <c r="M1433" s="1253"/>
      <c r="N1433" s="1253"/>
      <c r="O1433" s="1253"/>
      <c r="P1433" s="1253"/>
      <c r="Q1433" s="1253"/>
      <c r="R1433" s="1254">
        <f>SUM(R1429:R1432)</f>
        <v>82.44</v>
      </c>
      <c r="S1433" s="1255"/>
      <c r="T1433" s="1254">
        <f>SUM(T1429:T1432)</f>
        <v>0</v>
      </c>
      <c r="AG1433" s="1309">
        <f>ROUND($R1433*$S$3,2)</f>
        <v>100.58</v>
      </c>
    </row>
    <row r="1434" spans="1:41" s="504" customFormat="1" ht="12.75" customHeight="1">
      <c r="A1434" s="1277"/>
      <c r="B1434" s="1278"/>
      <c r="E1434" s="882"/>
      <c r="F1434" s="1279"/>
      <c r="G1434" s="882"/>
      <c r="H1434" s="882"/>
      <c r="I1434" s="503"/>
      <c r="J1434" s="882"/>
      <c r="K1434" s="882"/>
      <c r="L1434" s="1280"/>
      <c r="M1434" s="933"/>
      <c r="N1434" s="933"/>
      <c r="O1434" s="933"/>
      <c r="P1434" s="933"/>
      <c r="Q1434" s="900"/>
      <c r="R1434" s="1258"/>
      <c r="S1434" s="882"/>
      <c r="T1434" s="1258"/>
    </row>
    <row r="1435" spans="1:41" s="504" customFormat="1" ht="13.5" customHeight="1" thickBot="1">
      <c r="A1435" s="1281"/>
      <c r="B1435" s="1282"/>
      <c r="C1435" s="514"/>
      <c r="D1435" s="514"/>
      <c r="E1435" s="887"/>
      <c r="F1435" s="888"/>
      <c r="G1435" s="887" t="s">
        <v>143</v>
      </c>
      <c r="H1435" s="887"/>
      <c r="I1435" s="889"/>
      <c r="J1435" s="887"/>
      <c r="K1435" s="887"/>
      <c r="L1435" s="1283" t="s">
        <v>140</v>
      </c>
      <c r="M1435" s="890"/>
      <c r="N1435" s="890"/>
      <c r="O1435" s="890"/>
      <c r="P1435" s="890"/>
      <c r="Q1435" s="891"/>
      <c r="R1435" s="1284">
        <f ca="1">SUMIF($L1420:$L1434,"SUBI",R1420:R1434)</f>
        <v>103.83</v>
      </c>
      <c r="S1435" s="887"/>
      <c r="T1435" s="1284">
        <f ca="1">SUMIF($L1420:$L1434,"SUBI",T1420:T1434)</f>
        <v>1.1055000000000001</v>
      </c>
      <c r="U1435" s="514"/>
      <c r="V1435" s="514"/>
      <c r="W1435" s="514"/>
      <c r="X1435" s="514"/>
      <c r="Y1435" s="514"/>
      <c r="Z1435" s="514"/>
      <c r="AA1435" s="514"/>
      <c r="AB1435" s="514"/>
      <c r="AC1435" s="514"/>
      <c r="AD1435" s="514"/>
      <c r="AE1435" s="514"/>
      <c r="AF1435" s="514"/>
      <c r="AG1435" s="514"/>
      <c r="AH1435" s="514"/>
      <c r="AI1435" s="514"/>
      <c r="AJ1435" s="514"/>
      <c r="AK1435" s="514"/>
      <c r="AL1435" s="514"/>
      <c r="AM1435" s="514"/>
      <c r="AN1435" s="514"/>
      <c r="AO1435" s="514"/>
    </row>
    <row r="1436" spans="1:41" s="504" customFormat="1" thickTop="1">
      <c r="A1436" s="50"/>
      <c r="B1436" s="40"/>
      <c r="C1436" s="50"/>
      <c r="E1436" s="41" t="s">
        <v>136</v>
      </c>
      <c r="F1436" s="41" t="s">
        <v>137</v>
      </c>
      <c r="G1436" s="50"/>
      <c r="H1436" s="50"/>
      <c r="I1436" s="50"/>
      <c r="J1436" s="50"/>
      <c r="K1436" s="50" t="s">
        <v>138</v>
      </c>
      <c r="L1436" s="1219"/>
      <c r="M1436" s="50"/>
      <c r="N1436" s="50"/>
      <c r="O1436" s="51"/>
      <c r="P1436" s="50"/>
      <c r="Q1436"/>
      <c r="R1436"/>
      <c r="S1436"/>
      <c r="T1436" s="40"/>
      <c r="AG1436" s="867" t="s">
        <v>241</v>
      </c>
      <c r="AH1436" s="867" t="s">
        <v>242</v>
      </c>
      <c r="AI1436" s="867" t="s">
        <v>243</v>
      </c>
      <c r="AJ1436" s="867" t="s">
        <v>244</v>
      </c>
      <c r="AK1436" s="867" t="s">
        <v>245</v>
      </c>
      <c r="AM1436" s="868" t="s">
        <v>254</v>
      </c>
      <c r="AN1436" s="869" t="s">
        <v>255</v>
      </c>
      <c r="AO1436" s="505" t="s">
        <v>251</v>
      </c>
    </row>
    <row r="1437" spans="1:41" s="504" customFormat="1" ht="13.2">
      <c r="A1437" s="870">
        <v>1</v>
      </c>
      <c r="B1437" s="871" t="s">
        <v>335</v>
      </c>
      <c r="C1437" s="872"/>
      <c r="D1437" s="873" t="s">
        <v>806</v>
      </c>
      <c r="E1437" s="1220">
        <f ca="1">IF(AND($A1437=0,$A$1="DIF"),0, ROUND(ROUND(SUMIF($L1439:$L1446,"SUBI",$E1439:$E1446)/$A1437,2)*$C$12,2))</f>
        <v>973.68</v>
      </c>
      <c r="F1437" s="1221">
        <f ca="1">ROUND($A1437*$E1437,2)</f>
        <v>973.68</v>
      </c>
      <c r="G1437" s="876" t="s">
        <v>139</v>
      </c>
      <c r="H1437" s="877"/>
      <c r="I1437" s="878"/>
      <c r="J1437" s="877"/>
      <c r="K1437" s="1222"/>
      <c r="L1437" s="1223" t="s">
        <v>140</v>
      </c>
      <c r="M1437" s="879"/>
      <c r="N1437" s="879"/>
      <c r="O1437" s="879"/>
      <c r="P1437" s="879"/>
      <c r="Q1437"/>
      <c r="R1437"/>
      <c r="S1437"/>
      <c r="T1437" s="1224" t="str">
        <f ca="1">IF(AND($R1453=0,$T1453=0),"0.00","mu :" &amp; ROUND($F1437/$C$12/($R1453+$T1453*$D$9),2))</f>
        <v>mu :1.57</v>
      </c>
      <c r="W1437" s="507"/>
      <c r="AG1437" s="1225">
        <f ca="1">IF(A1437=0,0,ROUND(SUM(AG1439:AG1453)/A1437,2))</f>
        <v>603.11</v>
      </c>
      <c r="AH1437" s="1225">
        <f ca="1">$AG1437*$A1437</f>
        <v>603.11</v>
      </c>
      <c r="AI1437" s="1225">
        <f ca="1">$E1437-$AG1437</f>
        <v>370.56999999999994</v>
      </c>
      <c r="AJ1437" s="1225">
        <f ca="1">$A1437*$AI1437</f>
        <v>370.56999999999994</v>
      </c>
      <c r="AK1437" s="1226">
        <f ca="1">ROUND(($AG1437+$AI1437)*$A1437,2)</f>
        <v>973.68</v>
      </c>
      <c r="AM1437" s="510">
        <f ca="1">ROUND(R1453,2)</f>
        <v>494.35</v>
      </c>
      <c r="AN1437" s="511">
        <f ca="1">ROUND(T1453,2)</f>
        <v>4.3899999999999997</v>
      </c>
      <c r="AO1437" s="512">
        <f ca="1">ROUND(AM1437+AN1437,2)*A1437</f>
        <v>498.74</v>
      </c>
    </row>
    <row r="1438" spans="1:41" s="504" customFormat="1" ht="12">
      <c r="A1438" s="1302"/>
      <c r="B1438" s="1303"/>
      <c r="C1438" s="872"/>
      <c r="D1438" s="873" t="s">
        <v>412</v>
      </c>
      <c r="F1438" s="877"/>
      <c r="G1438" s="877"/>
      <c r="H1438" s="877"/>
      <c r="I1438" s="878"/>
      <c r="J1438" s="877"/>
      <c r="K1438" s="877" t="s">
        <v>141</v>
      </c>
      <c r="L1438" s="1227"/>
      <c r="M1438" s="877"/>
      <c r="N1438" s="877"/>
      <c r="O1438" s="877"/>
      <c r="P1438" s="877"/>
      <c r="Q1438" s="50"/>
      <c r="R1438" s="513"/>
      <c r="S1438" s="881"/>
      <c r="T1438" s="877"/>
    </row>
    <row r="1439" spans="1:41" s="504" customFormat="1" ht="12">
      <c r="A1439" s="1228"/>
      <c r="B1439" s="1229"/>
      <c r="C1439" s="882"/>
      <c r="D1439" s="877"/>
      <c r="E1439" s="1230">
        <f ca="1">F1437/$C$12-SUMIF($L1436:$L1453,"SUBI",$E1436:$E1453)</f>
        <v>0</v>
      </c>
      <c r="F1439" s="1231" t="s">
        <v>1472</v>
      </c>
      <c r="G1439" s="1232"/>
      <c r="H1439" s="1232"/>
      <c r="I1439" s="1233"/>
      <c r="J1439" s="1232"/>
      <c r="K1439" s="1232"/>
      <c r="L1439" s="1234"/>
      <c r="M1439" s="1235"/>
      <c r="N1439" s="1235"/>
      <c r="O1439" s="1235"/>
      <c r="P1439" s="1235"/>
      <c r="Q1439" s="1236"/>
      <c r="R1439" s="1237"/>
      <c r="S1439" s="1236"/>
      <c r="T1439" s="1238"/>
    </row>
    <row r="1440" spans="1:41" s="504" customFormat="1" ht="12" customHeight="1">
      <c r="A1440" s="1239"/>
      <c r="B1440" s="1304"/>
      <c r="C1440" s="1240"/>
      <c r="D1440" s="1240" t="str">
        <f>$F$2</f>
        <v>Electrical</v>
      </c>
      <c r="E1440" s="1240">
        <f ca="1">ROUND(($R1445*$S$2 + ($T1445*$T$2)), 2)</f>
        <v>9.2100000000000009</v>
      </c>
      <c r="F1440" s="1305">
        <f ca="1">$E1440*$C$12</f>
        <v>9.2100000000000009</v>
      </c>
      <c r="G1440" s="513"/>
      <c r="H1440" s="1241"/>
      <c r="I1440" s="513"/>
      <c r="J1440" s="51"/>
      <c r="K1440" s="1242" t="s">
        <v>3</v>
      </c>
      <c r="L1440" s="1243" t="s">
        <v>1473</v>
      </c>
      <c r="M1440" s="513"/>
      <c r="N1440" s="513"/>
      <c r="O1440" s="51"/>
      <c r="P1440" s="513"/>
      <c r="Q1440" s="513"/>
      <c r="R1440"/>
      <c r="S1440"/>
      <c r="T1440"/>
    </row>
    <row r="1441" spans="1:41" s="504" customFormat="1" ht="13.95" customHeight="1">
      <c r="A1441" s="930"/>
      <c r="B1441" s="1244" t="s">
        <v>1474</v>
      </c>
      <c r="C1441" s="513"/>
      <c r="D1441" s="513"/>
      <c r="E1441" s="513"/>
      <c r="F1441" s="513"/>
      <c r="G1441" s="513"/>
      <c r="H1441" s="1241"/>
      <c r="I1441" s="513"/>
      <c r="J1441" s="51"/>
      <c r="K1441" s="1245"/>
      <c r="L1441" s="1246"/>
      <c r="M1441" s="513"/>
      <c r="N1441" s="513"/>
      <c r="O1441" s="51"/>
      <c r="P1441" s="513"/>
      <c r="Q1441" s="513"/>
      <c r="R1441" s="1247">
        <f>$A1441*Q1441</f>
        <v>0</v>
      </c>
      <c r="S1441" s="513"/>
      <c r="T1441" s="884">
        <f>$A1441*S1441*$T$1</f>
        <v>0</v>
      </c>
    </row>
    <row r="1442" spans="1:41" s="997" customFormat="1" ht="13.2">
      <c r="A1442"/>
      <c r="B1442" s="1065"/>
      <c r="C1442" s="1065" t="s">
        <v>1006</v>
      </c>
      <c r="D1442" s="1065" t="str">
        <f ca="1">CELL("Address",Elec_Rates!D$517)</f>
        <v>[EL25_0662B_Brittania_Hotel_Elec_Revised_Estim_B.xlsx]Elec_Rates!$D$517</v>
      </c>
      <c r="E1442" s="1066"/>
      <c r="F1442" s="1066"/>
      <c r="G1442" s="1067" t="s">
        <v>1007</v>
      </c>
      <c r="H1442" s="1067"/>
      <c r="I1442" s="1067"/>
      <c r="J1442" s="1067"/>
      <c r="K1442" s="1068"/>
      <c r="L1442" s="1066"/>
      <c r="M1442" s="1066"/>
      <c r="N1442" s="1066"/>
      <c r="O1442" s="1069"/>
      <c r="P1442" s="1066"/>
      <c r="Q1442" s="1070"/>
      <c r="R1442" s="1071"/>
      <c r="S1442" s="1070"/>
      <c r="T1442" s="1072"/>
      <c r="U1442" s="1073"/>
    </row>
    <row r="1443" spans="1:41" s="997" customFormat="1" ht="11.4">
      <c r="A1443" s="1074">
        <v>1</v>
      </c>
      <c r="B1443" s="1075">
        <v>1</v>
      </c>
      <c r="C1443" s="1075">
        <f>$A1443*$B1443</f>
        <v>1</v>
      </c>
      <c r="D1443" s="1076" t="str">
        <f>Elec_Rates!$D$517</f>
        <v>061# DALI Wiring cables</v>
      </c>
      <c r="E1443" s="1076"/>
      <c r="F1443" s="1076"/>
      <c r="G1443" s="1077" t="s">
        <v>1008</v>
      </c>
      <c r="H1443" s="1077"/>
      <c r="I1443" s="1077"/>
      <c r="J1443" s="1077"/>
      <c r="K1443" s="1078"/>
      <c r="L1443" s="1073"/>
      <c r="M1443" s="1073"/>
      <c r="N1443" s="1073"/>
      <c r="O1443" s="1079"/>
      <c r="P1443" s="1076"/>
      <c r="Q1443" s="1080">
        <f ca="1">$B1443*Elec_Rates!$R$517</f>
        <v>2.0699999999999998</v>
      </c>
      <c r="R1443" s="1071">
        <f ca="1">$A1443*Q1443</f>
        <v>2.0699999999999998</v>
      </c>
      <c r="S1443" s="1080">
        <f ca="1">$B1443*Elec_Rates!$T$517</f>
        <v>0.19</v>
      </c>
      <c r="T1443" s="1072">
        <f ca="1">$A1443*S1443</f>
        <v>0.19</v>
      </c>
      <c r="U1443" s="1081"/>
    </row>
    <row r="1444" spans="1:41" s="504" customFormat="1" ht="13.95" customHeight="1">
      <c r="A1444" s="930"/>
      <c r="B1444" s="513"/>
      <c r="C1444" s="513"/>
      <c r="D1444" s="513"/>
      <c r="E1444" s="513"/>
      <c r="F1444" s="513"/>
      <c r="G1444" s="513"/>
      <c r="H1444" s="1241"/>
      <c r="I1444" s="513"/>
      <c r="J1444" s="51"/>
      <c r="K1444" s="1245"/>
      <c r="L1444" s="1246"/>
      <c r="M1444" s="513"/>
      <c r="N1444" s="513"/>
      <c r="O1444" s="51"/>
      <c r="P1444" s="513"/>
      <c r="Q1444" s="513"/>
      <c r="R1444" s="1247">
        <f>$A1444*Q1444</f>
        <v>0</v>
      </c>
      <c r="S1444" s="513"/>
      <c r="T1444" s="884">
        <f>$A1444*S1444*$T$1</f>
        <v>0</v>
      </c>
    </row>
    <row r="1445" spans="1:41" s="504" customFormat="1" ht="12">
      <c r="A1445" s="1248" t="s">
        <v>142</v>
      </c>
      <c r="B1445" s="1249">
        <f>(R1444+T1444)</f>
        <v>0</v>
      </c>
      <c r="C1445" s="882"/>
      <c r="G1445" s="1250"/>
      <c r="H1445" s="1250"/>
      <c r="I1445" s="1250"/>
      <c r="J1445" s="1250"/>
      <c r="K1445" s="1251" t="s">
        <v>3</v>
      </c>
      <c r="L1445" s="1252" t="s">
        <v>1473</v>
      </c>
      <c r="M1445" s="1250"/>
      <c r="N1445" s="1250"/>
      <c r="O1445" s="1250"/>
      <c r="P1445" s="1250"/>
      <c r="Q1445" s="1253"/>
      <c r="R1445" s="1254">
        <f ca="1">SUM(R1440:R1444)</f>
        <v>2.0699999999999998</v>
      </c>
      <c r="S1445" s="1255"/>
      <c r="T1445" s="1254">
        <f ca="1">SUM(T1440:T1444)</f>
        <v>0.19</v>
      </c>
      <c r="AG1445" s="1256">
        <f ca="1">ROUND($R1445*$S$2,2)</f>
        <v>2.5299999999999998</v>
      </c>
    </row>
    <row r="1446" spans="1:41" s="504" customFormat="1" ht="12" customHeight="1">
      <c r="A1446" s="1257"/>
      <c r="B1446" s="1306"/>
      <c r="C1446" s="1307"/>
      <c r="D1446" s="1307" t="str">
        <f>$F$3</f>
        <v>Controls Section (DALI)</v>
      </c>
      <c r="E1446" s="1307">
        <f>ROUND(($R1451*$S$3 + ($T1451*$T$3)), 2)</f>
        <v>964.47</v>
      </c>
      <c r="F1446" s="1308">
        <f ca="1">$F1437-SUMIF($L1439:$P1443,"SUBI",$F1439:$F1443)</f>
        <v>964.46999999999991</v>
      </c>
      <c r="G1446" s="503"/>
      <c r="H1446" s="503"/>
      <c r="I1446" s="503"/>
      <c r="J1446" s="503"/>
      <c r="K1446" s="1242" t="s">
        <v>5</v>
      </c>
      <c r="L1446" s="1243" t="s">
        <v>1473</v>
      </c>
      <c r="M1446" s="503"/>
      <c r="N1446" s="503"/>
      <c r="O1446" s="503"/>
      <c r="P1446" s="503"/>
      <c r="Q1446" s="503"/>
      <c r="R1446" s="1258"/>
      <c r="S1446" s="503"/>
      <c r="T1446" s="1258"/>
    </row>
    <row r="1447" spans="1:41" s="1271" customFormat="1" ht="14.4" customHeight="1">
      <c r="A1447" s="1259"/>
      <c r="B1447" s="1244" t="s">
        <v>1475</v>
      </c>
      <c r="C1447" s="1260"/>
      <c r="D1447" s="1261"/>
      <c r="E1447" s="1261"/>
      <c r="F1447" s="1261"/>
      <c r="G1447" s="1262"/>
      <c r="H1447" s="1263"/>
      <c r="I1447" s="1263"/>
      <c r="J1447" s="1264"/>
      <c r="K1447" s="1265"/>
      <c r="L1447" s="1260"/>
      <c r="M1447" s="1266"/>
      <c r="N1447" s="1267"/>
      <c r="O1447" s="1268"/>
      <c r="P1447" s="1269"/>
      <c r="Q1447" s="1270"/>
      <c r="R1447" s="1247">
        <f>$A1447*Q1447</f>
        <v>0</v>
      </c>
      <c r="S1447" s="513"/>
      <c r="T1447" s="884">
        <f>$A1447*S1447*$T$1</f>
        <v>0</v>
      </c>
    </row>
    <row r="1448" spans="1:41" s="1039" customFormat="1" ht="13.2">
      <c r="A1448" s="112">
        <v>1</v>
      </c>
      <c r="B1448" s="1039" t="s">
        <v>949</v>
      </c>
      <c r="D1448" s="1039" t="s">
        <v>1549</v>
      </c>
      <c r="G1448" s="1374" t="s">
        <v>1991</v>
      </c>
      <c r="H1448" s="1375">
        <v>512</v>
      </c>
      <c r="I1448" s="1039" t="s">
        <v>1519</v>
      </c>
      <c r="J1448" s="1039" t="s">
        <v>1520</v>
      </c>
      <c r="O1448" s="1042">
        <v>3</v>
      </c>
      <c r="P1448" s="1043">
        <v>38421</v>
      </c>
      <c r="Q1448" s="1044">
        <v>414.96</v>
      </c>
      <c r="R1448" s="1045">
        <f>$A1448*Q1448</f>
        <v>414.96</v>
      </c>
      <c r="S1448" s="1044">
        <v>4</v>
      </c>
      <c r="T1448" s="1046">
        <f>$A1448*S1448*$T$1</f>
        <v>4.2</v>
      </c>
    </row>
    <row r="1449" spans="1:41" s="1039" customFormat="1" ht="13.2">
      <c r="A1449" s="112">
        <v>1</v>
      </c>
      <c r="B1449" s="1039" t="s">
        <v>949</v>
      </c>
      <c r="D1449" s="1039" t="s">
        <v>1524</v>
      </c>
      <c r="G1449" s="1374" t="s">
        <v>1991</v>
      </c>
      <c r="H1449" s="1375">
        <v>512</v>
      </c>
      <c r="I1449" s="1039" t="s">
        <v>1519</v>
      </c>
      <c r="J1449" s="1039" t="s">
        <v>1520</v>
      </c>
      <c r="O1449" s="1042">
        <v>3</v>
      </c>
      <c r="P1449" s="1043">
        <v>38421</v>
      </c>
      <c r="Q1449" s="1044">
        <v>77.319999999999993</v>
      </c>
      <c r="R1449" s="1045">
        <f>$A1449*Q1449</f>
        <v>77.319999999999993</v>
      </c>
      <c r="S1449" s="1044"/>
      <c r="T1449" s="1046">
        <f>$A1449*S1449*$T$1</f>
        <v>0</v>
      </c>
    </row>
    <row r="1450" spans="1:41" s="504" customFormat="1" ht="13.2">
      <c r="A1450" s="930"/>
      <c r="B1450" s="513"/>
      <c r="C1450" s="513"/>
      <c r="D1450" s="3"/>
      <c r="E1450" s="513"/>
      <c r="F1450" s="513"/>
      <c r="G1450" s="513"/>
      <c r="H1450" s="513"/>
      <c r="I1450" s="513"/>
      <c r="J1450" s="513"/>
      <c r="K1450" s="513"/>
      <c r="L1450" s="1246"/>
      <c r="M1450" s="513"/>
      <c r="N1450" s="513"/>
      <c r="O1450" s="513"/>
      <c r="P1450" s="513"/>
      <c r="Q1450" s="513"/>
      <c r="R1450" s="1247">
        <f>$A1450*Q1450</f>
        <v>0</v>
      </c>
      <c r="S1450" s="513"/>
      <c r="T1450" s="884">
        <f>$A1450*S1450*$T$1</f>
        <v>0</v>
      </c>
    </row>
    <row r="1451" spans="1:41" s="504" customFormat="1" ht="12" customHeight="1">
      <c r="A1451" s="1272" t="s">
        <v>142</v>
      </c>
      <c r="B1451" s="1273">
        <f>(R1450+T1450)</f>
        <v>0</v>
      </c>
      <c r="C1451" s="1274"/>
      <c r="D1451" s="1274"/>
      <c r="E1451" s="1274"/>
      <c r="F1451" s="1274"/>
      <c r="G1451" s="1253"/>
      <c r="H1451" s="1253"/>
      <c r="I1451" s="1253"/>
      <c r="J1451" s="1253"/>
      <c r="K1451" s="1275" t="s">
        <v>5</v>
      </c>
      <c r="L1451" s="1276" t="s">
        <v>1473</v>
      </c>
      <c r="M1451" s="1253"/>
      <c r="N1451" s="1253"/>
      <c r="O1451" s="1253"/>
      <c r="P1451" s="1253"/>
      <c r="Q1451" s="1253"/>
      <c r="R1451" s="1254">
        <f>SUM(R1446:R1450)</f>
        <v>492.28</v>
      </c>
      <c r="S1451" s="1255"/>
      <c r="T1451" s="1254">
        <f>SUM(T1446:T1450)</f>
        <v>4.2</v>
      </c>
      <c r="AG1451" s="1309">
        <f>ROUND($R1451*$S$3,2)</f>
        <v>600.58000000000004</v>
      </c>
    </row>
    <row r="1452" spans="1:41" s="504" customFormat="1" ht="12.75" customHeight="1">
      <c r="A1452" s="1277"/>
      <c r="B1452" s="1278"/>
      <c r="E1452" s="882"/>
      <c r="F1452" s="1279"/>
      <c r="G1452" s="882"/>
      <c r="H1452" s="882"/>
      <c r="I1452" s="503"/>
      <c r="J1452" s="882"/>
      <c r="K1452" s="882"/>
      <c r="L1452" s="1280"/>
      <c r="M1452" s="933"/>
      <c r="N1452" s="933"/>
      <c r="O1452" s="933"/>
      <c r="P1452" s="933"/>
      <c r="Q1452" s="900"/>
      <c r="R1452" s="1258"/>
      <c r="S1452" s="882"/>
      <c r="T1452" s="1258"/>
    </row>
    <row r="1453" spans="1:41" s="504" customFormat="1" ht="13.5" customHeight="1" thickBot="1">
      <c r="A1453" s="1281"/>
      <c r="B1453" s="1282"/>
      <c r="C1453" s="514"/>
      <c r="D1453" s="514"/>
      <c r="E1453" s="887"/>
      <c r="F1453" s="888"/>
      <c r="G1453" s="887" t="s">
        <v>143</v>
      </c>
      <c r="H1453" s="887"/>
      <c r="I1453" s="889"/>
      <c r="J1453" s="887"/>
      <c r="K1453" s="887"/>
      <c r="L1453" s="1283" t="s">
        <v>140</v>
      </c>
      <c r="M1453" s="890"/>
      <c r="N1453" s="890"/>
      <c r="O1453" s="890"/>
      <c r="P1453" s="890"/>
      <c r="Q1453" s="891"/>
      <c r="R1453" s="1284">
        <f ca="1">SUMIF($L1438:$L1452,"SUBI",R1438:R1452)</f>
        <v>494.34999999999997</v>
      </c>
      <c r="S1453" s="887"/>
      <c r="T1453" s="1284">
        <f ca="1">SUMIF($L1438:$L1452,"SUBI",T1438:T1452)</f>
        <v>4.3900000000000006</v>
      </c>
      <c r="U1453" s="514"/>
      <c r="V1453" s="514"/>
      <c r="W1453" s="514"/>
      <c r="X1453" s="514"/>
      <c r="Y1453" s="514"/>
      <c r="Z1453" s="514"/>
      <c r="AA1453" s="514"/>
      <c r="AB1453" s="514"/>
      <c r="AC1453" s="514"/>
      <c r="AD1453" s="514"/>
      <c r="AE1453" s="514"/>
      <c r="AF1453" s="514"/>
      <c r="AG1453" s="514"/>
      <c r="AH1453" s="514"/>
      <c r="AI1453" s="514"/>
      <c r="AJ1453" s="514"/>
      <c r="AK1453" s="514"/>
      <c r="AL1453" s="514"/>
      <c r="AM1453" s="514"/>
      <c r="AN1453" s="514"/>
      <c r="AO1453" s="514"/>
    </row>
    <row r="1454" spans="1:41" s="504" customFormat="1" thickTop="1">
      <c r="A1454" s="50"/>
      <c r="B1454" s="50"/>
      <c r="C1454" s="3"/>
      <c r="D1454" s="3"/>
      <c r="E1454" s="50"/>
      <c r="F1454" s="50"/>
      <c r="G1454" s="50"/>
      <c r="H1454" s="50"/>
      <c r="I1454" s="50"/>
      <c r="J1454" s="50"/>
      <c r="K1454" s="50" t="s">
        <v>133</v>
      </c>
      <c r="L1454" s="50"/>
      <c r="M1454" s="50"/>
      <c r="N1454" s="50"/>
      <c r="O1454" s="51"/>
      <c r="P1454" s="50"/>
      <c r="Q1454" s="50"/>
      <c r="R1454" s="50"/>
      <c r="S1454" s="50"/>
      <c r="T1454" s="50"/>
    </row>
    <row r="1455" spans="1:41" s="504" customFormat="1" ht="12">
      <c r="A1455" s="50"/>
      <c r="B1455" s="50"/>
      <c r="C1455" s="50" t="s">
        <v>134</v>
      </c>
      <c r="D1455" s="37" t="s">
        <v>861</v>
      </c>
      <c r="E1455" s="50"/>
      <c r="F1455" s="50"/>
      <c r="G1455" s="50"/>
      <c r="H1455" s="50"/>
      <c r="I1455" s="50"/>
      <c r="J1455" s="50"/>
      <c r="K1455" s="50"/>
      <c r="L1455" s="50"/>
      <c r="M1455" s="50"/>
      <c r="N1455" s="50"/>
      <c r="O1455" s="51"/>
      <c r="P1455" s="50"/>
      <c r="Q1455" s="50"/>
      <c r="R1455" s="50"/>
      <c r="S1455" s="50"/>
      <c r="T1455" s="50"/>
    </row>
    <row r="1456" spans="1:41" s="504" customFormat="1" ht="12">
      <c r="A1456" s="50"/>
      <c r="B1456" s="50"/>
      <c r="C1456" s="50"/>
      <c r="D1456" s="37" t="s">
        <v>345</v>
      </c>
      <c r="E1456" s="50"/>
      <c r="F1456" s="50"/>
      <c r="G1456" s="50"/>
      <c r="H1456" s="50"/>
      <c r="I1456" s="50"/>
      <c r="J1456" s="50"/>
      <c r="K1456" s="50"/>
      <c r="L1456" s="50"/>
      <c r="M1456" s="50"/>
      <c r="N1456" s="50"/>
      <c r="O1456" s="51"/>
      <c r="P1456" s="50"/>
      <c r="Q1456" s="50"/>
      <c r="R1456" s="50"/>
      <c r="S1456" s="38"/>
      <c r="T1456" s="38"/>
    </row>
    <row r="1457" spans="1:41" s="3" customFormat="1" thickBot="1">
      <c r="A1457" s="514"/>
      <c r="O1457" s="103"/>
    </row>
    <row r="1458" spans="1:41" s="504" customFormat="1" ht="12" thickTop="1">
      <c r="A1458" s="50"/>
      <c r="B1458" s="40"/>
      <c r="C1458" s="50"/>
      <c r="E1458" s="41" t="s">
        <v>136</v>
      </c>
      <c r="F1458" s="41" t="s">
        <v>137</v>
      </c>
      <c r="G1458" s="50"/>
      <c r="H1458" s="50"/>
      <c r="I1458" s="50"/>
      <c r="J1458" s="50"/>
      <c r="K1458" s="50" t="s">
        <v>138</v>
      </c>
      <c r="L1458" s="50"/>
      <c r="M1458" s="50"/>
      <c r="N1458" s="50"/>
      <c r="O1458" s="51"/>
      <c r="P1458" s="50"/>
      <c r="Q1458" s="50"/>
      <c r="R1458" s="50"/>
      <c r="S1458" s="50"/>
      <c r="T1458" s="40"/>
      <c r="AG1458" s="867" t="s">
        <v>241</v>
      </c>
      <c r="AH1458" s="867" t="s">
        <v>242</v>
      </c>
      <c r="AI1458" s="867" t="s">
        <v>243</v>
      </c>
      <c r="AJ1458" s="867" t="s">
        <v>244</v>
      </c>
      <c r="AK1458" s="867" t="s">
        <v>245</v>
      </c>
      <c r="AM1458" s="868" t="s">
        <v>254</v>
      </c>
      <c r="AN1458" s="869" t="s">
        <v>255</v>
      </c>
      <c r="AO1458" s="505" t="s">
        <v>251</v>
      </c>
    </row>
    <row r="1459" spans="1:41" s="504" customFormat="1" ht="12" customHeight="1">
      <c r="A1459" s="870">
        <v>9</v>
      </c>
      <c r="B1459" s="871" t="s">
        <v>335</v>
      </c>
      <c r="C1459" s="872"/>
      <c r="D1459" s="873" t="s">
        <v>804</v>
      </c>
      <c r="E1459" s="874">
        <f>IF(AND($A1459=0,$A$1="DIF"),0, ROUND(ROUND(($R1463*$S$2+($T1463*$T$2))/A1459,2)*$C$2,2))</f>
        <v>0</v>
      </c>
      <c r="F1459" s="875">
        <f>ROUND($A1459*$E1459,2)</f>
        <v>0</v>
      </c>
      <c r="G1459" s="876" t="s">
        <v>139</v>
      </c>
      <c r="H1459" s="877"/>
      <c r="I1459" s="878"/>
      <c r="J1459" s="877"/>
      <c r="K1459" s="877" t="s">
        <v>3</v>
      </c>
      <c r="L1459" s="879" t="s">
        <v>140</v>
      </c>
      <c r="M1459" s="879"/>
      <c r="N1459" s="879"/>
      <c r="O1459" s="879"/>
      <c r="P1459" s="879"/>
      <c r="Q1459" s="50" t="s">
        <v>1333</v>
      </c>
      <c r="T1459" s="880" t="str">
        <f>IF(AND($R1463=0,$T1463=0),"0.00","mu :" &amp; ROUND($F1459/$C$2/($R1463+$T1463*$D$9),2))</f>
        <v>0.00</v>
      </c>
      <c r="W1459" s="507"/>
      <c r="AG1459" s="465">
        <f>IF($E1459=0,0,ROUND($R1463*$S$2*$C$2/$A1459,2))</f>
        <v>0</v>
      </c>
      <c r="AH1459" s="465">
        <f>$AG1459*$A1459</f>
        <v>0</v>
      </c>
      <c r="AI1459" s="508">
        <f>$E1459-$AG1459</f>
        <v>0</v>
      </c>
      <c r="AJ1459" s="508">
        <f>$A1459*$AI1459</f>
        <v>0</v>
      </c>
      <c r="AK1459" s="509">
        <f>ROUND(($AG1459+$AI1459)*$A1459,2)</f>
        <v>0</v>
      </c>
      <c r="AM1459" s="510">
        <f>ROUND(R1463,2)</f>
        <v>0</v>
      </c>
      <c r="AN1459" s="511">
        <f>ROUND(T1463,2)</f>
        <v>0</v>
      </c>
      <c r="AO1459" s="512">
        <f>ROUND(AM1459+AN1459,2)*A1459</f>
        <v>0</v>
      </c>
    </row>
    <row r="1460" spans="1:41" s="504" customFormat="1" ht="13.2">
      <c r="A1460" s="872"/>
      <c r="B1460"/>
      <c r="C1460" s="872"/>
      <c r="D1460" s="873" t="s">
        <v>381</v>
      </c>
      <c r="F1460" s="877"/>
      <c r="G1460" s="3"/>
      <c r="H1460" s="877"/>
      <c r="I1460" s="878"/>
      <c r="J1460" s="877"/>
      <c r="K1460" s="877" t="s">
        <v>141</v>
      </c>
      <c r="L1460" s="877"/>
      <c r="M1460" s="877"/>
      <c r="N1460" s="877"/>
      <c r="O1460" s="877"/>
      <c r="P1460" s="877"/>
      <c r="Q1460" s="50"/>
      <c r="R1460" s="513"/>
      <c r="S1460" s="881"/>
      <c r="T1460" s="877"/>
    </row>
    <row r="1461" spans="1:41" s="1039" customFormat="1" ht="11.4">
      <c r="A1461" s="50">
        <v>9</v>
      </c>
      <c r="B1461" s="1039" t="s">
        <v>949</v>
      </c>
      <c r="D1461" s="1039" t="s">
        <v>1284</v>
      </c>
      <c r="G1461" s="1040" t="s">
        <v>1182</v>
      </c>
      <c r="H1461" s="1041">
        <v>705</v>
      </c>
      <c r="I1461" s="1039" t="s">
        <v>1183</v>
      </c>
      <c r="J1461" s="1039" t="s">
        <v>1184</v>
      </c>
      <c r="O1461" s="1042">
        <v>3</v>
      </c>
      <c r="P1461" s="1043">
        <v>34669</v>
      </c>
      <c r="Q1461" s="1044">
        <v>0</v>
      </c>
      <c r="R1461" s="1045">
        <f>$A1461*Q1461</f>
        <v>0</v>
      </c>
      <c r="S1461" s="1044">
        <v>0</v>
      </c>
      <c r="T1461" s="1046">
        <f>$A1461*S1461*$T$1</f>
        <v>0</v>
      </c>
    </row>
    <row r="1462" spans="1:41" s="504" customFormat="1" ht="12">
      <c r="A1462" s="882"/>
      <c r="B1462" s="882"/>
      <c r="C1462" s="882"/>
      <c r="D1462" s="882"/>
      <c r="E1462" s="882"/>
      <c r="F1462" s="877"/>
      <c r="G1462" s="882"/>
      <c r="H1462" s="882"/>
      <c r="I1462" s="503"/>
      <c r="J1462" s="882"/>
      <c r="K1462" s="882"/>
      <c r="L1462" s="882"/>
      <c r="M1462" s="882"/>
      <c r="N1462" s="882"/>
      <c r="O1462" s="882"/>
      <c r="P1462" s="882"/>
      <c r="Q1462" s="503"/>
      <c r="R1462" s="883">
        <f>$A1462*Q1462</f>
        <v>0</v>
      </c>
      <c r="S1462" s="503"/>
      <c r="T1462" s="884">
        <f>$A1462*S1462*$T$1</f>
        <v>0</v>
      </c>
    </row>
    <row r="1463" spans="1:41" s="504" customFormat="1" ht="12.6" thickBot="1">
      <c r="A1463" s="885" t="s">
        <v>142</v>
      </c>
      <c r="B1463" s="886">
        <f>(R1462+T1462)</f>
        <v>0</v>
      </c>
      <c r="C1463" s="887"/>
      <c r="D1463" s="887"/>
      <c r="E1463" s="887"/>
      <c r="F1463" s="888"/>
      <c r="G1463" s="887" t="s">
        <v>143</v>
      </c>
      <c r="H1463" s="887"/>
      <c r="I1463" s="889"/>
      <c r="J1463" s="887"/>
      <c r="K1463" s="887" t="s">
        <v>3</v>
      </c>
      <c r="L1463" s="890" t="s">
        <v>140</v>
      </c>
      <c r="M1463" s="890"/>
      <c r="N1463" s="890"/>
      <c r="O1463" s="890"/>
      <c r="P1463" s="890"/>
      <c r="Q1463" s="891"/>
      <c r="R1463" s="892">
        <f>SUM(R1460:R1462)</f>
        <v>0</v>
      </c>
      <c r="S1463" s="887"/>
      <c r="T1463" s="892">
        <f>SUM(T1460:T1462)</f>
        <v>0</v>
      </c>
      <c r="U1463" s="514"/>
      <c r="V1463" s="514"/>
      <c r="W1463" s="514"/>
      <c r="X1463" s="514"/>
      <c r="Y1463" s="514"/>
      <c r="Z1463" s="514"/>
      <c r="AA1463" s="514"/>
      <c r="AB1463" s="514"/>
      <c r="AC1463" s="514"/>
      <c r="AD1463" s="514"/>
      <c r="AE1463" s="514"/>
      <c r="AF1463" s="514"/>
      <c r="AG1463" s="514"/>
      <c r="AH1463" s="514"/>
      <c r="AI1463" s="514"/>
      <c r="AJ1463" s="514"/>
      <c r="AK1463" s="514"/>
      <c r="AL1463" s="514"/>
      <c r="AM1463" s="514"/>
      <c r="AN1463" s="514"/>
      <c r="AO1463" s="514"/>
    </row>
    <row r="1464" spans="1:41" s="504" customFormat="1" ht="12" thickTop="1">
      <c r="A1464" s="50"/>
      <c r="B1464" s="40"/>
      <c r="C1464" s="50"/>
      <c r="E1464" s="41" t="s">
        <v>136</v>
      </c>
      <c r="F1464" s="41" t="s">
        <v>137</v>
      </c>
      <c r="G1464" s="50"/>
      <c r="H1464" s="50"/>
      <c r="I1464" s="50"/>
      <c r="J1464" s="50"/>
      <c r="K1464" s="50" t="s">
        <v>138</v>
      </c>
      <c r="L1464" s="50"/>
      <c r="M1464" s="50"/>
      <c r="N1464" s="50"/>
      <c r="O1464" s="51"/>
      <c r="P1464" s="50"/>
      <c r="Q1464" s="50"/>
      <c r="R1464" s="50"/>
      <c r="S1464" s="50"/>
      <c r="T1464" s="40"/>
      <c r="AG1464" s="867" t="s">
        <v>241</v>
      </c>
      <c r="AH1464" s="867" t="s">
        <v>242</v>
      </c>
      <c r="AI1464" s="867" t="s">
        <v>243</v>
      </c>
      <c r="AJ1464" s="867" t="s">
        <v>244</v>
      </c>
      <c r="AK1464" s="867" t="s">
        <v>245</v>
      </c>
      <c r="AM1464" s="868" t="s">
        <v>254</v>
      </c>
      <c r="AN1464" s="869" t="s">
        <v>255</v>
      </c>
      <c r="AO1464" s="505" t="s">
        <v>251</v>
      </c>
    </row>
    <row r="1465" spans="1:41" s="504" customFormat="1" ht="12" customHeight="1">
      <c r="A1465" s="870">
        <v>3</v>
      </c>
      <c r="B1465" s="871" t="s">
        <v>335</v>
      </c>
      <c r="C1465" s="872"/>
      <c r="D1465" s="873" t="s">
        <v>806</v>
      </c>
      <c r="E1465" s="874">
        <f ca="1">IF(AND($A1465=0,$A$1="DIF"),0, ROUND(ROUND(($R1470*$S$2+($T1470*$T$2))/A1465,2)*$C$2,2))</f>
        <v>28.98</v>
      </c>
      <c r="F1465" s="875">
        <f ca="1">ROUND($A1465*$E1465,2)</f>
        <v>86.94</v>
      </c>
      <c r="G1465" s="876" t="s">
        <v>139</v>
      </c>
      <c r="H1465" s="877"/>
      <c r="I1465" s="878"/>
      <c r="J1465" s="877"/>
      <c r="K1465" s="877" t="s">
        <v>3</v>
      </c>
      <c r="L1465" s="879" t="s">
        <v>140</v>
      </c>
      <c r="M1465" s="879"/>
      <c r="N1465" s="879"/>
      <c r="O1465" s="879"/>
      <c r="P1465" s="879"/>
      <c r="Q1465" s="50"/>
      <c r="T1465" s="880" t="str">
        <f ca="1">IF(AND($R1470=0,$T1470=0),"0.00","mu :" &amp; ROUND($F1465/$C$2/($R1470+$T1470*$D$9),2))</f>
        <v>mu :1.22</v>
      </c>
      <c r="W1465" s="507"/>
      <c r="AG1465" s="465">
        <f ca="1">IF($E1465=0,0,ROUND($R1470*$S$2*$C$2/$A1465,2))</f>
        <v>28.98</v>
      </c>
      <c r="AH1465" s="465">
        <f ca="1">$AG1465*$A1465</f>
        <v>86.94</v>
      </c>
      <c r="AI1465" s="508">
        <f ca="1">$E1465-$AG1465</f>
        <v>0</v>
      </c>
      <c r="AJ1465" s="508">
        <f ca="1">$A1465*$AI1465</f>
        <v>0</v>
      </c>
      <c r="AK1465" s="509">
        <f ca="1">ROUND(($AG1465+$AI1465)*$A1465,2)</f>
        <v>86.94</v>
      </c>
      <c r="AM1465" s="510">
        <f ca="1">ROUND(R1470,2)</f>
        <v>71.25</v>
      </c>
      <c r="AN1465" s="511">
        <f ca="1">ROUND(T1470,2)</f>
        <v>0</v>
      </c>
      <c r="AO1465" s="512">
        <f ca="1">ROUND(AM1465+AN1465,2)*A1465</f>
        <v>213.75</v>
      </c>
    </row>
    <row r="1466" spans="1:41" s="504" customFormat="1" ht="13.2">
      <c r="A1466" s="872"/>
      <c r="B1466"/>
      <c r="C1466" s="872"/>
      <c r="D1466" s="873" t="s">
        <v>348</v>
      </c>
      <c r="F1466" s="877"/>
      <c r="G1466" s="3"/>
      <c r="H1466" s="877"/>
      <c r="I1466" s="878"/>
      <c r="J1466" s="877"/>
      <c r="K1466" s="877" t="s">
        <v>141</v>
      </c>
      <c r="L1466" s="877"/>
      <c r="M1466" s="877"/>
      <c r="N1466" s="877"/>
      <c r="O1466" s="877"/>
      <c r="P1466" s="877"/>
      <c r="Q1466" s="50"/>
      <c r="R1466" s="513"/>
      <c r="S1466" s="881"/>
      <c r="T1466" s="877"/>
    </row>
    <row r="1467" spans="1:41" s="997" customFormat="1" ht="13.2">
      <c r="A1467"/>
      <c r="B1467" s="1065"/>
      <c r="C1467" s="1065" t="s">
        <v>1006</v>
      </c>
      <c r="D1467" s="1065" t="str">
        <f ca="1">CELL("Address",Elec_Rates!D$222)</f>
        <v>[EL25_0662B_Brittania_Hotel_Elec_Revised_Estim_B.xlsx]Elec_Rates!$D$222</v>
      </c>
      <c r="E1467" s="1066"/>
      <c r="F1467" s="1066"/>
      <c r="G1467" s="1067" t="s">
        <v>1007</v>
      </c>
      <c r="H1467" s="1067"/>
      <c r="I1467" s="1067"/>
      <c r="J1467" s="1067"/>
      <c r="K1467" s="1068"/>
      <c r="L1467" s="1066"/>
      <c r="M1467" s="1066"/>
      <c r="N1467" s="1066"/>
      <c r="O1467" s="1069"/>
      <c r="P1467" s="1066"/>
      <c r="Q1467" s="1070"/>
      <c r="R1467" s="1071"/>
      <c r="S1467" s="1070"/>
      <c r="T1467" s="1072"/>
      <c r="U1467" s="1073"/>
    </row>
    <row r="1468" spans="1:41" s="997" customFormat="1" ht="11.4">
      <c r="A1468" s="1074">
        <v>3</v>
      </c>
      <c r="B1468" s="1075">
        <v>1</v>
      </c>
      <c r="C1468" s="1075">
        <f>$A1468*$B1468</f>
        <v>3</v>
      </c>
      <c r="D1468" s="1076" t="str">
        <f>Elec_Rates!$D$222</f>
        <v>022# Supply Only - Type 'E1' - Single Sided, Wall Mounted, Directional Exit Signage</v>
      </c>
      <c r="E1468" s="1076"/>
      <c r="F1468" s="1076"/>
      <c r="G1468" s="1077" t="s">
        <v>1008</v>
      </c>
      <c r="H1468" s="1077"/>
      <c r="I1468" s="1077"/>
      <c r="J1468" s="1077"/>
      <c r="K1468" s="1078"/>
      <c r="L1468" s="1073"/>
      <c r="M1468" s="1073"/>
      <c r="N1468" s="1073"/>
      <c r="O1468" s="1079"/>
      <c r="P1468" s="1076"/>
      <c r="Q1468" s="1080">
        <f ca="1">$B1468*Elec_Rates!$R$222</f>
        <v>23.75</v>
      </c>
      <c r="R1468" s="1071">
        <f ca="1">$A1468*Q1468</f>
        <v>71.25</v>
      </c>
      <c r="S1468" s="1080">
        <f ca="1">$B1468*Elec_Rates!$T$222</f>
        <v>0</v>
      </c>
      <c r="T1468" s="1072">
        <f ca="1">$A1468*S1468</f>
        <v>0</v>
      </c>
      <c r="U1468" s="1081"/>
    </row>
    <row r="1469" spans="1:41" s="504" customFormat="1" ht="12">
      <c r="A1469" s="882"/>
      <c r="B1469" s="882"/>
      <c r="C1469" s="882"/>
      <c r="D1469" s="882"/>
      <c r="E1469" s="882"/>
      <c r="F1469" s="877"/>
      <c r="G1469" s="882"/>
      <c r="H1469" s="882"/>
      <c r="I1469" s="503"/>
      <c r="J1469" s="882"/>
      <c r="K1469" s="882"/>
      <c r="L1469" s="882"/>
      <c r="M1469" s="882"/>
      <c r="N1469" s="882"/>
      <c r="O1469" s="882"/>
      <c r="P1469" s="882"/>
      <c r="Q1469" s="503"/>
      <c r="R1469" s="883">
        <f>$A1469*Q1469</f>
        <v>0</v>
      </c>
      <c r="S1469" s="503"/>
      <c r="T1469" s="884">
        <f>$A1469*S1469*$T$1</f>
        <v>0</v>
      </c>
    </row>
    <row r="1470" spans="1:41" s="504" customFormat="1" ht="12.6" thickBot="1">
      <c r="A1470" s="885" t="s">
        <v>142</v>
      </c>
      <c r="B1470" s="886">
        <f>(R1469+T1469)</f>
        <v>0</v>
      </c>
      <c r="C1470" s="887"/>
      <c r="D1470" s="887"/>
      <c r="E1470" s="887"/>
      <c r="F1470" s="888"/>
      <c r="G1470" s="887" t="s">
        <v>143</v>
      </c>
      <c r="H1470" s="887"/>
      <c r="I1470" s="889"/>
      <c r="J1470" s="887"/>
      <c r="K1470" s="887" t="s">
        <v>3</v>
      </c>
      <c r="L1470" s="890" t="s">
        <v>140</v>
      </c>
      <c r="M1470" s="890"/>
      <c r="N1470" s="890"/>
      <c r="O1470" s="890"/>
      <c r="P1470" s="890"/>
      <c r="Q1470" s="891"/>
      <c r="R1470" s="892">
        <f ca="1">SUM(R1466:R1469)</f>
        <v>71.25</v>
      </c>
      <c r="S1470" s="887"/>
      <c r="T1470" s="892">
        <f ca="1">SUM(T1466:T1469)</f>
        <v>0</v>
      </c>
      <c r="U1470" s="514"/>
      <c r="V1470" s="514"/>
      <c r="W1470" s="514"/>
      <c r="X1470" s="514"/>
      <c r="Y1470" s="514"/>
      <c r="Z1470" s="514"/>
      <c r="AA1470" s="514"/>
      <c r="AB1470" s="514"/>
      <c r="AC1470" s="514"/>
      <c r="AD1470" s="514"/>
      <c r="AE1470" s="514"/>
      <c r="AF1470" s="514"/>
      <c r="AG1470" s="514"/>
      <c r="AH1470" s="514"/>
      <c r="AI1470" s="514"/>
      <c r="AJ1470" s="514"/>
      <c r="AK1470" s="514"/>
      <c r="AL1470" s="514"/>
      <c r="AM1470" s="514"/>
      <c r="AN1470" s="514"/>
      <c r="AO1470" s="514"/>
    </row>
    <row r="1471" spans="1:41" s="504" customFormat="1" thickTop="1">
      <c r="A1471" s="50"/>
      <c r="B1471" s="50"/>
      <c r="C1471" s="3"/>
      <c r="D1471" s="3"/>
      <c r="E1471" s="50"/>
      <c r="F1471" s="50"/>
      <c r="G1471" s="50"/>
      <c r="H1471" s="50"/>
      <c r="I1471" s="50"/>
      <c r="J1471" s="50"/>
      <c r="K1471" s="50" t="s">
        <v>133</v>
      </c>
      <c r="L1471" s="50"/>
      <c r="M1471" s="50"/>
      <c r="N1471" s="50"/>
      <c r="O1471" s="51"/>
      <c r="P1471" s="50"/>
      <c r="Q1471" s="50"/>
      <c r="R1471" s="50"/>
      <c r="S1471" s="50"/>
      <c r="T1471" s="50"/>
    </row>
    <row r="1472" spans="1:41" s="504" customFormat="1" ht="12">
      <c r="A1472" s="50"/>
      <c r="B1472" s="50"/>
      <c r="C1472" s="50" t="s">
        <v>134</v>
      </c>
      <c r="D1472" s="37" t="s">
        <v>862</v>
      </c>
      <c r="E1472" s="50"/>
      <c r="F1472" s="50"/>
      <c r="G1472" s="50"/>
      <c r="H1472" s="50"/>
      <c r="I1472" s="50"/>
      <c r="J1472" s="50"/>
      <c r="K1472" s="50"/>
      <c r="L1472" s="50"/>
      <c r="M1472" s="50"/>
      <c r="N1472" s="50"/>
      <c r="O1472" s="51"/>
      <c r="P1472" s="50"/>
      <c r="Q1472" s="50"/>
      <c r="R1472" s="50"/>
      <c r="S1472" s="50"/>
      <c r="T1472" s="50"/>
    </row>
    <row r="1473" spans="1:41" s="504" customFormat="1" ht="13.2">
      <c r="A1473" s="872"/>
      <c r="B1473"/>
      <c r="C1473" s="872"/>
      <c r="D1473" s="916" t="s">
        <v>351</v>
      </c>
      <c r="E1473" s="917"/>
      <c r="F1473" s="918"/>
      <c r="G1473" s="919"/>
      <c r="H1473" s="918"/>
      <c r="I1473" s="920"/>
      <c r="J1473" s="918"/>
      <c r="K1473" s="918"/>
      <c r="L1473" s="918"/>
      <c r="M1473" s="918"/>
      <c r="N1473" s="918"/>
      <c r="O1473" s="918"/>
      <c r="P1473" s="918"/>
      <c r="Q1473" s="921"/>
      <c r="R1473" s="513"/>
      <c r="S1473" s="881"/>
      <c r="T1473" s="877"/>
    </row>
    <row r="1474" spans="1:41" s="3" customFormat="1" thickBot="1">
      <c r="A1474" s="514"/>
      <c r="O1474" s="103"/>
    </row>
    <row r="1475" spans="1:41" s="504" customFormat="1" ht="12" thickTop="1">
      <c r="A1475" s="50"/>
      <c r="B1475" s="40"/>
      <c r="C1475" s="50"/>
      <c r="E1475" s="41" t="s">
        <v>136</v>
      </c>
      <c r="F1475" s="41" t="s">
        <v>137</v>
      </c>
      <c r="G1475" s="50"/>
      <c r="H1475" s="50"/>
      <c r="I1475" s="50"/>
      <c r="J1475" s="50"/>
      <c r="K1475" s="50" t="s">
        <v>138</v>
      </c>
      <c r="L1475" s="50"/>
      <c r="M1475" s="50"/>
      <c r="N1475" s="50"/>
      <c r="O1475" s="51"/>
      <c r="P1475" s="50"/>
      <c r="Q1475" s="50"/>
      <c r="R1475" s="50"/>
      <c r="S1475" s="50"/>
      <c r="T1475" s="40"/>
      <c r="AG1475" s="867" t="s">
        <v>241</v>
      </c>
      <c r="AH1475" s="867" t="s">
        <v>242</v>
      </c>
      <c r="AI1475" s="867" t="s">
        <v>243</v>
      </c>
      <c r="AJ1475" s="867" t="s">
        <v>244</v>
      </c>
      <c r="AK1475" s="867" t="s">
        <v>245</v>
      </c>
      <c r="AM1475" s="868" t="s">
        <v>254</v>
      </c>
      <c r="AN1475" s="869" t="s">
        <v>255</v>
      </c>
      <c r="AO1475" s="505" t="s">
        <v>251</v>
      </c>
    </row>
    <row r="1476" spans="1:41" s="504" customFormat="1" ht="12" customHeight="1">
      <c r="A1476" s="870">
        <v>24</v>
      </c>
      <c r="B1476" s="871" t="s">
        <v>335</v>
      </c>
      <c r="C1476" s="872"/>
      <c r="D1476" s="873" t="s">
        <v>804</v>
      </c>
      <c r="E1476" s="874">
        <f ca="1">IF(AND($A1476=0,$A$1="DIF"),0, ROUND(ROUND(($R1481*$S$2+($T1481*$T$2))/A1476,2)*$C$2,2))</f>
        <v>14.36</v>
      </c>
      <c r="F1476" s="875">
        <f ca="1">ROUND($A1476*$E1476,2)</f>
        <v>344.64</v>
      </c>
      <c r="G1476" s="876" t="s">
        <v>139</v>
      </c>
      <c r="H1476" s="877"/>
      <c r="I1476" s="878"/>
      <c r="J1476" s="877"/>
      <c r="K1476" s="877" t="s">
        <v>3</v>
      </c>
      <c r="L1476" s="879" t="s">
        <v>140</v>
      </c>
      <c r="M1476" s="879"/>
      <c r="N1476" s="879"/>
      <c r="O1476" s="879"/>
      <c r="P1476" s="879"/>
      <c r="Q1476" s="50"/>
      <c r="T1476" s="880" t="str">
        <f ca="1">IF(AND($R1481=0,$T1481=0),"0.00","mu :" &amp; ROUND($F1476/$C$2/($R1481+$T1481*$D$9),2))</f>
        <v>mu :1.22</v>
      </c>
      <c r="W1476" s="507"/>
      <c r="AG1476" s="465">
        <f ca="1">IF($E1476=0,0,ROUND($R1481*$S$2*$C$2/$A1476,2))</f>
        <v>1.34</v>
      </c>
      <c r="AH1476" s="465">
        <f ca="1">$AG1476*$A1476</f>
        <v>32.160000000000004</v>
      </c>
      <c r="AI1476" s="508">
        <f ca="1">$E1476-$AG1476</f>
        <v>13.02</v>
      </c>
      <c r="AJ1476" s="508">
        <f ca="1">$A1476*$AI1476</f>
        <v>312.48</v>
      </c>
      <c r="AK1476" s="509">
        <f ca="1">ROUND(($AG1476+$AI1476)*$A1476,2)</f>
        <v>344.64</v>
      </c>
      <c r="AM1476" s="510">
        <f ca="1">ROUND(R1481,2)</f>
        <v>26.4</v>
      </c>
      <c r="AN1476" s="511">
        <f ca="1">ROUND(T1481,2)</f>
        <v>8.8800000000000008</v>
      </c>
      <c r="AO1476" s="512">
        <f ca="1">ROUND(AM1476+AN1476,2)*A1476</f>
        <v>846.72</v>
      </c>
    </row>
    <row r="1477" spans="1:41" s="504" customFormat="1" ht="13.2">
      <c r="A1477" s="872"/>
      <c r="B1477"/>
      <c r="C1477" s="872"/>
      <c r="D1477" s="873" t="s">
        <v>413</v>
      </c>
      <c r="F1477" s="877"/>
      <c r="G1477" s="3"/>
      <c r="H1477" s="877"/>
      <c r="I1477" s="878"/>
      <c r="J1477" s="877"/>
      <c r="K1477" s="877" t="s">
        <v>141</v>
      </c>
      <c r="L1477" s="877"/>
      <c r="M1477" s="877"/>
      <c r="N1477" s="877"/>
      <c r="O1477" s="877"/>
      <c r="P1477" s="877"/>
      <c r="Q1477" s="50"/>
      <c r="R1477" s="513"/>
      <c r="S1477" s="881"/>
      <c r="T1477" s="877"/>
    </row>
    <row r="1478" spans="1:41" s="997" customFormat="1" ht="13.2">
      <c r="A1478"/>
      <c r="B1478" s="1065"/>
      <c r="C1478" s="1065" t="s">
        <v>1006</v>
      </c>
      <c r="D1478" s="1065" t="str">
        <f ca="1">CELL("Address",Elec_Rates!D$369)</f>
        <v>[EL25_0662B_Brittania_Hotel_Elec_Revised_Estim_B.xlsx]Elec_Rates!$D$369</v>
      </c>
      <c r="E1478" s="1066"/>
      <c r="F1478" s="1066"/>
      <c r="G1478" s="1067" t="s">
        <v>1007</v>
      </c>
      <c r="H1478" s="1067"/>
      <c r="I1478" s="1067"/>
      <c r="J1478" s="1067"/>
      <c r="K1478" s="1068"/>
      <c r="L1478" s="1066"/>
      <c r="M1478" s="1066"/>
      <c r="N1478" s="1066"/>
      <c r="O1478" s="1069"/>
      <c r="P1478" s="1066"/>
      <c r="Q1478" s="1070"/>
      <c r="R1478" s="1071"/>
      <c r="S1478" s="1070"/>
      <c r="T1478" s="1072"/>
      <c r="U1478" s="1073"/>
    </row>
    <row r="1479" spans="1:41" s="997" customFormat="1" ht="11.4">
      <c r="A1479" s="1074">
        <v>24</v>
      </c>
      <c r="B1479" s="1075">
        <v>1</v>
      </c>
      <c r="C1479" s="1075">
        <f>$A1479*$B1479</f>
        <v>24</v>
      </c>
      <c r="D1479" s="1076" t="str">
        <f>Elec_Rates!$D$369</f>
        <v>042# Install and connect Only - Type 'LT-01' - 11W Soffit Recessed Light Fitting</v>
      </c>
      <c r="E1479" s="1076"/>
      <c r="F1479" s="1076"/>
      <c r="G1479" s="1077" t="s">
        <v>1008</v>
      </c>
      <c r="H1479" s="1077"/>
      <c r="I1479" s="1077"/>
      <c r="J1479" s="1077"/>
      <c r="K1479" s="1078"/>
      <c r="L1479" s="1073"/>
      <c r="M1479" s="1073"/>
      <c r="N1479" s="1073"/>
      <c r="O1479" s="1079"/>
      <c r="P1479" s="1076"/>
      <c r="Q1479" s="1080">
        <f ca="1">$B1479*Elec_Rates!$R$369</f>
        <v>1.1000000000000001</v>
      </c>
      <c r="R1479" s="1071">
        <f ca="1">$A1479*Q1479</f>
        <v>26.400000000000002</v>
      </c>
      <c r="S1479" s="1080">
        <f ca="1">$B1479*Elec_Rates!$T$369</f>
        <v>0.37</v>
      </c>
      <c r="T1479" s="1072">
        <f ca="1">$A1479*S1479</f>
        <v>8.879999999999999</v>
      </c>
      <c r="U1479" s="1081"/>
    </row>
    <row r="1480" spans="1:41" s="504" customFormat="1" ht="12">
      <c r="A1480" s="882"/>
      <c r="B1480" s="882"/>
      <c r="C1480" s="882"/>
      <c r="D1480" s="882"/>
      <c r="E1480" s="882"/>
      <c r="F1480" s="877"/>
      <c r="G1480" s="882"/>
      <c r="H1480" s="882"/>
      <c r="I1480" s="503"/>
      <c r="J1480" s="882"/>
      <c r="K1480" s="882"/>
      <c r="L1480" s="882"/>
      <c r="M1480" s="882"/>
      <c r="N1480" s="882"/>
      <c r="O1480" s="882"/>
      <c r="P1480" s="882"/>
      <c r="Q1480" s="503"/>
      <c r="R1480" s="883">
        <f>$A1480*Q1480</f>
        <v>0</v>
      </c>
      <c r="S1480" s="503"/>
      <c r="T1480" s="884">
        <f>$A1480*S1480*$T$1</f>
        <v>0</v>
      </c>
    </row>
    <row r="1481" spans="1:41" s="504" customFormat="1" ht="12.6" thickBot="1">
      <c r="A1481" s="885" t="s">
        <v>142</v>
      </c>
      <c r="B1481" s="886">
        <f>(R1480+T1480)</f>
        <v>0</v>
      </c>
      <c r="C1481" s="887"/>
      <c r="D1481" s="887"/>
      <c r="E1481" s="887"/>
      <c r="F1481" s="888"/>
      <c r="G1481" s="887" t="s">
        <v>143</v>
      </c>
      <c r="H1481" s="887"/>
      <c r="I1481" s="889"/>
      <c r="J1481" s="887"/>
      <c r="K1481" s="887" t="s">
        <v>3</v>
      </c>
      <c r="L1481" s="890" t="s">
        <v>140</v>
      </c>
      <c r="M1481" s="890"/>
      <c r="N1481" s="890"/>
      <c r="O1481" s="890"/>
      <c r="P1481" s="890"/>
      <c r="Q1481" s="891"/>
      <c r="R1481" s="892">
        <f ca="1">SUM(R1477:R1480)</f>
        <v>26.400000000000002</v>
      </c>
      <c r="S1481" s="887"/>
      <c r="T1481" s="892">
        <f ca="1">SUM(T1477:T1480)</f>
        <v>8.879999999999999</v>
      </c>
      <c r="U1481" s="514"/>
      <c r="V1481" s="514"/>
      <c r="W1481" s="514"/>
      <c r="X1481" s="514"/>
      <c r="Y1481" s="514"/>
      <c r="Z1481" s="514"/>
      <c r="AA1481" s="514"/>
      <c r="AB1481" s="514"/>
      <c r="AC1481" s="514"/>
      <c r="AD1481" s="514"/>
      <c r="AE1481" s="514"/>
      <c r="AF1481" s="514"/>
      <c r="AG1481" s="514"/>
      <c r="AH1481" s="514"/>
      <c r="AI1481" s="514"/>
      <c r="AJ1481" s="514"/>
      <c r="AK1481" s="514"/>
      <c r="AL1481" s="514"/>
      <c r="AM1481" s="514"/>
      <c r="AN1481" s="514"/>
      <c r="AO1481" s="514"/>
    </row>
    <row r="1482" spans="1:41" s="504" customFormat="1" ht="12" thickTop="1">
      <c r="A1482" s="50"/>
      <c r="B1482" s="40"/>
      <c r="C1482" s="50"/>
      <c r="E1482" s="41" t="s">
        <v>136</v>
      </c>
      <c r="F1482" s="41" t="s">
        <v>137</v>
      </c>
      <c r="G1482" s="50"/>
      <c r="H1482" s="50"/>
      <c r="I1482" s="50"/>
      <c r="J1482" s="50"/>
      <c r="K1482" s="50" t="s">
        <v>138</v>
      </c>
      <c r="L1482" s="50"/>
      <c r="M1482" s="50"/>
      <c r="N1482" s="50"/>
      <c r="O1482" s="51"/>
      <c r="P1482" s="50"/>
      <c r="Q1482" s="50"/>
      <c r="R1482" s="50"/>
      <c r="S1482" s="50"/>
      <c r="T1482" s="40"/>
      <c r="AG1482" s="867" t="s">
        <v>241</v>
      </c>
      <c r="AH1482" s="867" t="s">
        <v>242</v>
      </c>
      <c r="AI1482" s="867" t="s">
        <v>243</v>
      </c>
      <c r="AJ1482" s="867" t="s">
        <v>244</v>
      </c>
      <c r="AK1482" s="867" t="s">
        <v>245</v>
      </c>
      <c r="AM1482" s="868" t="s">
        <v>254</v>
      </c>
      <c r="AN1482" s="869" t="s">
        <v>255</v>
      </c>
      <c r="AO1482" s="505" t="s">
        <v>251</v>
      </c>
    </row>
    <row r="1483" spans="1:41" s="504" customFormat="1" ht="12" customHeight="1">
      <c r="A1483" s="870">
        <v>9</v>
      </c>
      <c r="B1483" s="871" t="s">
        <v>335</v>
      </c>
      <c r="C1483" s="872"/>
      <c r="D1483" s="873" t="s">
        <v>806</v>
      </c>
      <c r="E1483" s="874">
        <f ca="1">IF(AND($A1483=0,$A$1="DIF"),0, ROUND(ROUND(($R1488*$S$2+($T1488*$T$2))/A1483,2)*$C$2,2))</f>
        <v>14.36</v>
      </c>
      <c r="F1483" s="875">
        <f ca="1">ROUND($A1483*$E1483,2)</f>
        <v>129.24</v>
      </c>
      <c r="G1483" s="876" t="s">
        <v>139</v>
      </c>
      <c r="H1483" s="877"/>
      <c r="I1483" s="878"/>
      <c r="J1483" s="877"/>
      <c r="K1483" s="877" t="s">
        <v>3</v>
      </c>
      <c r="L1483" s="879" t="s">
        <v>140</v>
      </c>
      <c r="M1483" s="879"/>
      <c r="N1483" s="879"/>
      <c r="O1483" s="879"/>
      <c r="P1483" s="879"/>
      <c r="Q1483" s="50"/>
      <c r="T1483" s="880" t="str">
        <f ca="1">IF(AND($R1488=0,$T1488=0),"0.00","mu :" &amp; ROUND($F1483/$C$2/($R1488+$T1488*$D$9),2))</f>
        <v>mu :1.22</v>
      </c>
      <c r="W1483" s="507"/>
      <c r="AG1483" s="465">
        <f ca="1">IF($E1483=0,0,ROUND($R1488*$S$2*$C$2/$A1483,2))</f>
        <v>1.34</v>
      </c>
      <c r="AH1483" s="465">
        <f ca="1">$AG1483*$A1483</f>
        <v>12.06</v>
      </c>
      <c r="AI1483" s="508">
        <f ca="1">$E1483-$AG1483</f>
        <v>13.02</v>
      </c>
      <c r="AJ1483" s="508">
        <f ca="1">$A1483*$AI1483</f>
        <v>117.17999999999999</v>
      </c>
      <c r="AK1483" s="509">
        <f ca="1">ROUND(($AG1483+$AI1483)*$A1483,2)</f>
        <v>129.24</v>
      </c>
      <c r="AM1483" s="510">
        <f ca="1">ROUND(R1488,2)</f>
        <v>9.9</v>
      </c>
      <c r="AN1483" s="511">
        <f ca="1">ROUND(T1488,2)</f>
        <v>3.33</v>
      </c>
      <c r="AO1483" s="512">
        <f ca="1">ROUND(AM1483+AN1483,2)*A1483</f>
        <v>119.07000000000001</v>
      </c>
    </row>
    <row r="1484" spans="1:41" s="504" customFormat="1" ht="13.2">
      <c r="A1484" s="872"/>
      <c r="B1484"/>
      <c r="C1484" s="872"/>
      <c r="D1484" s="873" t="s">
        <v>414</v>
      </c>
      <c r="F1484" s="877"/>
      <c r="G1484" s="3"/>
      <c r="H1484" s="877"/>
      <c r="I1484" s="878"/>
      <c r="J1484" s="877"/>
      <c r="K1484" s="877" t="s">
        <v>141</v>
      </c>
      <c r="L1484" s="877"/>
      <c r="M1484" s="877"/>
      <c r="N1484" s="877"/>
      <c r="O1484" s="877"/>
      <c r="P1484" s="877"/>
      <c r="Q1484" s="50"/>
      <c r="R1484" s="513"/>
      <c r="S1484" s="881"/>
      <c r="T1484" s="877"/>
    </row>
    <row r="1485" spans="1:41" s="997" customFormat="1" ht="13.2">
      <c r="A1485"/>
      <c r="B1485" s="1065"/>
      <c r="C1485" s="1065" t="s">
        <v>1006</v>
      </c>
      <c r="D1485" s="1065" t="str">
        <f ca="1">CELL("Address",Elec_Rates!D$376)</f>
        <v>[EL25_0662B_Brittania_Hotel_Elec_Revised_Estim_B.xlsx]Elec_Rates!$D$376</v>
      </c>
      <c r="E1485" s="1066"/>
      <c r="F1485" s="1066"/>
      <c r="G1485" s="1067" t="s">
        <v>1007</v>
      </c>
      <c r="H1485" s="1067"/>
      <c r="I1485" s="1067"/>
      <c r="J1485" s="1067"/>
      <c r="K1485" s="1068"/>
      <c r="L1485" s="1066"/>
      <c r="M1485" s="1066"/>
      <c r="N1485" s="1066"/>
      <c r="O1485" s="1069"/>
      <c r="P1485" s="1066"/>
      <c r="Q1485" s="1070"/>
      <c r="R1485" s="1071"/>
      <c r="S1485" s="1070"/>
      <c r="T1485" s="1072"/>
      <c r="U1485" s="1073"/>
    </row>
    <row r="1486" spans="1:41" s="997" customFormat="1" ht="11.4">
      <c r="A1486" s="1074">
        <v>9</v>
      </c>
      <c r="B1486" s="1075">
        <v>1</v>
      </c>
      <c r="C1486" s="1075">
        <f>$A1486*$B1486</f>
        <v>9</v>
      </c>
      <c r="D1486" s="1076" t="str">
        <f>Elec_Rates!$D$376</f>
        <v>043# Install and connect Only - Type 'LT-02' - 11W Soffit Recessed Light Fitting</v>
      </c>
      <c r="E1486" s="1076"/>
      <c r="F1486" s="1076"/>
      <c r="G1486" s="1077" t="s">
        <v>1008</v>
      </c>
      <c r="H1486" s="1077"/>
      <c r="I1486" s="1077"/>
      <c r="J1486" s="1077"/>
      <c r="K1486" s="1078"/>
      <c r="L1486" s="1073"/>
      <c r="M1486" s="1073"/>
      <c r="N1486" s="1073"/>
      <c r="O1486" s="1079"/>
      <c r="P1486" s="1076"/>
      <c r="Q1486" s="1080">
        <f ca="1">$B1486*Elec_Rates!$R$376</f>
        <v>1.1000000000000001</v>
      </c>
      <c r="R1486" s="1071">
        <f ca="1">$A1486*Q1486</f>
        <v>9.9</v>
      </c>
      <c r="S1486" s="1080">
        <f ca="1">$B1486*Elec_Rates!$T$376</f>
        <v>0.37</v>
      </c>
      <c r="T1486" s="1072">
        <f ca="1">$A1486*S1486</f>
        <v>3.33</v>
      </c>
      <c r="U1486" s="1081"/>
    </row>
    <row r="1487" spans="1:41" s="504" customFormat="1" ht="12">
      <c r="A1487" s="882"/>
      <c r="B1487" s="882"/>
      <c r="C1487" s="882"/>
      <c r="D1487" s="882"/>
      <c r="E1487" s="882"/>
      <c r="F1487" s="877"/>
      <c r="G1487" s="882"/>
      <c r="H1487" s="882"/>
      <c r="I1487" s="503"/>
      <c r="J1487" s="882"/>
      <c r="K1487" s="882"/>
      <c r="L1487" s="882"/>
      <c r="M1487" s="882"/>
      <c r="N1487" s="882"/>
      <c r="O1487" s="882"/>
      <c r="P1487" s="882"/>
      <c r="Q1487" s="503"/>
      <c r="R1487" s="883">
        <f>$A1487*Q1487</f>
        <v>0</v>
      </c>
      <c r="S1487" s="503"/>
      <c r="T1487" s="884">
        <f>$A1487*S1487*$T$1</f>
        <v>0</v>
      </c>
    </row>
    <row r="1488" spans="1:41" s="504" customFormat="1" ht="12.6" thickBot="1">
      <c r="A1488" s="885" t="s">
        <v>142</v>
      </c>
      <c r="B1488" s="886">
        <f>(R1487+T1487)</f>
        <v>0</v>
      </c>
      <c r="C1488" s="887"/>
      <c r="D1488" s="887"/>
      <c r="E1488" s="887"/>
      <c r="F1488" s="888"/>
      <c r="G1488" s="887" t="s">
        <v>143</v>
      </c>
      <c r="H1488" s="887"/>
      <c r="I1488" s="889"/>
      <c r="J1488" s="887"/>
      <c r="K1488" s="887" t="s">
        <v>3</v>
      </c>
      <c r="L1488" s="890" t="s">
        <v>140</v>
      </c>
      <c r="M1488" s="890"/>
      <c r="N1488" s="890"/>
      <c r="O1488" s="890"/>
      <c r="P1488" s="890"/>
      <c r="Q1488" s="891"/>
      <c r="R1488" s="892">
        <f ca="1">SUM(R1484:R1487)</f>
        <v>9.9</v>
      </c>
      <c r="S1488" s="887"/>
      <c r="T1488" s="892">
        <f ca="1">SUM(T1484:T1487)</f>
        <v>3.33</v>
      </c>
      <c r="U1488" s="514"/>
      <c r="V1488" s="514"/>
      <c r="W1488" s="514"/>
      <c r="X1488" s="514"/>
      <c r="Y1488" s="514"/>
      <c r="Z1488" s="514"/>
      <c r="AA1488" s="514"/>
      <c r="AB1488" s="514"/>
      <c r="AC1488" s="514"/>
      <c r="AD1488" s="514"/>
      <c r="AE1488" s="514"/>
      <c r="AF1488" s="514"/>
      <c r="AG1488" s="514"/>
      <c r="AH1488" s="514"/>
      <c r="AI1488" s="514"/>
      <c r="AJ1488" s="514"/>
      <c r="AK1488" s="514"/>
      <c r="AL1488" s="514"/>
      <c r="AM1488" s="514"/>
      <c r="AN1488" s="514"/>
      <c r="AO1488" s="514"/>
    </row>
    <row r="1489" spans="1:41" s="504" customFormat="1" ht="12" thickTop="1">
      <c r="A1489" s="50"/>
      <c r="B1489" s="40"/>
      <c r="C1489" s="50"/>
      <c r="E1489" s="41" t="s">
        <v>136</v>
      </c>
      <c r="F1489" s="41" t="s">
        <v>137</v>
      </c>
      <c r="G1489" s="50"/>
      <c r="H1489" s="50"/>
      <c r="I1489" s="50"/>
      <c r="J1489" s="50"/>
      <c r="K1489" s="50" t="s">
        <v>138</v>
      </c>
      <c r="L1489" s="50"/>
      <c r="M1489" s="50"/>
      <c r="N1489" s="50"/>
      <c r="O1489" s="51"/>
      <c r="P1489" s="50"/>
      <c r="Q1489" s="50"/>
      <c r="R1489" s="50"/>
      <c r="S1489" s="50"/>
      <c r="T1489" s="40"/>
      <c r="AG1489" s="867" t="s">
        <v>241</v>
      </c>
      <c r="AH1489" s="867" t="s">
        <v>242</v>
      </c>
      <c r="AI1489" s="867" t="s">
        <v>243</v>
      </c>
      <c r="AJ1489" s="867" t="s">
        <v>244</v>
      </c>
      <c r="AK1489" s="867" t="s">
        <v>245</v>
      </c>
      <c r="AM1489" s="868" t="s">
        <v>254</v>
      </c>
      <c r="AN1489" s="869" t="s">
        <v>255</v>
      </c>
      <c r="AO1489" s="505" t="s">
        <v>251</v>
      </c>
    </row>
    <row r="1490" spans="1:41" s="504" customFormat="1" ht="12" customHeight="1">
      <c r="A1490" s="870">
        <v>14</v>
      </c>
      <c r="B1490" s="871" t="s">
        <v>335</v>
      </c>
      <c r="C1490" s="872"/>
      <c r="D1490" s="873" t="s">
        <v>808</v>
      </c>
      <c r="E1490" s="874">
        <f ca="1">IF(AND($A1490=0,$A$1="DIF"),0, ROUND(ROUND(($R1495*$S$2+($T1495*$T$2))/A1490,2)*$C$2,2))</f>
        <v>11.35</v>
      </c>
      <c r="F1490" s="875">
        <f ca="1">ROUND($A1490*$E1490,2)</f>
        <v>158.9</v>
      </c>
      <c r="G1490" s="876" t="s">
        <v>139</v>
      </c>
      <c r="H1490" s="877"/>
      <c r="I1490" s="878"/>
      <c r="J1490" s="877"/>
      <c r="K1490" s="877" t="s">
        <v>3</v>
      </c>
      <c r="L1490" s="879" t="s">
        <v>140</v>
      </c>
      <c r="M1490" s="879"/>
      <c r="N1490" s="879"/>
      <c r="O1490" s="879"/>
      <c r="P1490" s="879"/>
      <c r="Q1490" s="50"/>
      <c r="T1490" s="880" t="str">
        <f ca="1">IF(AND($R1495=0,$T1495=0),"0.00","mu :" &amp; ROUND($F1490/$C$2/($R1495+$T1495*$D$9),2))</f>
        <v>mu :1.22</v>
      </c>
      <c r="W1490" s="507"/>
      <c r="AG1490" s="465">
        <f ca="1">IF($E1490=0,0,ROUND($R1495*$S$2*$C$2/$A1490,2))</f>
        <v>0.1</v>
      </c>
      <c r="AH1490" s="465">
        <f ca="1">$AG1490*$A1490</f>
        <v>1.4000000000000001</v>
      </c>
      <c r="AI1490" s="508">
        <f ca="1">$E1490-$AG1490</f>
        <v>11.25</v>
      </c>
      <c r="AJ1490" s="508">
        <f ca="1">$A1490*$AI1490</f>
        <v>157.5</v>
      </c>
      <c r="AK1490" s="509">
        <f ca="1">ROUND(($AG1490+$AI1490)*$A1490,2)</f>
        <v>158.9</v>
      </c>
      <c r="AM1490" s="510">
        <f ca="1">ROUND(R1495,2)</f>
        <v>1.1200000000000001</v>
      </c>
      <c r="AN1490" s="511">
        <f ca="1">ROUND(T1495,2)</f>
        <v>4.4800000000000004</v>
      </c>
      <c r="AO1490" s="512">
        <f ca="1">ROUND(AM1490+AN1490,2)*A1490</f>
        <v>78.399999999999991</v>
      </c>
    </row>
    <row r="1491" spans="1:41" s="504" customFormat="1" ht="13.2">
      <c r="A1491" s="872"/>
      <c r="B1491"/>
      <c r="C1491" s="872"/>
      <c r="D1491" s="873" t="s">
        <v>415</v>
      </c>
      <c r="F1491" s="877"/>
      <c r="G1491" s="3"/>
      <c r="H1491" s="877"/>
      <c r="I1491" s="878"/>
      <c r="J1491" s="877"/>
      <c r="K1491" s="877" t="s">
        <v>141</v>
      </c>
      <c r="L1491" s="877"/>
      <c r="M1491" s="877"/>
      <c r="N1491" s="877"/>
      <c r="O1491" s="877"/>
      <c r="P1491" s="877"/>
      <c r="Q1491" s="50"/>
      <c r="R1491" s="513"/>
      <c r="S1491" s="881"/>
      <c r="T1491" s="877"/>
    </row>
    <row r="1492" spans="1:41" s="997" customFormat="1" ht="13.2">
      <c r="A1492"/>
      <c r="B1492" s="1065"/>
      <c r="C1492" s="1065" t="s">
        <v>1006</v>
      </c>
      <c r="D1492" s="1065" t="str">
        <f ca="1">CELL("Address",Elec_Rates!D$391)</f>
        <v>[EL25_0662B_Brittania_Hotel_Elec_Revised_Estim_B.xlsx]Elec_Rates!$D$391</v>
      </c>
      <c r="E1492" s="1066"/>
      <c r="F1492" s="1066"/>
      <c r="G1492" s="1067" t="s">
        <v>1007</v>
      </c>
      <c r="H1492" s="1067"/>
      <c r="I1492" s="1067"/>
      <c r="J1492" s="1067"/>
      <c r="K1492" s="1068"/>
      <c r="L1492" s="1066"/>
      <c r="M1492" s="1066"/>
      <c r="N1492" s="1066"/>
      <c r="O1492" s="1069"/>
      <c r="P1492" s="1066"/>
      <c r="Q1492" s="1070"/>
      <c r="R1492" s="1071"/>
      <c r="S1492" s="1070"/>
      <c r="T1492" s="1072"/>
      <c r="U1492" s="1073"/>
    </row>
    <row r="1493" spans="1:41" s="997" customFormat="1" ht="11.4">
      <c r="A1493" s="1074">
        <v>14</v>
      </c>
      <c r="B1493" s="1075">
        <v>1</v>
      </c>
      <c r="C1493" s="1075">
        <f>$A1493*$B1493</f>
        <v>14</v>
      </c>
      <c r="D1493" s="1076" t="str">
        <f>Elec_Rates!$D$391</f>
        <v>045# Install and connect Only - Type 'LT-04' - Wall Light</v>
      </c>
      <c r="E1493" s="1076"/>
      <c r="F1493" s="1076"/>
      <c r="G1493" s="1077" t="s">
        <v>1008</v>
      </c>
      <c r="H1493" s="1077"/>
      <c r="I1493" s="1077"/>
      <c r="J1493" s="1077"/>
      <c r="K1493" s="1078"/>
      <c r="L1493" s="1073"/>
      <c r="M1493" s="1073"/>
      <c r="N1493" s="1073"/>
      <c r="O1493" s="1079"/>
      <c r="P1493" s="1076"/>
      <c r="Q1493" s="1080">
        <f ca="1">$B1493*Elec_Rates!$R$391</f>
        <v>0.08</v>
      </c>
      <c r="R1493" s="1071">
        <f ca="1">$A1493*Q1493</f>
        <v>1.1200000000000001</v>
      </c>
      <c r="S1493" s="1080">
        <f ca="1">$B1493*Elec_Rates!$T$391</f>
        <v>0.32</v>
      </c>
      <c r="T1493" s="1072">
        <f ca="1">$A1493*S1493</f>
        <v>4.4800000000000004</v>
      </c>
      <c r="U1493" s="1081"/>
    </row>
    <row r="1494" spans="1:41" s="504" customFormat="1" ht="12">
      <c r="A1494" s="882"/>
      <c r="B1494" s="882"/>
      <c r="C1494" s="882"/>
      <c r="D1494" s="882"/>
      <c r="E1494" s="882"/>
      <c r="F1494" s="877"/>
      <c r="G1494" s="882"/>
      <c r="H1494" s="882"/>
      <c r="I1494" s="503"/>
      <c r="J1494" s="882"/>
      <c r="K1494" s="882"/>
      <c r="L1494" s="882"/>
      <c r="M1494" s="882"/>
      <c r="N1494" s="882"/>
      <c r="O1494" s="882"/>
      <c r="P1494" s="882"/>
      <c r="Q1494" s="503"/>
      <c r="R1494" s="883">
        <f>$A1494*Q1494</f>
        <v>0</v>
      </c>
      <c r="S1494" s="503"/>
      <c r="T1494" s="884">
        <f>$A1494*S1494*$T$1</f>
        <v>0</v>
      </c>
    </row>
    <row r="1495" spans="1:41" s="504" customFormat="1" ht="12.6" thickBot="1">
      <c r="A1495" s="885" t="s">
        <v>142</v>
      </c>
      <c r="B1495" s="886">
        <f>(R1494+T1494)</f>
        <v>0</v>
      </c>
      <c r="C1495" s="887"/>
      <c r="D1495" s="887"/>
      <c r="E1495" s="887"/>
      <c r="F1495" s="888"/>
      <c r="G1495" s="887" t="s">
        <v>143</v>
      </c>
      <c r="H1495" s="887"/>
      <c r="I1495" s="889"/>
      <c r="J1495" s="887"/>
      <c r="K1495" s="887" t="s">
        <v>3</v>
      </c>
      <c r="L1495" s="890" t="s">
        <v>140</v>
      </c>
      <c r="M1495" s="890"/>
      <c r="N1495" s="890"/>
      <c r="O1495" s="890"/>
      <c r="P1495" s="890"/>
      <c r="Q1495" s="891"/>
      <c r="R1495" s="892">
        <f ca="1">SUM(R1491:R1494)</f>
        <v>1.1200000000000001</v>
      </c>
      <c r="S1495" s="887"/>
      <c r="T1495" s="892">
        <f ca="1">SUM(T1491:T1494)</f>
        <v>4.4800000000000004</v>
      </c>
      <c r="U1495" s="514"/>
      <c r="V1495" s="514"/>
      <c r="W1495" s="514"/>
      <c r="X1495" s="514"/>
      <c r="Y1495" s="514"/>
      <c r="Z1495" s="514"/>
      <c r="AA1495" s="514"/>
      <c r="AB1495" s="514"/>
      <c r="AC1495" s="514"/>
      <c r="AD1495" s="514"/>
      <c r="AE1495" s="514"/>
      <c r="AF1495" s="514"/>
      <c r="AG1495" s="514"/>
      <c r="AH1495" s="514"/>
      <c r="AI1495" s="514"/>
      <c r="AJ1495" s="514"/>
      <c r="AK1495" s="514"/>
      <c r="AL1495" s="514"/>
      <c r="AM1495" s="514"/>
      <c r="AN1495" s="514"/>
      <c r="AO1495" s="514"/>
    </row>
    <row r="1496" spans="1:41" s="504" customFormat="1" ht="12" thickTop="1">
      <c r="A1496" s="50"/>
      <c r="B1496" s="40"/>
      <c r="C1496" s="50"/>
      <c r="E1496" s="41" t="s">
        <v>136</v>
      </c>
      <c r="F1496" s="41" t="s">
        <v>137</v>
      </c>
      <c r="G1496" s="50"/>
      <c r="H1496" s="50"/>
      <c r="I1496" s="50"/>
      <c r="J1496" s="50"/>
      <c r="K1496" s="50" t="s">
        <v>138</v>
      </c>
      <c r="L1496" s="50"/>
      <c r="M1496" s="50"/>
      <c r="N1496" s="50"/>
      <c r="O1496" s="51"/>
      <c r="P1496" s="50"/>
      <c r="Q1496" s="50"/>
      <c r="R1496" s="50"/>
      <c r="S1496" s="50"/>
      <c r="T1496" s="40"/>
      <c r="AG1496" s="867" t="s">
        <v>241</v>
      </c>
      <c r="AH1496" s="867" t="s">
        <v>242</v>
      </c>
      <c r="AI1496" s="867" t="s">
        <v>243</v>
      </c>
      <c r="AJ1496" s="867" t="s">
        <v>244</v>
      </c>
      <c r="AK1496" s="867" t="s">
        <v>245</v>
      </c>
      <c r="AM1496" s="868" t="s">
        <v>254</v>
      </c>
      <c r="AN1496" s="869" t="s">
        <v>255</v>
      </c>
      <c r="AO1496" s="505" t="s">
        <v>251</v>
      </c>
    </row>
    <row r="1497" spans="1:41" s="504" customFormat="1" ht="12" customHeight="1">
      <c r="A1497" s="870">
        <v>8</v>
      </c>
      <c r="B1497" s="871" t="s">
        <v>335</v>
      </c>
      <c r="C1497" s="872"/>
      <c r="D1497" s="873" t="s">
        <v>810</v>
      </c>
      <c r="E1497" s="874">
        <f ca="1">IF(AND($A1497=0,$A$1="DIF"),0, ROUND(ROUND(($R1502*$S$2+($T1502*$T$2))/A1497,2)*$C$2,2))</f>
        <v>11.35</v>
      </c>
      <c r="F1497" s="875">
        <f ca="1">ROUND($A1497*$E1497,2)</f>
        <v>90.8</v>
      </c>
      <c r="G1497" s="876" t="s">
        <v>139</v>
      </c>
      <c r="H1497" s="877"/>
      <c r="I1497" s="878"/>
      <c r="J1497" s="877"/>
      <c r="K1497" s="877" t="s">
        <v>3</v>
      </c>
      <c r="L1497" s="879" t="s">
        <v>140</v>
      </c>
      <c r="M1497" s="879"/>
      <c r="N1497" s="879"/>
      <c r="O1497" s="879"/>
      <c r="P1497" s="879"/>
      <c r="Q1497" s="50"/>
      <c r="T1497" s="880" t="str">
        <f ca="1">IF(AND($R1502=0,$T1502=0),"0.00","mu :" &amp; ROUND($F1497/$C$2/($R1502+$T1502*$D$9),2))</f>
        <v>mu :1.22</v>
      </c>
      <c r="W1497" s="507"/>
      <c r="AG1497" s="465">
        <f ca="1">IF($E1497=0,0,ROUND($R1502*$S$2*$C$2/$A1497,2))</f>
        <v>0.1</v>
      </c>
      <c r="AH1497" s="465">
        <f ca="1">$AG1497*$A1497</f>
        <v>0.8</v>
      </c>
      <c r="AI1497" s="508">
        <f ca="1">$E1497-$AG1497</f>
        <v>11.25</v>
      </c>
      <c r="AJ1497" s="508">
        <f ca="1">$A1497*$AI1497</f>
        <v>90</v>
      </c>
      <c r="AK1497" s="509">
        <f ca="1">ROUND(($AG1497+$AI1497)*$A1497,2)</f>
        <v>90.8</v>
      </c>
      <c r="AM1497" s="510">
        <f ca="1">ROUND(R1502,2)</f>
        <v>0.64</v>
      </c>
      <c r="AN1497" s="511">
        <f ca="1">ROUND(T1502,2)</f>
        <v>2.56</v>
      </c>
      <c r="AO1497" s="512">
        <f ca="1">ROUND(AM1497+AN1497,2)*A1497</f>
        <v>25.6</v>
      </c>
    </row>
    <row r="1498" spans="1:41" s="504" customFormat="1" ht="13.2">
      <c r="A1498" s="872"/>
      <c r="B1498"/>
      <c r="C1498" s="872"/>
      <c r="D1498" s="873" t="s">
        <v>416</v>
      </c>
      <c r="F1498" s="877"/>
      <c r="G1498" s="3"/>
      <c r="H1498" s="877"/>
      <c r="I1498" s="878"/>
      <c r="J1498" s="877"/>
      <c r="K1498" s="877" t="s">
        <v>141</v>
      </c>
      <c r="L1498" s="877"/>
      <c r="M1498" s="877"/>
      <c r="N1498" s="877"/>
      <c r="O1498" s="877"/>
      <c r="P1498" s="877"/>
      <c r="Q1498" s="50"/>
      <c r="R1498" s="513"/>
      <c r="S1498" s="881"/>
      <c r="T1498" s="877"/>
    </row>
    <row r="1499" spans="1:41" s="997" customFormat="1" ht="13.2">
      <c r="A1499"/>
      <c r="B1499" s="1065"/>
      <c r="C1499" s="1065" t="s">
        <v>1006</v>
      </c>
      <c r="D1499" s="1065" t="str">
        <f ca="1">CELL("Address",Elec_Rates!D$399)</f>
        <v>[EL25_0662B_Brittania_Hotel_Elec_Revised_Estim_B.xlsx]Elec_Rates!$D$399</v>
      </c>
      <c r="E1499" s="1066"/>
      <c r="F1499" s="1066"/>
      <c r="G1499" s="1067" t="s">
        <v>1007</v>
      </c>
      <c r="H1499" s="1067"/>
      <c r="I1499" s="1067"/>
      <c r="J1499" s="1067"/>
      <c r="K1499" s="1068"/>
      <c r="L1499" s="1066"/>
      <c r="M1499" s="1066"/>
      <c r="N1499" s="1066"/>
      <c r="O1499" s="1069"/>
      <c r="P1499" s="1066"/>
      <c r="Q1499" s="1070"/>
      <c r="R1499" s="1071"/>
      <c r="S1499" s="1070"/>
      <c r="T1499" s="1072"/>
      <c r="U1499" s="1073"/>
    </row>
    <row r="1500" spans="1:41" s="997" customFormat="1" ht="11.4">
      <c r="A1500" s="1074">
        <v>8</v>
      </c>
      <c r="B1500" s="1075">
        <v>1</v>
      </c>
      <c r="C1500" s="1075">
        <f>$A1500*$B1500</f>
        <v>8</v>
      </c>
      <c r="D1500" s="1076" t="str">
        <f>Elec_Rates!$D$399</f>
        <v>046# Install and connect Only - Type 'LT-05' - Wall Light</v>
      </c>
      <c r="E1500" s="1076"/>
      <c r="F1500" s="1076"/>
      <c r="G1500" s="1077" t="s">
        <v>1008</v>
      </c>
      <c r="H1500" s="1077"/>
      <c r="I1500" s="1077"/>
      <c r="J1500" s="1077"/>
      <c r="K1500" s="1078"/>
      <c r="L1500" s="1073"/>
      <c r="M1500" s="1073"/>
      <c r="N1500" s="1073"/>
      <c r="O1500" s="1079"/>
      <c r="P1500" s="1076"/>
      <c r="Q1500" s="1080">
        <f ca="1">$B1500*Elec_Rates!$R$399</f>
        <v>0.08</v>
      </c>
      <c r="R1500" s="1071">
        <f ca="1">$A1500*Q1500</f>
        <v>0.64</v>
      </c>
      <c r="S1500" s="1080">
        <f ca="1">$B1500*Elec_Rates!$T$399</f>
        <v>0.32</v>
      </c>
      <c r="T1500" s="1072">
        <f ca="1">$A1500*S1500</f>
        <v>2.56</v>
      </c>
      <c r="U1500" s="1081"/>
    </row>
    <row r="1501" spans="1:41" s="504" customFormat="1" ht="12">
      <c r="A1501" s="882"/>
      <c r="B1501" s="882"/>
      <c r="C1501" s="882"/>
      <c r="D1501" s="882"/>
      <c r="E1501" s="882"/>
      <c r="F1501" s="877"/>
      <c r="G1501" s="882"/>
      <c r="H1501" s="882"/>
      <c r="I1501" s="503"/>
      <c r="J1501" s="882"/>
      <c r="K1501" s="882"/>
      <c r="L1501" s="882"/>
      <c r="M1501" s="882"/>
      <c r="N1501" s="882"/>
      <c r="O1501" s="882"/>
      <c r="P1501" s="882"/>
      <c r="Q1501" s="503"/>
      <c r="R1501" s="883">
        <f>$A1501*Q1501</f>
        <v>0</v>
      </c>
      <c r="S1501" s="503"/>
      <c r="T1501" s="884">
        <f>$A1501*S1501*$T$1</f>
        <v>0</v>
      </c>
    </row>
    <row r="1502" spans="1:41" s="504" customFormat="1" ht="12.6" thickBot="1">
      <c r="A1502" s="885" t="s">
        <v>142</v>
      </c>
      <c r="B1502" s="886">
        <f>(R1501+T1501)</f>
        <v>0</v>
      </c>
      <c r="C1502" s="887"/>
      <c r="D1502" s="887"/>
      <c r="E1502" s="887"/>
      <c r="F1502" s="888"/>
      <c r="G1502" s="887" t="s">
        <v>143</v>
      </c>
      <c r="H1502" s="887"/>
      <c r="I1502" s="889"/>
      <c r="J1502" s="887"/>
      <c r="K1502" s="887" t="s">
        <v>3</v>
      </c>
      <c r="L1502" s="890" t="s">
        <v>140</v>
      </c>
      <c r="M1502" s="890"/>
      <c r="N1502" s="890"/>
      <c r="O1502" s="890"/>
      <c r="P1502" s="890"/>
      <c r="Q1502" s="891"/>
      <c r="R1502" s="892">
        <f ca="1">SUM(R1498:R1501)</f>
        <v>0.64</v>
      </c>
      <c r="S1502" s="887"/>
      <c r="T1502" s="892">
        <f ca="1">SUM(T1498:T1501)</f>
        <v>2.56</v>
      </c>
      <c r="U1502" s="514"/>
      <c r="V1502" s="514"/>
      <c r="W1502" s="514"/>
      <c r="X1502" s="514"/>
      <c r="Y1502" s="514"/>
      <c r="Z1502" s="514"/>
      <c r="AA1502" s="514"/>
      <c r="AB1502" s="514"/>
      <c r="AC1502" s="514"/>
      <c r="AD1502" s="514"/>
      <c r="AE1502" s="514"/>
      <c r="AF1502" s="514"/>
      <c r="AG1502" s="514"/>
      <c r="AH1502" s="514"/>
      <c r="AI1502" s="514"/>
      <c r="AJ1502" s="514"/>
      <c r="AK1502" s="514"/>
      <c r="AL1502" s="514"/>
      <c r="AM1502" s="514"/>
      <c r="AN1502" s="514"/>
      <c r="AO1502" s="514"/>
    </row>
    <row r="1503" spans="1:41" s="504" customFormat="1" ht="12" thickTop="1">
      <c r="A1503" s="50"/>
      <c r="B1503" s="40"/>
      <c r="C1503" s="50"/>
      <c r="E1503" s="41" t="s">
        <v>136</v>
      </c>
      <c r="F1503" s="41" t="s">
        <v>137</v>
      </c>
      <c r="G1503" s="50"/>
      <c r="H1503" s="50"/>
      <c r="I1503" s="50"/>
      <c r="J1503" s="50"/>
      <c r="K1503" s="50" t="s">
        <v>138</v>
      </c>
      <c r="L1503" s="50"/>
      <c r="M1503" s="50"/>
      <c r="N1503" s="50"/>
      <c r="O1503" s="51"/>
      <c r="P1503" s="50"/>
      <c r="Q1503" s="50"/>
      <c r="R1503" s="50"/>
      <c r="S1503" s="50"/>
      <c r="T1503" s="40"/>
      <c r="AG1503" s="867" t="s">
        <v>241</v>
      </c>
      <c r="AH1503" s="867" t="s">
        <v>242</v>
      </c>
      <c r="AI1503" s="867" t="s">
        <v>243</v>
      </c>
      <c r="AJ1503" s="867" t="s">
        <v>244</v>
      </c>
      <c r="AK1503" s="867" t="s">
        <v>245</v>
      </c>
      <c r="AM1503" s="868" t="s">
        <v>254</v>
      </c>
      <c r="AN1503" s="869" t="s">
        <v>255</v>
      </c>
      <c r="AO1503" s="505" t="s">
        <v>251</v>
      </c>
    </row>
    <row r="1504" spans="1:41" s="504" customFormat="1" ht="12" customHeight="1">
      <c r="A1504" s="870">
        <v>4</v>
      </c>
      <c r="B1504" s="871" t="s">
        <v>335</v>
      </c>
      <c r="C1504" s="872"/>
      <c r="D1504" s="873" t="s">
        <v>812</v>
      </c>
      <c r="E1504" s="874">
        <f ca="1">IF(AND($A1504=0,$A$1="DIF"),0, ROUND(ROUND(($R1509*$S$2+($T1509*$T$2))/A1504,2)*$C$2,2))</f>
        <v>11.35</v>
      </c>
      <c r="F1504" s="875">
        <f ca="1">ROUND($A1504*$E1504,2)</f>
        <v>45.4</v>
      </c>
      <c r="G1504" s="876" t="s">
        <v>139</v>
      </c>
      <c r="H1504" s="877"/>
      <c r="I1504" s="878"/>
      <c r="J1504" s="877"/>
      <c r="K1504" s="877" t="s">
        <v>3</v>
      </c>
      <c r="L1504" s="879" t="s">
        <v>140</v>
      </c>
      <c r="M1504" s="879"/>
      <c r="N1504" s="879"/>
      <c r="O1504" s="879"/>
      <c r="P1504" s="879"/>
      <c r="Q1504" s="50"/>
      <c r="T1504" s="880" t="str">
        <f ca="1">IF(AND($R1509=0,$T1509=0),"0.00","mu :" &amp; ROUND($F1504/$C$2/($R1509+$T1509*$D$9),2))</f>
        <v>mu :1.22</v>
      </c>
      <c r="W1504" s="507"/>
      <c r="AG1504" s="465">
        <f ca="1">IF($E1504=0,0,ROUND($R1509*$S$2*$C$2/$A1504,2))</f>
        <v>0.1</v>
      </c>
      <c r="AH1504" s="465">
        <f ca="1">$AG1504*$A1504</f>
        <v>0.4</v>
      </c>
      <c r="AI1504" s="508">
        <f ca="1">$E1504-$AG1504</f>
        <v>11.25</v>
      </c>
      <c r="AJ1504" s="508">
        <f ca="1">$A1504*$AI1504</f>
        <v>45</v>
      </c>
      <c r="AK1504" s="509">
        <f ca="1">ROUND(($AG1504+$AI1504)*$A1504,2)</f>
        <v>45.4</v>
      </c>
      <c r="AM1504" s="510">
        <f ca="1">ROUND(R1509,2)</f>
        <v>0.32</v>
      </c>
      <c r="AN1504" s="511">
        <f ca="1">ROUND(T1509,2)</f>
        <v>1.28</v>
      </c>
      <c r="AO1504" s="512">
        <f ca="1">ROUND(AM1504+AN1504,2)*A1504</f>
        <v>6.4</v>
      </c>
    </row>
    <row r="1505" spans="1:41" s="504" customFormat="1" ht="13.2">
      <c r="A1505" s="872"/>
      <c r="B1505"/>
      <c r="C1505" s="872"/>
      <c r="D1505" s="873" t="s">
        <v>417</v>
      </c>
      <c r="F1505" s="877"/>
      <c r="G1505" s="3"/>
      <c r="H1505" s="877"/>
      <c r="I1505" s="878"/>
      <c r="J1505" s="877"/>
      <c r="K1505" s="877" t="s">
        <v>141</v>
      </c>
      <c r="L1505" s="877"/>
      <c r="M1505" s="877"/>
      <c r="N1505" s="877"/>
      <c r="O1505" s="877"/>
      <c r="P1505" s="877"/>
      <c r="Q1505" s="50"/>
      <c r="R1505" s="513"/>
      <c r="S1505" s="881"/>
      <c r="T1505" s="877"/>
    </row>
    <row r="1506" spans="1:41" s="997" customFormat="1" ht="13.2">
      <c r="A1506"/>
      <c r="B1506" s="1065"/>
      <c r="C1506" s="1065" t="s">
        <v>1006</v>
      </c>
      <c r="D1506" s="1065" t="str">
        <f ca="1">CELL("Address",Elec_Rates!D$407)</f>
        <v>[EL25_0662B_Brittania_Hotel_Elec_Revised_Estim_B.xlsx]Elec_Rates!$D$407</v>
      </c>
      <c r="E1506" s="1066"/>
      <c r="F1506" s="1066"/>
      <c r="G1506" s="1067" t="s">
        <v>1007</v>
      </c>
      <c r="H1506" s="1067"/>
      <c r="I1506" s="1067"/>
      <c r="J1506" s="1067"/>
      <c r="K1506" s="1068"/>
      <c r="L1506" s="1066"/>
      <c r="M1506" s="1066"/>
      <c r="N1506" s="1066"/>
      <c r="O1506" s="1069"/>
      <c r="P1506" s="1066"/>
      <c r="Q1506" s="1070"/>
      <c r="R1506" s="1071"/>
      <c r="S1506" s="1070"/>
      <c r="T1506" s="1072"/>
      <c r="U1506" s="1073"/>
    </row>
    <row r="1507" spans="1:41" s="997" customFormat="1" ht="11.4">
      <c r="A1507" s="1074">
        <v>4</v>
      </c>
      <c r="B1507" s="1075">
        <v>1</v>
      </c>
      <c r="C1507" s="1075">
        <f>$A1507*$B1507</f>
        <v>4</v>
      </c>
      <c r="D1507" s="1076" t="str">
        <f>Elec_Rates!$D$407</f>
        <v>047# Install and connect Only - Type 'LT-06' - Wall Light</v>
      </c>
      <c r="E1507" s="1076"/>
      <c r="F1507" s="1076"/>
      <c r="G1507" s="1077" t="s">
        <v>1008</v>
      </c>
      <c r="H1507" s="1077"/>
      <c r="I1507" s="1077"/>
      <c r="J1507" s="1077"/>
      <c r="K1507" s="1078"/>
      <c r="L1507" s="1073"/>
      <c r="M1507" s="1073"/>
      <c r="N1507" s="1073"/>
      <c r="O1507" s="1079"/>
      <c r="P1507" s="1076"/>
      <c r="Q1507" s="1080">
        <f ca="1">$B1507*Elec_Rates!$R$407</f>
        <v>0.08</v>
      </c>
      <c r="R1507" s="1071">
        <f ca="1">$A1507*Q1507</f>
        <v>0.32</v>
      </c>
      <c r="S1507" s="1080">
        <f ca="1">$B1507*Elec_Rates!$T$407</f>
        <v>0.32</v>
      </c>
      <c r="T1507" s="1072">
        <f ca="1">$A1507*S1507</f>
        <v>1.28</v>
      </c>
      <c r="U1507" s="1081"/>
    </row>
    <row r="1508" spans="1:41" s="504" customFormat="1" ht="12">
      <c r="A1508" s="882"/>
      <c r="B1508" s="882"/>
      <c r="C1508" s="882"/>
      <c r="D1508" s="882"/>
      <c r="E1508" s="882"/>
      <c r="F1508" s="877"/>
      <c r="G1508" s="882"/>
      <c r="H1508" s="882"/>
      <c r="I1508" s="503"/>
      <c r="J1508" s="882"/>
      <c r="K1508" s="882"/>
      <c r="L1508" s="882"/>
      <c r="M1508" s="882"/>
      <c r="N1508" s="882"/>
      <c r="O1508" s="882"/>
      <c r="P1508" s="882"/>
      <c r="Q1508" s="503"/>
      <c r="R1508" s="883">
        <f>$A1508*Q1508</f>
        <v>0</v>
      </c>
      <c r="S1508" s="503"/>
      <c r="T1508" s="884">
        <f>$A1508*S1508*$T$1</f>
        <v>0</v>
      </c>
    </row>
    <row r="1509" spans="1:41" s="504" customFormat="1" ht="12.6" thickBot="1">
      <c r="A1509" s="885" t="s">
        <v>142</v>
      </c>
      <c r="B1509" s="886">
        <f>(R1508+T1508)</f>
        <v>0</v>
      </c>
      <c r="C1509" s="887"/>
      <c r="D1509" s="887"/>
      <c r="E1509" s="887"/>
      <c r="F1509" s="888"/>
      <c r="G1509" s="887" t="s">
        <v>143</v>
      </c>
      <c r="H1509" s="887"/>
      <c r="I1509" s="889"/>
      <c r="J1509" s="887"/>
      <c r="K1509" s="887" t="s">
        <v>3</v>
      </c>
      <c r="L1509" s="890" t="s">
        <v>140</v>
      </c>
      <c r="M1509" s="890"/>
      <c r="N1509" s="890"/>
      <c r="O1509" s="890"/>
      <c r="P1509" s="890"/>
      <c r="Q1509" s="891"/>
      <c r="R1509" s="892">
        <f ca="1">SUM(R1505:R1508)</f>
        <v>0.32</v>
      </c>
      <c r="S1509" s="887"/>
      <c r="T1509" s="892">
        <f ca="1">SUM(T1505:T1508)</f>
        <v>1.28</v>
      </c>
      <c r="U1509" s="514"/>
      <c r="V1509" s="514"/>
      <c r="W1509" s="514"/>
      <c r="X1509" s="514"/>
      <c r="Y1509" s="514"/>
      <c r="Z1509" s="514"/>
      <c r="AA1509" s="514"/>
      <c r="AB1509" s="514"/>
      <c r="AC1509" s="514"/>
      <c r="AD1509" s="514"/>
      <c r="AE1509" s="514"/>
      <c r="AF1509" s="514"/>
      <c r="AG1509" s="514"/>
      <c r="AH1509" s="514"/>
      <c r="AI1509" s="514"/>
      <c r="AJ1509" s="514"/>
      <c r="AK1509" s="514"/>
      <c r="AL1509" s="514"/>
      <c r="AM1509" s="514"/>
      <c r="AN1509" s="514"/>
      <c r="AO1509" s="514"/>
    </row>
    <row r="1510" spans="1:41" s="504" customFormat="1" ht="12" thickTop="1">
      <c r="A1510" s="50"/>
      <c r="B1510" s="40"/>
      <c r="C1510" s="50"/>
      <c r="E1510" s="41" t="s">
        <v>136</v>
      </c>
      <c r="F1510" s="41" t="s">
        <v>137</v>
      </c>
      <c r="G1510" s="50"/>
      <c r="H1510" s="50"/>
      <c r="I1510" s="50"/>
      <c r="J1510" s="50"/>
      <c r="K1510" s="50" t="s">
        <v>138</v>
      </c>
      <c r="L1510" s="50"/>
      <c r="M1510" s="50"/>
      <c r="N1510" s="50"/>
      <c r="O1510" s="51"/>
      <c r="P1510" s="50"/>
      <c r="Q1510" s="50"/>
      <c r="R1510" s="50"/>
      <c r="S1510" s="50"/>
      <c r="T1510" s="40"/>
      <c r="AG1510" s="867" t="s">
        <v>241</v>
      </c>
      <c r="AH1510" s="867" t="s">
        <v>242</v>
      </c>
      <c r="AI1510" s="867" t="s">
        <v>243</v>
      </c>
      <c r="AJ1510" s="867" t="s">
        <v>244</v>
      </c>
      <c r="AK1510" s="867" t="s">
        <v>245</v>
      </c>
      <c r="AM1510" s="868" t="s">
        <v>254</v>
      </c>
      <c r="AN1510" s="869" t="s">
        <v>255</v>
      </c>
      <c r="AO1510" s="505" t="s">
        <v>251</v>
      </c>
    </row>
    <row r="1511" spans="1:41" s="504" customFormat="1" ht="12" customHeight="1">
      <c r="A1511" s="870">
        <v>3</v>
      </c>
      <c r="B1511" s="871" t="s">
        <v>335</v>
      </c>
      <c r="C1511" s="872"/>
      <c r="D1511" s="873" t="s">
        <v>819</v>
      </c>
      <c r="E1511" s="874">
        <f ca="1">IF(AND($A1511=0,$A$1="DIF"),0, ROUND(ROUND(($R1516*$S$2+($T1516*$T$2))/A1511,2)*$C$2,2))</f>
        <v>9.15</v>
      </c>
      <c r="F1511" s="875">
        <f ca="1">ROUND($A1511*$E1511,2)</f>
        <v>27.45</v>
      </c>
      <c r="G1511" s="876" t="s">
        <v>139</v>
      </c>
      <c r="H1511" s="877"/>
      <c r="I1511" s="878"/>
      <c r="J1511" s="877"/>
      <c r="K1511" s="877" t="s">
        <v>3</v>
      </c>
      <c r="L1511" s="879" t="s">
        <v>140</v>
      </c>
      <c r="M1511" s="879"/>
      <c r="N1511" s="879"/>
      <c r="O1511" s="879"/>
      <c r="P1511" s="879"/>
      <c r="Q1511" s="50"/>
      <c r="T1511" s="880" t="str">
        <f ca="1">IF(AND($R1516=0,$T1516=0),"0.00","mu :" &amp; ROUND($F1511/$C$2/($R1516+$T1516*$D$9),2))</f>
        <v>mu :1.22</v>
      </c>
      <c r="W1511" s="507"/>
      <c r="AG1511" s="465">
        <f ca="1">IF($E1511=0,0,ROUND($R1516*$S$2*$C$2/$A1511,2))</f>
        <v>0</v>
      </c>
      <c r="AH1511" s="465">
        <f ca="1">$AG1511*$A1511</f>
        <v>0</v>
      </c>
      <c r="AI1511" s="508">
        <f ca="1">$E1511-$AG1511</f>
        <v>9.15</v>
      </c>
      <c r="AJ1511" s="508">
        <f ca="1">$A1511*$AI1511</f>
        <v>27.450000000000003</v>
      </c>
      <c r="AK1511" s="509">
        <f ca="1">ROUND(($AG1511+$AI1511)*$A1511,2)</f>
        <v>27.45</v>
      </c>
      <c r="AM1511" s="510">
        <f ca="1">ROUND(R1516,2)</f>
        <v>0</v>
      </c>
      <c r="AN1511" s="511">
        <f ca="1">ROUND(T1516,2)</f>
        <v>0.78</v>
      </c>
      <c r="AO1511" s="512">
        <f ca="1">ROUND(AM1511+AN1511,2)*A1511</f>
        <v>2.34</v>
      </c>
    </row>
    <row r="1512" spans="1:41" s="504" customFormat="1" ht="13.2">
      <c r="A1512" s="872"/>
      <c r="B1512"/>
      <c r="C1512" s="872"/>
      <c r="D1512" s="873" t="s">
        <v>418</v>
      </c>
      <c r="F1512" s="877"/>
      <c r="G1512" s="3"/>
      <c r="H1512" s="877"/>
      <c r="I1512" s="878"/>
      <c r="J1512" s="877"/>
      <c r="K1512" s="877" t="s">
        <v>141</v>
      </c>
      <c r="L1512" s="877"/>
      <c r="M1512" s="877"/>
      <c r="N1512" s="877"/>
      <c r="O1512" s="877"/>
      <c r="P1512" s="877"/>
      <c r="Q1512" s="50"/>
      <c r="R1512" s="513"/>
      <c r="S1512" s="881"/>
      <c r="T1512" s="877"/>
    </row>
    <row r="1513" spans="1:41" s="997" customFormat="1" ht="13.2">
      <c r="A1513"/>
      <c r="B1513" s="1065"/>
      <c r="C1513" s="1065" t="s">
        <v>1006</v>
      </c>
      <c r="D1513" s="1065" t="str">
        <f ca="1">CELL("Address",Elec_Rates!D$423)</f>
        <v>[EL25_0662B_Brittania_Hotel_Elec_Revised_Estim_B.xlsx]Elec_Rates!$D$423</v>
      </c>
      <c r="E1513" s="1066"/>
      <c r="F1513" s="1066"/>
      <c r="G1513" s="1067" t="s">
        <v>1007</v>
      </c>
      <c r="H1513" s="1067"/>
      <c r="I1513" s="1067"/>
      <c r="J1513" s="1067"/>
      <c r="K1513" s="1068"/>
      <c r="L1513" s="1066"/>
      <c r="M1513" s="1066"/>
      <c r="N1513" s="1066"/>
      <c r="O1513" s="1069"/>
      <c r="P1513" s="1066"/>
      <c r="Q1513" s="1070"/>
      <c r="R1513" s="1071"/>
      <c r="S1513" s="1070"/>
      <c r="T1513" s="1072"/>
      <c r="U1513" s="1073"/>
    </row>
    <row r="1514" spans="1:41" s="997" customFormat="1" ht="11.4">
      <c r="A1514" s="1074">
        <v>3</v>
      </c>
      <c r="B1514" s="1075">
        <v>1</v>
      </c>
      <c r="C1514" s="1075">
        <f>$A1514*$B1514</f>
        <v>3</v>
      </c>
      <c r="D1514" s="1076" t="str">
        <f>Elec_Rates!$D$423</f>
        <v>049# Install and connect Only - Type 'LT-08' - Mini Soffit Recessed Downlighter</v>
      </c>
      <c r="E1514" s="1076"/>
      <c r="F1514" s="1076"/>
      <c r="G1514" s="1077" t="s">
        <v>1008</v>
      </c>
      <c r="H1514" s="1077"/>
      <c r="I1514" s="1077"/>
      <c r="J1514" s="1077"/>
      <c r="K1514" s="1078"/>
      <c r="L1514" s="1073"/>
      <c r="M1514" s="1073"/>
      <c r="N1514" s="1073"/>
      <c r="O1514" s="1079"/>
      <c r="P1514" s="1076"/>
      <c r="Q1514" s="1080">
        <f ca="1">$B1514*Elec_Rates!$R$423</f>
        <v>0</v>
      </c>
      <c r="R1514" s="1071">
        <f ca="1">$A1514*Q1514</f>
        <v>0</v>
      </c>
      <c r="S1514" s="1080">
        <f ca="1">$B1514*Elec_Rates!$T$423</f>
        <v>0.26</v>
      </c>
      <c r="T1514" s="1072">
        <f ca="1">$A1514*S1514</f>
        <v>0.78</v>
      </c>
      <c r="U1514" s="1081"/>
    </row>
    <row r="1515" spans="1:41" s="504" customFormat="1" ht="12">
      <c r="A1515" s="882"/>
      <c r="B1515" s="882"/>
      <c r="C1515" s="882"/>
      <c r="D1515" s="882"/>
      <c r="E1515" s="882"/>
      <c r="F1515" s="877"/>
      <c r="G1515" s="882"/>
      <c r="H1515" s="882"/>
      <c r="I1515" s="503"/>
      <c r="J1515" s="882"/>
      <c r="K1515" s="882"/>
      <c r="L1515" s="882"/>
      <c r="M1515" s="882"/>
      <c r="N1515" s="882"/>
      <c r="O1515" s="882"/>
      <c r="P1515" s="882"/>
      <c r="Q1515" s="503"/>
      <c r="R1515" s="883">
        <f>$A1515*Q1515</f>
        <v>0</v>
      </c>
      <c r="S1515" s="503"/>
      <c r="T1515" s="884">
        <f>$A1515*S1515*$T$1</f>
        <v>0</v>
      </c>
    </row>
    <row r="1516" spans="1:41" s="504" customFormat="1" ht="12.6" thickBot="1">
      <c r="A1516" s="885" t="s">
        <v>142</v>
      </c>
      <c r="B1516" s="886">
        <f>(R1515+T1515)</f>
        <v>0</v>
      </c>
      <c r="C1516" s="887"/>
      <c r="D1516" s="887"/>
      <c r="E1516" s="887"/>
      <c r="F1516" s="888"/>
      <c r="G1516" s="887" t="s">
        <v>143</v>
      </c>
      <c r="H1516" s="887"/>
      <c r="I1516" s="889"/>
      <c r="J1516" s="887"/>
      <c r="K1516" s="887" t="s">
        <v>3</v>
      </c>
      <c r="L1516" s="890" t="s">
        <v>140</v>
      </c>
      <c r="M1516" s="890"/>
      <c r="N1516" s="890"/>
      <c r="O1516" s="890"/>
      <c r="P1516" s="890"/>
      <c r="Q1516" s="891"/>
      <c r="R1516" s="892">
        <f ca="1">SUM(R1512:R1515)</f>
        <v>0</v>
      </c>
      <c r="S1516" s="887"/>
      <c r="T1516" s="892">
        <f ca="1">SUM(T1512:T1515)</f>
        <v>0.78</v>
      </c>
      <c r="U1516" s="514"/>
      <c r="V1516" s="514"/>
      <c r="W1516" s="514"/>
      <c r="X1516" s="514"/>
      <c r="Y1516" s="514"/>
      <c r="Z1516" s="514"/>
      <c r="AA1516" s="514"/>
      <c r="AB1516" s="514"/>
      <c r="AC1516" s="514"/>
      <c r="AD1516" s="514"/>
      <c r="AE1516" s="514"/>
      <c r="AF1516" s="514"/>
      <c r="AG1516" s="514"/>
      <c r="AH1516" s="514"/>
      <c r="AI1516" s="514"/>
      <c r="AJ1516" s="514"/>
      <c r="AK1516" s="514"/>
      <c r="AL1516" s="514"/>
      <c r="AM1516" s="514"/>
      <c r="AN1516" s="514"/>
      <c r="AO1516" s="514"/>
    </row>
    <row r="1517" spans="1:41" s="504" customFormat="1" ht="12" thickTop="1">
      <c r="A1517" s="50"/>
      <c r="B1517" s="40"/>
      <c r="C1517" s="50"/>
      <c r="E1517" s="41" t="s">
        <v>136</v>
      </c>
      <c r="F1517" s="41" t="s">
        <v>137</v>
      </c>
      <c r="G1517" s="50"/>
      <c r="H1517" s="50"/>
      <c r="I1517" s="50"/>
      <c r="J1517" s="50"/>
      <c r="K1517" s="50" t="s">
        <v>138</v>
      </c>
      <c r="L1517" s="50"/>
      <c r="M1517" s="50"/>
      <c r="N1517" s="50"/>
      <c r="O1517" s="51"/>
      <c r="P1517" s="50"/>
      <c r="Q1517" s="50"/>
      <c r="R1517" s="50"/>
      <c r="S1517" s="50"/>
      <c r="T1517" s="40"/>
      <c r="AG1517" s="867" t="s">
        <v>241</v>
      </c>
      <c r="AH1517" s="867" t="s">
        <v>242</v>
      </c>
      <c r="AI1517" s="867" t="s">
        <v>243</v>
      </c>
      <c r="AJ1517" s="867" t="s">
        <v>244</v>
      </c>
      <c r="AK1517" s="867" t="s">
        <v>245</v>
      </c>
      <c r="AM1517" s="868" t="s">
        <v>254</v>
      </c>
      <c r="AN1517" s="869" t="s">
        <v>255</v>
      </c>
      <c r="AO1517" s="505" t="s">
        <v>251</v>
      </c>
    </row>
    <row r="1518" spans="1:41" s="504" customFormat="1" ht="12" customHeight="1">
      <c r="A1518" s="870">
        <v>10</v>
      </c>
      <c r="B1518" s="871" t="s">
        <v>335</v>
      </c>
      <c r="C1518" s="872"/>
      <c r="D1518" s="873" t="s">
        <v>820</v>
      </c>
      <c r="E1518" s="874">
        <f ca="1">IF(AND($A1518=0,$A$1="DIF"),0, ROUND(ROUND(($R1523*$S$2+($T1523*$T$2))/A1518,2)*$C$2,2))</f>
        <v>49.48</v>
      </c>
      <c r="F1518" s="875">
        <f ca="1">ROUND($A1518*$E1518,2)</f>
        <v>494.8</v>
      </c>
      <c r="G1518" s="876" t="s">
        <v>139</v>
      </c>
      <c r="H1518" s="877"/>
      <c r="I1518" s="878"/>
      <c r="J1518" s="877"/>
      <c r="K1518" s="877" t="s">
        <v>3</v>
      </c>
      <c r="L1518" s="879" t="s">
        <v>140</v>
      </c>
      <c r="M1518" s="879"/>
      <c r="N1518" s="879"/>
      <c r="O1518" s="879"/>
      <c r="P1518" s="879"/>
      <c r="Q1518" s="50"/>
      <c r="T1518" s="880" t="str">
        <f ca="1">IF(AND($R1523=0,$T1523=0),"0.00","mu :" &amp; ROUND($F1518/$C$2/($R1523+$T1523*$D$9),2))</f>
        <v>mu :1.22</v>
      </c>
      <c r="W1518" s="507"/>
      <c r="AG1518" s="465">
        <f ca="1">IF($E1518=0,0,ROUND($R1523*$S$2*$C$2/$A1518,2))</f>
        <v>21.69</v>
      </c>
      <c r="AH1518" s="465">
        <f ca="1">$AG1518*$A1518</f>
        <v>216.9</v>
      </c>
      <c r="AI1518" s="508">
        <f ca="1">$E1518-$AG1518</f>
        <v>27.789999999999996</v>
      </c>
      <c r="AJ1518" s="508">
        <f ca="1">$A1518*$AI1518</f>
        <v>277.89999999999998</v>
      </c>
      <c r="AK1518" s="509">
        <f ca="1">ROUND(($AG1518+$AI1518)*$A1518,2)</f>
        <v>494.8</v>
      </c>
      <c r="AM1518" s="510">
        <f ca="1">ROUND(R1523,2)</f>
        <v>177.8</v>
      </c>
      <c r="AN1518" s="511">
        <f ca="1">ROUND(T1523,2)</f>
        <v>7.9</v>
      </c>
      <c r="AO1518" s="512">
        <f ca="1">ROUND(AM1518+AN1518,2)*A1518</f>
        <v>1857</v>
      </c>
    </row>
    <row r="1519" spans="1:41" s="504" customFormat="1" ht="13.2">
      <c r="A1519" s="872"/>
      <c r="B1519"/>
      <c r="C1519" s="872"/>
      <c r="D1519" s="873" t="s">
        <v>419</v>
      </c>
      <c r="F1519" s="877"/>
      <c r="G1519" s="3"/>
      <c r="H1519" s="877"/>
      <c r="I1519" s="878"/>
      <c r="J1519" s="877"/>
      <c r="K1519" s="877" t="s">
        <v>141</v>
      </c>
      <c r="L1519" s="877"/>
      <c r="M1519" s="877"/>
      <c r="N1519" s="877"/>
      <c r="O1519" s="877"/>
      <c r="P1519" s="877"/>
      <c r="Q1519" s="50"/>
      <c r="R1519" s="513"/>
      <c r="S1519" s="881"/>
      <c r="T1519" s="877"/>
    </row>
    <row r="1520" spans="1:41" s="997" customFormat="1" ht="13.2">
      <c r="A1520"/>
      <c r="B1520" s="1065"/>
      <c r="C1520" s="1065" t="s">
        <v>1006</v>
      </c>
      <c r="D1520" s="1065" t="str">
        <f ca="1">CELL("Address",Elec_Rates!D$444)</f>
        <v>[EL25_0662B_Brittania_Hotel_Elec_Revised_Estim_B.xlsx]Elec_Rates!$D$444</v>
      </c>
      <c r="E1520" s="1066"/>
      <c r="F1520" s="1066"/>
      <c r="G1520" s="1067" t="s">
        <v>1007</v>
      </c>
      <c r="H1520" s="1067"/>
      <c r="I1520" s="1067"/>
      <c r="J1520" s="1067"/>
      <c r="K1520" s="1068"/>
      <c r="L1520" s="1066"/>
      <c r="M1520" s="1066"/>
      <c r="N1520" s="1066"/>
      <c r="O1520" s="1069"/>
      <c r="P1520" s="1066"/>
      <c r="Q1520" s="1070"/>
      <c r="R1520" s="1071"/>
      <c r="S1520" s="1070"/>
      <c r="T1520" s="1072"/>
      <c r="U1520" s="1073"/>
    </row>
    <row r="1521" spans="1:41" s="997" customFormat="1" ht="11.4">
      <c r="A1521" s="1074">
        <v>10</v>
      </c>
      <c r="B1521" s="1075">
        <v>1</v>
      </c>
      <c r="C1521" s="1075">
        <f>$A1521*$B1521</f>
        <v>10</v>
      </c>
      <c r="D1521" s="1076" t="str">
        <f>Elec_Rates!$D$444</f>
        <v>052# Install and connect Only - Type 'LT-12' - 6W Recessed Floor Spotlight, Dimmable, IP65</v>
      </c>
      <c r="E1521" s="1076"/>
      <c r="F1521" s="1076"/>
      <c r="G1521" s="1077" t="s">
        <v>1008</v>
      </c>
      <c r="H1521" s="1077"/>
      <c r="I1521" s="1077"/>
      <c r="J1521" s="1077"/>
      <c r="K1521" s="1078"/>
      <c r="L1521" s="1073"/>
      <c r="M1521" s="1073"/>
      <c r="N1521" s="1073"/>
      <c r="O1521" s="1079"/>
      <c r="P1521" s="1076"/>
      <c r="Q1521" s="1080">
        <f ca="1">$B1521*Elec_Rates!$R$444</f>
        <v>17.78</v>
      </c>
      <c r="R1521" s="1071">
        <f ca="1">$A1521*Q1521</f>
        <v>177.8</v>
      </c>
      <c r="S1521" s="1080">
        <f ca="1">$B1521*Elec_Rates!$T$444</f>
        <v>0.79</v>
      </c>
      <c r="T1521" s="1072">
        <f ca="1">$A1521*S1521</f>
        <v>7.9</v>
      </c>
      <c r="U1521" s="1081"/>
    </row>
    <row r="1522" spans="1:41" s="504" customFormat="1" ht="12">
      <c r="A1522" s="882"/>
      <c r="B1522" s="882"/>
      <c r="C1522" s="882"/>
      <c r="D1522" s="882"/>
      <c r="E1522" s="882"/>
      <c r="F1522" s="877"/>
      <c r="G1522" s="882"/>
      <c r="H1522" s="882"/>
      <c r="I1522" s="503"/>
      <c r="J1522" s="882"/>
      <c r="K1522" s="882"/>
      <c r="L1522" s="882"/>
      <c r="M1522" s="882"/>
      <c r="N1522" s="882"/>
      <c r="O1522" s="882"/>
      <c r="P1522" s="882"/>
      <c r="Q1522" s="503"/>
      <c r="R1522" s="883">
        <f>$A1522*Q1522</f>
        <v>0</v>
      </c>
      <c r="S1522" s="503"/>
      <c r="T1522" s="884">
        <f>$A1522*S1522*$T$1</f>
        <v>0</v>
      </c>
    </row>
    <row r="1523" spans="1:41" s="504" customFormat="1" ht="12.6" thickBot="1">
      <c r="A1523" s="885" t="s">
        <v>142</v>
      </c>
      <c r="B1523" s="886">
        <f>(R1522+T1522)</f>
        <v>0</v>
      </c>
      <c r="C1523" s="887"/>
      <c r="D1523" s="887"/>
      <c r="E1523" s="887"/>
      <c r="F1523" s="888"/>
      <c r="G1523" s="887" t="s">
        <v>143</v>
      </c>
      <c r="H1523" s="887"/>
      <c r="I1523" s="889"/>
      <c r="J1523" s="887"/>
      <c r="K1523" s="887" t="s">
        <v>3</v>
      </c>
      <c r="L1523" s="890" t="s">
        <v>140</v>
      </c>
      <c r="M1523" s="890"/>
      <c r="N1523" s="890"/>
      <c r="O1523" s="890"/>
      <c r="P1523" s="890"/>
      <c r="Q1523" s="891"/>
      <c r="R1523" s="892">
        <f ca="1">SUM(R1519:R1522)</f>
        <v>177.8</v>
      </c>
      <c r="S1523" s="887"/>
      <c r="T1523" s="892">
        <f ca="1">SUM(T1519:T1522)</f>
        <v>7.9</v>
      </c>
      <c r="U1523" s="514"/>
      <c r="V1523" s="514"/>
      <c r="W1523" s="514"/>
      <c r="X1523" s="514"/>
      <c r="Y1523" s="514"/>
      <c r="Z1523" s="514"/>
      <c r="AA1523" s="514"/>
      <c r="AB1523" s="514"/>
      <c r="AC1523" s="514"/>
      <c r="AD1523" s="514"/>
      <c r="AE1523" s="514"/>
      <c r="AF1523" s="514"/>
      <c r="AG1523" s="514"/>
      <c r="AH1523" s="514"/>
      <c r="AI1523" s="514"/>
      <c r="AJ1523" s="514"/>
      <c r="AK1523" s="514"/>
      <c r="AL1523" s="514"/>
      <c r="AM1523" s="514"/>
      <c r="AN1523" s="514"/>
      <c r="AO1523" s="514"/>
    </row>
    <row r="1524" spans="1:41" s="504" customFormat="1" ht="12" thickTop="1">
      <c r="A1524" s="50"/>
      <c r="B1524" s="40"/>
      <c r="C1524" s="50"/>
      <c r="E1524" s="41" t="s">
        <v>136</v>
      </c>
      <c r="F1524" s="41" t="s">
        <v>137</v>
      </c>
      <c r="G1524" s="50"/>
      <c r="H1524" s="50"/>
      <c r="I1524" s="50"/>
      <c r="J1524" s="50"/>
      <c r="K1524" s="50" t="s">
        <v>138</v>
      </c>
      <c r="L1524" s="50"/>
      <c r="M1524" s="50"/>
      <c r="N1524" s="50"/>
      <c r="O1524" s="51"/>
      <c r="P1524" s="50"/>
      <c r="Q1524" s="50"/>
      <c r="R1524" s="50"/>
      <c r="S1524" s="50"/>
      <c r="T1524" s="40"/>
      <c r="AG1524" s="867" t="s">
        <v>241</v>
      </c>
      <c r="AH1524" s="867" t="s">
        <v>242</v>
      </c>
      <c r="AI1524" s="867" t="s">
        <v>243</v>
      </c>
      <c r="AJ1524" s="867" t="s">
        <v>244</v>
      </c>
      <c r="AK1524" s="867" t="s">
        <v>245</v>
      </c>
      <c r="AM1524" s="868" t="s">
        <v>254</v>
      </c>
      <c r="AN1524" s="869" t="s">
        <v>255</v>
      </c>
      <c r="AO1524" s="505" t="s">
        <v>251</v>
      </c>
    </row>
    <row r="1525" spans="1:41" s="504" customFormat="1" ht="12" customHeight="1">
      <c r="A1525" s="870">
        <v>2</v>
      </c>
      <c r="B1525" s="871" t="s">
        <v>326</v>
      </c>
      <c r="C1525" s="872"/>
      <c r="D1525" s="873" t="s">
        <v>821</v>
      </c>
      <c r="E1525" s="874">
        <f ca="1">IF(AND($A1525=0,$A$1="DIF"),0, ROUND(ROUND(($R1530*$S$2+($T1530*$T$2))/A1525,2)*$C$2,2))</f>
        <v>5.63</v>
      </c>
      <c r="F1525" s="875">
        <f ca="1">ROUND($A1525*$E1525,2)</f>
        <v>11.26</v>
      </c>
      <c r="G1525" s="876" t="s">
        <v>139</v>
      </c>
      <c r="H1525" s="877"/>
      <c r="I1525" s="878"/>
      <c r="J1525" s="877"/>
      <c r="K1525" s="877" t="s">
        <v>3</v>
      </c>
      <c r="L1525" s="879" t="s">
        <v>140</v>
      </c>
      <c r="M1525" s="879"/>
      <c r="N1525" s="879"/>
      <c r="O1525" s="879"/>
      <c r="P1525" s="879"/>
      <c r="Q1525" s="50"/>
      <c r="T1525" s="880" t="str">
        <f ca="1">IF(AND($R1530=0,$T1530=0),"0.00","mu :" &amp; ROUND($F1525/$C$2/($R1530+$T1530*$D$9),2))</f>
        <v>mu :1.22</v>
      </c>
      <c r="W1525" s="507"/>
      <c r="AG1525" s="465">
        <f ca="1">IF($E1525=0,0,ROUND($R1530*$S$2*$C$2/$A1525,2))</f>
        <v>0</v>
      </c>
      <c r="AH1525" s="465">
        <f ca="1">$AG1525*$A1525</f>
        <v>0</v>
      </c>
      <c r="AI1525" s="508">
        <f ca="1">$E1525-$AG1525</f>
        <v>5.63</v>
      </c>
      <c r="AJ1525" s="508">
        <f ca="1">$A1525*$AI1525</f>
        <v>11.26</v>
      </c>
      <c r="AK1525" s="509">
        <f ca="1">ROUND(($AG1525+$AI1525)*$A1525,2)</f>
        <v>11.26</v>
      </c>
      <c r="AM1525" s="510">
        <f ca="1">ROUND(R1530,2)</f>
        <v>0</v>
      </c>
      <c r="AN1525" s="511">
        <f ca="1">ROUND(T1530,2)</f>
        <v>0.32</v>
      </c>
      <c r="AO1525" s="512">
        <f ca="1">ROUND(AM1525+AN1525,2)*A1525</f>
        <v>0.64</v>
      </c>
    </row>
    <row r="1526" spans="1:41" s="504" customFormat="1" ht="13.2">
      <c r="A1526" s="872"/>
      <c r="B1526"/>
      <c r="C1526" s="872"/>
      <c r="D1526" s="873" t="s">
        <v>420</v>
      </c>
      <c r="F1526" s="877"/>
      <c r="G1526" s="3"/>
      <c r="H1526" s="877"/>
      <c r="I1526" s="878"/>
      <c r="J1526" s="877"/>
      <c r="K1526" s="877" t="s">
        <v>141</v>
      </c>
      <c r="L1526" s="877"/>
      <c r="M1526" s="877"/>
      <c r="N1526" s="877"/>
      <c r="O1526" s="877"/>
      <c r="P1526" s="877"/>
      <c r="Q1526" s="50"/>
      <c r="R1526" s="513"/>
      <c r="S1526" s="881"/>
      <c r="T1526" s="877"/>
    </row>
    <row r="1527" spans="1:41" s="997" customFormat="1" ht="13.2">
      <c r="A1527"/>
      <c r="B1527" s="1065"/>
      <c r="C1527" s="1065" t="s">
        <v>1006</v>
      </c>
      <c r="D1527" s="1065" t="str">
        <f ca="1">CELL("Address",Elec_Rates!D$452)</f>
        <v>[EL25_0662B_Brittania_Hotel_Elec_Revised_Estim_B.xlsx]Elec_Rates!$D$452</v>
      </c>
      <c r="E1527" s="1066"/>
      <c r="F1527" s="1066"/>
      <c r="G1527" s="1067" t="s">
        <v>1007</v>
      </c>
      <c r="H1527" s="1067"/>
      <c r="I1527" s="1067"/>
      <c r="J1527" s="1067"/>
      <c r="K1527" s="1068"/>
      <c r="L1527" s="1066"/>
      <c r="M1527" s="1066"/>
      <c r="N1527" s="1066"/>
      <c r="O1527" s="1069"/>
      <c r="P1527" s="1066"/>
      <c r="Q1527" s="1070"/>
      <c r="R1527" s="1071"/>
      <c r="S1527" s="1070"/>
      <c r="T1527" s="1072"/>
      <c r="U1527" s="1073"/>
    </row>
    <row r="1528" spans="1:41" s="997" customFormat="1" ht="11.4">
      <c r="A1528" s="1074">
        <v>2</v>
      </c>
      <c r="B1528" s="1075">
        <v>1</v>
      </c>
      <c r="C1528" s="1075">
        <f>$A1528*$B1528</f>
        <v>2</v>
      </c>
      <c r="D1528" s="1076" t="str">
        <f>Elec_Rates!$D$452</f>
        <v>053# Install and connect Only - Type 'LT-13 - Dimmable Strip Light</v>
      </c>
      <c r="E1528" s="1076"/>
      <c r="F1528" s="1076"/>
      <c r="G1528" s="1077" t="s">
        <v>1008</v>
      </c>
      <c r="H1528" s="1077"/>
      <c r="I1528" s="1077"/>
      <c r="J1528" s="1077"/>
      <c r="K1528" s="1078"/>
      <c r="L1528" s="1073"/>
      <c r="M1528" s="1073"/>
      <c r="N1528" s="1073"/>
      <c r="O1528" s="1079"/>
      <c r="P1528" s="1076"/>
      <c r="Q1528" s="1080">
        <f ca="1">$B1528*Elec_Rates!$R$452</f>
        <v>0</v>
      </c>
      <c r="R1528" s="1071">
        <f ca="1">$A1528*Q1528</f>
        <v>0</v>
      </c>
      <c r="S1528" s="1080">
        <f ca="1">$B1528*Elec_Rates!$T$452</f>
        <v>0.16</v>
      </c>
      <c r="T1528" s="1072">
        <f ca="1">$A1528*S1528</f>
        <v>0.32</v>
      </c>
      <c r="U1528" s="1081"/>
    </row>
    <row r="1529" spans="1:41" s="504" customFormat="1" ht="12">
      <c r="A1529" s="882"/>
      <c r="B1529" s="882"/>
      <c r="C1529" s="882"/>
      <c r="D1529" s="882"/>
      <c r="E1529" s="882"/>
      <c r="F1529" s="877"/>
      <c r="G1529" s="882"/>
      <c r="H1529" s="882"/>
      <c r="I1529" s="503"/>
      <c r="J1529" s="882"/>
      <c r="K1529" s="882"/>
      <c r="L1529" s="882"/>
      <c r="M1529" s="882"/>
      <c r="N1529" s="882"/>
      <c r="O1529" s="882"/>
      <c r="P1529" s="882"/>
      <c r="Q1529" s="503"/>
      <c r="R1529" s="883">
        <f>$A1529*Q1529</f>
        <v>0</v>
      </c>
      <c r="S1529" s="503"/>
      <c r="T1529" s="884">
        <f>$A1529*S1529*$T$1</f>
        <v>0</v>
      </c>
    </row>
    <row r="1530" spans="1:41" s="504" customFormat="1" ht="12.6" thickBot="1">
      <c r="A1530" s="885" t="s">
        <v>142</v>
      </c>
      <c r="B1530" s="886">
        <f>(R1529+T1529)</f>
        <v>0</v>
      </c>
      <c r="C1530" s="887"/>
      <c r="D1530" s="887"/>
      <c r="E1530" s="887"/>
      <c r="F1530" s="888"/>
      <c r="G1530" s="887" t="s">
        <v>143</v>
      </c>
      <c r="H1530" s="887"/>
      <c r="I1530" s="889"/>
      <c r="J1530" s="887"/>
      <c r="K1530" s="887" t="s">
        <v>3</v>
      </c>
      <c r="L1530" s="890" t="s">
        <v>140</v>
      </c>
      <c r="M1530" s="890"/>
      <c r="N1530" s="890"/>
      <c r="O1530" s="890"/>
      <c r="P1530" s="890"/>
      <c r="Q1530" s="891"/>
      <c r="R1530" s="892">
        <f ca="1">SUM(R1526:R1529)</f>
        <v>0</v>
      </c>
      <c r="S1530" s="887"/>
      <c r="T1530" s="892">
        <f ca="1">SUM(T1526:T1529)</f>
        <v>0.32</v>
      </c>
      <c r="U1530" s="514"/>
      <c r="V1530" s="514"/>
      <c r="W1530" s="514"/>
      <c r="X1530" s="514"/>
      <c r="Y1530" s="514"/>
      <c r="Z1530" s="514"/>
      <c r="AA1530" s="514"/>
      <c r="AB1530" s="514"/>
      <c r="AC1530" s="514"/>
      <c r="AD1530" s="514"/>
      <c r="AE1530" s="514"/>
      <c r="AF1530" s="514"/>
      <c r="AG1530" s="514"/>
      <c r="AH1530" s="514"/>
      <c r="AI1530" s="514"/>
      <c r="AJ1530" s="514"/>
      <c r="AK1530" s="514"/>
      <c r="AL1530" s="514"/>
      <c r="AM1530" s="514"/>
      <c r="AN1530" s="514"/>
      <c r="AO1530" s="514"/>
    </row>
    <row r="1531" spans="1:41" s="504" customFormat="1" ht="12" thickTop="1">
      <c r="A1531" s="50"/>
      <c r="B1531" s="40"/>
      <c r="C1531" s="50"/>
      <c r="E1531" s="41" t="s">
        <v>136</v>
      </c>
      <c r="F1531" s="41" t="s">
        <v>137</v>
      </c>
      <c r="G1531" s="50"/>
      <c r="H1531" s="50"/>
      <c r="I1531" s="50"/>
      <c r="J1531" s="50"/>
      <c r="K1531" s="50" t="s">
        <v>138</v>
      </c>
      <c r="L1531" s="50"/>
      <c r="M1531" s="50"/>
      <c r="N1531" s="50"/>
      <c r="O1531" s="51"/>
      <c r="P1531" s="50"/>
      <c r="Q1531" s="50"/>
      <c r="R1531" s="50"/>
      <c r="S1531" s="50"/>
      <c r="T1531" s="40"/>
      <c r="AG1531" s="867" t="s">
        <v>241</v>
      </c>
      <c r="AH1531" s="867" t="s">
        <v>242</v>
      </c>
      <c r="AI1531" s="867" t="s">
        <v>243</v>
      </c>
      <c r="AJ1531" s="867" t="s">
        <v>244</v>
      </c>
      <c r="AK1531" s="867" t="s">
        <v>245</v>
      </c>
      <c r="AM1531" s="868" t="s">
        <v>254</v>
      </c>
      <c r="AN1531" s="869" t="s">
        <v>255</v>
      </c>
      <c r="AO1531" s="505" t="s">
        <v>251</v>
      </c>
    </row>
    <row r="1532" spans="1:41" s="504" customFormat="1" ht="12" customHeight="1">
      <c r="A1532" s="870">
        <v>1</v>
      </c>
      <c r="B1532" s="871" t="s">
        <v>335</v>
      </c>
      <c r="C1532" s="872"/>
      <c r="D1532" s="873" t="s">
        <v>822</v>
      </c>
      <c r="E1532" s="874">
        <f ca="1">IF(AND($A1532=0,$A$1="DIF"),0, ROUND(ROUND(($R1537*$S$2+($T1537*$T$2))/A1532,2)*$C$2,2))</f>
        <v>14.36</v>
      </c>
      <c r="F1532" s="875">
        <f ca="1">ROUND($A1532*$E1532,2)</f>
        <v>14.36</v>
      </c>
      <c r="G1532" s="876" t="s">
        <v>139</v>
      </c>
      <c r="H1532" s="877"/>
      <c r="I1532" s="878"/>
      <c r="J1532" s="877"/>
      <c r="K1532" s="877" t="s">
        <v>3</v>
      </c>
      <c r="L1532" s="879" t="s">
        <v>140</v>
      </c>
      <c r="M1532" s="879"/>
      <c r="N1532" s="879"/>
      <c r="O1532" s="879"/>
      <c r="P1532" s="879"/>
      <c r="Q1532" s="50"/>
      <c r="T1532" s="880" t="str">
        <f ca="1">IF(AND($R1537=0,$T1537=0),"0.00","mu :" &amp; ROUND($F1532/$C$2/($R1537+$T1537*$D$9),2))</f>
        <v>mu :1.22</v>
      </c>
      <c r="W1532" s="507"/>
      <c r="AG1532" s="465">
        <f ca="1">IF($E1532=0,0,ROUND($R1537*$S$2*$C$2/$A1532,2))</f>
        <v>1.34</v>
      </c>
      <c r="AH1532" s="465">
        <f ca="1">$AG1532*$A1532</f>
        <v>1.34</v>
      </c>
      <c r="AI1532" s="508">
        <f ca="1">$E1532-$AG1532</f>
        <v>13.02</v>
      </c>
      <c r="AJ1532" s="508">
        <f ca="1">$A1532*$AI1532</f>
        <v>13.02</v>
      </c>
      <c r="AK1532" s="509">
        <f ca="1">ROUND(($AG1532+$AI1532)*$A1532,2)</f>
        <v>14.36</v>
      </c>
      <c r="AM1532" s="510">
        <f ca="1">ROUND(R1537,2)</f>
        <v>1.1000000000000001</v>
      </c>
      <c r="AN1532" s="511">
        <f ca="1">ROUND(T1537,2)</f>
        <v>0.37</v>
      </c>
      <c r="AO1532" s="512">
        <f ca="1">ROUND(AM1532+AN1532,2)*A1532</f>
        <v>1.47</v>
      </c>
    </row>
    <row r="1533" spans="1:41" s="504" customFormat="1" ht="13.2">
      <c r="A1533" s="872"/>
      <c r="B1533"/>
      <c r="C1533" s="872"/>
      <c r="D1533" s="873" t="s">
        <v>421</v>
      </c>
      <c r="F1533" s="877"/>
      <c r="G1533" s="3"/>
      <c r="H1533" s="877"/>
      <c r="I1533" s="878"/>
      <c r="J1533" s="877"/>
      <c r="K1533" s="877" t="s">
        <v>141</v>
      </c>
      <c r="L1533" s="877"/>
      <c r="M1533" s="877"/>
      <c r="N1533" s="877"/>
      <c r="O1533" s="877"/>
      <c r="P1533" s="877"/>
      <c r="Q1533" s="50"/>
      <c r="R1533" s="513"/>
      <c r="S1533" s="881"/>
      <c r="T1533" s="877"/>
    </row>
    <row r="1534" spans="1:41" s="997" customFormat="1" ht="13.2">
      <c r="A1534"/>
      <c r="B1534" s="1065"/>
      <c r="C1534" s="1065" t="s">
        <v>1006</v>
      </c>
      <c r="D1534" s="1065" t="str">
        <f ca="1">CELL("Address",Elec_Rates!D$464)</f>
        <v>[EL25_0662B_Brittania_Hotel_Elec_Revised_Estim_B.xlsx]Elec_Rates!$D$464</v>
      </c>
      <c r="E1534" s="1066"/>
      <c r="F1534" s="1066"/>
      <c r="G1534" s="1067" t="s">
        <v>1007</v>
      </c>
      <c r="H1534" s="1067"/>
      <c r="I1534" s="1067"/>
      <c r="J1534" s="1067"/>
      <c r="K1534" s="1068"/>
      <c r="L1534" s="1066"/>
      <c r="M1534" s="1066"/>
      <c r="N1534" s="1066"/>
      <c r="O1534" s="1069"/>
      <c r="P1534" s="1066"/>
      <c r="Q1534" s="1070"/>
      <c r="R1534" s="1071"/>
      <c r="S1534" s="1070"/>
      <c r="T1534" s="1072"/>
      <c r="U1534" s="1073"/>
    </row>
    <row r="1535" spans="1:41" s="997" customFormat="1" ht="11.4">
      <c r="A1535" s="1074">
        <v>1</v>
      </c>
      <c r="B1535" s="1075">
        <v>1</v>
      </c>
      <c r="C1535" s="1075">
        <f>$A1535*$B1535</f>
        <v>1</v>
      </c>
      <c r="D1535" s="1076" t="str">
        <f>Elec_Rates!$D$464</f>
        <v>055# Install and connect Only - Type 'LT-15' - 8.5W Soffit Recessed Downlighter</v>
      </c>
      <c r="E1535" s="1076"/>
      <c r="F1535" s="1076"/>
      <c r="G1535" s="1077" t="s">
        <v>1008</v>
      </c>
      <c r="H1535" s="1077"/>
      <c r="I1535" s="1077"/>
      <c r="J1535" s="1077"/>
      <c r="K1535" s="1078"/>
      <c r="L1535" s="1073"/>
      <c r="M1535" s="1073"/>
      <c r="N1535" s="1073"/>
      <c r="O1535" s="1079"/>
      <c r="P1535" s="1076"/>
      <c r="Q1535" s="1080">
        <f ca="1">$B1535*Elec_Rates!$R$464</f>
        <v>1.1000000000000001</v>
      </c>
      <c r="R1535" s="1071">
        <f ca="1">$A1535*Q1535</f>
        <v>1.1000000000000001</v>
      </c>
      <c r="S1535" s="1080">
        <f ca="1">$B1535*Elec_Rates!$T$464</f>
        <v>0.37</v>
      </c>
      <c r="T1535" s="1072">
        <f ca="1">$A1535*S1535</f>
        <v>0.37</v>
      </c>
      <c r="U1535" s="1081"/>
    </row>
    <row r="1536" spans="1:41" s="504" customFormat="1" ht="12">
      <c r="A1536" s="882"/>
      <c r="B1536" s="882"/>
      <c r="C1536" s="882"/>
      <c r="D1536" s="882"/>
      <c r="E1536" s="882"/>
      <c r="F1536" s="877"/>
      <c r="G1536" s="882"/>
      <c r="H1536" s="882"/>
      <c r="I1536" s="503"/>
      <c r="J1536" s="882"/>
      <c r="K1536" s="882"/>
      <c r="L1536" s="882"/>
      <c r="M1536" s="882"/>
      <c r="N1536" s="882"/>
      <c r="O1536" s="882"/>
      <c r="P1536" s="882"/>
      <c r="Q1536" s="503"/>
      <c r="R1536" s="883">
        <f>$A1536*Q1536</f>
        <v>0</v>
      </c>
      <c r="S1536" s="503"/>
      <c r="T1536" s="884">
        <f>$A1536*S1536*$T$1</f>
        <v>0</v>
      </c>
    </row>
    <row r="1537" spans="1:41" s="504" customFormat="1" ht="12.6" thickBot="1">
      <c r="A1537" s="885" t="s">
        <v>142</v>
      </c>
      <c r="B1537" s="886">
        <f>(R1536+T1536)</f>
        <v>0</v>
      </c>
      <c r="C1537" s="887"/>
      <c r="D1537" s="887"/>
      <c r="E1537" s="887"/>
      <c r="F1537" s="888"/>
      <c r="G1537" s="887" t="s">
        <v>143</v>
      </c>
      <c r="H1537" s="887"/>
      <c r="I1537" s="889"/>
      <c r="J1537" s="887"/>
      <c r="K1537" s="887" t="s">
        <v>3</v>
      </c>
      <c r="L1537" s="890" t="s">
        <v>140</v>
      </c>
      <c r="M1537" s="890"/>
      <c r="N1537" s="890"/>
      <c r="O1537" s="890"/>
      <c r="P1537" s="890"/>
      <c r="Q1537" s="891"/>
      <c r="R1537" s="892">
        <f ca="1">SUM(R1533:R1536)</f>
        <v>1.1000000000000001</v>
      </c>
      <c r="S1537" s="887"/>
      <c r="T1537" s="892">
        <f ca="1">SUM(T1533:T1536)</f>
        <v>0.37</v>
      </c>
      <c r="U1537" s="514"/>
      <c r="V1537" s="514"/>
      <c r="W1537" s="514"/>
      <c r="X1537" s="514"/>
      <c r="Y1537" s="514"/>
      <c r="Z1537" s="514"/>
      <c r="AA1537" s="514"/>
      <c r="AB1537" s="514"/>
      <c r="AC1537" s="514"/>
      <c r="AD1537" s="514"/>
      <c r="AE1537" s="514"/>
      <c r="AF1537" s="514"/>
      <c r="AG1537" s="514"/>
      <c r="AH1537" s="514"/>
      <c r="AI1537" s="514"/>
      <c r="AJ1537" s="514"/>
      <c r="AK1537" s="514"/>
      <c r="AL1537" s="514"/>
      <c r="AM1537" s="514"/>
      <c r="AN1537" s="514"/>
      <c r="AO1537" s="514"/>
    </row>
    <row r="1538" spans="1:41" s="504" customFormat="1" ht="12" thickTop="1">
      <c r="A1538" s="50"/>
      <c r="B1538" s="40"/>
      <c r="C1538" s="50"/>
      <c r="E1538" s="41" t="s">
        <v>136</v>
      </c>
      <c r="F1538" s="41" t="s">
        <v>137</v>
      </c>
      <c r="G1538" s="50"/>
      <c r="H1538" s="50"/>
      <c r="I1538" s="50"/>
      <c r="J1538" s="50"/>
      <c r="K1538" s="50" t="s">
        <v>138</v>
      </c>
      <c r="L1538" s="50"/>
      <c r="M1538" s="50"/>
      <c r="N1538" s="50"/>
      <c r="O1538" s="51"/>
      <c r="P1538" s="50"/>
      <c r="Q1538" s="50"/>
      <c r="R1538" s="50"/>
      <c r="S1538" s="50"/>
      <c r="T1538" s="40"/>
      <c r="AG1538" s="867" t="s">
        <v>241</v>
      </c>
      <c r="AH1538" s="867" t="s">
        <v>242</v>
      </c>
      <c r="AI1538" s="867" t="s">
        <v>243</v>
      </c>
      <c r="AJ1538" s="867" t="s">
        <v>244</v>
      </c>
      <c r="AK1538" s="867" t="s">
        <v>245</v>
      </c>
      <c r="AM1538" s="868" t="s">
        <v>254</v>
      </c>
      <c r="AN1538" s="869" t="s">
        <v>255</v>
      </c>
      <c r="AO1538" s="505" t="s">
        <v>251</v>
      </c>
    </row>
    <row r="1539" spans="1:41" s="504" customFormat="1" ht="12" customHeight="1">
      <c r="A1539" s="870">
        <v>4</v>
      </c>
      <c r="B1539" s="871" t="s">
        <v>335</v>
      </c>
      <c r="C1539" s="872"/>
      <c r="D1539" s="873" t="s">
        <v>823</v>
      </c>
      <c r="E1539" s="874">
        <f ca="1">IF(AND($A1539=0,$A$1="DIF"),0, ROUND(ROUND(($R1544*$S$2+($T1544*$T$2))/A1539,2)*$C$2,2))</f>
        <v>11.35</v>
      </c>
      <c r="F1539" s="875">
        <f ca="1">ROUND($A1539*$E1539,2)</f>
        <v>45.4</v>
      </c>
      <c r="G1539" s="876" t="s">
        <v>139</v>
      </c>
      <c r="H1539" s="877"/>
      <c r="I1539" s="878"/>
      <c r="J1539" s="877"/>
      <c r="K1539" s="877" t="s">
        <v>3</v>
      </c>
      <c r="L1539" s="879" t="s">
        <v>140</v>
      </c>
      <c r="M1539" s="879"/>
      <c r="N1539" s="879"/>
      <c r="O1539" s="879"/>
      <c r="P1539" s="879"/>
      <c r="Q1539" s="50"/>
      <c r="T1539" s="880" t="str">
        <f ca="1">IF(AND($R1544=0,$T1544=0),"0.00","mu :" &amp; ROUND($F1539/$C$2/($R1544+$T1544*$D$9),2))</f>
        <v>mu :1.22</v>
      </c>
      <c r="W1539" s="507"/>
      <c r="AG1539" s="465">
        <f ca="1">IF($E1539=0,0,ROUND($R1544*$S$2*$C$2/$A1539,2))</f>
        <v>0.1</v>
      </c>
      <c r="AH1539" s="465">
        <f ca="1">$AG1539*$A1539</f>
        <v>0.4</v>
      </c>
      <c r="AI1539" s="508">
        <f ca="1">$E1539-$AG1539</f>
        <v>11.25</v>
      </c>
      <c r="AJ1539" s="508">
        <f ca="1">$A1539*$AI1539</f>
        <v>45</v>
      </c>
      <c r="AK1539" s="509">
        <f ca="1">ROUND(($AG1539+$AI1539)*$A1539,2)</f>
        <v>45.4</v>
      </c>
      <c r="AM1539" s="510">
        <f ca="1">ROUND(R1544,2)</f>
        <v>0.32</v>
      </c>
      <c r="AN1539" s="511">
        <f ca="1">ROUND(T1544,2)</f>
        <v>1.28</v>
      </c>
      <c r="AO1539" s="512">
        <f ca="1">ROUND(AM1539+AN1539,2)*A1539</f>
        <v>6.4</v>
      </c>
    </row>
    <row r="1540" spans="1:41" s="504" customFormat="1" ht="13.2">
      <c r="A1540" s="872"/>
      <c r="B1540"/>
      <c r="C1540" s="872"/>
      <c r="D1540" s="873" t="s">
        <v>356</v>
      </c>
      <c r="F1540" s="877"/>
      <c r="G1540" s="3"/>
      <c r="H1540" s="877"/>
      <c r="I1540" s="878"/>
      <c r="J1540" s="877"/>
      <c r="K1540" s="877" t="s">
        <v>141</v>
      </c>
      <c r="L1540" s="877"/>
      <c r="M1540" s="877"/>
      <c r="N1540" s="877"/>
      <c r="O1540" s="877"/>
      <c r="P1540" s="877"/>
      <c r="Q1540" s="50"/>
      <c r="R1540" s="513"/>
      <c r="S1540" s="881"/>
      <c r="T1540" s="877"/>
    </row>
    <row r="1541" spans="1:41" s="997" customFormat="1" ht="13.2">
      <c r="A1541"/>
      <c r="B1541" s="1065"/>
      <c r="C1541" s="1065" t="s">
        <v>1006</v>
      </c>
      <c r="D1541" s="1065" t="str">
        <f ca="1">CELL("Address",Elec_Rates!D$322)</f>
        <v>[EL25_0662B_Brittania_Hotel_Elec_Revised_Estim_B.xlsx]Elec_Rates!$D$322</v>
      </c>
      <c r="E1541" s="1066"/>
      <c r="F1541" s="1066"/>
      <c r="G1541" s="1067" t="s">
        <v>1007</v>
      </c>
      <c r="H1541" s="1067"/>
      <c r="I1541" s="1067"/>
      <c r="J1541" s="1067"/>
      <c r="K1541" s="1068"/>
      <c r="L1541" s="1066"/>
      <c r="M1541" s="1066"/>
      <c r="N1541" s="1066"/>
      <c r="O1541" s="1069"/>
      <c r="P1541" s="1066"/>
      <c r="Q1541" s="1070"/>
      <c r="R1541" s="1071"/>
      <c r="S1541" s="1070"/>
      <c r="T1541" s="1072"/>
      <c r="U1541" s="1073"/>
    </row>
    <row r="1542" spans="1:41" s="997" customFormat="1" ht="11.4">
      <c r="A1542" s="1074">
        <v>4</v>
      </c>
      <c r="B1542" s="1075">
        <v>1</v>
      </c>
      <c r="C1542" s="1075">
        <f>$A1542*$B1542</f>
        <v>4</v>
      </c>
      <c r="D1542" s="1076" t="str">
        <f>Elec_Rates!$D$322</f>
        <v>036# Install and connect Only - Type 'LD-11' - Hallway Wall Light</v>
      </c>
      <c r="E1542" s="1076"/>
      <c r="F1542" s="1076"/>
      <c r="G1542" s="1077" t="s">
        <v>1008</v>
      </c>
      <c r="H1542" s="1077"/>
      <c r="I1542" s="1077"/>
      <c r="J1542" s="1077"/>
      <c r="K1542" s="1078"/>
      <c r="L1542" s="1073"/>
      <c r="M1542" s="1073"/>
      <c r="N1542" s="1073"/>
      <c r="O1542" s="1079"/>
      <c r="P1542" s="1076"/>
      <c r="Q1542" s="1080">
        <f ca="1">$B1542*Elec_Rates!$R$322</f>
        <v>0.08</v>
      </c>
      <c r="R1542" s="1071">
        <f ca="1">$A1542*Q1542</f>
        <v>0.32</v>
      </c>
      <c r="S1542" s="1080">
        <f ca="1">$B1542*Elec_Rates!$T$322</f>
        <v>0.32</v>
      </c>
      <c r="T1542" s="1072">
        <f ca="1">$A1542*S1542</f>
        <v>1.28</v>
      </c>
      <c r="U1542" s="1081"/>
    </row>
    <row r="1543" spans="1:41" s="504" customFormat="1" ht="12">
      <c r="A1543" s="882"/>
      <c r="B1543" s="882"/>
      <c r="C1543" s="882"/>
      <c r="D1543" s="882"/>
      <c r="E1543" s="882"/>
      <c r="F1543" s="877"/>
      <c r="G1543" s="882"/>
      <c r="H1543" s="882"/>
      <c r="I1543" s="503"/>
      <c r="J1543" s="882"/>
      <c r="K1543" s="882"/>
      <c r="L1543" s="882"/>
      <c r="M1543" s="882"/>
      <c r="N1543" s="882"/>
      <c r="O1543" s="882"/>
      <c r="P1543" s="882"/>
      <c r="Q1543" s="503"/>
      <c r="R1543" s="883">
        <f>$A1543*Q1543</f>
        <v>0</v>
      </c>
      <c r="S1543" s="503"/>
      <c r="T1543" s="884">
        <f>$A1543*S1543*$T$1</f>
        <v>0</v>
      </c>
    </row>
    <row r="1544" spans="1:41" s="504" customFormat="1" ht="12.6" thickBot="1">
      <c r="A1544" s="885" t="s">
        <v>142</v>
      </c>
      <c r="B1544" s="886">
        <f>(R1543+T1543)</f>
        <v>0</v>
      </c>
      <c r="C1544" s="887"/>
      <c r="D1544" s="887"/>
      <c r="E1544" s="887"/>
      <c r="F1544" s="888"/>
      <c r="G1544" s="887" t="s">
        <v>143</v>
      </c>
      <c r="H1544" s="887"/>
      <c r="I1544" s="889"/>
      <c r="J1544" s="887"/>
      <c r="K1544" s="887" t="s">
        <v>3</v>
      </c>
      <c r="L1544" s="890" t="s">
        <v>140</v>
      </c>
      <c r="M1544" s="890"/>
      <c r="N1544" s="890"/>
      <c r="O1544" s="890"/>
      <c r="P1544" s="890"/>
      <c r="Q1544" s="891"/>
      <c r="R1544" s="892">
        <f ca="1">SUM(R1540:R1543)</f>
        <v>0.32</v>
      </c>
      <c r="S1544" s="887"/>
      <c r="T1544" s="892">
        <f ca="1">SUM(T1540:T1543)</f>
        <v>1.28</v>
      </c>
      <c r="U1544" s="514"/>
      <c r="V1544" s="514"/>
      <c r="W1544" s="514"/>
      <c r="X1544" s="514"/>
      <c r="Y1544" s="514"/>
      <c r="Z1544" s="514"/>
      <c r="AA1544" s="514"/>
      <c r="AB1544" s="514"/>
      <c r="AC1544" s="514"/>
      <c r="AD1544" s="514"/>
      <c r="AE1544" s="514"/>
      <c r="AF1544" s="514"/>
      <c r="AG1544" s="514"/>
      <c r="AH1544" s="514"/>
      <c r="AI1544" s="514"/>
      <c r="AJ1544" s="514"/>
      <c r="AK1544" s="514"/>
      <c r="AL1544" s="514"/>
      <c r="AM1544" s="514"/>
      <c r="AN1544" s="514"/>
      <c r="AO1544" s="514"/>
    </row>
    <row r="1545" spans="1:41" s="504" customFormat="1" ht="12" thickTop="1">
      <c r="A1545" s="50"/>
      <c r="B1545" s="40"/>
      <c r="C1545" s="50"/>
      <c r="E1545" s="41" t="s">
        <v>136</v>
      </c>
      <c r="F1545" s="41" t="s">
        <v>137</v>
      </c>
      <c r="G1545" s="50"/>
      <c r="H1545" s="50"/>
      <c r="I1545" s="50"/>
      <c r="J1545" s="50"/>
      <c r="K1545" s="50" t="s">
        <v>138</v>
      </c>
      <c r="L1545" s="50"/>
      <c r="M1545" s="50"/>
      <c r="N1545" s="50"/>
      <c r="O1545" s="51"/>
      <c r="P1545" s="50"/>
      <c r="Q1545" s="50"/>
      <c r="R1545" s="50"/>
      <c r="S1545" s="50"/>
      <c r="T1545" s="40"/>
      <c r="AG1545" s="867" t="s">
        <v>241</v>
      </c>
      <c r="AH1545" s="867" t="s">
        <v>242</v>
      </c>
      <c r="AI1545" s="867" t="s">
        <v>243</v>
      </c>
      <c r="AJ1545" s="867" t="s">
        <v>244</v>
      </c>
      <c r="AK1545" s="867" t="s">
        <v>245</v>
      </c>
      <c r="AM1545" s="868" t="s">
        <v>254</v>
      </c>
      <c r="AN1545" s="869" t="s">
        <v>255</v>
      </c>
      <c r="AO1545" s="505" t="s">
        <v>251</v>
      </c>
    </row>
    <row r="1546" spans="1:41" s="504" customFormat="1" ht="12" customHeight="1">
      <c r="A1546" s="870">
        <v>6</v>
      </c>
      <c r="B1546" s="871" t="s">
        <v>335</v>
      </c>
      <c r="C1546" s="872"/>
      <c r="D1546" s="873" t="s">
        <v>824</v>
      </c>
      <c r="E1546" s="874">
        <f ca="1">IF(AND($A1546=0,$A$1="DIF"),0, ROUND(ROUND(($R1551*$S$2+($T1551*$T$2))/A1546,2)*$C$2,2))</f>
        <v>11.35</v>
      </c>
      <c r="F1546" s="875">
        <f ca="1">ROUND($A1546*$E1546,2)</f>
        <v>68.099999999999994</v>
      </c>
      <c r="G1546" s="876" t="s">
        <v>139</v>
      </c>
      <c r="H1546" s="877"/>
      <c r="I1546" s="878"/>
      <c r="J1546" s="877"/>
      <c r="K1546" s="877" t="s">
        <v>3</v>
      </c>
      <c r="L1546" s="879" t="s">
        <v>140</v>
      </c>
      <c r="M1546" s="879"/>
      <c r="N1546" s="879"/>
      <c r="O1546" s="879"/>
      <c r="P1546" s="879"/>
      <c r="Q1546" s="50"/>
      <c r="T1546" s="880" t="str">
        <f ca="1">IF(AND($R1551=0,$T1551=0),"0.00","mu :" &amp; ROUND($F1546/$C$2/($R1551+$T1551*$D$9),2))</f>
        <v>mu :1.22</v>
      </c>
      <c r="W1546" s="507"/>
      <c r="AG1546" s="465">
        <f ca="1">IF($E1546=0,0,ROUND($R1551*$S$2*$C$2/$A1546,2))</f>
        <v>0.1</v>
      </c>
      <c r="AH1546" s="465">
        <f ca="1">$AG1546*$A1546</f>
        <v>0.60000000000000009</v>
      </c>
      <c r="AI1546" s="508">
        <f ca="1">$E1546-$AG1546</f>
        <v>11.25</v>
      </c>
      <c r="AJ1546" s="508">
        <f ca="1">$A1546*$AI1546</f>
        <v>67.5</v>
      </c>
      <c r="AK1546" s="509">
        <f ca="1">ROUND(($AG1546+$AI1546)*$A1546,2)</f>
        <v>68.099999999999994</v>
      </c>
      <c r="AM1546" s="510">
        <f ca="1">ROUND(R1551,2)</f>
        <v>0.48</v>
      </c>
      <c r="AN1546" s="511">
        <f ca="1">ROUND(T1551,2)</f>
        <v>1.92</v>
      </c>
      <c r="AO1546" s="512">
        <f ca="1">ROUND(AM1546+AN1546,2)*A1546</f>
        <v>14.399999999999999</v>
      </c>
    </row>
    <row r="1547" spans="1:41" s="504" customFormat="1" ht="13.2">
      <c r="A1547" s="872"/>
      <c r="B1547"/>
      <c r="C1547" s="872"/>
      <c r="D1547" s="873" t="s">
        <v>422</v>
      </c>
      <c r="F1547" s="877"/>
      <c r="G1547" s="3"/>
      <c r="H1547" s="877"/>
      <c r="I1547" s="878"/>
      <c r="J1547" s="877"/>
      <c r="K1547" s="877" t="s">
        <v>141</v>
      </c>
      <c r="L1547" s="877"/>
      <c r="M1547" s="877"/>
      <c r="N1547" s="877"/>
      <c r="O1547" s="877"/>
      <c r="P1547" s="877"/>
      <c r="Q1547" s="50"/>
      <c r="R1547" s="513"/>
      <c r="S1547" s="881"/>
      <c r="T1547" s="877"/>
    </row>
    <row r="1548" spans="1:41" s="997" customFormat="1" ht="13.2">
      <c r="A1548"/>
      <c r="B1548" s="1065"/>
      <c r="C1548" s="1065" t="s">
        <v>1006</v>
      </c>
      <c r="D1548" s="1065" t="str">
        <f ca="1">CELL("Address",Elec_Rates!D$330)</f>
        <v>[EL25_0662B_Brittania_Hotel_Elec_Revised_Estim_B.xlsx]Elec_Rates!$D$330</v>
      </c>
      <c r="E1548" s="1066"/>
      <c r="F1548" s="1066"/>
      <c r="G1548" s="1067" t="s">
        <v>1007</v>
      </c>
      <c r="H1548" s="1067"/>
      <c r="I1548" s="1067"/>
      <c r="J1548" s="1067"/>
      <c r="K1548" s="1068"/>
      <c r="L1548" s="1066"/>
      <c r="M1548" s="1066"/>
      <c r="N1548" s="1066"/>
      <c r="O1548" s="1069"/>
      <c r="P1548" s="1066"/>
      <c r="Q1548" s="1070"/>
      <c r="R1548" s="1071"/>
      <c r="S1548" s="1070"/>
      <c r="T1548" s="1072"/>
      <c r="U1548" s="1073"/>
    </row>
    <row r="1549" spans="1:41" s="997" customFormat="1" ht="11.4">
      <c r="A1549" s="1074">
        <v>6</v>
      </c>
      <c r="B1549" s="1075">
        <v>1</v>
      </c>
      <c r="C1549" s="1075">
        <f>$A1549*$B1549</f>
        <v>6</v>
      </c>
      <c r="D1549" s="1076" t="str">
        <f>Elec_Rates!$D$330</f>
        <v>037# Install and connect Only - Type 'LD-12' - Reading Lights</v>
      </c>
      <c r="E1549" s="1076"/>
      <c r="F1549" s="1076"/>
      <c r="G1549" s="1077" t="s">
        <v>1008</v>
      </c>
      <c r="H1549" s="1077"/>
      <c r="I1549" s="1077"/>
      <c r="J1549" s="1077"/>
      <c r="K1549" s="1078"/>
      <c r="L1549" s="1073"/>
      <c r="M1549" s="1073"/>
      <c r="N1549" s="1073"/>
      <c r="O1549" s="1079"/>
      <c r="P1549" s="1076"/>
      <c r="Q1549" s="1080">
        <f ca="1">$B1549*Elec_Rates!$R$330</f>
        <v>0.08</v>
      </c>
      <c r="R1549" s="1071">
        <f ca="1">$A1549*Q1549</f>
        <v>0.48</v>
      </c>
      <c r="S1549" s="1080">
        <f ca="1">$B1549*Elec_Rates!$T$330</f>
        <v>0.32</v>
      </c>
      <c r="T1549" s="1072">
        <f ca="1">$A1549*S1549</f>
        <v>1.92</v>
      </c>
      <c r="U1549" s="1081"/>
    </row>
    <row r="1550" spans="1:41" s="504" customFormat="1" ht="12">
      <c r="A1550" s="882"/>
      <c r="B1550" s="882"/>
      <c r="C1550" s="882"/>
      <c r="D1550" s="882"/>
      <c r="E1550" s="882"/>
      <c r="F1550" s="877"/>
      <c r="G1550" s="882"/>
      <c r="H1550" s="882"/>
      <c r="I1550" s="503"/>
      <c r="J1550" s="882"/>
      <c r="K1550" s="882"/>
      <c r="L1550" s="882"/>
      <c r="M1550" s="882"/>
      <c r="N1550" s="882"/>
      <c r="O1550" s="882"/>
      <c r="P1550" s="882"/>
      <c r="Q1550" s="503"/>
      <c r="R1550" s="883">
        <f>$A1550*Q1550</f>
        <v>0</v>
      </c>
      <c r="S1550" s="503"/>
      <c r="T1550" s="884">
        <f>$A1550*S1550*$T$1</f>
        <v>0</v>
      </c>
    </row>
    <row r="1551" spans="1:41" s="504" customFormat="1" ht="12.6" thickBot="1">
      <c r="A1551" s="885" t="s">
        <v>142</v>
      </c>
      <c r="B1551" s="886">
        <f>(R1550+T1550)</f>
        <v>0</v>
      </c>
      <c r="C1551" s="887"/>
      <c r="D1551" s="887"/>
      <c r="E1551" s="887"/>
      <c r="F1551" s="888"/>
      <c r="G1551" s="887" t="s">
        <v>143</v>
      </c>
      <c r="H1551" s="887"/>
      <c r="I1551" s="889"/>
      <c r="J1551" s="887"/>
      <c r="K1551" s="887" t="s">
        <v>3</v>
      </c>
      <c r="L1551" s="890" t="s">
        <v>140</v>
      </c>
      <c r="M1551" s="890"/>
      <c r="N1551" s="890"/>
      <c r="O1551" s="890"/>
      <c r="P1551" s="890"/>
      <c r="Q1551" s="891"/>
      <c r="R1551" s="892">
        <f ca="1">SUM(R1547:R1550)</f>
        <v>0.48</v>
      </c>
      <c r="S1551" s="887"/>
      <c r="T1551" s="892">
        <f ca="1">SUM(T1547:T1550)</f>
        <v>1.92</v>
      </c>
      <c r="U1551" s="514"/>
      <c r="V1551" s="514"/>
      <c r="W1551" s="514"/>
      <c r="X1551" s="514"/>
      <c r="Y1551" s="514"/>
      <c r="Z1551" s="514"/>
      <c r="AA1551" s="514"/>
      <c r="AB1551" s="514"/>
      <c r="AC1551" s="514"/>
      <c r="AD1551" s="514"/>
      <c r="AE1551" s="514"/>
      <c r="AF1551" s="514"/>
      <c r="AG1551" s="514"/>
      <c r="AH1551" s="514"/>
      <c r="AI1551" s="514"/>
      <c r="AJ1551" s="514"/>
      <c r="AK1551" s="514"/>
      <c r="AL1551" s="514"/>
      <c r="AM1551" s="514"/>
      <c r="AN1551" s="514"/>
      <c r="AO1551" s="514"/>
    </row>
    <row r="1552" spans="1:41" s="504" customFormat="1" ht="12" thickTop="1">
      <c r="A1552" s="50"/>
      <c r="B1552" s="40"/>
      <c r="C1552" s="50"/>
      <c r="E1552" s="41" t="s">
        <v>136</v>
      </c>
      <c r="F1552" s="41" t="s">
        <v>137</v>
      </c>
      <c r="G1552" s="50"/>
      <c r="H1552" s="50"/>
      <c r="I1552" s="50"/>
      <c r="J1552" s="50"/>
      <c r="K1552" s="50" t="s">
        <v>138</v>
      </c>
      <c r="L1552" s="50"/>
      <c r="M1552" s="50"/>
      <c r="N1552" s="50"/>
      <c r="O1552" s="51"/>
      <c r="P1552" s="50"/>
      <c r="Q1552" s="50"/>
      <c r="R1552" s="50"/>
      <c r="S1552" s="50"/>
      <c r="T1552" s="40"/>
      <c r="AG1552" s="867" t="s">
        <v>241</v>
      </c>
      <c r="AH1552" s="867" t="s">
        <v>242</v>
      </c>
      <c r="AI1552" s="867" t="s">
        <v>243</v>
      </c>
      <c r="AJ1552" s="867" t="s">
        <v>244</v>
      </c>
      <c r="AK1552" s="867" t="s">
        <v>245</v>
      </c>
      <c r="AM1552" s="868" t="s">
        <v>254</v>
      </c>
      <c r="AN1552" s="869" t="s">
        <v>255</v>
      </c>
      <c r="AO1552" s="505" t="s">
        <v>251</v>
      </c>
    </row>
    <row r="1553" spans="1:41" s="504" customFormat="1" ht="12" customHeight="1">
      <c r="A1553" s="870">
        <v>5</v>
      </c>
      <c r="B1553" s="871" t="s">
        <v>335</v>
      </c>
      <c r="C1553" s="872"/>
      <c r="D1553" s="873" t="s">
        <v>825</v>
      </c>
      <c r="E1553" s="874">
        <f ca="1">IF(AND($A1553=0,$A$1="DIF"),0, ROUND(ROUND(($R1558*$S$2+($T1558*$T$2))/A1553,2)*$C$2,2))</f>
        <v>11.35</v>
      </c>
      <c r="F1553" s="875">
        <f ca="1">ROUND($A1553*$E1553,2)</f>
        <v>56.75</v>
      </c>
      <c r="G1553" s="876" t="s">
        <v>139</v>
      </c>
      <c r="H1553" s="877"/>
      <c r="I1553" s="878"/>
      <c r="J1553" s="877"/>
      <c r="K1553" s="877" t="s">
        <v>3</v>
      </c>
      <c r="L1553" s="879" t="s">
        <v>140</v>
      </c>
      <c r="M1553" s="879"/>
      <c r="N1553" s="879"/>
      <c r="O1553" s="879"/>
      <c r="P1553" s="879"/>
      <c r="Q1553" s="50"/>
      <c r="T1553" s="880" t="str">
        <f ca="1">IF(AND($R1558=0,$T1558=0),"0.00","mu :" &amp; ROUND($F1553/$C$2/($R1558+$T1558*$D$9),2))</f>
        <v>mu :1.22</v>
      </c>
      <c r="W1553" s="507"/>
      <c r="AG1553" s="465">
        <f ca="1">IF($E1553=0,0,ROUND($R1558*$S$2*$C$2/$A1553,2))</f>
        <v>0.1</v>
      </c>
      <c r="AH1553" s="465">
        <f ca="1">$AG1553*$A1553</f>
        <v>0.5</v>
      </c>
      <c r="AI1553" s="508">
        <f ca="1">$E1553-$AG1553</f>
        <v>11.25</v>
      </c>
      <c r="AJ1553" s="508">
        <f ca="1">$A1553*$AI1553</f>
        <v>56.25</v>
      </c>
      <c r="AK1553" s="509">
        <f ca="1">ROUND(($AG1553+$AI1553)*$A1553,2)</f>
        <v>56.75</v>
      </c>
      <c r="AM1553" s="510">
        <f ca="1">ROUND(R1558,2)</f>
        <v>0.4</v>
      </c>
      <c r="AN1553" s="511">
        <f ca="1">ROUND(T1558,2)</f>
        <v>1.6</v>
      </c>
      <c r="AO1553" s="512">
        <f ca="1">ROUND(AM1553+AN1553,2)*A1553</f>
        <v>10</v>
      </c>
    </row>
    <row r="1554" spans="1:41" s="504" customFormat="1" ht="13.2">
      <c r="A1554" s="872"/>
      <c r="B1554"/>
      <c r="C1554" s="872"/>
      <c r="D1554" s="873" t="s">
        <v>423</v>
      </c>
      <c r="F1554" s="877"/>
      <c r="G1554" s="3"/>
      <c r="H1554" s="877"/>
      <c r="I1554" s="878"/>
      <c r="J1554" s="877"/>
      <c r="K1554" s="877" t="s">
        <v>141</v>
      </c>
      <c r="L1554" s="877"/>
      <c r="M1554" s="877"/>
      <c r="N1554" s="877"/>
      <c r="O1554" s="877"/>
      <c r="P1554" s="877"/>
      <c r="Q1554" s="50"/>
      <c r="R1554" s="513"/>
      <c r="S1554" s="881"/>
      <c r="T1554" s="877"/>
    </row>
    <row r="1555" spans="1:41" s="997" customFormat="1" ht="13.2">
      <c r="A1555"/>
      <c r="B1555" s="1065"/>
      <c r="C1555" s="1065" t="s">
        <v>1006</v>
      </c>
      <c r="D1555" s="1065" t="str">
        <f ca="1">CELL("Address",Elec_Rates!D$353)</f>
        <v>[EL25_0662B_Brittania_Hotel_Elec_Revised_Estim_B.xlsx]Elec_Rates!$D$353</v>
      </c>
      <c r="E1555" s="1066"/>
      <c r="F1555" s="1066"/>
      <c r="G1555" s="1067" t="s">
        <v>1007</v>
      </c>
      <c r="H1555" s="1067"/>
      <c r="I1555" s="1067"/>
      <c r="J1555" s="1067"/>
      <c r="K1555" s="1068"/>
      <c r="L1555" s="1066"/>
      <c r="M1555" s="1066"/>
      <c r="N1555" s="1066"/>
      <c r="O1555" s="1069"/>
      <c r="P1555" s="1066"/>
      <c r="Q1555" s="1070"/>
      <c r="R1555" s="1071"/>
      <c r="S1555" s="1070"/>
      <c r="T1555" s="1072"/>
      <c r="U1555" s="1073"/>
    </row>
    <row r="1556" spans="1:41" s="997" customFormat="1" ht="11.4">
      <c r="A1556" s="1074">
        <v>5</v>
      </c>
      <c r="B1556" s="1075">
        <v>1</v>
      </c>
      <c r="C1556" s="1075">
        <f>$A1556*$B1556</f>
        <v>5</v>
      </c>
      <c r="D1556" s="1076" t="str">
        <f>Elec_Rates!$D$353</f>
        <v>040# Install and connect Only - Type 'LD-15' - Bathrooms Wall Light</v>
      </c>
      <c r="E1556" s="1076"/>
      <c r="F1556" s="1076"/>
      <c r="G1556" s="1077" t="s">
        <v>1008</v>
      </c>
      <c r="H1556" s="1077"/>
      <c r="I1556" s="1077"/>
      <c r="J1556" s="1077"/>
      <c r="K1556" s="1078"/>
      <c r="L1556" s="1073"/>
      <c r="M1556" s="1073"/>
      <c r="N1556" s="1073"/>
      <c r="O1556" s="1079"/>
      <c r="P1556" s="1076"/>
      <c r="Q1556" s="1080">
        <f ca="1">$B1556*Elec_Rates!$R$353</f>
        <v>0.08</v>
      </c>
      <c r="R1556" s="1071">
        <f ca="1">$A1556*Q1556</f>
        <v>0.4</v>
      </c>
      <c r="S1556" s="1080">
        <f ca="1">$B1556*Elec_Rates!$T$353</f>
        <v>0.32</v>
      </c>
      <c r="T1556" s="1072">
        <f ca="1">$A1556*S1556</f>
        <v>1.6</v>
      </c>
      <c r="U1556" s="1081"/>
    </row>
    <row r="1557" spans="1:41" s="504" customFormat="1" ht="12">
      <c r="A1557" s="882"/>
      <c r="B1557" s="882"/>
      <c r="C1557" s="882"/>
      <c r="D1557" s="882"/>
      <c r="E1557" s="882"/>
      <c r="F1557" s="877"/>
      <c r="G1557" s="882"/>
      <c r="H1557" s="882"/>
      <c r="I1557" s="503"/>
      <c r="J1557" s="882"/>
      <c r="K1557" s="882"/>
      <c r="L1557" s="882"/>
      <c r="M1557" s="882"/>
      <c r="N1557" s="882"/>
      <c r="O1557" s="882"/>
      <c r="P1557" s="882"/>
      <c r="Q1557" s="503"/>
      <c r="R1557" s="883">
        <f>$A1557*Q1557</f>
        <v>0</v>
      </c>
      <c r="S1557" s="503"/>
      <c r="T1557" s="884">
        <f>$A1557*S1557*$T$1</f>
        <v>0</v>
      </c>
    </row>
    <row r="1558" spans="1:41" s="504" customFormat="1" ht="12.6" thickBot="1">
      <c r="A1558" s="885" t="s">
        <v>142</v>
      </c>
      <c r="B1558" s="886">
        <f>(R1557+T1557)</f>
        <v>0</v>
      </c>
      <c r="C1558" s="887"/>
      <c r="D1558" s="887"/>
      <c r="E1558" s="887"/>
      <c r="F1558" s="888"/>
      <c r="G1558" s="887" t="s">
        <v>143</v>
      </c>
      <c r="H1558" s="887"/>
      <c r="I1558" s="889"/>
      <c r="J1558" s="887"/>
      <c r="K1558" s="887" t="s">
        <v>3</v>
      </c>
      <c r="L1558" s="890" t="s">
        <v>140</v>
      </c>
      <c r="M1558" s="890"/>
      <c r="N1558" s="890"/>
      <c r="O1558" s="890"/>
      <c r="P1558" s="890"/>
      <c r="Q1558" s="891"/>
      <c r="R1558" s="892">
        <f ca="1">SUM(R1554:R1557)</f>
        <v>0.4</v>
      </c>
      <c r="S1558" s="887"/>
      <c r="T1558" s="892">
        <f ca="1">SUM(T1554:T1557)</f>
        <v>1.6</v>
      </c>
      <c r="U1558" s="514"/>
      <c r="V1558" s="514"/>
      <c r="W1558" s="514"/>
      <c r="X1558" s="514"/>
      <c r="Y1558" s="514"/>
      <c r="Z1558" s="514"/>
      <c r="AA1558" s="514"/>
      <c r="AB1558" s="514"/>
      <c r="AC1558" s="514"/>
      <c r="AD1558" s="514"/>
      <c r="AE1558" s="514"/>
      <c r="AF1558" s="514"/>
      <c r="AG1558" s="514"/>
      <c r="AH1558" s="514"/>
      <c r="AI1558" s="514"/>
      <c r="AJ1558" s="514"/>
      <c r="AK1558" s="514"/>
      <c r="AL1558" s="514"/>
      <c r="AM1558" s="514"/>
      <c r="AN1558" s="514"/>
      <c r="AO1558" s="514"/>
    </row>
    <row r="1559" spans="1:41" s="504" customFormat="1" ht="12" thickTop="1">
      <c r="A1559" s="50"/>
      <c r="B1559" s="40"/>
      <c r="C1559" s="50"/>
      <c r="E1559" s="41" t="s">
        <v>136</v>
      </c>
      <c r="F1559" s="41" t="s">
        <v>137</v>
      </c>
      <c r="G1559" s="50"/>
      <c r="H1559" s="50"/>
      <c r="I1559" s="50"/>
      <c r="J1559" s="50"/>
      <c r="K1559" s="50" t="s">
        <v>138</v>
      </c>
      <c r="L1559" s="50"/>
      <c r="M1559" s="50"/>
      <c r="N1559" s="50"/>
      <c r="O1559" s="51"/>
      <c r="P1559" s="50"/>
      <c r="Q1559" s="50"/>
      <c r="R1559" s="50"/>
      <c r="S1559" s="50"/>
      <c r="T1559" s="40"/>
      <c r="AG1559" s="867" t="s">
        <v>241</v>
      </c>
      <c r="AH1559" s="867" t="s">
        <v>242</v>
      </c>
      <c r="AI1559" s="867" t="s">
        <v>243</v>
      </c>
      <c r="AJ1559" s="867" t="s">
        <v>244</v>
      </c>
      <c r="AK1559" s="867" t="s">
        <v>245</v>
      </c>
      <c r="AM1559" s="868" t="s">
        <v>254</v>
      </c>
      <c r="AN1559" s="869" t="s">
        <v>255</v>
      </c>
      <c r="AO1559" s="505" t="s">
        <v>251</v>
      </c>
    </row>
    <row r="1560" spans="1:41" s="504" customFormat="1" ht="12" customHeight="1">
      <c r="A1560" s="870">
        <v>9</v>
      </c>
      <c r="B1560" s="871" t="s">
        <v>335</v>
      </c>
      <c r="C1560" s="872"/>
      <c r="D1560" s="873" t="s">
        <v>826</v>
      </c>
      <c r="E1560" s="874">
        <f>IF(AND($A1560=0,$A$1="DIF"),0, ROUND(ROUND(($R1564*$S$2+($T1564*$T$2))/A1560,2)*$C$2,2))</f>
        <v>0</v>
      </c>
      <c r="F1560" s="875">
        <f>ROUND($A1560*$E1560,2)</f>
        <v>0</v>
      </c>
      <c r="G1560" s="876" t="s">
        <v>139</v>
      </c>
      <c r="H1560" s="877"/>
      <c r="I1560" s="878"/>
      <c r="J1560" s="877"/>
      <c r="K1560" s="877" t="s">
        <v>3</v>
      </c>
      <c r="L1560" s="879" t="s">
        <v>140</v>
      </c>
      <c r="M1560" s="879"/>
      <c r="N1560" s="879"/>
      <c r="O1560" s="879"/>
      <c r="P1560" s="879"/>
      <c r="Q1560" s="50" t="s">
        <v>1333</v>
      </c>
      <c r="T1560" s="880" t="str">
        <f>IF(AND($R1564=0,$T1564=0),"0.00","mu :" &amp; ROUND($F1560/$C$2/($R1564+$T1564*$D$9),2))</f>
        <v>0.00</v>
      </c>
      <c r="W1560" s="507"/>
      <c r="AG1560" s="465">
        <f>IF($E1560=0,0,ROUND($R1564*$S$2*$C$2/$A1560,2))</f>
        <v>0</v>
      </c>
      <c r="AH1560" s="465">
        <f>$AG1560*$A1560</f>
        <v>0</v>
      </c>
      <c r="AI1560" s="508">
        <f>$E1560-$AG1560</f>
        <v>0</v>
      </c>
      <c r="AJ1560" s="508">
        <f>$A1560*$AI1560</f>
        <v>0</v>
      </c>
      <c r="AK1560" s="509">
        <f>ROUND(($AG1560+$AI1560)*$A1560,2)</f>
        <v>0</v>
      </c>
      <c r="AM1560" s="510">
        <f>ROUND(R1564,2)</f>
        <v>0</v>
      </c>
      <c r="AN1560" s="511">
        <f>ROUND(T1564,2)</f>
        <v>0</v>
      </c>
      <c r="AO1560" s="512">
        <f>ROUND(AM1560+AN1560,2)*A1560</f>
        <v>0</v>
      </c>
    </row>
    <row r="1561" spans="1:41" s="504" customFormat="1" ht="13.2">
      <c r="A1561" s="872"/>
      <c r="B1561"/>
      <c r="C1561" s="872"/>
      <c r="D1561" s="873" t="s">
        <v>381</v>
      </c>
      <c r="F1561" s="877"/>
      <c r="G1561" s="3"/>
      <c r="H1561" s="877"/>
      <c r="I1561" s="878"/>
      <c r="J1561" s="877"/>
      <c r="K1561" s="877" t="s">
        <v>141</v>
      </c>
      <c r="L1561" s="877"/>
      <c r="M1561" s="877"/>
      <c r="N1561" s="877"/>
      <c r="O1561" s="877"/>
      <c r="P1561" s="877"/>
      <c r="Q1561" s="50"/>
      <c r="R1561" s="513"/>
      <c r="S1561" s="881"/>
      <c r="T1561" s="877"/>
    </row>
    <row r="1562" spans="1:41" s="1039" customFormat="1" ht="11.4">
      <c r="A1562" s="50">
        <v>9</v>
      </c>
      <c r="B1562" s="1039" t="s">
        <v>949</v>
      </c>
      <c r="D1562" s="1039" t="s">
        <v>1286</v>
      </c>
      <c r="G1562" s="1040" t="s">
        <v>1182</v>
      </c>
      <c r="H1562" s="1041">
        <v>705</v>
      </c>
      <c r="I1562" s="1039" t="s">
        <v>1183</v>
      </c>
      <c r="J1562" s="1039" t="s">
        <v>1184</v>
      </c>
      <c r="O1562" s="1042">
        <v>3</v>
      </c>
      <c r="P1562" s="1043">
        <v>34669</v>
      </c>
      <c r="Q1562" s="1044">
        <v>0</v>
      </c>
      <c r="R1562" s="1045">
        <f>$A1562*Q1562</f>
        <v>0</v>
      </c>
      <c r="S1562" s="1044"/>
      <c r="T1562" s="1046">
        <f>$A1562*S1562*$T$1</f>
        <v>0</v>
      </c>
    </row>
    <row r="1563" spans="1:41" s="504" customFormat="1" ht="12">
      <c r="A1563" s="882"/>
      <c r="B1563" s="882"/>
      <c r="C1563" s="882"/>
      <c r="D1563" s="882"/>
      <c r="E1563" s="882"/>
      <c r="F1563" s="877"/>
      <c r="G1563" s="882"/>
      <c r="H1563" s="882"/>
      <c r="I1563" s="503"/>
      <c r="J1563" s="882"/>
      <c r="K1563" s="882"/>
      <c r="L1563" s="882"/>
      <c r="M1563" s="882"/>
      <c r="N1563" s="882"/>
      <c r="O1563" s="882"/>
      <c r="P1563" s="882"/>
      <c r="Q1563" s="503"/>
      <c r="R1563" s="883">
        <f>$A1563*Q1563</f>
        <v>0</v>
      </c>
      <c r="S1563" s="503"/>
      <c r="T1563" s="884">
        <f>$A1563*S1563*$T$1</f>
        <v>0</v>
      </c>
    </row>
    <row r="1564" spans="1:41" s="504" customFormat="1" ht="12.6" thickBot="1">
      <c r="A1564" s="885" t="s">
        <v>142</v>
      </c>
      <c r="B1564" s="886">
        <f>(R1563+T1563)</f>
        <v>0</v>
      </c>
      <c r="C1564" s="887"/>
      <c r="D1564" s="887"/>
      <c r="E1564" s="887"/>
      <c r="F1564" s="888"/>
      <c r="G1564" s="887" t="s">
        <v>143</v>
      </c>
      <c r="H1564" s="887"/>
      <c r="I1564" s="889"/>
      <c r="J1564" s="887"/>
      <c r="K1564" s="887" t="s">
        <v>3</v>
      </c>
      <c r="L1564" s="890" t="s">
        <v>140</v>
      </c>
      <c r="M1564" s="890"/>
      <c r="N1564" s="890"/>
      <c r="O1564" s="890"/>
      <c r="P1564" s="890"/>
      <c r="Q1564" s="891"/>
      <c r="R1564" s="892">
        <f>SUM(R1561:R1563)</f>
        <v>0</v>
      </c>
      <c r="S1564" s="887"/>
      <c r="T1564" s="892">
        <f>SUM(T1561:T1563)</f>
        <v>0</v>
      </c>
      <c r="U1564" s="514"/>
      <c r="V1564" s="514"/>
      <c r="W1564" s="514"/>
      <c r="X1564" s="514"/>
      <c r="Y1564" s="514"/>
      <c r="Z1564" s="514"/>
      <c r="AA1564" s="514"/>
      <c r="AB1564" s="514"/>
      <c r="AC1564" s="514"/>
      <c r="AD1564" s="514"/>
      <c r="AE1564" s="514"/>
      <c r="AF1564" s="514"/>
      <c r="AG1564" s="514"/>
      <c r="AH1564" s="514"/>
      <c r="AI1564" s="514"/>
      <c r="AJ1564" s="514"/>
      <c r="AK1564" s="514"/>
      <c r="AL1564" s="514"/>
      <c r="AM1564" s="514"/>
      <c r="AN1564" s="514"/>
      <c r="AO1564" s="514"/>
    </row>
    <row r="1565" spans="1:41" s="504" customFormat="1" ht="12" thickTop="1">
      <c r="A1565" s="50"/>
      <c r="B1565" s="40"/>
      <c r="C1565" s="50"/>
      <c r="E1565" s="41" t="s">
        <v>136</v>
      </c>
      <c r="F1565" s="41" t="s">
        <v>137</v>
      </c>
      <c r="G1565" s="50"/>
      <c r="H1565" s="50"/>
      <c r="I1565" s="50"/>
      <c r="J1565" s="50"/>
      <c r="K1565" s="50" t="s">
        <v>138</v>
      </c>
      <c r="L1565" s="50"/>
      <c r="M1565" s="50"/>
      <c r="N1565" s="50"/>
      <c r="O1565" s="51"/>
      <c r="P1565" s="50"/>
      <c r="Q1565" s="50"/>
      <c r="R1565" s="50"/>
      <c r="S1565" s="50"/>
      <c r="T1565" s="40"/>
      <c r="AG1565" s="867" t="s">
        <v>241</v>
      </c>
      <c r="AH1565" s="867" t="s">
        <v>242</v>
      </c>
      <c r="AI1565" s="867" t="s">
        <v>243</v>
      </c>
      <c r="AJ1565" s="867" t="s">
        <v>244</v>
      </c>
      <c r="AK1565" s="867" t="s">
        <v>245</v>
      </c>
      <c r="AM1565" s="868" t="s">
        <v>254</v>
      </c>
      <c r="AN1565" s="869" t="s">
        <v>255</v>
      </c>
      <c r="AO1565" s="505" t="s">
        <v>251</v>
      </c>
    </row>
    <row r="1566" spans="1:41" s="504" customFormat="1" ht="12" customHeight="1">
      <c r="A1566" s="870">
        <v>3</v>
      </c>
      <c r="B1566" s="871" t="s">
        <v>335</v>
      </c>
      <c r="C1566" s="872"/>
      <c r="D1566" s="873" t="s">
        <v>827</v>
      </c>
      <c r="E1566" s="874">
        <f ca="1">IF(AND($A1566=0,$A$1="DIF"),0, ROUND(ROUND(($R1571*$S$2+($T1571*$T$2))/A1566,2)*$C$2,2))</f>
        <v>13.21</v>
      </c>
      <c r="F1566" s="875">
        <f ca="1">ROUND($A1566*$E1566,2)</f>
        <v>39.630000000000003</v>
      </c>
      <c r="G1566" s="876" t="s">
        <v>139</v>
      </c>
      <c r="H1566" s="877"/>
      <c r="I1566" s="878"/>
      <c r="J1566" s="877"/>
      <c r="K1566" s="877" t="s">
        <v>3</v>
      </c>
      <c r="L1566" s="879" t="s">
        <v>140</v>
      </c>
      <c r="M1566" s="879"/>
      <c r="N1566" s="879"/>
      <c r="O1566" s="879"/>
      <c r="P1566" s="879"/>
      <c r="Q1566" s="50"/>
      <c r="T1566" s="880" t="str">
        <f ca="1">IF(AND($R1571=0,$T1571=0),"0.00","mu :" &amp; ROUND($F1566/$C$2/($R1571+$T1571*$D$9),2))</f>
        <v>mu :1.22</v>
      </c>
      <c r="W1566" s="507"/>
      <c r="AG1566" s="465">
        <f ca="1">IF($E1566=0,0,ROUND($R1571*$S$2*$C$2/$A1566,2))</f>
        <v>0.2</v>
      </c>
      <c r="AH1566" s="465">
        <f ca="1">$AG1566*$A1566</f>
        <v>0.60000000000000009</v>
      </c>
      <c r="AI1566" s="508">
        <f ca="1">$E1566-$AG1566</f>
        <v>13.010000000000002</v>
      </c>
      <c r="AJ1566" s="508">
        <f ca="1">$A1566*$AI1566</f>
        <v>39.03</v>
      </c>
      <c r="AK1566" s="509">
        <f ca="1">ROUND(($AG1566+$AI1566)*$A1566,2)</f>
        <v>39.630000000000003</v>
      </c>
      <c r="AM1566" s="510">
        <f ca="1">ROUND(R1571,2)</f>
        <v>0.48</v>
      </c>
      <c r="AN1566" s="511">
        <f ca="1">ROUND(T1571,2)</f>
        <v>1.1100000000000001</v>
      </c>
      <c r="AO1566" s="512">
        <f ca="1">ROUND(AM1566+AN1566,2)*A1566</f>
        <v>4.7700000000000005</v>
      </c>
    </row>
    <row r="1567" spans="1:41" s="504" customFormat="1" ht="13.2">
      <c r="A1567" s="872"/>
      <c r="B1567"/>
      <c r="C1567" s="872"/>
      <c r="D1567" s="873" t="s">
        <v>348</v>
      </c>
      <c r="F1567" s="877"/>
      <c r="G1567" s="3"/>
      <c r="H1567" s="877"/>
      <c r="I1567" s="878"/>
      <c r="J1567" s="877"/>
      <c r="K1567" s="877" t="s">
        <v>141</v>
      </c>
      <c r="L1567" s="877"/>
      <c r="M1567" s="877"/>
      <c r="N1567" s="877"/>
      <c r="O1567" s="877"/>
      <c r="P1567" s="877"/>
      <c r="Q1567" s="50"/>
      <c r="R1567" s="513"/>
      <c r="S1567" s="881"/>
      <c r="T1567" s="877"/>
    </row>
    <row r="1568" spans="1:41" s="997" customFormat="1" ht="13.2">
      <c r="A1568"/>
      <c r="B1568" s="1065"/>
      <c r="C1568" s="1065" t="s">
        <v>1006</v>
      </c>
      <c r="D1568" s="1065" t="str">
        <f ca="1">CELL("Address",Elec_Rates!D$247)</f>
        <v>[EL25_0662B_Brittania_Hotel_Elec_Revised_Estim_B.xlsx]Elec_Rates!$D$247</v>
      </c>
      <c r="E1568" s="1066"/>
      <c r="F1568" s="1066"/>
      <c r="G1568" s="1067" t="s">
        <v>1007</v>
      </c>
      <c r="H1568" s="1067"/>
      <c r="I1568" s="1067"/>
      <c r="J1568" s="1067"/>
      <c r="K1568" s="1068"/>
      <c r="L1568" s="1066"/>
      <c r="M1568" s="1066"/>
      <c r="N1568" s="1066"/>
      <c r="O1568" s="1069"/>
      <c r="P1568" s="1066"/>
      <c r="Q1568" s="1070"/>
      <c r="R1568" s="1071"/>
      <c r="S1568" s="1070"/>
      <c r="T1568" s="1072"/>
      <c r="U1568" s="1073"/>
    </row>
    <row r="1569" spans="1:41" s="997" customFormat="1" ht="11.4">
      <c r="A1569" s="1074">
        <v>3</v>
      </c>
      <c r="B1569" s="1075">
        <v>1</v>
      </c>
      <c r="C1569" s="1075">
        <f>$A1569*$B1569</f>
        <v>3</v>
      </c>
      <c r="D1569" s="1076" t="str">
        <f>Elec_Rates!$D$247</f>
        <v>026# Install and connect Only - Type 'E1' - Single Sided, Wall Mounted, Directional Exit Signage</v>
      </c>
      <c r="E1569" s="1076"/>
      <c r="F1569" s="1076"/>
      <c r="G1569" s="1077" t="s">
        <v>1008</v>
      </c>
      <c r="H1569" s="1077"/>
      <c r="I1569" s="1077"/>
      <c r="J1569" s="1077"/>
      <c r="K1569" s="1078"/>
      <c r="L1569" s="1073"/>
      <c r="M1569" s="1073"/>
      <c r="N1569" s="1073"/>
      <c r="O1569" s="1079"/>
      <c r="P1569" s="1076"/>
      <c r="Q1569" s="1080">
        <f ca="1">$B1569*Elec_Rates!$R$247</f>
        <v>0.16</v>
      </c>
      <c r="R1569" s="1071">
        <f ca="1">$A1569*Q1569</f>
        <v>0.48</v>
      </c>
      <c r="S1569" s="1080">
        <f ca="1">$B1569*Elec_Rates!$T$247</f>
        <v>0.37</v>
      </c>
      <c r="T1569" s="1072">
        <f ca="1">$A1569*S1569</f>
        <v>1.1099999999999999</v>
      </c>
      <c r="U1569" s="1081"/>
    </row>
    <row r="1570" spans="1:41" s="504" customFormat="1" ht="12">
      <c r="A1570" s="882"/>
      <c r="B1570" s="882"/>
      <c r="C1570" s="882"/>
      <c r="D1570" s="882"/>
      <c r="E1570" s="882"/>
      <c r="F1570" s="877"/>
      <c r="G1570" s="882"/>
      <c r="H1570" s="882"/>
      <c r="I1570" s="503"/>
      <c r="J1570" s="882"/>
      <c r="K1570" s="882"/>
      <c r="L1570" s="882"/>
      <c r="M1570" s="882"/>
      <c r="N1570" s="882"/>
      <c r="O1570" s="882"/>
      <c r="P1570" s="882"/>
      <c r="Q1570" s="503"/>
      <c r="R1570" s="883">
        <f>$A1570*Q1570</f>
        <v>0</v>
      </c>
      <c r="S1570" s="503"/>
      <c r="T1570" s="884">
        <f>$A1570*S1570*$T$1</f>
        <v>0</v>
      </c>
    </row>
    <row r="1571" spans="1:41" s="504" customFormat="1" ht="12.6" thickBot="1">
      <c r="A1571" s="885" t="s">
        <v>142</v>
      </c>
      <c r="B1571" s="886">
        <f>(R1570+T1570)</f>
        <v>0</v>
      </c>
      <c r="C1571" s="887"/>
      <c r="D1571" s="887"/>
      <c r="E1571" s="887"/>
      <c r="F1571" s="888"/>
      <c r="G1571" s="887" t="s">
        <v>143</v>
      </c>
      <c r="H1571" s="887"/>
      <c r="I1571" s="889"/>
      <c r="J1571" s="887"/>
      <c r="K1571" s="887" t="s">
        <v>3</v>
      </c>
      <c r="L1571" s="890" t="s">
        <v>140</v>
      </c>
      <c r="M1571" s="890"/>
      <c r="N1571" s="890"/>
      <c r="O1571" s="890"/>
      <c r="P1571" s="890"/>
      <c r="Q1571" s="891"/>
      <c r="R1571" s="892">
        <f ca="1">SUM(R1567:R1570)</f>
        <v>0.48</v>
      </c>
      <c r="S1571" s="887"/>
      <c r="T1571" s="892">
        <f ca="1">SUM(T1567:T1570)</f>
        <v>1.1099999999999999</v>
      </c>
      <c r="U1571" s="514"/>
      <c r="V1571" s="514"/>
      <c r="W1571" s="514"/>
      <c r="X1571" s="514"/>
      <c r="Y1571" s="514"/>
      <c r="Z1571" s="514"/>
      <c r="AA1571" s="514"/>
      <c r="AB1571" s="514"/>
      <c r="AC1571" s="514"/>
      <c r="AD1571" s="514"/>
      <c r="AE1571" s="514"/>
      <c r="AF1571" s="514"/>
      <c r="AG1571" s="514"/>
      <c r="AH1571" s="514"/>
      <c r="AI1571" s="514"/>
      <c r="AJ1571" s="514"/>
      <c r="AK1571" s="514"/>
      <c r="AL1571" s="514"/>
      <c r="AM1571" s="514"/>
      <c r="AN1571" s="514"/>
      <c r="AO1571" s="514"/>
    </row>
    <row r="1572" spans="1:41" s="504" customFormat="1" ht="12" thickTop="1">
      <c r="A1572" s="50"/>
      <c r="B1572" s="40"/>
      <c r="C1572" s="50"/>
      <c r="E1572" s="41" t="s">
        <v>136</v>
      </c>
      <c r="F1572" s="41" t="s">
        <v>137</v>
      </c>
      <c r="G1572" s="50"/>
      <c r="H1572" s="50"/>
      <c r="I1572" s="50"/>
      <c r="J1572" s="50"/>
      <c r="K1572" s="50" t="s">
        <v>138</v>
      </c>
      <c r="L1572" s="50"/>
      <c r="M1572" s="50"/>
      <c r="N1572" s="50"/>
      <c r="O1572" s="51"/>
      <c r="P1572" s="50"/>
      <c r="Q1572" s="50"/>
      <c r="R1572" s="50"/>
      <c r="S1572" s="50"/>
      <c r="T1572" s="40"/>
      <c r="AG1572" s="867" t="s">
        <v>241</v>
      </c>
      <c r="AH1572" s="867" t="s">
        <v>242</v>
      </c>
      <c r="AI1572" s="867" t="s">
        <v>243</v>
      </c>
      <c r="AJ1572" s="867" t="s">
        <v>244</v>
      </c>
      <c r="AK1572" s="867" t="s">
        <v>245</v>
      </c>
      <c r="AM1572" s="868" t="s">
        <v>254</v>
      </c>
      <c r="AN1572" s="869" t="s">
        <v>255</v>
      </c>
      <c r="AO1572" s="505" t="s">
        <v>251</v>
      </c>
    </row>
    <row r="1573" spans="1:41" s="504" customFormat="1" ht="12" customHeight="1">
      <c r="A1573" s="870">
        <v>6</v>
      </c>
      <c r="B1573" s="871" t="s">
        <v>335</v>
      </c>
      <c r="C1573" s="872"/>
      <c r="D1573" s="873" t="s">
        <v>828</v>
      </c>
      <c r="E1573" s="874">
        <f ca="1">IF(AND($A1573=0,$A$1="DIF"),0, ROUND(ROUND(($R1578*$S$2+($T1578*$T$2))/A1573,2)*$C$2,2))</f>
        <v>16.12</v>
      </c>
      <c r="F1573" s="875">
        <f ca="1">ROUND($A1573*$E1573,2)</f>
        <v>96.72</v>
      </c>
      <c r="G1573" s="876" t="s">
        <v>139</v>
      </c>
      <c r="H1573" s="877"/>
      <c r="I1573" s="878"/>
      <c r="J1573" s="877"/>
      <c r="K1573" s="877" t="s">
        <v>3</v>
      </c>
      <c r="L1573" s="879" t="s">
        <v>140</v>
      </c>
      <c r="M1573" s="879"/>
      <c r="N1573" s="879"/>
      <c r="O1573" s="879"/>
      <c r="P1573" s="879"/>
      <c r="Q1573" s="50"/>
      <c r="T1573" s="880" t="str">
        <f ca="1">IF(AND($R1578=0,$T1578=0),"0.00","mu :" &amp; ROUND($F1573/$C$2/($R1578+$T1578*$D$9),2))</f>
        <v>mu :1.22</v>
      </c>
      <c r="W1573" s="507"/>
      <c r="AG1573" s="465">
        <f ca="1">IF($E1573=0,0,ROUND($R1578*$S$2*$C$2/$A1573,2))</f>
        <v>1.34</v>
      </c>
      <c r="AH1573" s="465">
        <f ca="1">$AG1573*$A1573</f>
        <v>8.0400000000000009</v>
      </c>
      <c r="AI1573" s="508">
        <f ca="1">$E1573-$AG1573</f>
        <v>14.780000000000001</v>
      </c>
      <c r="AJ1573" s="508">
        <f ca="1">$A1573*$AI1573</f>
        <v>88.68</v>
      </c>
      <c r="AK1573" s="509">
        <f ca="1">ROUND(($AG1573+$AI1573)*$A1573,2)</f>
        <v>96.72</v>
      </c>
      <c r="AM1573" s="510">
        <f ca="1">ROUND(R1578,2)</f>
        <v>6.6</v>
      </c>
      <c r="AN1573" s="511">
        <f ca="1">ROUND(T1578,2)</f>
        <v>2.52</v>
      </c>
      <c r="AO1573" s="512">
        <f ca="1">ROUND(AM1573+AN1573,2)*A1573</f>
        <v>54.72</v>
      </c>
    </row>
    <row r="1574" spans="1:41" s="504" customFormat="1" ht="13.2">
      <c r="A1574" s="872"/>
      <c r="B1574"/>
      <c r="C1574" s="872"/>
      <c r="D1574" s="873" t="s">
        <v>424</v>
      </c>
      <c r="F1574" s="877"/>
      <c r="G1574" s="3"/>
      <c r="H1574" s="877"/>
      <c r="I1574" s="878"/>
      <c r="J1574" s="877"/>
      <c r="K1574" s="877" t="s">
        <v>141</v>
      </c>
      <c r="L1574" s="877"/>
      <c r="M1574" s="877"/>
      <c r="N1574" s="877"/>
      <c r="O1574" s="877"/>
      <c r="P1574" s="877"/>
      <c r="Q1574" s="50"/>
      <c r="R1574" s="513"/>
      <c r="S1574" s="881"/>
      <c r="T1574" s="877"/>
    </row>
    <row r="1575" spans="1:41" s="997" customFormat="1" ht="13.2">
      <c r="A1575"/>
      <c r="B1575" s="1065"/>
      <c r="C1575" s="1065" t="s">
        <v>1006</v>
      </c>
      <c r="D1575" s="1065" t="str">
        <f ca="1">CELL("Address",Elec_Rates!D$270)</f>
        <v>[EL25_0662B_Brittania_Hotel_Elec_Revised_Estim_B.xlsx]Elec_Rates!$D$270</v>
      </c>
      <c r="E1575" s="1066"/>
      <c r="F1575" s="1066"/>
      <c r="G1575" s="1067" t="s">
        <v>1007</v>
      </c>
      <c r="H1575" s="1067"/>
      <c r="I1575" s="1067"/>
      <c r="J1575" s="1067"/>
      <c r="K1575" s="1068"/>
      <c r="L1575" s="1066"/>
      <c r="M1575" s="1066"/>
      <c r="N1575" s="1066"/>
      <c r="O1575" s="1069"/>
      <c r="P1575" s="1066"/>
      <c r="Q1575" s="1070"/>
      <c r="R1575" s="1071"/>
      <c r="S1575" s="1070"/>
      <c r="T1575" s="1072"/>
      <c r="U1575" s="1073"/>
    </row>
    <row r="1576" spans="1:41" s="997" customFormat="1" ht="11.4">
      <c r="A1576" s="1074">
        <v>6</v>
      </c>
      <c r="B1576" s="1075">
        <v>1</v>
      </c>
      <c r="C1576" s="1075">
        <f>$A1576*$B1576</f>
        <v>6</v>
      </c>
      <c r="D1576" s="1076" t="str">
        <f>Elec_Rates!$D$270</f>
        <v>029# Install and connect Only - Battery Backup Kit for the light fittings supplied by others</v>
      </c>
      <c r="E1576" s="1076"/>
      <c r="F1576" s="1076"/>
      <c r="G1576" s="1077" t="s">
        <v>1008</v>
      </c>
      <c r="H1576" s="1077"/>
      <c r="I1576" s="1077"/>
      <c r="J1576" s="1077"/>
      <c r="K1576" s="1078"/>
      <c r="L1576" s="1073"/>
      <c r="M1576" s="1073"/>
      <c r="N1576" s="1073"/>
      <c r="O1576" s="1079"/>
      <c r="P1576" s="1076"/>
      <c r="Q1576" s="1080">
        <f ca="1">$B1576*Elec_Rates!$R$270</f>
        <v>1.1000000000000001</v>
      </c>
      <c r="R1576" s="1071">
        <f ca="1">$A1576*Q1576</f>
        <v>6.6000000000000005</v>
      </c>
      <c r="S1576" s="1080">
        <f ca="1">$B1576*Elec_Rates!$T$270</f>
        <v>0.42</v>
      </c>
      <c r="T1576" s="1072">
        <f ca="1">$A1576*S1576</f>
        <v>2.52</v>
      </c>
      <c r="U1576" s="1081"/>
    </row>
    <row r="1577" spans="1:41" s="504" customFormat="1" ht="12">
      <c r="A1577" s="882"/>
      <c r="B1577" s="882"/>
      <c r="C1577" s="882"/>
      <c r="D1577" s="882"/>
      <c r="E1577" s="882"/>
      <c r="F1577" s="877"/>
      <c r="G1577" s="882"/>
      <c r="H1577" s="882"/>
      <c r="I1577" s="503"/>
      <c r="J1577" s="882"/>
      <c r="K1577" s="882"/>
      <c r="L1577" s="882"/>
      <c r="M1577" s="882"/>
      <c r="N1577" s="882"/>
      <c r="O1577" s="882"/>
      <c r="P1577" s="882"/>
      <c r="Q1577" s="503"/>
      <c r="R1577" s="883">
        <f>$A1577*Q1577</f>
        <v>0</v>
      </c>
      <c r="S1577" s="503"/>
      <c r="T1577" s="884">
        <f>$A1577*S1577*$T$1</f>
        <v>0</v>
      </c>
    </row>
    <row r="1578" spans="1:41" s="504" customFormat="1" ht="12.6" thickBot="1">
      <c r="A1578" s="885" t="s">
        <v>142</v>
      </c>
      <c r="B1578" s="886">
        <f>(R1577+T1577)</f>
        <v>0</v>
      </c>
      <c r="C1578" s="887"/>
      <c r="D1578" s="887"/>
      <c r="E1578" s="887"/>
      <c r="F1578" s="888"/>
      <c r="G1578" s="887" t="s">
        <v>143</v>
      </c>
      <c r="H1578" s="887"/>
      <c r="I1578" s="889"/>
      <c r="J1578" s="887"/>
      <c r="K1578" s="887" t="s">
        <v>3</v>
      </c>
      <c r="L1578" s="890" t="s">
        <v>140</v>
      </c>
      <c r="M1578" s="890"/>
      <c r="N1578" s="890"/>
      <c r="O1578" s="890"/>
      <c r="P1578" s="890"/>
      <c r="Q1578" s="891"/>
      <c r="R1578" s="892">
        <f ca="1">SUM(R1574:R1577)</f>
        <v>6.6000000000000005</v>
      </c>
      <c r="S1578" s="887"/>
      <c r="T1578" s="892">
        <f ca="1">SUM(T1574:T1577)</f>
        <v>2.52</v>
      </c>
      <c r="U1578" s="514"/>
      <c r="V1578" s="514"/>
      <c r="W1578" s="514"/>
      <c r="X1578" s="514"/>
      <c r="Y1578" s="514"/>
      <c r="Z1578" s="514"/>
      <c r="AA1578" s="514"/>
      <c r="AB1578" s="514"/>
      <c r="AC1578" s="514"/>
      <c r="AD1578" s="514"/>
      <c r="AE1578" s="514"/>
      <c r="AF1578" s="514"/>
      <c r="AG1578" s="514"/>
      <c r="AH1578" s="514"/>
      <c r="AI1578" s="514"/>
      <c r="AJ1578" s="514"/>
      <c r="AK1578" s="514"/>
      <c r="AL1578" s="514"/>
      <c r="AM1578" s="514"/>
      <c r="AN1578" s="514"/>
      <c r="AO1578" s="514"/>
    </row>
    <row r="1579" spans="1:41" s="504" customFormat="1" ht="12" thickTop="1">
      <c r="A1579" s="50"/>
      <c r="B1579" s="40"/>
      <c r="C1579" s="50"/>
      <c r="E1579" s="41" t="s">
        <v>136</v>
      </c>
      <c r="F1579" s="41" t="s">
        <v>137</v>
      </c>
      <c r="G1579" s="50"/>
      <c r="H1579" s="50"/>
      <c r="I1579" s="50"/>
      <c r="J1579" s="50"/>
      <c r="K1579" s="50" t="s">
        <v>138</v>
      </c>
      <c r="L1579" s="50"/>
      <c r="M1579" s="50"/>
      <c r="N1579" s="50"/>
      <c r="O1579" s="51"/>
      <c r="P1579" s="50"/>
      <c r="Q1579" s="50"/>
      <c r="R1579" s="50"/>
      <c r="S1579" s="50"/>
      <c r="T1579" s="40"/>
      <c r="AG1579" s="867" t="s">
        <v>241</v>
      </c>
      <c r="AH1579" s="867" t="s">
        <v>242</v>
      </c>
      <c r="AI1579" s="867" t="s">
        <v>243</v>
      </c>
      <c r="AJ1579" s="867" t="s">
        <v>244</v>
      </c>
      <c r="AK1579" s="867" t="s">
        <v>245</v>
      </c>
      <c r="AM1579" s="868" t="s">
        <v>254</v>
      </c>
      <c r="AN1579" s="869" t="s">
        <v>255</v>
      </c>
      <c r="AO1579" s="505" t="s">
        <v>251</v>
      </c>
    </row>
    <row r="1580" spans="1:41" s="504" customFormat="1" ht="12" customHeight="1">
      <c r="A1580" s="870">
        <v>3</v>
      </c>
      <c r="B1580" s="871" t="s">
        <v>335</v>
      </c>
      <c r="C1580" s="872"/>
      <c r="D1580" s="873" t="s">
        <v>829</v>
      </c>
      <c r="E1580" s="874">
        <f ca="1">IF(AND($A1580=0,$A$1="DIF"),0, ROUND(ROUND(($R1585*$S$2+($T1585*$T$2))/A1580,2)*$C$2,2))</f>
        <v>11.35</v>
      </c>
      <c r="F1580" s="875">
        <f ca="1">ROUND($A1580*$E1580,2)</f>
        <v>34.049999999999997</v>
      </c>
      <c r="G1580" s="876" t="s">
        <v>139</v>
      </c>
      <c r="H1580" s="877"/>
      <c r="I1580" s="878"/>
      <c r="J1580" s="877"/>
      <c r="K1580" s="877" t="s">
        <v>3</v>
      </c>
      <c r="L1580" s="879" t="s">
        <v>140</v>
      </c>
      <c r="M1580" s="879"/>
      <c r="N1580" s="879"/>
      <c r="O1580" s="879"/>
      <c r="P1580" s="879"/>
      <c r="Q1580" s="50"/>
      <c r="T1580" s="880" t="str">
        <f ca="1">IF(AND($R1585=0,$T1585=0),"0.00","mu :" &amp; ROUND($F1580/$C$2/($R1585+$T1585*$D$9),2))</f>
        <v>mu :1.22</v>
      </c>
      <c r="W1580" s="507"/>
      <c r="AG1580" s="465">
        <f ca="1">IF($E1580=0,0,ROUND($R1585*$S$2*$C$2/$A1580,2))</f>
        <v>0.1</v>
      </c>
      <c r="AH1580" s="465">
        <f ca="1">$AG1580*$A1580</f>
        <v>0.30000000000000004</v>
      </c>
      <c r="AI1580" s="508">
        <f ca="1">$E1580-$AG1580</f>
        <v>11.25</v>
      </c>
      <c r="AJ1580" s="508">
        <f ca="1">$A1580*$AI1580</f>
        <v>33.75</v>
      </c>
      <c r="AK1580" s="509">
        <f ca="1">ROUND(($AG1580+$AI1580)*$A1580,2)</f>
        <v>34.049999999999997</v>
      </c>
      <c r="AM1580" s="510">
        <f ca="1">ROUND(R1585,2)</f>
        <v>0.24</v>
      </c>
      <c r="AN1580" s="511">
        <f ca="1">ROUND(T1585,2)</f>
        <v>0.96</v>
      </c>
      <c r="AO1580" s="512">
        <f ca="1">ROUND(AM1580+AN1580,2)*A1580</f>
        <v>3.5999999999999996</v>
      </c>
    </row>
    <row r="1581" spans="1:41" s="504" customFormat="1" ht="13.2">
      <c r="A1581" s="872"/>
      <c r="B1581"/>
      <c r="C1581" s="872"/>
      <c r="D1581" s="873" t="s">
        <v>425</v>
      </c>
      <c r="F1581" s="877"/>
      <c r="G1581" s="3"/>
      <c r="H1581" s="877"/>
      <c r="I1581" s="878"/>
      <c r="J1581" s="877"/>
      <c r="K1581" s="877" t="s">
        <v>141</v>
      </c>
      <c r="L1581" s="877"/>
      <c r="M1581" s="877"/>
      <c r="N1581" s="877"/>
      <c r="O1581" s="877"/>
      <c r="P1581" s="877"/>
      <c r="Q1581" s="50"/>
      <c r="R1581" s="513"/>
      <c r="S1581" s="881"/>
      <c r="T1581" s="877"/>
    </row>
    <row r="1582" spans="1:41" s="997" customFormat="1" ht="13.2">
      <c r="A1582"/>
      <c r="B1582" s="1065"/>
      <c r="C1582" s="1065" t="s">
        <v>1006</v>
      </c>
      <c r="D1582" s="1065" t="str">
        <f ca="1">CELL("Address",Elec_Rates!D$478)</f>
        <v>[EL25_0662B_Brittania_Hotel_Elec_Revised_Estim_B.xlsx]Elec_Rates!$D$478</v>
      </c>
      <c r="E1582" s="1066"/>
      <c r="F1582" s="1066"/>
      <c r="G1582" s="1067" t="s">
        <v>1007</v>
      </c>
      <c r="H1582" s="1067"/>
      <c r="I1582" s="1067"/>
      <c r="J1582" s="1067"/>
      <c r="K1582" s="1068"/>
      <c r="L1582" s="1066"/>
      <c r="M1582" s="1066"/>
      <c r="N1582" s="1066"/>
      <c r="O1582" s="1069"/>
      <c r="P1582" s="1066"/>
      <c r="Q1582" s="1070"/>
      <c r="R1582" s="1071"/>
      <c r="S1582" s="1070"/>
      <c r="T1582" s="1072"/>
      <c r="U1582" s="1073"/>
    </row>
    <row r="1583" spans="1:41" s="997" customFormat="1" ht="11.4">
      <c r="A1583" s="1074">
        <v>3</v>
      </c>
      <c r="B1583" s="1075">
        <v>1</v>
      </c>
      <c r="C1583" s="1075">
        <f>$A1583*$B1583</f>
        <v>3</v>
      </c>
      <c r="D1583" s="1076" t="str">
        <f>Elec_Rates!$D$478</f>
        <v>057# Install and connect Only - Magnifying Mirror in Bathroom</v>
      </c>
      <c r="E1583" s="1076"/>
      <c r="F1583" s="1076"/>
      <c r="G1583" s="1077" t="s">
        <v>1008</v>
      </c>
      <c r="H1583" s="1077"/>
      <c r="I1583" s="1077"/>
      <c r="J1583" s="1077"/>
      <c r="K1583" s="1078"/>
      <c r="L1583" s="1073"/>
      <c r="M1583" s="1073"/>
      <c r="N1583" s="1073"/>
      <c r="O1583" s="1079"/>
      <c r="P1583" s="1076"/>
      <c r="Q1583" s="1080">
        <f ca="1">$B1583*Elec_Rates!$R$478</f>
        <v>0.08</v>
      </c>
      <c r="R1583" s="1071">
        <f ca="1">$A1583*Q1583</f>
        <v>0.24</v>
      </c>
      <c r="S1583" s="1080">
        <f ca="1">$B1583*Elec_Rates!$T$478</f>
        <v>0.32</v>
      </c>
      <c r="T1583" s="1072">
        <f ca="1">$A1583*S1583</f>
        <v>0.96</v>
      </c>
      <c r="U1583" s="1081"/>
    </row>
    <row r="1584" spans="1:41" s="504" customFormat="1" ht="12">
      <c r="A1584" s="882"/>
      <c r="B1584" s="882"/>
      <c r="C1584" s="882"/>
      <c r="D1584" s="882"/>
      <c r="E1584" s="882"/>
      <c r="F1584" s="877"/>
      <c r="G1584" s="882"/>
      <c r="H1584" s="882"/>
      <c r="I1584" s="503"/>
      <c r="J1584" s="882"/>
      <c r="K1584" s="882"/>
      <c r="L1584" s="882"/>
      <c r="M1584" s="882"/>
      <c r="N1584" s="882"/>
      <c r="O1584" s="882"/>
      <c r="P1584" s="882"/>
      <c r="Q1584" s="503"/>
      <c r="R1584" s="883">
        <f>$A1584*Q1584</f>
        <v>0</v>
      </c>
      <c r="S1584" s="503"/>
      <c r="T1584" s="884">
        <f>$A1584*S1584*$T$1</f>
        <v>0</v>
      </c>
    </row>
    <row r="1585" spans="1:41" s="504" customFormat="1" ht="12.6" thickBot="1">
      <c r="A1585" s="885" t="s">
        <v>142</v>
      </c>
      <c r="B1585" s="886">
        <f>(R1584+T1584)</f>
        <v>0</v>
      </c>
      <c r="C1585" s="887"/>
      <c r="D1585" s="887"/>
      <c r="E1585" s="887"/>
      <c r="F1585" s="888"/>
      <c r="G1585" s="887" t="s">
        <v>143</v>
      </c>
      <c r="H1585" s="887"/>
      <c r="I1585" s="889"/>
      <c r="J1585" s="887"/>
      <c r="K1585" s="887" t="s">
        <v>3</v>
      </c>
      <c r="L1585" s="890" t="s">
        <v>140</v>
      </c>
      <c r="M1585" s="890"/>
      <c r="N1585" s="890"/>
      <c r="O1585" s="890"/>
      <c r="P1585" s="890"/>
      <c r="Q1585" s="891"/>
      <c r="R1585" s="892">
        <f ca="1">SUM(R1581:R1584)</f>
        <v>0.24</v>
      </c>
      <c r="S1585" s="887"/>
      <c r="T1585" s="892">
        <f ca="1">SUM(T1581:T1584)</f>
        <v>0.96</v>
      </c>
      <c r="U1585" s="514"/>
      <c r="V1585" s="514"/>
      <c r="W1585" s="514"/>
      <c r="X1585" s="514"/>
      <c r="Y1585" s="514"/>
      <c r="Z1585" s="514"/>
      <c r="AA1585" s="514"/>
      <c r="AB1585" s="514"/>
      <c r="AC1585" s="514"/>
      <c r="AD1585" s="514"/>
      <c r="AE1585" s="514"/>
      <c r="AF1585" s="514"/>
      <c r="AG1585" s="514"/>
      <c r="AH1585" s="514"/>
      <c r="AI1585" s="514"/>
      <c r="AJ1585" s="514"/>
      <c r="AK1585" s="514"/>
      <c r="AL1585" s="514"/>
      <c r="AM1585" s="514"/>
      <c r="AN1585" s="514"/>
      <c r="AO1585" s="514"/>
    </row>
    <row r="1586" spans="1:41" s="504" customFormat="1" ht="12" thickTop="1">
      <c r="A1586" s="47" t="s">
        <v>145</v>
      </c>
      <c r="D1586" s="13"/>
      <c r="E1586" s="41"/>
      <c r="O1586" s="893"/>
    </row>
    <row r="1587" spans="1:41" s="504" customFormat="1" ht="13.2">
      <c r="B1587" s="3"/>
      <c r="O1587" s="893"/>
    </row>
    <row r="1588" spans="1:41" s="504" customFormat="1" ht="12">
      <c r="B1588" s="894">
        <f ca="1">$F1588/$C$2-($R1588*$S$2+$T1588*$T$2)</f>
        <v>216.12300777000019</v>
      </c>
      <c r="D1588" s="895" t="s">
        <v>815</v>
      </c>
      <c r="E1588" s="896"/>
      <c r="F1588" s="897">
        <f ca="1">SUMIF($L1414:$L1586,"ITEM",F1414:F1586)</f>
        <v>2883.6900000000005</v>
      </c>
      <c r="G1588" s="882"/>
      <c r="H1588" s="882"/>
      <c r="I1588" s="503"/>
      <c r="J1588" s="882"/>
      <c r="K1588" s="882"/>
      <c r="L1588" s="879" t="s">
        <v>154</v>
      </c>
      <c r="M1588" s="879"/>
      <c r="N1588" s="879"/>
      <c r="O1588" s="879"/>
      <c r="P1588" s="879"/>
      <c r="R1588" s="897">
        <f ca="1">SUMIF($L1414:$L1586,"ITEM",R1414:R1586)</f>
        <v>895.23</v>
      </c>
      <c r="S1588" s="898"/>
      <c r="T1588" s="897">
        <f ca="1">SUMIF($L1414:$L1586,"ITEM",T1414:T1586)</f>
        <v>44.785500000000006</v>
      </c>
    </row>
    <row r="1589" spans="1:41" s="504" customFormat="1" ht="13.2">
      <c r="A1589" s="50"/>
      <c r="B1589" s="48" t="s">
        <v>816</v>
      </c>
      <c r="C1589" s="50"/>
      <c r="D1589" s="3"/>
      <c r="F1589" s="899" t="s">
        <v>155</v>
      </c>
      <c r="G1589" s="882"/>
      <c r="H1589" s="882"/>
      <c r="I1589" s="503"/>
      <c r="J1589" s="882"/>
      <c r="K1589" s="882"/>
      <c r="L1589" s="882"/>
      <c r="M1589" s="882"/>
      <c r="N1589" s="882"/>
      <c r="O1589" s="882"/>
      <c r="P1589" s="882"/>
      <c r="Q1589" s="900"/>
      <c r="R1589" s="899" t="s">
        <v>156</v>
      </c>
      <c r="S1589" s="38"/>
      <c r="T1589" s="899" t="s">
        <v>157</v>
      </c>
    </row>
    <row r="1590" spans="1:41" s="504" customFormat="1" ht="13.2">
      <c r="A1590" s="882"/>
      <c r="B1590" s="3"/>
      <c r="C1590" s="882"/>
      <c r="D1590" s="3"/>
      <c r="E1590" s="3"/>
      <c r="G1590" s="3"/>
      <c r="H1590" s="3"/>
      <c r="I1590" s="3"/>
      <c r="J1590" s="3"/>
      <c r="K1590" s="3"/>
      <c r="L1590" s="3"/>
      <c r="M1590" s="3"/>
      <c r="N1590" s="3"/>
      <c r="O1590" s="103"/>
      <c r="P1590" s="3"/>
      <c r="Q1590" s="3"/>
      <c r="R1590" s="3"/>
      <c r="S1590" s="3"/>
      <c r="T1590" s="3"/>
    </row>
    <row r="1591" spans="1:41" s="504" customFormat="1" ht="12" thickBot="1">
      <c r="A1591" s="514"/>
      <c r="B1591" s="887"/>
      <c r="C1591" s="887"/>
      <c r="D1591" s="514"/>
      <c r="E1591" s="39"/>
      <c r="F1591" s="901"/>
      <c r="G1591" s="887"/>
      <c r="H1591" s="887"/>
      <c r="I1591" s="889"/>
      <c r="J1591" s="887"/>
      <c r="K1591" s="887"/>
      <c r="L1591" s="890"/>
      <c r="M1591" s="890"/>
      <c r="N1591" s="890"/>
      <c r="O1591" s="890"/>
      <c r="P1591" s="890"/>
      <c r="Q1591" s="891"/>
      <c r="R1591" s="901"/>
      <c r="S1591" s="902"/>
      <c r="T1591" s="901"/>
      <c r="U1591" s="514"/>
      <c r="V1591" s="514"/>
      <c r="W1591" s="514"/>
      <c r="X1591" s="514"/>
      <c r="Y1591" s="514"/>
      <c r="Z1591" s="514"/>
      <c r="AA1591" s="514"/>
      <c r="AB1591" s="514"/>
      <c r="AC1591" s="514"/>
      <c r="AD1591" s="514"/>
      <c r="AE1591" s="514"/>
      <c r="AF1591" s="514"/>
      <c r="AG1591" s="514"/>
      <c r="AH1591" s="514"/>
      <c r="AI1591" s="514"/>
      <c r="AJ1591" s="514"/>
      <c r="AK1591" s="514"/>
    </row>
    <row r="1592" spans="1:41" s="504" customFormat="1" thickTop="1">
      <c r="A1592" s="50"/>
      <c r="B1592" s="50"/>
      <c r="C1592" s="3"/>
      <c r="D1592" s="3"/>
      <c r="E1592" s="50"/>
      <c r="F1592" s="50"/>
      <c r="G1592" s="50"/>
      <c r="H1592" s="50"/>
      <c r="I1592" s="50"/>
      <c r="J1592" s="50"/>
      <c r="K1592" s="50" t="s">
        <v>133</v>
      </c>
      <c r="L1592" s="50"/>
      <c r="M1592" s="50"/>
      <c r="N1592" s="50"/>
      <c r="O1592" s="51"/>
      <c r="P1592" s="50"/>
      <c r="Q1592" s="50"/>
      <c r="R1592" s="50"/>
      <c r="S1592" s="50"/>
      <c r="T1592" s="50"/>
    </row>
    <row r="1593" spans="1:41" s="504" customFormat="1" ht="12">
      <c r="A1593" s="50"/>
      <c r="B1593" s="50"/>
      <c r="C1593" s="50" t="s">
        <v>134</v>
      </c>
      <c r="D1593" s="37"/>
      <c r="E1593" s="50"/>
      <c r="F1593" s="50"/>
      <c r="G1593" s="50"/>
      <c r="H1593" s="50"/>
      <c r="I1593" s="50"/>
      <c r="J1593" s="50"/>
      <c r="K1593" s="50"/>
      <c r="L1593" s="50"/>
      <c r="M1593" s="50"/>
      <c r="N1593" s="50"/>
      <c r="O1593" s="51"/>
      <c r="P1593" s="50"/>
      <c r="Q1593" s="50"/>
      <c r="R1593" s="50"/>
      <c r="S1593" s="50"/>
      <c r="T1593" s="50"/>
    </row>
    <row r="1594" spans="1:41" s="504" customFormat="1" ht="12">
      <c r="A1594" s="50"/>
      <c r="B1594" s="50"/>
      <c r="C1594" s="50"/>
      <c r="D1594" s="37" t="s">
        <v>358</v>
      </c>
      <c r="E1594" s="50"/>
      <c r="F1594" s="50"/>
      <c r="G1594" s="50"/>
      <c r="H1594" s="50"/>
      <c r="I1594" s="50"/>
      <c r="J1594" s="50"/>
      <c r="K1594" s="50"/>
      <c r="L1594" s="50"/>
      <c r="M1594" s="50"/>
      <c r="N1594" s="50"/>
      <c r="O1594" s="51"/>
      <c r="P1594" s="50"/>
      <c r="Q1594" s="50"/>
      <c r="R1594" s="50"/>
      <c r="S1594" s="38"/>
      <c r="T1594" s="38"/>
    </row>
    <row r="1595" spans="1:41" s="3" customFormat="1" thickBot="1">
      <c r="A1595" s="514"/>
      <c r="O1595" s="103"/>
    </row>
    <row r="1596" spans="1:41" s="504" customFormat="1" thickTop="1">
      <c r="A1596" s="50"/>
      <c r="B1596" s="50"/>
      <c r="C1596" s="3"/>
      <c r="D1596" s="3"/>
      <c r="E1596" s="50"/>
      <c r="F1596" s="50"/>
      <c r="G1596" s="50"/>
      <c r="H1596" s="50"/>
      <c r="I1596" s="50"/>
      <c r="J1596" s="50"/>
      <c r="K1596" s="50" t="s">
        <v>133</v>
      </c>
      <c r="L1596" s="50"/>
      <c r="M1596" s="50"/>
      <c r="N1596" s="50"/>
      <c r="O1596" s="51"/>
      <c r="P1596" s="50"/>
      <c r="Q1596" s="50"/>
      <c r="R1596" s="50"/>
      <c r="S1596" s="50"/>
      <c r="T1596" s="50"/>
    </row>
    <row r="1597" spans="1:41" s="504" customFormat="1" ht="12">
      <c r="A1597" s="50"/>
      <c r="B1597" s="50"/>
      <c r="C1597" s="50" t="s">
        <v>134</v>
      </c>
      <c r="D1597" s="37" t="s">
        <v>863</v>
      </c>
      <c r="E1597" s="50"/>
      <c r="F1597" s="50"/>
      <c r="G1597" s="50"/>
      <c r="H1597" s="50"/>
      <c r="I1597" s="50"/>
      <c r="J1597" s="50"/>
      <c r="K1597" s="50"/>
      <c r="L1597" s="50"/>
      <c r="M1597" s="50"/>
      <c r="N1597" s="50"/>
      <c r="O1597" s="51"/>
      <c r="P1597" s="50"/>
      <c r="Q1597" s="50"/>
      <c r="R1597" s="50"/>
      <c r="S1597" s="50"/>
      <c r="T1597" s="50"/>
    </row>
    <row r="1598" spans="1:41" s="504" customFormat="1" ht="12">
      <c r="A1598" s="50"/>
      <c r="B1598" s="50"/>
      <c r="C1598" s="50"/>
      <c r="D1598" s="37" t="s">
        <v>393</v>
      </c>
      <c r="E1598" s="50"/>
      <c r="F1598" s="50"/>
      <c r="G1598" s="50"/>
      <c r="H1598" s="50"/>
      <c r="I1598" s="50"/>
      <c r="J1598" s="50"/>
      <c r="K1598" s="50"/>
      <c r="L1598" s="50"/>
      <c r="M1598" s="50"/>
      <c r="N1598" s="50"/>
      <c r="O1598" s="51"/>
      <c r="P1598" s="50"/>
      <c r="Q1598" s="50"/>
      <c r="R1598" s="50"/>
      <c r="S1598" s="38"/>
      <c r="T1598" s="38"/>
    </row>
    <row r="1599" spans="1:41" s="3" customFormat="1" thickBot="1">
      <c r="A1599" s="514"/>
      <c r="O1599" s="103"/>
    </row>
    <row r="1600" spans="1:41" s="504" customFormat="1" ht="12" thickTop="1">
      <c r="A1600" s="50"/>
      <c r="B1600" s="40"/>
      <c r="C1600" s="50"/>
      <c r="E1600" s="41" t="s">
        <v>136</v>
      </c>
      <c r="F1600" s="41" t="s">
        <v>137</v>
      </c>
      <c r="G1600" s="50"/>
      <c r="H1600" s="50"/>
      <c r="I1600" s="50"/>
      <c r="J1600" s="50"/>
      <c r="K1600" s="50" t="s">
        <v>138</v>
      </c>
      <c r="L1600" s="50"/>
      <c r="M1600" s="50"/>
      <c r="N1600" s="50"/>
      <c r="O1600" s="51"/>
      <c r="P1600" s="50"/>
      <c r="Q1600" s="50"/>
      <c r="R1600" s="50"/>
      <c r="S1600" s="50"/>
      <c r="T1600" s="40"/>
      <c r="AG1600" s="867" t="s">
        <v>241</v>
      </c>
      <c r="AH1600" s="867" t="s">
        <v>242</v>
      </c>
      <c r="AI1600" s="867" t="s">
        <v>243</v>
      </c>
      <c r="AJ1600" s="867" t="s">
        <v>244</v>
      </c>
      <c r="AK1600" s="867" t="s">
        <v>245</v>
      </c>
      <c r="AM1600" s="868" t="s">
        <v>254</v>
      </c>
      <c r="AN1600" s="869" t="s">
        <v>255</v>
      </c>
      <c r="AO1600" s="505" t="s">
        <v>251</v>
      </c>
    </row>
    <row r="1601" spans="1:41" s="504" customFormat="1" ht="12" customHeight="1">
      <c r="A1601" s="870">
        <v>8</v>
      </c>
      <c r="B1601" s="871" t="s">
        <v>335</v>
      </c>
      <c r="C1601" s="872"/>
      <c r="D1601" s="873" t="s">
        <v>804</v>
      </c>
      <c r="E1601" s="874">
        <f ca="1">IF(AND($A1601=0,$A$1="DIF"),0, ROUND(ROUND(($R1607*$S$2+($T1607*$T$2))/A1601,2)*$C$2,2))</f>
        <v>77.31</v>
      </c>
      <c r="F1601" s="875">
        <f ca="1">ROUND($A1601*$E1601,2)</f>
        <v>618.48</v>
      </c>
      <c r="G1601" s="876" t="s">
        <v>139</v>
      </c>
      <c r="H1601" s="877"/>
      <c r="I1601" s="878"/>
      <c r="J1601" s="877"/>
      <c r="K1601" s="877" t="s">
        <v>3</v>
      </c>
      <c r="L1601" s="879" t="s">
        <v>140</v>
      </c>
      <c r="M1601" s="879"/>
      <c r="N1601" s="879"/>
      <c r="O1601" s="879"/>
      <c r="P1601" s="879"/>
      <c r="Q1601" s="50"/>
      <c r="T1601" s="880" t="str">
        <f ca="1">IF(AND($R1607=0,$T1607=0),"0.00","mu :" &amp; ROUND($F1601/$C$2/($R1607+$T1607*$D$9),2))</f>
        <v>mu :1.22</v>
      </c>
      <c r="W1601" s="507"/>
      <c r="AG1601" s="465">
        <f ca="1">IF($E1601=0,0,ROUND($R1607*$S$2*$C$2/$A1601,2))</f>
        <v>20.73</v>
      </c>
      <c r="AH1601" s="465">
        <f ca="1">$AG1601*$A1601</f>
        <v>165.84</v>
      </c>
      <c r="AI1601" s="508">
        <f ca="1">$E1601-$AG1601</f>
        <v>56.58</v>
      </c>
      <c r="AJ1601" s="508">
        <f ca="1">$A1601*$AI1601</f>
        <v>452.64</v>
      </c>
      <c r="AK1601" s="509">
        <f ca="1">ROUND(($AG1601+$AI1601)*$A1601,2)</f>
        <v>618.48</v>
      </c>
      <c r="AM1601" s="510">
        <f ca="1">ROUND(R1607,2)</f>
        <v>135.91999999999999</v>
      </c>
      <c r="AN1601" s="511">
        <f ca="1">ROUND(T1607,2)</f>
        <v>12.87</v>
      </c>
      <c r="AO1601" s="512">
        <f ca="1">ROUND(AM1601+AN1601,2)*A1601</f>
        <v>1190.32</v>
      </c>
    </row>
    <row r="1602" spans="1:41" s="504" customFormat="1" ht="13.2">
      <c r="A1602" s="872"/>
      <c r="B1602"/>
      <c r="C1602" s="872"/>
      <c r="D1602" s="873" t="s">
        <v>359</v>
      </c>
      <c r="F1602" s="877"/>
      <c r="G1602" s="3"/>
      <c r="H1602" s="877"/>
      <c r="I1602" s="878"/>
      <c r="J1602" s="877"/>
      <c r="K1602" s="877" t="s">
        <v>141</v>
      </c>
      <c r="L1602" s="877"/>
      <c r="M1602" s="877"/>
      <c r="N1602" s="877"/>
      <c r="O1602" s="877"/>
      <c r="P1602" s="877"/>
      <c r="Q1602" s="50"/>
      <c r="R1602" s="513"/>
      <c r="S1602" s="881"/>
      <c r="T1602" s="877"/>
    </row>
    <row r="1603" spans="1:41" s="997" customFormat="1" ht="13.2">
      <c r="A1603"/>
      <c r="B1603" s="1065"/>
      <c r="C1603" s="1065" t="s">
        <v>1006</v>
      </c>
      <c r="D1603" s="1065" t="str">
        <f ca="1">CELL("Address",Elec_Rates!D$486)</f>
        <v>[EL25_0662B_Brittania_Hotel_Elec_Revised_Estim_B.xlsx]Elec_Rates!$D$486</v>
      </c>
      <c r="E1603" s="1066"/>
      <c r="F1603" s="1066"/>
      <c r="G1603" s="1067" t="s">
        <v>1007</v>
      </c>
      <c r="H1603" s="1067"/>
      <c r="I1603" s="1067"/>
      <c r="J1603" s="1067"/>
      <c r="K1603" s="1068"/>
      <c r="L1603" s="1066"/>
      <c r="M1603" s="1066"/>
      <c r="N1603" s="1066"/>
      <c r="O1603" s="1069"/>
      <c r="P1603" s="1066"/>
      <c r="Q1603" s="1070"/>
      <c r="R1603" s="1071"/>
      <c r="S1603" s="1070"/>
      <c r="T1603" s="1072"/>
      <c r="U1603" s="1073"/>
    </row>
    <row r="1604" spans="1:41" s="997" customFormat="1" ht="11.4">
      <c r="A1604" s="1074">
        <v>8</v>
      </c>
      <c r="B1604" s="1075">
        <v>1</v>
      </c>
      <c r="C1604" s="1075">
        <f>$A1604*$B1604</f>
        <v>8</v>
      </c>
      <c r="D1604" s="1076" t="str">
        <f>Elec_Rates!$D$486</f>
        <v>058# General Power Point in LSZH Conduit</v>
      </c>
      <c r="E1604" s="1076"/>
      <c r="F1604" s="1076"/>
      <c r="G1604" s="1077" t="s">
        <v>1008</v>
      </c>
      <c r="H1604" s="1077"/>
      <c r="I1604" s="1077"/>
      <c r="J1604" s="1077"/>
      <c r="K1604" s="1078"/>
      <c r="L1604" s="1073"/>
      <c r="M1604" s="1073"/>
      <c r="N1604" s="1073"/>
      <c r="O1604" s="1079"/>
      <c r="P1604" s="1076"/>
      <c r="Q1604" s="1080">
        <f ca="1">$B1604*Elec_Rates!$R$486</f>
        <v>13.92</v>
      </c>
      <c r="R1604" s="1071">
        <f ca="1">$A1604*Q1604</f>
        <v>111.36</v>
      </c>
      <c r="S1604" s="1080">
        <f ca="1">$B1604*Elec_Rates!$T$486</f>
        <v>1.43</v>
      </c>
      <c r="T1604" s="1072">
        <f ca="1">$A1604*S1604</f>
        <v>11.44</v>
      </c>
      <c r="U1604" s="1081"/>
    </row>
    <row r="1605" spans="1:41" s="1039" customFormat="1" ht="13.2">
      <c r="A1605" s="112">
        <v>8</v>
      </c>
      <c r="B1605" s="1039" t="s">
        <v>949</v>
      </c>
      <c r="D1605" s="1039" t="s">
        <v>1233</v>
      </c>
      <c r="F1605" s="1039" t="s">
        <v>1506</v>
      </c>
      <c r="G1605" s="1040" t="s">
        <v>1231</v>
      </c>
      <c r="H1605" s="1041">
        <v>705</v>
      </c>
      <c r="I1605" s="1039" t="s">
        <v>1183</v>
      </c>
      <c r="J1605" s="1039" t="s">
        <v>1232</v>
      </c>
      <c r="O1605" s="1042">
        <v>3</v>
      </c>
      <c r="P1605" s="1043">
        <v>34669</v>
      </c>
      <c r="Q1605" s="1044">
        <v>3.07</v>
      </c>
      <c r="R1605" s="1045">
        <f>$A1605*Q1605</f>
        <v>24.56</v>
      </c>
      <c r="S1605" s="1044">
        <v>0.17</v>
      </c>
      <c r="T1605" s="1046">
        <f>$A1605*S1605*$T$1</f>
        <v>1.4280000000000002</v>
      </c>
    </row>
    <row r="1606" spans="1:41" s="504" customFormat="1" ht="12">
      <c r="A1606" s="882"/>
      <c r="B1606" s="882"/>
      <c r="C1606" s="882"/>
      <c r="D1606" s="882"/>
      <c r="E1606" s="882"/>
      <c r="F1606" s="877"/>
      <c r="G1606" s="882"/>
      <c r="H1606" s="882"/>
      <c r="I1606" s="503"/>
      <c r="J1606" s="882"/>
      <c r="K1606" s="882"/>
      <c r="L1606" s="882"/>
      <c r="M1606" s="882"/>
      <c r="N1606" s="882"/>
      <c r="O1606" s="882"/>
      <c r="P1606" s="882"/>
      <c r="Q1606" s="503"/>
      <c r="R1606" s="883">
        <f>$A1606*Q1606</f>
        <v>0</v>
      </c>
      <c r="S1606" s="503"/>
      <c r="T1606" s="884">
        <f>$A1606*S1606*$T$1</f>
        <v>0</v>
      </c>
    </row>
    <row r="1607" spans="1:41" s="504" customFormat="1" ht="12.6" thickBot="1">
      <c r="A1607" s="885" t="s">
        <v>142</v>
      </c>
      <c r="B1607" s="886">
        <f>(R1606+T1606)</f>
        <v>0</v>
      </c>
      <c r="C1607" s="887"/>
      <c r="D1607" s="887"/>
      <c r="E1607" s="887"/>
      <c r="F1607" s="888"/>
      <c r="G1607" s="887" t="s">
        <v>143</v>
      </c>
      <c r="H1607" s="887"/>
      <c r="I1607" s="889"/>
      <c r="J1607" s="887"/>
      <c r="K1607" s="887" t="s">
        <v>3</v>
      </c>
      <c r="L1607" s="890" t="s">
        <v>140</v>
      </c>
      <c r="M1607" s="890"/>
      <c r="N1607" s="890"/>
      <c r="O1607" s="890"/>
      <c r="P1607" s="890"/>
      <c r="Q1607" s="891"/>
      <c r="R1607" s="892">
        <f ca="1">SUM(R1602:R1606)</f>
        <v>135.91999999999999</v>
      </c>
      <c r="S1607" s="887"/>
      <c r="T1607" s="892">
        <f ca="1">SUM(T1602:T1606)</f>
        <v>12.868</v>
      </c>
      <c r="U1607" s="514"/>
      <c r="V1607" s="514"/>
      <c r="W1607" s="514"/>
      <c r="X1607" s="514"/>
      <c r="Y1607" s="514"/>
      <c r="Z1607" s="514"/>
      <c r="AA1607" s="514"/>
      <c r="AB1607" s="514"/>
      <c r="AC1607" s="514"/>
      <c r="AD1607" s="514"/>
      <c r="AE1607" s="514"/>
      <c r="AF1607" s="514"/>
      <c r="AG1607" s="514"/>
      <c r="AH1607" s="514"/>
      <c r="AI1607" s="514"/>
      <c r="AJ1607" s="514"/>
      <c r="AK1607" s="514"/>
      <c r="AL1607" s="514"/>
      <c r="AM1607" s="514"/>
      <c r="AN1607" s="514"/>
      <c r="AO1607" s="514"/>
    </row>
    <row r="1608" spans="1:41" s="504" customFormat="1" ht="12" thickTop="1">
      <c r="A1608" s="50"/>
      <c r="B1608" s="40"/>
      <c r="C1608" s="50"/>
      <c r="E1608" s="41" t="s">
        <v>136</v>
      </c>
      <c r="F1608" s="41" t="s">
        <v>137</v>
      </c>
      <c r="G1608" s="50"/>
      <c r="H1608" s="50"/>
      <c r="I1608" s="50"/>
      <c r="J1608" s="50"/>
      <c r="K1608" s="50" t="s">
        <v>138</v>
      </c>
      <c r="L1608" s="50"/>
      <c r="M1608" s="50"/>
      <c r="N1608" s="50"/>
      <c r="O1608" s="51"/>
      <c r="P1608" s="50"/>
      <c r="Q1608" s="50"/>
      <c r="R1608" s="50"/>
      <c r="S1608" s="50"/>
      <c r="T1608" s="40"/>
      <c r="AG1608" s="867" t="s">
        <v>241</v>
      </c>
      <c r="AH1608" s="867" t="s">
        <v>242</v>
      </c>
      <c r="AI1608" s="867" t="s">
        <v>243</v>
      </c>
      <c r="AJ1608" s="867" t="s">
        <v>244</v>
      </c>
      <c r="AK1608" s="867" t="s">
        <v>245</v>
      </c>
      <c r="AM1608" s="868" t="s">
        <v>254</v>
      </c>
      <c r="AN1608" s="869" t="s">
        <v>255</v>
      </c>
      <c r="AO1608" s="505" t="s">
        <v>251</v>
      </c>
    </row>
    <row r="1609" spans="1:41" s="504" customFormat="1" ht="12" customHeight="1">
      <c r="A1609" s="870">
        <v>8</v>
      </c>
      <c r="B1609" s="871" t="s">
        <v>335</v>
      </c>
      <c r="C1609" s="872"/>
      <c r="D1609" s="873" t="s">
        <v>806</v>
      </c>
      <c r="E1609" s="874">
        <f ca="1">IF(AND($A1609=0,$A$1="DIF"),0, ROUND(ROUND(($R1615*$S$2+($T1615*$T$2))/A1609,2)*$C$2,2))</f>
        <v>79.36</v>
      </c>
      <c r="F1609" s="875">
        <f ca="1">ROUND($A1609*$E1609,2)</f>
        <v>634.88</v>
      </c>
      <c r="G1609" s="876" t="s">
        <v>139</v>
      </c>
      <c r="H1609" s="877"/>
      <c r="I1609" s="878"/>
      <c r="J1609" s="877"/>
      <c r="K1609" s="877" t="s">
        <v>3</v>
      </c>
      <c r="L1609" s="879" t="s">
        <v>140</v>
      </c>
      <c r="M1609" s="879"/>
      <c r="N1609" s="879"/>
      <c r="O1609" s="879"/>
      <c r="P1609" s="879"/>
      <c r="Q1609" s="50"/>
      <c r="T1609" s="880" t="str">
        <f ca="1">IF(AND($R1615=0,$T1615=0),"0.00","mu :" &amp; ROUND($F1609/$C$2/($R1615+$T1615*$D$9),2))</f>
        <v>mu :1.22</v>
      </c>
      <c r="W1609" s="507"/>
      <c r="AG1609" s="465">
        <f ca="1">IF($E1609=0,0,ROUND($R1615*$S$2*$C$2/$A1609,2))</f>
        <v>22.78</v>
      </c>
      <c r="AH1609" s="465">
        <f ca="1">$AG1609*$A1609</f>
        <v>182.24</v>
      </c>
      <c r="AI1609" s="508">
        <f ca="1">$E1609-$AG1609</f>
        <v>56.58</v>
      </c>
      <c r="AJ1609" s="508">
        <f ca="1">$A1609*$AI1609</f>
        <v>452.64</v>
      </c>
      <c r="AK1609" s="509">
        <f ca="1">ROUND(($AG1609+$AI1609)*$A1609,2)</f>
        <v>634.88</v>
      </c>
      <c r="AM1609" s="510">
        <f ca="1">ROUND(R1615,2)</f>
        <v>149.36000000000001</v>
      </c>
      <c r="AN1609" s="511">
        <f ca="1">ROUND(T1615,2)</f>
        <v>12.87</v>
      </c>
      <c r="AO1609" s="512">
        <f ca="1">ROUND(AM1609+AN1609,2)*A1609</f>
        <v>1297.8399999999999</v>
      </c>
    </row>
    <row r="1610" spans="1:41" s="504" customFormat="1" ht="13.2">
      <c r="A1610" s="872"/>
      <c r="B1610"/>
      <c r="C1610" s="872"/>
      <c r="D1610" s="873" t="s">
        <v>360</v>
      </c>
      <c r="F1610" s="877"/>
      <c r="G1610" s="3"/>
      <c r="H1610" s="877"/>
      <c r="I1610" s="878"/>
      <c r="J1610" s="877"/>
      <c r="K1610" s="877" t="s">
        <v>141</v>
      </c>
      <c r="L1610" s="877"/>
      <c r="M1610" s="877"/>
      <c r="N1610" s="877"/>
      <c r="O1610" s="877"/>
      <c r="P1610" s="877"/>
      <c r="Q1610" s="50"/>
      <c r="R1610" s="513"/>
      <c r="S1610" s="881"/>
      <c r="T1610" s="877"/>
    </row>
    <row r="1611" spans="1:41" s="997" customFormat="1" ht="13.2">
      <c r="A1611"/>
      <c r="B1611" s="1065"/>
      <c r="C1611" s="1065" t="s">
        <v>1006</v>
      </c>
      <c r="D1611" s="1065" t="str">
        <f ca="1">CELL("Address",Elec_Rates!D$486)</f>
        <v>[EL25_0662B_Brittania_Hotel_Elec_Revised_Estim_B.xlsx]Elec_Rates!$D$486</v>
      </c>
      <c r="E1611" s="1066"/>
      <c r="F1611" s="1066"/>
      <c r="G1611" s="1067" t="s">
        <v>1007</v>
      </c>
      <c r="H1611" s="1067"/>
      <c r="I1611" s="1067"/>
      <c r="J1611" s="1067"/>
      <c r="K1611" s="1068"/>
      <c r="L1611" s="1066"/>
      <c r="M1611" s="1066"/>
      <c r="N1611" s="1066"/>
      <c r="O1611" s="1069"/>
      <c r="P1611" s="1066"/>
      <c r="Q1611" s="1070"/>
      <c r="R1611" s="1071"/>
      <c r="S1611" s="1070"/>
      <c r="T1611" s="1072"/>
      <c r="U1611" s="1073"/>
    </row>
    <row r="1612" spans="1:41" s="997" customFormat="1" ht="11.4">
      <c r="A1612" s="1074">
        <v>8</v>
      </c>
      <c r="B1612" s="1075">
        <v>1</v>
      </c>
      <c r="C1612" s="1075">
        <f>$A1612*$B1612</f>
        <v>8</v>
      </c>
      <c r="D1612" s="1076" t="str">
        <f>Elec_Rates!$D$486</f>
        <v>058# General Power Point in LSZH Conduit</v>
      </c>
      <c r="E1612" s="1076"/>
      <c r="F1612" s="1076"/>
      <c r="G1612" s="1077" t="s">
        <v>1008</v>
      </c>
      <c r="H1612" s="1077"/>
      <c r="I1612" s="1077"/>
      <c r="J1612" s="1077"/>
      <c r="K1612" s="1078"/>
      <c r="L1612" s="1073"/>
      <c r="M1612" s="1073"/>
      <c r="N1612" s="1073"/>
      <c r="O1612" s="1079"/>
      <c r="P1612" s="1076"/>
      <c r="Q1612" s="1080">
        <f ca="1">$B1612*Elec_Rates!$R$486</f>
        <v>13.92</v>
      </c>
      <c r="R1612" s="1071">
        <f ca="1">$A1612*Q1612</f>
        <v>111.36</v>
      </c>
      <c r="S1612" s="1080">
        <f ca="1">$B1612*Elec_Rates!$T$486</f>
        <v>1.43</v>
      </c>
      <c r="T1612" s="1072">
        <f ca="1">$A1612*S1612</f>
        <v>11.44</v>
      </c>
      <c r="U1612" s="1081"/>
    </row>
    <row r="1613" spans="1:41" s="1039" customFormat="1" ht="13.2">
      <c r="A1613" s="112">
        <v>8</v>
      </c>
      <c r="B1613" s="1039" t="s">
        <v>949</v>
      </c>
      <c r="D1613" s="1039" t="s">
        <v>1234</v>
      </c>
      <c r="G1613" s="1040" t="s">
        <v>1231</v>
      </c>
      <c r="H1613" s="1041">
        <v>705</v>
      </c>
      <c r="I1613" s="1039" t="s">
        <v>1183</v>
      </c>
      <c r="J1613" s="1039" t="s">
        <v>1232</v>
      </c>
      <c r="O1613" s="1042">
        <v>3</v>
      </c>
      <c r="P1613" s="1043">
        <v>34669</v>
      </c>
      <c r="Q1613" s="1044">
        <v>4.75</v>
      </c>
      <c r="R1613" s="1045">
        <f>$A1613*Q1613</f>
        <v>38</v>
      </c>
      <c r="S1613" s="1044">
        <v>0.17</v>
      </c>
      <c r="T1613" s="1046">
        <f>$A1613*S1613*$T$1</f>
        <v>1.4280000000000002</v>
      </c>
    </row>
    <row r="1614" spans="1:41" s="504" customFormat="1" ht="12">
      <c r="A1614" s="882"/>
      <c r="B1614" s="882"/>
      <c r="C1614" s="882"/>
      <c r="D1614" s="882"/>
      <c r="E1614" s="882"/>
      <c r="F1614" s="877"/>
      <c r="G1614" s="882"/>
      <c r="H1614" s="882"/>
      <c r="I1614" s="503"/>
      <c r="J1614" s="882"/>
      <c r="K1614" s="882"/>
      <c r="L1614" s="882"/>
      <c r="M1614" s="882"/>
      <c r="N1614" s="882"/>
      <c r="O1614" s="882"/>
      <c r="P1614" s="882"/>
      <c r="Q1614" s="503"/>
      <c r="R1614" s="883">
        <f>$A1614*Q1614</f>
        <v>0</v>
      </c>
      <c r="S1614" s="503"/>
      <c r="T1614" s="884">
        <f>$A1614*S1614*$T$1</f>
        <v>0</v>
      </c>
    </row>
    <row r="1615" spans="1:41" s="504" customFormat="1" ht="12.6" thickBot="1">
      <c r="A1615" s="885" t="s">
        <v>142</v>
      </c>
      <c r="B1615" s="886">
        <f>(R1614+T1614)</f>
        <v>0</v>
      </c>
      <c r="C1615" s="887"/>
      <c r="D1615" s="887"/>
      <c r="E1615" s="887"/>
      <c r="F1615" s="888"/>
      <c r="G1615" s="887" t="s">
        <v>143</v>
      </c>
      <c r="H1615" s="887"/>
      <c r="I1615" s="889"/>
      <c r="J1615" s="887"/>
      <c r="K1615" s="887" t="s">
        <v>3</v>
      </c>
      <c r="L1615" s="890" t="s">
        <v>140</v>
      </c>
      <c r="M1615" s="890"/>
      <c r="N1615" s="890"/>
      <c r="O1615" s="890"/>
      <c r="P1615" s="890"/>
      <c r="Q1615" s="891"/>
      <c r="R1615" s="892">
        <f ca="1">SUM(R1610:R1614)</f>
        <v>149.36000000000001</v>
      </c>
      <c r="S1615" s="887"/>
      <c r="T1615" s="892">
        <f ca="1">SUM(T1610:T1614)</f>
        <v>12.868</v>
      </c>
      <c r="U1615" s="514"/>
      <c r="V1615" s="514"/>
      <c r="W1615" s="514"/>
      <c r="X1615" s="514"/>
      <c r="Y1615" s="514"/>
      <c r="Z1615" s="514"/>
      <c r="AA1615" s="514"/>
      <c r="AB1615" s="514"/>
      <c r="AC1615" s="514"/>
      <c r="AD1615" s="514"/>
      <c r="AE1615" s="514"/>
      <c r="AF1615" s="514"/>
      <c r="AG1615" s="514"/>
      <c r="AH1615" s="514"/>
      <c r="AI1615" s="514"/>
      <c r="AJ1615" s="514"/>
      <c r="AK1615" s="514"/>
      <c r="AL1615" s="514"/>
      <c r="AM1615" s="514"/>
      <c r="AN1615" s="514"/>
      <c r="AO1615" s="514"/>
    </row>
    <row r="1616" spans="1:41" s="504" customFormat="1" ht="12" thickTop="1">
      <c r="A1616" s="50"/>
      <c r="B1616" s="40"/>
      <c r="C1616" s="50"/>
      <c r="E1616" s="41" t="s">
        <v>136</v>
      </c>
      <c r="F1616" s="41" t="s">
        <v>137</v>
      </c>
      <c r="G1616" s="50"/>
      <c r="H1616" s="50"/>
      <c r="I1616" s="50"/>
      <c r="J1616" s="50"/>
      <c r="K1616" s="50" t="s">
        <v>138</v>
      </c>
      <c r="L1616" s="50"/>
      <c r="M1616" s="50"/>
      <c r="N1616" s="50"/>
      <c r="O1616" s="51"/>
      <c r="P1616" s="50"/>
      <c r="Q1616" s="50"/>
      <c r="R1616" s="50"/>
      <c r="S1616" s="50"/>
      <c r="T1616" s="40"/>
      <c r="AG1616" s="867" t="s">
        <v>241</v>
      </c>
      <c r="AH1616" s="867" t="s">
        <v>242</v>
      </c>
      <c r="AI1616" s="867" t="s">
        <v>243</v>
      </c>
      <c r="AJ1616" s="867" t="s">
        <v>244</v>
      </c>
      <c r="AK1616" s="867" t="s">
        <v>245</v>
      </c>
      <c r="AM1616" s="868" t="s">
        <v>254</v>
      </c>
      <c r="AN1616" s="869" t="s">
        <v>255</v>
      </c>
      <c r="AO1616" s="505" t="s">
        <v>251</v>
      </c>
    </row>
    <row r="1617" spans="1:41" s="504" customFormat="1" ht="12" customHeight="1">
      <c r="A1617" s="870">
        <v>9</v>
      </c>
      <c r="B1617" s="871" t="s">
        <v>335</v>
      </c>
      <c r="C1617" s="872"/>
      <c r="D1617" s="873" t="s">
        <v>808</v>
      </c>
      <c r="E1617" s="874">
        <f ca="1">IF(AND($A1617=0,$A$1="DIF"),0, ROUND(ROUND(($R1623*$S$2+($T1623*$T$2))/A1617,2)*$C$2,2))</f>
        <v>119.8</v>
      </c>
      <c r="F1617" s="875">
        <f ca="1">ROUND($A1617*$E1617,2)</f>
        <v>1078.2</v>
      </c>
      <c r="G1617" s="876" t="s">
        <v>139</v>
      </c>
      <c r="H1617" s="877"/>
      <c r="I1617" s="878"/>
      <c r="J1617" s="877"/>
      <c r="K1617" s="877" t="s">
        <v>3</v>
      </c>
      <c r="L1617" s="879" t="s">
        <v>140</v>
      </c>
      <c r="M1617" s="879"/>
      <c r="N1617" s="879"/>
      <c r="O1617" s="879"/>
      <c r="P1617" s="879"/>
      <c r="Q1617" s="50"/>
      <c r="T1617" s="880" t="str">
        <f ca="1">IF(AND($R1623=0,$T1623=0),"0.00","mu :" &amp; ROUND($F1617/$C$2/($R1623+$T1623*$D$9),2))</f>
        <v>mu :1.22</v>
      </c>
      <c r="W1617" s="507"/>
      <c r="AG1617" s="465">
        <f ca="1">IF($E1617=0,0,ROUND($R1623*$S$2*$C$2/$A1617,2))</f>
        <v>63.22</v>
      </c>
      <c r="AH1617" s="465">
        <f ca="1">$AG1617*$A1617</f>
        <v>568.98</v>
      </c>
      <c r="AI1617" s="508">
        <f ca="1">$E1617-$AG1617</f>
        <v>56.58</v>
      </c>
      <c r="AJ1617" s="508">
        <f ca="1">$A1617*$AI1617</f>
        <v>509.21999999999997</v>
      </c>
      <c r="AK1617" s="509">
        <f ca="1">ROUND(($AG1617+$AI1617)*$A1617,2)</f>
        <v>1078.2</v>
      </c>
      <c r="AM1617" s="510">
        <f ca="1">ROUND(R1623,2)</f>
        <v>466.38</v>
      </c>
      <c r="AN1617" s="511">
        <f ca="1">ROUND(T1623,2)</f>
        <v>14.48</v>
      </c>
      <c r="AO1617" s="512">
        <f ca="1">ROUND(AM1617+AN1617,2)*A1617</f>
        <v>4327.74</v>
      </c>
    </row>
    <row r="1618" spans="1:41" s="504" customFormat="1" ht="13.2">
      <c r="A1618" s="872"/>
      <c r="B1618"/>
      <c r="C1618" s="872"/>
      <c r="D1618" s="873" t="s">
        <v>426</v>
      </c>
      <c r="F1618" s="877"/>
      <c r="G1618" s="3"/>
      <c r="H1618" s="877"/>
      <c r="I1618" s="878"/>
      <c r="J1618" s="877"/>
      <c r="K1618" s="877" t="s">
        <v>141</v>
      </c>
      <c r="L1618" s="877"/>
      <c r="M1618" s="877"/>
      <c r="N1618" s="877"/>
      <c r="O1618" s="877"/>
      <c r="P1618" s="877"/>
      <c r="Q1618" s="50"/>
      <c r="R1618" s="513"/>
      <c r="S1618" s="881"/>
      <c r="T1618" s="877"/>
    </row>
    <row r="1619" spans="1:41" s="997" customFormat="1" ht="13.2">
      <c r="A1619"/>
      <c r="B1619" s="1065"/>
      <c r="C1619" s="1065" t="s">
        <v>1006</v>
      </c>
      <c r="D1619" s="1065" t="str">
        <f ca="1">CELL("Address",Elec_Rates!D$486)</f>
        <v>[EL25_0662B_Brittania_Hotel_Elec_Revised_Estim_B.xlsx]Elec_Rates!$D$486</v>
      </c>
      <c r="E1619" s="1066"/>
      <c r="F1619" s="1066"/>
      <c r="G1619" s="1067" t="s">
        <v>1007</v>
      </c>
      <c r="H1619" s="1067"/>
      <c r="I1619" s="1067"/>
      <c r="J1619" s="1067"/>
      <c r="K1619" s="1068"/>
      <c r="L1619" s="1066"/>
      <c r="M1619" s="1066"/>
      <c r="N1619" s="1066"/>
      <c r="O1619" s="1069"/>
      <c r="P1619" s="1066"/>
      <c r="Q1619" s="1070"/>
      <c r="R1619" s="1071"/>
      <c r="S1619" s="1070"/>
      <c r="T1619" s="1072"/>
      <c r="U1619" s="1073"/>
    </row>
    <row r="1620" spans="1:41" s="997" customFormat="1" ht="11.4">
      <c r="A1620" s="1074">
        <v>9</v>
      </c>
      <c r="B1620" s="1075">
        <v>1</v>
      </c>
      <c r="C1620" s="1075">
        <f>$A1620*$B1620</f>
        <v>9</v>
      </c>
      <c r="D1620" s="1076" t="str">
        <f>Elec_Rates!$D$486</f>
        <v>058# General Power Point in LSZH Conduit</v>
      </c>
      <c r="E1620" s="1076"/>
      <c r="F1620" s="1076"/>
      <c r="G1620" s="1077" t="s">
        <v>1008</v>
      </c>
      <c r="H1620" s="1077"/>
      <c r="I1620" s="1077"/>
      <c r="J1620" s="1077"/>
      <c r="K1620" s="1078"/>
      <c r="L1620" s="1073"/>
      <c r="M1620" s="1073"/>
      <c r="N1620" s="1073"/>
      <c r="O1620" s="1079"/>
      <c r="P1620" s="1076"/>
      <c r="Q1620" s="1080">
        <f ca="1">$B1620*Elec_Rates!$R$486</f>
        <v>13.92</v>
      </c>
      <c r="R1620" s="1071">
        <f ca="1">$A1620*Q1620</f>
        <v>125.28</v>
      </c>
      <c r="S1620" s="1080">
        <f ca="1">$B1620*Elec_Rates!$T$486</f>
        <v>1.43</v>
      </c>
      <c r="T1620" s="1072">
        <f ca="1">$A1620*S1620</f>
        <v>12.87</v>
      </c>
      <c r="U1620" s="1081"/>
    </row>
    <row r="1621" spans="1:41" s="1039" customFormat="1" ht="13.2">
      <c r="A1621" s="112">
        <v>9</v>
      </c>
      <c r="B1621" s="1039" t="s">
        <v>949</v>
      </c>
      <c r="D1621" s="1039" t="s">
        <v>426</v>
      </c>
      <c r="G1621" s="1040" t="s">
        <v>1231</v>
      </c>
      <c r="H1621" s="1041">
        <v>705</v>
      </c>
      <c r="I1621" s="1039" t="s">
        <v>1183</v>
      </c>
      <c r="J1621" s="1039" t="s">
        <v>1232</v>
      </c>
      <c r="O1621" s="1042">
        <v>3</v>
      </c>
      <c r="P1621" s="1043">
        <v>34669</v>
      </c>
      <c r="Q1621" s="1044">
        <v>37.9</v>
      </c>
      <c r="R1621" s="1045">
        <f>$A1621*Q1621</f>
        <v>341.09999999999997</v>
      </c>
      <c r="S1621" s="1044">
        <v>0.17</v>
      </c>
      <c r="T1621" s="1046">
        <f>$A1621*S1621*$T$1</f>
        <v>1.6065</v>
      </c>
    </row>
    <row r="1622" spans="1:41" s="504" customFormat="1" ht="12">
      <c r="A1622" s="882"/>
      <c r="B1622" s="882"/>
      <c r="C1622" s="882"/>
      <c r="D1622" s="882"/>
      <c r="E1622" s="882"/>
      <c r="F1622" s="877"/>
      <c r="G1622" s="882"/>
      <c r="H1622" s="882"/>
      <c r="I1622" s="503"/>
      <c r="J1622" s="882"/>
      <c r="K1622" s="882"/>
      <c r="L1622" s="882"/>
      <c r="M1622" s="882"/>
      <c r="N1622" s="882"/>
      <c r="O1622" s="882"/>
      <c r="P1622" s="882"/>
      <c r="Q1622" s="503"/>
      <c r="R1622" s="883">
        <f>$A1622*Q1622</f>
        <v>0</v>
      </c>
      <c r="S1622" s="503"/>
      <c r="T1622" s="884">
        <f>$A1622*S1622*$T$1</f>
        <v>0</v>
      </c>
    </row>
    <row r="1623" spans="1:41" s="504" customFormat="1" ht="12.6" thickBot="1">
      <c r="A1623" s="885" t="s">
        <v>142</v>
      </c>
      <c r="B1623" s="886">
        <f>(R1622+T1622)</f>
        <v>0</v>
      </c>
      <c r="C1623" s="887"/>
      <c r="D1623" s="887"/>
      <c r="E1623" s="887"/>
      <c r="F1623" s="888"/>
      <c r="G1623" s="887" t="s">
        <v>143</v>
      </c>
      <c r="H1623" s="887"/>
      <c r="I1623" s="889"/>
      <c r="J1623" s="887"/>
      <c r="K1623" s="887" t="s">
        <v>3</v>
      </c>
      <c r="L1623" s="890" t="s">
        <v>140</v>
      </c>
      <c r="M1623" s="890"/>
      <c r="N1623" s="890"/>
      <c r="O1623" s="890"/>
      <c r="P1623" s="890"/>
      <c r="Q1623" s="891"/>
      <c r="R1623" s="892">
        <f ca="1">SUM(R1618:R1622)</f>
        <v>466.38</v>
      </c>
      <c r="S1623" s="887"/>
      <c r="T1623" s="892">
        <f ca="1">SUM(T1618:T1622)</f>
        <v>14.4765</v>
      </c>
      <c r="U1623" s="514"/>
      <c r="V1623" s="514"/>
      <c r="W1623" s="514"/>
      <c r="X1623" s="514"/>
      <c r="Y1623" s="514"/>
      <c r="Z1623" s="514"/>
      <c r="AA1623" s="514"/>
      <c r="AB1623" s="514"/>
      <c r="AC1623" s="514"/>
      <c r="AD1623" s="514"/>
      <c r="AE1623" s="514"/>
      <c r="AF1623" s="514"/>
      <c r="AG1623" s="514"/>
      <c r="AH1623" s="514"/>
      <c r="AI1623" s="514"/>
      <c r="AJ1623" s="514"/>
      <c r="AK1623" s="514"/>
      <c r="AL1623" s="514"/>
      <c r="AM1623" s="514"/>
      <c r="AN1623" s="514"/>
      <c r="AO1623" s="514"/>
    </row>
    <row r="1624" spans="1:41" s="504" customFormat="1" ht="12" thickTop="1">
      <c r="A1624" s="50"/>
      <c r="B1624" s="40"/>
      <c r="C1624" s="50"/>
      <c r="E1624" s="41" t="s">
        <v>136</v>
      </c>
      <c r="F1624" s="41" t="s">
        <v>137</v>
      </c>
      <c r="G1624" s="50"/>
      <c r="H1624" s="50"/>
      <c r="I1624" s="50"/>
      <c r="J1624" s="50"/>
      <c r="K1624" s="50" t="s">
        <v>138</v>
      </c>
      <c r="L1624" s="50"/>
      <c r="M1624" s="50"/>
      <c r="N1624" s="50"/>
      <c r="O1624" s="51"/>
      <c r="P1624" s="50"/>
      <c r="Q1624" s="50"/>
      <c r="R1624" s="50"/>
      <c r="S1624" s="50"/>
      <c r="T1624" s="40"/>
      <c r="AG1624" s="867" t="s">
        <v>241</v>
      </c>
      <c r="AH1624" s="867" t="s">
        <v>242</v>
      </c>
      <c r="AI1624" s="867" t="s">
        <v>243</v>
      </c>
      <c r="AJ1624" s="867" t="s">
        <v>244</v>
      </c>
      <c r="AK1624" s="867" t="s">
        <v>245</v>
      </c>
      <c r="AM1624" s="868" t="s">
        <v>254</v>
      </c>
      <c r="AN1624" s="869" t="s">
        <v>255</v>
      </c>
      <c r="AO1624" s="505" t="s">
        <v>251</v>
      </c>
    </row>
    <row r="1625" spans="1:41" s="504" customFormat="1" ht="12" customHeight="1">
      <c r="A1625" s="870">
        <v>10</v>
      </c>
      <c r="B1625" s="871" t="s">
        <v>335</v>
      </c>
      <c r="C1625" s="872"/>
      <c r="D1625" s="873" t="s">
        <v>810</v>
      </c>
      <c r="E1625" s="874">
        <f ca="1">IF(AND($A1625=0,$A$1="DIF"),0, ROUND(ROUND(($R1631*$S$2+($T1631*$T$2))/A1625,2)*$C$2,2))</f>
        <v>119.8</v>
      </c>
      <c r="F1625" s="875">
        <f ca="1">ROUND($A1625*$E1625,2)</f>
        <v>1198</v>
      </c>
      <c r="G1625" s="876" t="s">
        <v>139</v>
      </c>
      <c r="H1625" s="877"/>
      <c r="I1625" s="878"/>
      <c r="J1625" s="877"/>
      <c r="K1625" s="877" t="s">
        <v>3</v>
      </c>
      <c r="L1625" s="879" t="s">
        <v>140</v>
      </c>
      <c r="M1625" s="879"/>
      <c r="N1625" s="879"/>
      <c r="O1625" s="879"/>
      <c r="P1625" s="879"/>
      <c r="Q1625" s="50"/>
      <c r="T1625" s="880" t="str">
        <f ca="1">IF(AND($R1631=0,$T1631=0),"0.00","mu :" &amp; ROUND($F1625/$C$2/($R1631+$T1631*$D$9),2))</f>
        <v>mu :1.22</v>
      </c>
      <c r="W1625" s="507"/>
      <c r="AG1625" s="465">
        <f ca="1">IF($E1625=0,0,ROUND($R1631*$S$2*$C$2/$A1625,2))</f>
        <v>63.22</v>
      </c>
      <c r="AH1625" s="465">
        <f ca="1">$AG1625*$A1625</f>
        <v>632.20000000000005</v>
      </c>
      <c r="AI1625" s="508">
        <f ca="1">$E1625-$AG1625</f>
        <v>56.58</v>
      </c>
      <c r="AJ1625" s="508">
        <f ca="1">$A1625*$AI1625</f>
        <v>565.79999999999995</v>
      </c>
      <c r="AK1625" s="509">
        <f ca="1">ROUND(($AG1625+$AI1625)*$A1625,2)</f>
        <v>1198</v>
      </c>
      <c r="AM1625" s="510">
        <f ca="1">ROUND(R1631,2)</f>
        <v>518.20000000000005</v>
      </c>
      <c r="AN1625" s="511">
        <f ca="1">ROUND(T1631,2)</f>
        <v>16.09</v>
      </c>
      <c r="AO1625" s="512">
        <f ca="1">ROUND(AM1625+AN1625,2)*A1625</f>
        <v>5342.9</v>
      </c>
    </row>
    <row r="1626" spans="1:41" s="504" customFormat="1" ht="13.2">
      <c r="A1626" s="872"/>
      <c r="B1626"/>
      <c r="C1626" s="872"/>
      <c r="D1626" s="916" t="s">
        <v>427</v>
      </c>
      <c r="E1626" s="917"/>
      <c r="F1626" s="918"/>
      <c r="G1626" s="919"/>
      <c r="H1626" s="918"/>
      <c r="I1626" s="920"/>
      <c r="J1626" s="918"/>
      <c r="K1626" s="918" t="s">
        <v>141</v>
      </c>
      <c r="L1626" s="918"/>
      <c r="M1626" s="918"/>
      <c r="N1626" s="918"/>
      <c r="O1626" s="918"/>
      <c r="P1626" s="918"/>
      <c r="Q1626" s="921"/>
      <c r="R1626" s="513"/>
      <c r="S1626" s="881"/>
      <c r="T1626" s="877"/>
    </row>
    <row r="1627" spans="1:41" s="997" customFormat="1" ht="13.2">
      <c r="A1627"/>
      <c r="B1627" s="1065"/>
      <c r="C1627" s="1065" t="s">
        <v>1006</v>
      </c>
      <c r="D1627" s="1065" t="str">
        <f ca="1">CELL("Address",Elec_Rates!D$486)</f>
        <v>[EL25_0662B_Brittania_Hotel_Elec_Revised_Estim_B.xlsx]Elec_Rates!$D$486</v>
      </c>
      <c r="E1627" s="1066"/>
      <c r="F1627" s="1066"/>
      <c r="G1627" s="1067" t="s">
        <v>1007</v>
      </c>
      <c r="H1627" s="1067"/>
      <c r="I1627" s="1067"/>
      <c r="J1627" s="1067"/>
      <c r="K1627" s="1068"/>
      <c r="L1627" s="1066"/>
      <c r="M1627" s="1066"/>
      <c r="N1627" s="1066"/>
      <c r="O1627" s="1069"/>
      <c r="P1627" s="1066"/>
      <c r="Q1627" s="1070"/>
      <c r="R1627" s="1071"/>
      <c r="S1627" s="1070"/>
      <c r="T1627" s="1072"/>
      <c r="U1627" s="1073"/>
    </row>
    <row r="1628" spans="1:41" s="997" customFormat="1" ht="11.4">
      <c r="A1628" s="1074">
        <v>10</v>
      </c>
      <c r="B1628" s="1075">
        <v>1</v>
      </c>
      <c r="C1628" s="1075">
        <f>$A1628*$B1628</f>
        <v>10</v>
      </c>
      <c r="D1628" s="1076" t="str">
        <f>Elec_Rates!$D$486</f>
        <v>058# General Power Point in LSZH Conduit</v>
      </c>
      <c r="E1628" s="1076"/>
      <c r="F1628" s="1076"/>
      <c r="G1628" s="1077" t="s">
        <v>1008</v>
      </c>
      <c r="H1628" s="1077"/>
      <c r="I1628" s="1077"/>
      <c r="J1628" s="1077"/>
      <c r="K1628" s="1078"/>
      <c r="L1628" s="1073"/>
      <c r="M1628" s="1073"/>
      <c r="N1628" s="1073"/>
      <c r="O1628" s="1079"/>
      <c r="P1628" s="1076"/>
      <c r="Q1628" s="1080">
        <f ca="1">$B1628*Elec_Rates!$R$486</f>
        <v>13.92</v>
      </c>
      <c r="R1628" s="1071">
        <f ca="1">$A1628*Q1628</f>
        <v>139.19999999999999</v>
      </c>
      <c r="S1628" s="1080">
        <f ca="1">$B1628*Elec_Rates!$T$486</f>
        <v>1.43</v>
      </c>
      <c r="T1628" s="1072">
        <f ca="1">$A1628*S1628</f>
        <v>14.299999999999999</v>
      </c>
      <c r="U1628" s="1081"/>
    </row>
    <row r="1629" spans="1:41" s="1039" customFormat="1" ht="13.2">
      <c r="A1629" s="112">
        <v>10</v>
      </c>
      <c r="B1629" s="1039" t="s">
        <v>949</v>
      </c>
      <c r="D1629" s="1039" t="s">
        <v>427</v>
      </c>
      <c r="G1629" s="1040" t="s">
        <v>1231</v>
      </c>
      <c r="H1629" s="1041">
        <v>705</v>
      </c>
      <c r="I1629" s="1039" t="s">
        <v>1183</v>
      </c>
      <c r="J1629" s="1039" t="s">
        <v>1232</v>
      </c>
      <c r="O1629" s="1042">
        <v>3</v>
      </c>
      <c r="P1629" s="1043">
        <v>34669</v>
      </c>
      <c r="Q1629" s="1044">
        <v>37.9</v>
      </c>
      <c r="R1629" s="1045">
        <f>$A1629*Q1629</f>
        <v>379</v>
      </c>
      <c r="S1629" s="1044">
        <v>0.17</v>
      </c>
      <c r="T1629" s="1046">
        <f>$A1629*S1629*$T$1</f>
        <v>1.7850000000000004</v>
      </c>
    </row>
    <row r="1630" spans="1:41" s="504" customFormat="1" ht="12">
      <c r="A1630" s="882"/>
      <c r="B1630" s="882"/>
      <c r="C1630" s="882"/>
      <c r="D1630" s="882"/>
      <c r="E1630" s="882"/>
      <c r="F1630" s="877"/>
      <c r="G1630" s="882"/>
      <c r="H1630" s="882"/>
      <c r="I1630" s="503"/>
      <c r="J1630" s="882"/>
      <c r="K1630" s="882"/>
      <c r="L1630" s="882"/>
      <c r="M1630" s="882"/>
      <c r="N1630" s="882"/>
      <c r="O1630" s="882"/>
      <c r="P1630" s="882"/>
      <c r="Q1630" s="503"/>
      <c r="R1630" s="883">
        <f>$A1630*Q1630</f>
        <v>0</v>
      </c>
      <c r="S1630" s="503"/>
      <c r="T1630" s="884">
        <f>$A1630*S1630*$T$1</f>
        <v>0</v>
      </c>
    </row>
    <row r="1631" spans="1:41" s="504" customFormat="1" ht="12.6" thickBot="1">
      <c r="A1631" s="885" t="s">
        <v>142</v>
      </c>
      <c r="B1631" s="886">
        <f>(R1630+T1630)</f>
        <v>0</v>
      </c>
      <c r="C1631" s="887"/>
      <c r="D1631" s="887"/>
      <c r="E1631" s="887"/>
      <c r="F1631" s="888"/>
      <c r="G1631" s="887" t="s">
        <v>143</v>
      </c>
      <c r="H1631" s="887"/>
      <c r="I1631" s="889"/>
      <c r="J1631" s="887"/>
      <c r="K1631" s="887" t="s">
        <v>3</v>
      </c>
      <c r="L1631" s="890" t="s">
        <v>140</v>
      </c>
      <c r="M1631" s="890"/>
      <c r="N1631" s="890"/>
      <c r="O1631" s="890"/>
      <c r="P1631" s="890"/>
      <c r="Q1631" s="891"/>
      <c r="R1631" s="892">
        <f ca="1">SUM(R1626:R1630)</f>
        <v>518.20000000000005</v>
      </c>
      <c r="S1631" s="887"/>
      <c r="T1631" s="892">
        <f ca="1">SUM(T1626:T1630)</f>
        <v>16.085000000000001</v>
      </c>
      <c r="U1631" s="514"/>
      <c r="V1631" s="514"/>
      <c r="W1631" s="514"/>
      <c r="X1631" s="514"/>
      <c r="Y1631" s="514"/>
      <c r="Z1631" s="514"/>
      <c r="AA1631" s="514"/>
      <c r="AB1631" s="514"/>
      <c r="AC1631" s="514"/>
      <c r="AD1631" s="514"/>
      <c r="AE1631" s="514"/>
      <c r="AF1631" s="514"/>
      <c r="AG1631" s="514"/>
      <c r="AH1631" s="514"/>
      <c r="AI1631" s="514"/>
      <c r="AJ1631" s="514"/>
      <c r="AK1631" s="514"/>
      <c r="AL1631" s="514"/>
      <c r="AM1631" s="514"/>
      <c r="AN1631" s="514"/>
      <c r="AO1631" s="514"/>
    </row>
    <row r="1632" spans="1:41" s="504" customFormat="1" ht="12" thickTop="1">
      <c r="A1632" s="50"/>
      <c r="B1632" s="40"/>
      <c r="C1632" s="50"/>
      <c r="E1632" s="41" t="s">
        <v>136</v>
      </c>
      <c r="F1632" s="41" t="s">
        <v>137</v>
      </c>
      <c r="G1632" s="50"/>
      <c r="H1632" s="50"/>
      <c r="I1632" s="50"/>
      <c r="J1632" s="50"/>
      <c r="K1632" s="50" t="s">
        <v>138</v>
      </c>
      <c r="L1632" s="50"/>
      <c r="M1632" s="50"/>
      <c r="N1632" s="50"/>
      <c r="O1632" s="51"/>
      <c r="P1632" s="50"/>
      <c r="Q1632" s="50"/>
      <c r="R1632" s="50"/>
      <c r="S1632" s="50"/>
      <c r="T1632" s="40"/>
      <c r="AG1632" s="867" t="s">
        <v>241</v>
      </c>
      <c r="AH1632" s="867" t="s">
        <v>242</v>
      </c>
      <c r="AI1632" s="867" t="s">
        <v>243</v>
      </c>
      <c r="AJ1632" s="867" t="s">
        <v>244</v>
      </c>
      <c r="AK1632" s="867" t="s">
        <v>245</v>
      </c>
      <c r="AM1632" s="868" t="s">
        <v>254</v>
      </c>
      <c r="AN1632" s="869" t="s">
        <v>255</v>
      </c>
      <c r="AO1632" s="505" t="s">
        <v>251</v>
      </c>
    </row>
    <row r="1633" spans="1:41" s="504" customFormat="1" ht="12" customHeight="1">
      <c r="A1633" s="870">
        <v>6</v>
      </c>
      <c r="B1633" s="871" t="s">
        <v>335</v>
      </c>
      <c r="C1633" s="872"/>
      <c r="D1633" s="873" t="s">
        <v>812</v>
      </c>
      <c r="E1633" s="874">
        <f ca="1">IF(AND($A1633=0,$A$1="DIF"),0, ROUND(ROUND(($R1639*$S$2+($T1639*$T$2))/A1633,2)*$C$2,2))</f>
        <v>79.88</v>
      </c>
      <c r="F1633" s="875">
        <f ca="1">ROUND($A1633*$E1633,2)</f>
        <v>479.28</v>
      </c>
      <c r="G1633" s="876" t="s">
        <v>139</v>
      </c>
      <c r="H1633" s="877"/>
      <c r="I1633" s="878"/>
      <c r="J1633" s="877"/>
      <c r="K1633" s="877" t="s">
        <v>3</v>
      </c>
      <c r="L1633" s="879" t="s">
        <v>140</v>
      </c>
      <c r="M1633" s="879"/>
      <c r="N1633" s="879"/>
      <c r="O1633" s="879"/>
      <c r="P1633" s="879"/>
      <c r="Q1633" s="50"/>
      <c r="T1633" s="880" t="str">
        <f ca="1">IF(AND($R1639=0,$T1639=0),"0.00","mu :" &amp; ROUND($F1633/$C$2/($R1639+$T1639*$D$9),2))</f>
        <v>mu :1.22</v>
      </c>
      <c r="W1633" s="507"/>
      <c r="AG1633" s="465">
        <f ca="1">IF($E1633=0,0,ROUND($R1639*$S$2*$C$2/$A1633,2))</f>
        <v>23.3</v>
      </c>
      <c r="AH1633" s="465">
        <f ca="1">$AG1633*$A1633</f>
        <v>139.80000000000001</v>
      </c>
      <c r="AI1633" s="508">
        <f ca="1">$E1633-$AG1633</f>
        <v>56.58</v>
      </c>
      <c r="AJ1633" s="508">
        <f ca="1">$A1633*$AI1633</f>
        <v>339.48</v>
      </c>
      <c r="AK1633" s="509">
        <f ca="1">ROUND(($AG1633+$AI1633)*$A1633,2)</f>
        <v>479.28</v>
      </c>
      <c r="AM1633" s="510">
        <f ca="1">ROUND(R1639,2)</f>
        <v>114.6</v>
      </c>
      <c r="AN1633" s="511">
        <f ca="1">ROUND(T1639,2)</f>
        <v>9.65</v>
      </c>
      <c r="AO1633" s="512">
        <f ca="1">ROUND(AM1633+AN1633,2)*A1633</f>
        <v>745.5</v>
      </c>
    </row>
    <row r="1634" spans="1:41" s="504" customFormat="1" ht="13.2">
      <c r="A1634" s="872"/>
      <c r="B1634"/>
      <c r="C1634" s="872"/>
      <c r="D1634" s="873" t="s">
        <v>363</v>
      </c>
      <c r="F1634" s="877"/>
      <c r="G1634" s="3"/>
      <c r="H1634" s="877"/>
      <c r="I1634" s="878"/>
      <c r="J1634" s="877"/>
      <c r="K1634" s="877" t="s">
        <v>141</v>
      </c>
      <c r="L1634" s="877"/>
      <c r="M1634" s="877"/>
      <c r="N1634" s="877"/>
      <c r="O1634" s="877"/>
      <c r="P1634" s="877"/>
      <c r="Q1634" s="50"/>
      <c r="R1634" s="513"/>
      <c r="S1634" s="881"/>
      <c r="T1634" s="877"/>
    </row>
    <row r="1635" spans="1:41" s="997" customFormat="1" ht="13.2">
      <c r="A1635"/>
      <c r="B1635" s="1065"/>
      <c r="C1635" s="1065" t="s">
        <v>1006</v>
      </c>
      <c r="D1635" s="1065" t="str">
        <f ca="1">CELL("Address",Elec_Rates!D$486)</f>
        <v>[EL25_0662B_Brittania_Hotel_Elec_Revised_Estim_B.xlsx]Elec_Rates!$D$486</v>
      </c>
      <c r="E1635" s="1066"/>
      <c r="F1635" s="1066"/>
      <c r="G1635" s="1067" t="s">
        <v>1007</v>
      </c>
      <c r="H1635" s="1067"/>
      <c r="I1635" s="1067"/>
      <c r="J1635" s="1067"/>
      <c r="K1635" s="1068"/>
      <c r="L1635" s="1066"/>
      <c r="M1635" s="1066"/>
      <c r="N1635" s="1066"/>
      <c r="O1635" s="1069"/>
      <c r="P1635" s="1066"/>
      <c r="Q1635" s="1070"/>
      <c r="R1635" s="1071"/>
      <c r="S1635" s="1070"/>
      <c r="T1635" s="1072"/>
      <c r="U1635" s="1073"/>
    </row>
    <row r="1636" spans="1:41" s="997" customFormat="1" ht="11.4">
      <c r="A1636" s="1074">
        <v>6</v>
      </c>
      <c r="B1636" s="1075">
        <v>1</v>
      </c>
      <c r="C1636" s="1075">
        <f>$A1636*$B1636</f>
        <v>6</v>
      </c>
      <c r="D1636" s="1076" t="str">
        <f>Elec_Rates!$D$486</f>
        <v>058# General Power Point in LSZH Conduit</v>
      </c>
      <c r="E1636" s="1076"/>
      <c r="F1636" s="1076"/>
      <c r="G1636" s="1077" t="s">
        <v>1008</v>
      </c>
      <c r="H1636" s="1077"/>
      <c r="I1636" s="1077"/>
      <c r="J1636" s="1077"/>
      <c r="K1636" s="1078"/>
      <c r="L1636" s="1073"/>
      <c r="M1636" s="1073"/>
      <c r="N1636" s="1073"/>
      <c r="O1636" s="1079"/>
      <c r="P1636" s="1076"/>
      <c r="Q1636" s="1080">
        <f ca="1">$B1636*Elec_Rates!$R$486</f>
        <v>13.92</v>
      </c>
      <c r="R1636" s="1071">
        <f ca="1">$A1636*Q1636</f>
        <v>83.52</v>
      </c>
      <c r="S1636" s="1080">
        <f ca="1">$B1636*Elec_Rates!$T$486</f>
        <v>1.43</v>
      </c>
      <c r="T1636" s="1072">
        <f ca="1">$A1636*S1636</f>
        <v>8.58</v>
      </c>
      <c r="U1636" s="1081"/>
    </row>
    <row r="1637" spans="1:41" s="1039" customFormat="1" ht="13.2">
      <c r="A1637" s="112">
        <v>6</v>
      </c>
      <c r="B1637" s="1039" t="s">
        <v>949</v>
      </c>
      <c r="D1637" s="1039" t="s">
        <v>1237</v>
      </c>
      <c r="G1637" s="1040" t="s">
        <v>1231</v>
      </c>
      <c r="H1637" s="1041">
        <v>705</v>
      </c>
      <c r="I1637" s="1039" t="s">
        <v>1183</v>
      </c>
      <c r="J1637" s="1039" t="s">
        <v>1232</v>
      </c>
      <c r="O1637" s="1042">
        <v>3</v>
      </c>
      <c r="P1637" s="1043">
        <v>34669</v>
      </c>
      <c r="Q1637" s="1044">
        <v>5.18</v>
      </c>
      <c r="R1637" s="1045">
        <f>$A1637*Q1637</f>
        <v>31.08</v>
      </c>
      <c r="S1637" s="1044">
        <v>0.17</v>
      </c>
      <c r="T1637" s="1046">
        <f>$A1637*S1637*$T$1</f>
        <v>1.0710000000000002</v>
      </c>
    </row>
    <row r="1638" spans="1:41" s="504" customFormat="1" ht="12">
      <c r="A1638" s="882"/>
      <c r="B1638" s="882"/>
      <c r="C1638" s="882"/>
      <c r="D1638" s="882"/>
      <c r="E1638" s="882"/>
      <c r="F1638" s="877"/>
      <c r="G1638" s="882"/>
      <c r="H1638" s="882"/>
      <c r="I1638" s="503"/>
      <c r="J1638" s="882"/>
      <c r="K1638" s="882"/>
      <c r="L1638" s="882"/>
      <c r="M1638" s="882"/>
      <c r="N1638" s="882"/>
      <c r="O1638" s="882"/>
      <c r="P1638" s="882"/>
      <c r="Q1638" s="503"/>
      <c r="R1638" s="883">
        <f>$A1638*Q1638</f>
        <v>0</v>
      </c>
      <c r="S1638" s="503"/>
      <c r="T1638" s="884">
        <f>$A1638*S1638*$T$1</f>
        <v>0</v>
      </c>
    </row>
    <row r="1639" spans="1:41" s="504" customFormat="1" ht="12.6" thickBot="1">
      <c r="A1639" s="885" t="s">
        <v>142</v>
      </c>
      <c r="B1639" s="886">
        <f>(R1638+T1638)</f>
        <v>0</v>
      </c>
      <c r="C1639" s="887"/>
      <c r="D1639" s="887"/>
      <c r="E1639" s="887"/>
      <c r="F1639" s="888"/>
      <c r="G1639" s="887" t="s">
        <v>143</v>
      </c>
      <c r="H1639" s="887"/>
      <c r="I1639" s="889"/>
      <c r="J1639" s="887"/>
      <c r="K1639" s="887" t="s">
        <v>3</v>
      </c>
      <c r="L1639" s="890" t="s">
        <v>140</v>
      </c>
      <c r="M1639" s="890"/>
      <c r="N1639" s="890"/>
      <c r="O1639" s="890"/>
      <c r="P1639" s="890"/>
      <c r="Q1639" s="891"/>
      <c r="R1639" s="892">
        <f ca="1">SUM(R1634:R1638)</f>
        <v>114.6</v>
      </c>
      <c r="S1639" s="887"/>
      <c r="T1639" s="892">
        <f ca="1">SUM(T1634:T1638)</f>
        <v>9.6509999999999998</v>
      </c>
      <c r="U1639" s="514"/>
      <c r="V1639" s="514"/>
      <c r="W1639" s="514"/>
      <c r="X1639" s="514"/>
      <c r="Y1639" s="514"/>
      <c r="Z1639" s="514"/>
      <c r="AA1639" s="514"/>
      <c r="AB1639" s="514"/>
      <c r="AC1639" s="514"/>
      <c r="AD1639" s="514"/>
      <c r="AE1639" s="514"/>
      <c r="AF1639" s="514"/>
      <c r="AG1639" s="514"/>
      <c r="AH1639" s="514"/>
      <c r="AI1639" s="514"/>
      <c r="AJ1639" s="514"/>
      <c r="AK1639" s="514"/>
      <c r="AL1639" s="514"/>
      <c r="AM1639" s="514"/>
      <c r="AN1639" s="514"/>
      <c r="AO1639" s="514"/>
    </row>
    <row r="1640" spans="1:41" s="504" customFormat="1" ht="12" thickTop="1">
      <c r="A1640" s="50"/>
      <c r="B1640" s="40"/>
      <c r="C1640" s="50"/>
      <c r="E1640" s="41" t="s">
        <v>136</v>
      </c>
      <c r="F1640" s="41" t="s">
        <v>137</v>
      </c>
      <c r="G1640" s="50"/>
      <c r="H1640" s="50"/>
      <c r="I1640" s="50"/>
      <c r="J1640" s="50"/>
      <c r="K1640" s="50" t="s">
        <v>138</v>
      </c>
      <c r="L1640" s="50"/>
      <c r="M1640" s="50"/>
      <c r="N1640" s="50"/>
      <c r="O1640" s="51"/>
      <c r="P1640" s="50"/>
      <c r="Q1640" s="50"/>
      <c r="R1640" s="50"/>
      <c r="S1640" s="50"/>
      <c r="T1640" s="40"/>
      <c r="AG1640" s="867" t="s">
        <v>241</v>
      </c>
      <c r="AH1640" s="867" t="s">
        <v>242</v>
      </c>
      <c r="AI1640" s="867" t="s">
        <v>243</v>
      </c>
      <c r="AJ1640" s="867" t="s">
        <v>244</v>
      </c>
      <c r="AK1640" s="867" t="s">
        <v>245</v>
      </c>
      <c r="AM1640" s="868" t="s">
        <v>254</v>
      </c>
      <c r="AN1640" s="869" t="s">
        <v>255</v>
      </c>
      <c r="AO1640" s="505" t="s">
        <v>251</v>
      </c>
    </row>
    <row r="1641" spans="1:41" s="504" customFormat="1" ht="12" customHeight="1">
      <c r="A1641" s="870">
        <v>5</v>
      </c>
      <c r="B1641" s="871" t="s">
        <v>335</v>
      </c>
      <c r="C1641" s="872"/>
      <c r="D1641" s="873" t="s">
        <v>819</v>
      </c>
      <c r="E1641" s="874">
        <f ca="1">IF(AND($A1641=0,$A$1="DIF"),0, ROUND(ROUND(($R1647*$S$2+($T1647*$T$2))/A1641,2)*$C$2,2))</f>
        <v>79.88</v>
      </c>
      <c r="F1641" s="875">
        <f ca="1">ROUND($A1641*$E1641,2)</f>
        <v>399.4</v>
      </c>
      <c r="G1641" s="876" t="s">
        <v>139</v>
      </c>
      <c r="H1641" s="877"/>
      <c r="I1641" s="878"/>
      <c r="J1641" s="877"/>
      <c r="K1641" s="877" t="s">
        <v>3</v>
      </c>
      <c r="L1641" s="879" t="s">
        <v>140</v>
      </c>
      <c r="M1641" s="879"/>
      <c r="N1641" s="879"/>
      <c r="O1641" s="879"/>
      <c r="P1641" s="879"/>
      <c r="Q1641" s="50"/>
      <c r="T1641" s="880" t="str">
        <f ca="1">IF(AND($R1647=0,$T1647=0),"0.00","mu :" &amp; ROUND($F1641/$C$2/($R1647+$T1647*$D$9),2))</f>
        <v>mu :1.22</v>
      </c>
      <c r="W1641" s="507"/>
      <c r="AG1641" s="465">
        <f ca="1">IF($E1641=0,0,ROUND($R1647*$S$2*$C$2/$A1641,2))</f>
        <v>23.3</v>
      </c>
      <c r="AH1641" s="465">
        <f ca="1">$AG1641*$A1641</f>
        <v>116.5</v>
      </c>
      <c r="AI1641" s="508">
        <f ca="1">$E1641-$AG1641</f>
        <v>56.58</v>
      </c>
      <c r="AJ1641" s="508">
        <f ca="1">$A1641*$AI1641</f>
        <v>282.89999999999998</v>
      </c>
      <c r="AK1641" s="509">
        <f ca="1">ROUND(($AG1641+$AI1641)*$A1641,2)</f>
        <v>399.4</v>
      </c>
      <c r="AM1641" s="510">
        <f ca="1">ROUND(R1647,2)</f>
        <v>95.5</v>
      </c>
      <c r="AN1641" s="511">
        <f ca="1">ROUND(T1647,2)</f>
        <v>8.0399999999999991</v>
      </c>
      <c r="AO1641" s="512">
        <f ca="1">ROUND(AM1641+AN1641,2)*A1641</f>
        <v>517.70000000000005</v>
      </c>
    </row>
    <row r="1642" spans="1:41" s="504" customFormat="1" ht="13.2">
      <c r="A1642" s="872"/>
      <c r="B1642"/>
      <c r="C1642" s="872"/>
      <c r="D1642" s="873" t="s">
        <v>364</v>
      </c>
      <c r="F1642" s="877"/>
      <c r="G1642" s="3"/>
      <c r="H1642" s="877"/>
      <c r="I1642" s="878"/>
      <c r="J1642" s="877"/>
      <c r="K1642" s="877" t="s">
        <v>141</v>
      </c>
      <c r="L1642" s="877"/>
      <c r="M1642" s="877"/>
      <c r="N1642" s="877"/>
      <c r="O1642" s="877"/>
      <c r="P1642" s="877"/>
      <c r="Q1642" s="50"/>
      <c r="R1642" s="513"/>
      <c r="S1642" s="881"/>
      <c r="T1642" s="877"/>
    </row>
    <row r="1643" spans="1:41" s="997" customFormat="1" ht="13.2">
      <c r="A1643"/>
      <c r="B1643" s="1065"/>
      <c r="C1643" s="1065" t="s">
        <v>1006</v>
      </c>
      <c r="D1643" s="1065" t="str">
        <f ca="1">CELL("Address",Elec_Rates!D$486)</f>
        <v>[EL25_0662B_Brittania_Hotel_Elec_Revised_Estim_B.xlsx]Elec_Rates!$D$486</v>
      </c>
      <c r="E1643" s="1066"/>
      <c r="F1643" s="1066"/>
      <c r="G1643" s="1067" t="s">
        <v>1007</v>
      </c>
      <c r="H1643" s="1067"/>
      <c r="I1643" s="1067"/>
      <c r="J1643" s="1067"/>
      <c r="K1643" s="1068"/>
      <c r="L1643" s="1066"/>
      <c r="M1643" s="1066"/>
      <c r="N1643" s="1066"/>
      <c r="O1643" s="1069"/>
      <c r="P1643" s="1066"/>
      <c r="Q1643" s="1070"/>
      <c r="R1643" s="1071"/>
      <c r="S1643" s="1070"/>
      <c r="T1643" s="1072"/>
      <c r="U1643" s="1073"/>
    </row>
    <row r="1644" spans="1:41" s="997" customFormat="1" ht="11.4">
      <c r="A1644" s="1074">
        <v>5</v>
      </c>
      <c r="B1644" s="1075">
        <v>1</v>
      </c>
      <c r="C1644" s="1075">
        <f>$A1644*$B1644</f>
        <v>5</v>
      </c>
      <c r="D1644" s="1076" t="str">
        <f>Elec_Rates!$D$486</f>
        <v>058# General Power Point in LSZH Conduit</v>
      </c>
      <c r="E1644" s="1076"/>
      <c r="F1644" s="1076"/>
      <c r="G1644" s="1077" t="s">
        <v>1008</v>
      </c>
      <c r="H1644" s="1077"/>
      <c r="I1644" s="1077"/>
      <c r="J1644" s="1077"/>
      <c r="K1644" s="1078"/>
      <c r="L1644" s="1073"/>
      <c r="M1644" s="1073"/>
      <c r="N1644" s="1073"/>
      <c r="O1644" s="1079"/>
      <c r="P1644" s="1076"/>
      <c r="Q1644" s="1080">
        <f ca="1">$B1644*Elec_Rates!$R$486</f>
        <v>13.92</v>
      </c>
      <c r="R1644" s="1071">
        <f ca="1">$A1644*Q1644</f>
        <v>69.599999999999994</v>
      </c>
      <c r="S1644" s="1080">
        <f ca="1">$B1644*Elec_Rates!$T$486</f>
        <v>1.43</v>
      </c>
      <c r="T1644" s="1072">
        <f ca="1">$A1644*S1644</f>
        <v>7.1499999999999995</v>
      </c>
      <c r="U1644" s="1081"/>
    </row>
    <row r="1645" spans="1:41" s="1039" customFormat="1" ht="13.2">
      <c r="A1645" s="112">
        <v>5</v>
      </c>
      <c r="B1645" s="1039" t="s">
        <v>949</v>
      </c>
      <c r="D1645" s="1039" t="s">
        <v>1238</v>
      </c>
      <c r="G1645" s="1040" t="s">
        <v>1231</v>
      </c>
      <c r="H1645" s="1041">
        <v>705</v>
      </c>
      <c r="I1645" s="1039" t="s">
        <v>1183</v>
      </c>
      <c r="J1645" s="1039" t="s">
        <v>1232</v>
      </c>
      <c r="O1645" s="1042">
        <v>3</v>
      </c>
      <c r="P1645" s="1043">
        <v>34669</v>
      </c>
      <c r="Q1645" s="1044">
        <v>5.18</v>
      </c>
      <c r="R1645" s="1045">
        <f>$A1645*Q1645</f>
        <v>25.9</v>
      </c>
      <c r="S1645" s="1044">
        <v>0.17</v>
      </c>
      <c r="T1645" s="1046">
        <f>$A1645*S1645*$T$1</f>
        <v>0.89250000000000018</v>
      </c>
    </row>
    <row r="1646" spans="1:41" s="504" customFormat="1" ht="12">
      <c r="A1646" s="882"/>
      <c r="B1646" s="882"/>
      <c r="C1646" s="882"/>
      <c r="D1646" s="882"/>
      <c r="E1646" s="882"/>
      <c r="F1646" s="877"/>
      <c r="G1646" s="882"/>
      <c r="H1646" s="882"/>
      <c r="I1646" s="503"/>
      <c r="J1646" s="882"/>
      <c r="K1646" s="882"/>
      <c r="L1646" s="882"/>
      <c r="M1646" s="882"/>
      <c r="N1646" s="882"/>
      <c r="O1646" s="882"/>
      <c r="P1646" s="882"/>
      <c r="Q1646" s="503"/>
      <c r="R1646" s="883">
        <f>$A1646*Q1646</f>
        <v>0</v>
      </c>
      <c r="S1646" s="503"/>
      <c r="T1646" s="884">
        <f>$A1646*S1646*$T$1</f>
        <v>0</v>
      </c>
    </row>
    <row r="1647" spans="1:41" s="504" customFormat="1" ht="12.6" thickBot="1">
      <c r="A1647" s="885" t="s">
        <v>142</v>
      </c>
      <c r="B1647" s="886">
        <f>(R1646+T1646)</f>
        <v>0</v>
      </c>
      <c r="C1647" s="887"/>
      <c r="D1647" s="887"/>
      <c r="E1647" s="887"/>
      <c r="F1647" s="888"/>
      <c r="G1647" s="887" t="s">
        <v>143</v>
      </c>
      <c r="H1647" s="887"/>
      <c r="I1647" s="889"/>
      <c r="J1647" s="887"/>
      <c r="K1647" s="887" t="s">
        <v>3</v>
      </c>
      <c r="L1647" s="890" t="s">
        <v>140</v>
      </c>
      <c r="M1647" s="890"/>
      <c r="N1647" s="890"/>
      <c r="O1647" s="890"/>
      <c r="P1647" s="890"/>
      <c r="Q1647" s="891"/>
      <c r="R1647" s="892">
        <f ca="1">SUM(R1642:R1646)</f>
        <v>95.5</v>
      </c>
      <c r="S1647" s="887"/>
      <c r="T1647" s="892">
        <f ca="1">SUM(T1642:T1646)</f>
        <v>8.0425000000000004</v>
      </c>
      <c r="U1647" s="514"/>
      <c r="V1647" s="514"/>
      <c r="W1647" s="514"/>
      <c r="X1647" s="514"/>
      <c r="Y1647" s="514"/>
      <c r="Z1647" s="514"/>
      <c r="AA1647" s="514"/>
      <c r="AB1647" s="514"/>
      <c r="AC1647" s="514"/>
      <c r="AD1647" s="514"/>
      <c r="AE1647" s="514"/>
      <c r="AF1647" s="514"/>
      <c r="AG1647" s="514"/>
      <c r="AH1647" s="514"/>
      <c r="AI1647" s="514"/>
      <c r="AJ1647" s="514"/>
      <c r="AK1647" s="514"/>
      <c r="AL1647" s="514"/>
      <c r="AM1647" s="514"/>
      <c r="AN1647" s="514"/>
      <c r="AO1647" s="514"/>
    </row>
    <row r="1648" spans="1:41" s="504" customFormat="1" ht="12" thickTop="1">
      <c r="A1648" s="50"/>
      <c r="B1648" s="40"/>
      <c r="C1648" s="50"/>
      <c r="E1648" s="41" t="s">
        <v>136</v>
      </c>
      <c r="F1648" s="41" t="s">
        <v>137</v>
      </c>
      <c r="G1648" s="50"/>
      <c r="H1648" s="50"/>
      <c r="I1648" s="50"/>
      <c r="J1648" s="50"/>
      <c r="K1648" s="50" t="s">
        <v>138</v>
      </c>
      <c r="L1648" s="50"/>
      <c r="M1648" s="50"/>
      <c r="N1648" s="50"/>
      <c r="O1648" s="51"/>
      <c r="P1648" s="50"/>
      <c r="Q1648" s="50"/>
      <c r="R1648" s="50"/>
      <c r="S1648" s="50"/>
      <c r="T1648" s="40"/>
      <c r="AG1648" s="867" t="s">
        <v>241</v>
      </c>
      <c r="AH1648" s="867" t="s">
        <v>242</v>
      </c>
      <c r="AI1648" s="867" t="s">
        <v>243</v>
      </c>
      <c r="AJ1648" s="867" t="s">
        <v>244</v>
      </c>
      <c r="AK1648" s="867" t="s">
        <v>245</v>
      </c>
      <c r="AM1648" s="868" t="s">
        <v>254</v>
      </c>
      <c r="AN1648" s="869" t="s">
        <v>255</v>
      </c>
      <c r="AO1648" s="505" t="s">
        <v>251</v>
      </c>
    </row>
    <row r="1649" spans="1:41" s="504" customFormat="1" ht="12" customHeight="1">
      <c r="A1649" s="870">
        <v>3</v>
      </c>
      <c r="B1649" s="871" t="s">
        <v>335</v>
      </c>
      <c r="C1649" s="872"/>
      <c r="D1649" s="873" t="s">
        <v>820</v>
      </c>
      <c r="E1649" s="874">
        <f ca="1">IF(AND($A1649=0,$A$1="DIF"),0, ROUND(ROUND(($R1655*$S$2+($T1655*$T$2))/A1649,2)*$C$2,2))</f>
        <v>107.8</v>
      </c>
      <c r="F1649" s="875">
        <f ca="1">ROUND($A1649*$E1649,2)</f>
        <v>323.39999999999998</v>
      </c>
      <c r="G1649" s="876" t="s">
        <v>139</v>
      </c>
      <c r="H1649" s="877"/>
      <c r="I1649" s="878"/>
      <c r="J1649" s="877"/>
      <c r="K1649" s="877" t="s">
        <v>3</v>
      </c>
      <c r="L1649" s="879" t="s">
        <v>140</v>
      </c>
      <c r="M1649" s="879"/>
      <c r="N1649" s="879"/>
      <c r="O1649" s="879"/>
      <c r="P1649" s="879"/>
      <c r="Q1649" s="50"/>
      <c r="T1649" s="880" t="str">
        <f ca="1">IF(AND($R1655=0,$T1655=0),"0.00","mu :" &amp; ROUND($F1649/$C$2/($R1655+$T1655*$D$9),2))</f>
        <v>mu :1.22</v>
      </c>
      <c r="W1649" s="507"/>
      <c r="AG1649" s="465">
        <f ca="1">IF($E1649=0,0,ROUND($R1655*$S$2*$C$2/$A1649,2))</f>
        <v>55.44</v>
      </c>
      <c r="AH1649" s="465">
        <f ca="1">$AG1649*$A1649</f>
        <v>166.32</v>
      </c>
      <c r="AI1649" s="508">
        <f ca="1">$E1649-$AG1649</f>
        <v>52.36</v>
      </c>
      <c r="AJ1649" s="508">
        <f ca="1">$A1649*$AI1649</f>
        <v>157.07999999999998</v>
      </c>
      <c r="AK1649" s="509">
        <f ca="1">ROUND(($AG1649+$AI1649)*$A1649,2)</f>
        <v>323.39999999999998</v>
      </c>
      <c r="AM1649" s="510">
        <f ca="1">ROUND(R1655,2)</f>
        <v>136.32</v>
      </c>
      <c r="AN1649" s="511">
        <f ca="1">ROUND(T1655,2)</f>
        <v>4.47</v>
      </c>
      <c r="AO1649" s="512">
        <f ca="1">ROUND(AM1649+AN1649,2)*A1649</f>
        <v>422.37</v>
      </c>
    </row>
    <row r="1650" spans="1:41" s="504" customFormat="1" ht="13.2">
      <c r="A1650" s="872"/>
      <c r="B1650"/>
      <c r="C1650" s="872"/>
      <c r="D1650" s="873" t="s">
        <v>428</v>
      </c>
      <c r="F1650" s="877"/>
      <c r="G1650" s="3"/>
      <c r="H1650" s="877"/>
      <c r="I1650" s="878"/>
      <c r="J1650" s="877"/>
      <c r="K1650" s="877" t="s">
        <v>141</v>
      </c>
      <c r="L1650" s="877"/>
      <c r="M1650" s="877"/>
      <c r="N1650" s="877"/>
      <c r="O1650" s="877"/>
      <c r="P1650" s="877"/>
      <c r="Q1650" s="50"/>
      <c r="R1650" s="513"/>
      <c r="S1650" s="881"/>
      <c r="T1650" s="877"/>
    </row>
    <row r="1651" spans="1:41" s="997" customFormat="1" ht="13.2">
      <c r="A1651"/>
      <c r="B1651" s="1065"/>
      <c r="C1651" s="1065" t="s">
        <v>1006</v>
      </c>
      <c r="D1651" s="1065" t="str">
        <f ca="1">CELL("Address",Elec_Rates!D$200)</f>
        <v>[EL25_0662B_Brittania_Hotel_Elec_Revised_Estim_B.xlsx]Elec_Rates!$D$200</v>
      </c>
      <c r="E1651" s="1066"/>
      <c r="F1651" s="1066"/>
      <c r="G1651" s="1067" t="s">
        <v>1007</v>
      </c>
      <c r="H1651" s="1067"/>
      <c r="I1651" s="1067"/>
      <c r="J1651" s="1067"/>
      <c r="K1651" s="1068"/>
      <c r="L1651" s="1066"/>
      <c r="M1651" s="1066"/>
      <c r="N1651" s="1066"/>
      <c r="O1651" s="1069"/>
      <c r="P1651" s="1066"/>
      <c r="Q1651" s="1070"/>
      <c r="R1651" s="1071"/>
      <c r="S1651" s="1070"/>
      <c r="T1651" s="1072"/>
      <c r="U1651" s="1073"/>
    </row>
    <row r="1652" spans="1:41" s="997" customFormat="1" ht="11.4">
      <c r="A1652" s="1074">
        <v>3</v>
      </c>
      <c r="B1652" s="1075">
        <v>1</v>
      </c>
      <c r="C1652" s="1075">
        <f>$A1652*$B1652</f>
        <v>3</v>
      </c>
      <c r="D1652" s="1076" t="str">
        <f>Elec_Rates!$D$200</f>
        <v>019# Lighting point in LSZH Conduit</v>
      </c>
      <c r="E1652" s="1076"/>
      <c r="F1652" s="1076"/>
      <c r="G1652" s="1077" t="s">
        <v>1008</v>
      </c>
      <c r="H1652" s="1077"/>
      <c r="I1652" s="1077"/>
      <c r="J1652" s="1077"/>
      <c r="K1652" s="1078"/>
      <c r="L1652" s="1073"/>
      <c r="M1652" s="1073"/>
      <c r="N1652" s="1073"/>
      <c r="O1652" s="1079"/>
      <c r="P1652" s="1076"/>
      <c r="Q1652" s="1080">
        <f ca="1">$B1652*Elec_Rates!$R$200</f>
        <v>9.65</v>
      </c>
      <c r="R1652" s="1071">
        <f ca="1">$A1652*Q1652</f>
        <v>28.950000000000003</v>
      </c>
      <c r="S1652" s="1080">
        <f ca="1">$B1652*Elec_Rates!$T$200</f>
        <v>1.31</v>
      </c>
      <c r="T1652" s="1072">
        <f ca="1">$A1652*S1652</f>
        <v>3.93</v>
      </c>
      <c r="U1652" s="1081"/>
    </row>
    <row r="1653" spans="1:41" s="1039" customFormat="1" ht="13.2">
      <c r="A1653" s="112">
        <v>3</v>
      </c>
      <c r="B1653" s="1039" t="s">
        <v>949</v>
      </c>
      <c r="D1653" s="1039" t="s">
        <v>428</v>
      </c>
      <c r="G1653" s="1040" t="s">
        <v>1231</v>
      </c>
      <c r="H1653" s="1041">
        <v>705</v>
      </c>
      <c r="I1653" s="1039" t="s">
        <v>1183</v>
      </c>
      <c r="J1653" s="1039" t="s">
        <v>1232</v>
      </c>
      <c r="O1653" s="1042">
        <v>3</v>
      </c>
      <c r="P1653" s="1043">
        <v>34669</v>
      </c>
      <c r="Q1653" s="1044">
        <v>35.79</v>
      </c>
      <c r="R1653" s="1045">
        <f>$A1653*Q1653</f>
        <v>107.37</v>
      </c>
      <c r="S1653" s="1044">
        <v>0.17</v>
      </c>
      <c r="T1653" s="1046">
        <f>$A1653*S1653*$T$1</f>
        <v>0.53550000000000009</v>
      </c>
    </row>
    <row r="1654" spans="1:41" s="504" customFormat="1" ht="12">
      <c r="A1654" s="882"/>
      <c r="B1654" s="882"/>
      <c r="C1654" s="882"/>
      <c r="D1654" s="882"/>
      <c r="E1654" s="882"/>
      <c r="F1654" s="877"/>
      <c r="G1654" s="882"/>
      <c r="H1654" s="882"/>
      <c r="I1654" s="503"/>
      <c r="J1654" s="882"/>
      <c r="K1654" s="882"/>
      <c r="L1654" s="882"/>
      <c r="M1654" s="882"/>
      <c r="N1654" s="882"/>
      <c r="O1654" s="882"/>
      <c r="P1654" s="882"/>
      <c r="Q1654" s="503"/>
      <c r="R1654" s="883">
        <f>$A1654*Q1654</f>
        <v>0</v>
      </c>
      <c r="S1654" s="503"/>
      <c r="T1654" s="884">
        <f>$A1654*S1654*$T$1</f>
        <v>0</v>
      </c>
    </row>
    <row r="1655" spans="1:41" s="504" customFormat="1" ht="12.6" thickBot="1">
      <c r="A1655" s="885" t="s">
        <v>142</v>
      </c>
      <c r="B1655" s="886">
        <f>(R1654+T1654)</f>
        <v>0</v>
      </c>
      <c r="C1655" s="887"/>
      <c r="D1655" s="887"/>
      <c r="E1655" s="887"/>
      <c r="F1655" s="888"/>
      <c r="G1655" s="887" t="s">
        <v>143</v>
      </c>
      <c r="H1655" s="887"/>
      <c r="I1655" s="889"/>
      <c r="J1655" s="887"/>
      <c r="K1655" s="887" t="s">
        <v>3</v>
      </c>
      <c r="L1655" s="890" t="s">
        <v>140</v>
      </c>
      <c r="M1655" s="890"/>
      <c r="N1655" s="890"/>
      <c r="O1655" s="890"/>
      <c r="P1655" s="890"/>
      <c r="Q1655" s="891"/>
      <c r="R1655" s="892">
        <f ca="1">SUM(R1650:R1654)</f>
        <v>136.32</v>
      </c>
      <c r="S1655" s="887"/>
      <c r="T1655" s="892">
        <f ca="1">SUM(T1650:T1654)</f>
        <v>4.4655000000000005</v>
      </c>
      <c r="U1655" s="514"/>
      <c r="V1655" s="514"/>
      <c r="W1655" s="514"/>
      <c r="X1655" s="514"/>
      <c r="Y1655" s="514"/>
      <c r="Z1655" s="514"/>
      <c r="AA1655" s="514"/>
      <c r="AB1655" s="514"/>
      <c r="AC1655" s="514"/>
      <c r="AD1655" s="514"/>
      <c r="AE1655" s="514"/>
      <c r="AF1655" s="514"/>
      <c r="AG1655" s="514"/>
      <c r="AH1655" s="514"/>
      <c r="AI1655" s="514"/>
      <c r="AJ1655" s="514"/>
      <c r="AK1655" s="514"/>
      <c r="AL1655" s="514"/>
      <c r="AM1655" s="514"/>
      <c r="AN1655" s="514"/>
      <c r="AO1655" s="514"/>
    </row>
    <row r="1656" spans="1:41" s="504" customFormat="1" thickTop="1">
      <c r="A1656" s="50"/>
      <c r="B1656" s="50"/>
      <c r="C1656" s="3"/>
      <c r="D1656" s="3"/>
      <c r="E1656" s="50"/>
      <c r="F1656" s="50"/>
      <c r="G1656" s="50"/>
      <c r="H1656" s="50"/>
      <c r="I1656" s="50"/>
      <c r="J1656" s="50"/>
      <c r="K1656" s="50" t="s">
        <v>133</v>
      </c>
      <c r="L1656" s="50"/>
      <c r="M1656" s="50"/>
      <c r="N1656" s="50"/>
      <c r="O1656" s="51"/>
      <c r="P1656" s="50"/>
      <c r="Q1656" s="50"/>
      <c r="R1656" s="50"/>
      <c r="S1656" s="50"/>
      <c r="T1656" s="50"/>
    </row>
    <row r="1657" spans="1:41" s="504" customFormat="1" ht="12">
      <c r="A1657" s="50"/>
      <c r="B1657" s="50"/>
      <c r="C1657" s="50" t="s">
        <v>134</v>
      </c>
      <c r="D1657" s="37"/>
      <c r="E1657" s="50"/>
      <c r="F1657" s="50"/>
      <c r="G1657" s="50"/>
      <c r="H1657" s="50"/>
      <c r="I1657" s="50"/>
      <c r="J1657" s="50"/>
      <c r="K1657" s="50"/>
      <c r="L1657" s="50"/>
      <c r="M1657" s="50"/>
      <c r="N1657" s="50"/>
      <c r="O1657" s="51"/>
      <c r="P1657" s="50"/>
      <c r="Q1657" s="50"/>
      <c r="R1657" s="50"/>
      <c r="S1657" s="50"/>
      <c r="T1657" s="50"/>
    </row>
    <row r="1658" spans="1:41" s="504" customFormat="1" ht="12">
      <c r="A1658" s="50"/>
      <c r="B1658" s="50"/>
      <c r="C1658" s="50"/>
      <c r="D1658" s="37" t="s">
        <v>802</v>
      </c>
      <c r="E1658" s="50"/>
      <c r="F1658" s="50"/>
      <c r="G1658" s="50"/>
      <c r="H1658" s="50"/>
      <c r="I1658" s="50"/>
      <c r="J1658" s="50"/>
      <c r="K1658" s="50"/>
      <c r="L1658" s="50"/>
      <c r="M1658" s="50"/>
      <c r="N1658" s="50"/>
      <c r="O1658" s="51"/>
      <c r="P1658" s="50"/>
      <c r="Q1658" s="50"/>
      <c r="R1658" s="50"/>
      <c r="S1658" s="38"/>
      <c r="T1658" s="38"/>
    </row>
    <row r="1659" spans="1:41" s="3" customFormat="1" thickBot="1">
      <c r="A1659" s="514"/>
      <c r="O1659" s="103"/>
    </row>
    <row r="1660" spans="1:41" s="504" customFormat="1" thickTop="1">
      <c r="A1660" s="50"/>
      <c r="B1660" s="50"/>
      <c r="C1660" s="3"/>
      <c r="D1660" s="3"/>
      <c r="E1660" s="50"/>
      <c r="F1660" s="50"/>
      <c r="G1660" s="50"/>
      <c r="H1660" s="50"/>
      <c r="I1660" s="50"/>
      <c r="J1660" s="50"/>
      <c r="K1660" s="50" t="s">
        <v>133</v>
      </c>
      <c r="L1660" s="50"/>
      <c r="M1660" s="50"/>
      <c r="N1660" s="50"/>
      <c r="O1660" s="51"/>
      <c r="P1660" s="50"/>
      <c r="Q1660" s="50"/>
      <c r="R1660" s="50"/>
      <c r="S1660" s="50"/>
      <c r="T1660" s="50"/>
    </row>
    <row r="1661" spans="1:41" s="504" customFormat="1" ht="12">
      <c r="A1661" s="50"/>
      <c r="B1661" s="50"/>
      <c r="C1661" s="50" t="s">
        <v>134</v>
      </c>
      <c r="D1661" s="37" t="s">
        <v>864</v>
      </c>
      <c r="E1661" s="50"/>
      <c r="F1661" s="50"/>
      <c r="G1661" s="50"/>
      <c r="H1661" s="50"/>
      <c r="I1661" s="50"/>
      <c r="J1661" s="50"/>
      <c r="K1661" s="50"/>
      <c r="L1661" s="50"/>
      <c r="M1661" s="50"/>
      <c r="N1661" s="50"/>
      <c r="O1661" s="51"/>
      <c r="P1661" s="50"/>
      <c r="Q1661" s="50"/>
      <c r="R1661" s="50"/>
      <c r="S1661" s="50"/>
      <c r="T1661" s="50"/>
    </row>
    <row r="1662" spans="1:41" s="504" customFormat="1" ht="12">
      <c r="A1662" s="50"/>
      <c r="B1662" s="50"/>
      <c r="C1662" s="50"/>
      <c r="D1662" s="37" t="s">
        <v>293</v>
      </c>
      <c r="E1662" s="50"/>
      <c r="F1662" s="50"/>
      <c r="G1662" s="50"/>
      <c r="H1662" s="50"/>
      <c r="I1662" s="50"/>
      <c r="J1662" s="50"/>
      <c r="K1662" s="50"/>
      <c r="L1662" s="50"/>
      <c r="M1662" s="50"/>
      <c r="N1662" s="50"/>
      <c r="O1662" s="51"/>
      <c r="P1662" s="50"/>
      <c r="Q1662" s="50"/>
      <c r="R1662" s="50"/>
      <c r="S1662" s="38"/>
      <c r="T1662" s="38"/>
    </row>
    <row r="1663" spans="1:41" s="3" customFormat="1" thickBot="1">
      <c r="A1663" s="514"/>
      <c r="O1663" s="103"/>
    </row>
    <row r="1664" spans="1:41" s="504" customFormat="1" ht="12" thickTop="1">
      <c r="A1664" s="50"/>
      <c r="B1664" s="40"/>
      <c r="C1664" s="50"/>
      <c r="E1664" s="41" t="s">
        <v>136</v>
      </c>
      <c r="F1664" s="41" t="s">
        <v>137</v>
      </c>
      <c r="G1664" s="50"/>
      <c r="H1664" s="50"/>
      <c r="I1664" s="50"/>
      <c r="J1664" s="50"/>
      <c r="K1664" s="50" t="s">
        <v>138</v>
      </c>
      <c r="L1664" s="50"/>
      <c r="M1664" s="50"/>
      <c r="N1664" s="50"/>
      <c r="O1664" s="51"/>
      <c r="P1664" s="50"/>
      <c r="Q1664" s="50"/>
      <c r="R1664" s="50"/>
      <c r="S1664" s="50"/>
      <c r="T1664" s="40"/>
      <c r="AG1664" s="867" t="s">
        <v>241</v>
      </c>
      <c r="AH1664" s="867" t="s">
        <v>242</v>
      </c>
      <c r="AI1664" s="867" t="s">
        <v>243</v>
      </c>
      <c r="AJ1664" s="867" t="s">
        <v>244</v>
      </c>
      <c r="AK1664" s="867" t="s">
        <v>245</v>
      </c>
      <c r="AM1664" s="868" t="s">
        <v>254</v>
      </c>
      <c r="AN1664" s="869" t="s">
        <v>255</v>
      </c>
      <c r="AO1664" s="505" t="s">
        <v>251</v>
      </c>
    </row>
    <row r="1665" spans="1:41" s="504" customFormat="1" ht="12" customHeight="1">
      <c r="A1665" s="870">
        <v>1</v>
      </c>
      <c r="B1665" s="871" t="s">
        <v>335</v>
      </c>
      <c r="C1665" s="872"/>
      <c r="D1665" s="873" t="s">
        <v>804</v>
      </c>
      <c r="E1665" s="874">
        <f>IF(AND($A1665=0,$A$1="DIF"),0, ROUND(ROUND(($R1669*$S$2+($T1669*$T$2))/A1665,2)*$C$2,2))</f>
        <v>618.74</v>
      </c>
      <c r="F1665" s="875">
        <f>ROUND($A1665*$E1665,2)</f>
        <v>618.74</v>
      </c>
      <c r="G1665" s="876" t="s">
        <v>139</v>
      </c>
      <c r="H1665" s="877"/>
      <c r="I1665" s="878"/>
      <c r="J1665" s="877"/>
      <c r="K1665" s="877" t="s">
        <v>3</v>
      </c>
      <c r="L1665" s="879" t="s">
        <v>140</v>
      </c>
      <c r="M1665" s="879"/>
      <c r="N1665" s="879"/>
      <c r="O1665" s="879"/>
      <c r="P1665" s="879"/>
      <c r="Q1665" s="50"/>
      <c r="T1665" s="880" t="str">
        <f>IF(AND($R1669=0,$T1669=0),"0.00","mu :" &amp; ROUND($F1665/$C$2/($R1669+$T1669*$D$9),2))</f>
        <v>mu :1.22</v>
      </c>
      <c r="W1665" s="507"/>
      <c r="AG1665" s="465">
        <f>IF($E1665=0,0,ROUND($R1669*$S$2*$C$2/$A1665,2))</f>
        <v>618.74</v>
      </c>
      <c r="AH1665" s="465">
        <f>$AG1665*$A1665</f>
        <v>618.74</v>
      </c>
      <c r="AI1665" s="508">
        <f>$E1665-$AG1665</f>
        <v>0</v>
      </c>
      <c r="AJ1665" s="508">
        <f>$A1665*$AI1665</f>
        <v>0</v>
      </c>
      <c r="AK1665" s="509">
        <f>ROUND(($AG1665+$AI1665)*$A1665,2)</f>
        <v>618.74</v>
      </c>
      <c r="AM1665" s="510">
        <f>ROUND(R1669,2)</f>
        <v>507.16</v>
      </c>
      <c r="AN1665" s="511">
        <f>ROUND(T1669,2)</f>
        <v>0</v>
      </c>
      <c r="AO1665" s="512">
        <f>ROUND(AM1665+AN1665,2)*A1665</f>
        <v>507.16</v>
      </c>
    </row>
    <row r="1666" spans="1:41" s="504" customFormat="1" ht="13.2">
      <c r="A1666" s="872"/>
      <c r="B1666"/>
      <c r="C1666" s="872"/>
      <c r="D1666" s="873" t="s">
        <v>429</v>
      </c>
      <c r="F1666" s="877"/>
      <c r="G1666" s="3"/>
      <c r="H1666" s="877"/>
      <c r="I1666" s="878"/>
      <c r="J1666" s="877"/>
      <c r="K1666" s="877" t="s">
        <v>141</v>
      </c>
      <c r="L1666" s="877"/>
      <c r="M1666" s="877"/>
      <c r="N1666" s="877"/>
      <c r="O1666" s="877"/>
      <c r="P1666" s="877"/>
      <c r="Q1666" s="50"/>
      <c r="R1666" s="513"/>
      <c r="S1666" s="881"/>
      <c r="T1666" s="877"/>
    </row>
    <row r="1667" spans="1:41" s="504" customFormat="1" ht="13.2">
      <c r="A1667">
        <v>1</v>
      </c>
      <c r="B1667" s="1039" t="s">
        <v>949</v>
      </c>
      <c r="C1667" s="1039"/>
      <c r="D1667" s="1039" t="s">
        <v>1309</v>
      </c>
      <c r="E1667" s="1039"/>
      <c r="F1667" s="1039"/>
      <c r="G1667" s="1040" t="s">
        <v>950</v>
      </c>
      <c r="H1667" s="1041">
        <v>510</v>
      </c>
      <c r="I1667" s="1039" t="s">
        <v>951</v>
      </c>
      <c r="J1667" s="1039"/>
      <c r="K1667" s="882"/>
      <c r="L1667" s="1039"/>
      <c r="M1667" s="1039"/>
      <c r="N1667" s="1039"/>
      <c r="O1667" s="1042">
        <v>2</v>
      </c>
      <c r="P1667" s="1043"/>
      <c r="Q1667" s="1044">
        <v>507.16</v>
      </c>
      <c r="R1667" s="883">
        <f>$A1667*Q1667</f>
        <v>507.16</v>
      </c>
      <c r="S1667" s="1044"/>
      <c r="T1667" s="1046">
        <f>$A1667*S1667*$T$1</f>
        <v>0</v>
      </c>
    </row>
    <row r="1668" spans="1:41" s="504" customFormat="1" ht="12">
      <c r="A1668" s="882"/>
      <c r="B1668" s="882"/>
      <c r="C1668" s="882"/>
      <c r="D1668" s="882"/>
      <c r="E1668" s="882"/>
      <c r="F1668" s="877"/>
      <c r="G1668" s="882"/>
      <c r="H1668" s="882"/>
      <c r="I1668" s="503"/>
      <c r="J1668" s="882"/>
      <c r="K1668" s="882"/>
      <c r="L1668" s="882"/>
      <c r="M1668" s="882"/>
      <c r="N1668" s="882"/>
      <c r="O1668" s="882"/>
      <c r="P1668" s="882"/>
      <c r="Q1668" s="503"/>
      <c r="R1668" s="883">
        <f>$A1668*Q1668</f>
        <v>0</v>
      </c>
      <c r="S1668" s="503"/>
      <c r="T1668" s="884">
        <f>$A1668*S1668*$T$1</f>
        <v>0</v>
      </c>
    </row>
    <row r="1669" spans="1:41" s="504" customFormat="1" ht="12.6" thickBot="1">
      <c r="A1669" s="885" t="s">
        <v>142</v>
      </c>
      <c r="B1669" s="886">
        <f>(R1668+T1668)</f>
        <v>0</v>
      </c>
      <c r="C1669" s="887"/>
      <c r="D1669" s="887"/>
      <c r="E1669" s="887"/>
      <c r="F1669" s="888"/>
      <c r="G1669" s="887" t="s">
        <v>143</v>
      </c>
      <c r="H1669" s="887"/>
      <c r="I1669" s="889"/>
      <c r="J1669" s="887"/>
      <c r="K1669" s="887" t="s">
        <v>3</v>
      </c>
      <c r="L1669" s="890" t="s">
        <v>140</v>
      </c>
      <c r="M1669" s="890"/>
      <c r="N1669" s="890"/>
      <c r="O1669" s="890"/>
      <c r="P1669" s="890"/>
      <c r="Q1669" s="891"/>
      <c r="R1669" s="892">
        <f>SUM(R1666:R1668)</f>
        <v>507.16</v>
      </c>
      <c r="S1669" s="887"/>
      <c r="T1669" s="892">
        <f>SUM(T1666:T1668)</f>
        <v>0</v>
      </c>
      <c r="U1669" s="514"/>
      <c r="V1669" s="514"/>
      <c r="W1669" s="514"/>
      <c r="X1669" s="514"/>
      <c r="Y1669" s="514"/>
      <c r="Z1669" s="514"/>
      <c r="AA1669" s="514"/>
      <c r="AB1669" s="514"/>
      <c r="AC1669" s="514"/>
      <c r="AD1669" s="514"/>
      <c r="AE1669" s="514"/>
      <c r="AF1669" s="514"/>
      <c r="AG1669" s="514"/>
      <c r="AH1669" s="514"/>
      <c r="AI1669" s="514"/>
      <c r="AJ1669" s="514"/>
      <c r="AK1669" s="514"/>
      <c r="AL1669" s="514"/>
      <c r="AM1669" s="514"/>
      <c r="AN1669" s="514"/>
      <c r="AO1669" s="514"/>
    </row>
    <row r="1670" spans="1:41" s="504" customFormat="1" ht="12" thickTop="1">
      <c r="A1670" s="50"/>
      <c r="B1670" s="40"/>
      <c r="C1670" s="50"/>
      <c r="E1670" s="41" t="s">
        <v>136</v>
      </c>
      <c r="F1670" s="41" t="s">
        <v>137</v>
      </c>
      <c r="G1670" s="50"/>
      <c r="H1670" s="50"/>
      <c r="I1670" s="50"/>
      <c r="J1670" s="50"/>
      <c r="K1670" s="50" t="s">
        <v>138</v>
      </c>
      <c r="L1670" s="50"/>
      <c r="M1670" s="50"/>
      <c r="N1670" s="50"/>
      <c r="O1670" s="51"/>
      <c r="P1670" s="50"/>
      <c r="Q1670" s="50"/>
      <c r="R1670" s="50"/>
      <c r="S1670" s="50"/>
      <c r="T1670" s="40"/>
      <c r="AG1670" s="867" t="s">
        <v>241</v>
      </c>
      <c r="AH1670" s="867" t="s">
        <v>242</v>
      </c>
      <c r="AI1670" s="867" t="s">
        <v>243</v>
      </c>
      <c r="AJ1670" s="867" t="s">
        <v>244</v>
      </c>
      <c r="AK1670" s="867" t="s">
        <v>245</v>
      </c>
      <c r="AM1670" s="868" t="s">
        <v>254</v>
      </c>
      <c r="AN1670" s="869" t="s">
        <v>255</v>
      </c>
      <c r="AO1670" s="505" t="s">
        <v>251</v>
      </c>
    </row>
    <row r="1671" spans="1:41" s="504" customFormat="1" ht="12" customHeight="1">
      <c r="A1671" s="870">
        <v>1</v>
      </c>
      <c r="B1671" s="871" t="s">
        <v>335</v>
      </c>
      <c r="C1671" s="872"/>
      <c r="D1671" s="873" t="s">
        <v>806</v>
      </c>
      <c r="E1671" s="874">
        <f>IF(AND($A1671=0,$A$1="DIF"),0, ROUND(ROUND(($R1675*$S$2+($T1675*$T$2))/A1671,2)*$C$2,2))</f>
        <v>124.4</v>
      </c>
      <c r="F1671" s="875">
        <f>ROUND($A1671*$E1671,2)</f>
        <v>124.4</v>
      </c>
      <c r="G1671" s="876" t="s">
        <v>139</v>
      </c>
      <c r="H1671" s="877"/>
      <c r="I1671" s="878"/>
      <c r="J1671" s="877"/>
      <c r="K1671" s="877" t="s">
        <v>3</v>
      </c>
      <c r="L1671" s="879" t="s">
        <v>140</v>
      </c>
      <c r="M1671" s="879"/>
      <c r="N1671" s="879"/>
      <c r="O1671" s="879"/>
      <c r="P1671" s="879"/>
      <c r="Q1671" s="50"/>
      <c r="T1671" s="880" t="str">
        <f>IF(AND($R1675=0,$T1675=0),"0.00","mu :" &amp; ROUND($F1671/$C$2/($R1675+$T1675*$D$9),2))</f>
        <v>mu :1.22</v>
      </c>
      <c r="W1671" s="507"/>
      <c r="AG1671" s="465">
        <f>IF($E1671=0,0,ROUND($R1675*$S$2*$C$2/$A1671,2))</f>
        <v>124.4</v>
      </c>
      <c r="AH1671" s="465">
        <f>$AG1671*$A1671</f>
        <v>124.4</v>
      </c>
      <c r="AI1671" s="508">
        <f>$E1671-$AG1671</f>
        <v>0</v>
      </c>
      <c r="AJ1671" s="508">
        <f>$A1671*$AI1671</f>
        <v>0</v>
      </c>
      <c r="AK1671" s="509">
        <f>ROUND(($AG1671+$AI1671)*$A1671,2)</f>
        <v>124.4</v>
      </c>
      <c r="AM1671" s="510">
        <f>ROUND(R1675,2)</f>
        <v>101.97</v>
      </c>
      <c r="AN1671" s="511">
        <f>ROUND(T1675,2)</f>
        <v>0</v>
      </c>
      <c r="AO1671" s="512">
        <f>ROUND(AM1671+AN1671,2)*A1671</f>
        <v>101.97</v>
      </c>
    </row>
    <row r="1672" spans="1:41" s="504" customFormat="1" ht="13.2">
      <c r="A1672" s="872"/>
      <c r="B1672"/>
      <c r="C1672" s="872"/>
      <c r="D1672" s="873" t="s">
        <v>430</v>
      </c>
      <c r="F1672" s="877"/>
      <c r="G1672" s="3"/>
      <c r="H1672" s="877"/>
      <c r="I1672" s="878"/>
      <c r="J1672" s="877"/>
      <c r="K1672" s="877" t="s">
        <v>141</v>
      </c>
      <c r="L1672" s="877"/>
      <c r="M1672" s="877"/>
      <c r="N1672" s="877"/>
      <c r="O1672" s="877"/>
      <c r="P1672" s="877"/>
      <c r="Q1672" s="50"/>
      <c r="R1672" s="513"/>
      <c r="S1672" s="881"/>
      <c r="T1672" s="877"/>
    </row>
    <row r="1673" spans="1:41" s="504" customFormat="1" ht="13.2">
      <c r="A1673">
        <v>1</v>
      </c>
      <c r="B1673" s="1039" t="s">
        <v>949</v>
      </c>
      <c r="C1673" s="1039"/>
      <c r="D1673" s="1039" t="s">
        <v>1441</v>
      </c>
      <c r="E1673" s="1039"/>
      <c r="F1673" s="1039"/>
      <c r="G1673" s="1040" t="s">
        <v>950</v>
      </c>
      <c r="H1673" s="1041">
        <v>510</v>
      </c>
      <c r="I1673" s="1039" t="s">
        <v>951</v>
      </c>
      <c r="J1673" s="1039"/>
      <c r="K1673" s="882"/>
      <c r="L1673" s="1039"/>
      <c r="M1673" s="1039"/>
      <c r="N1673" s="1039"/>
      <c r="O1673" s="1042">
        <v>2</v>
      </c>
      <c r="P1673" s="1043"/>
      <c r="Q1673" s="1044">
        <f>95.2+6.77</f>
        <v>101.97</v>
      </c>
      <c r="R1673" s="883">
        <f>$A1673*Q1673</f>
        <v>101.97</v>
      </c>
      <c r="S1673" s="1044"/>
      <c r="T1673" s="1046">
        <f>$A1673*S1673*$T$1</f>
        <v>0</v>
      </c>
    </row>
    <row r="1674" spans="1:41" s="504" customFormat="1" ht="12">
      <c r="A1674" s="882"/>
      <c r="B1674" s="882"/>
      <c r="C1674" s="882"/>
      <c r="D1674" s="882"/>
      <c r="E1674" s="882"/>
      <c r="F1674" s="877"/>
      <c r="G1674" s="882"/>
      <c r="H1674" s="882"/>
      <c r="I1674" s="503"/>
      <c r="J1674" s="882"/>
      <c r="K1674" s="882"/>
      <c r="L1674" s="882"/>
      <c r="M1674" s="882"/>
      <c r="N1674" s="882"/>
      <c r="O1674" s="882"/>
      <c r="P1674" s="882"/>
      <c r="Q1674" s="503"/>
      <c r="R1674" s="883">
        <f>$A1674*Q1674</f>
        <v>0</v>
      </c>
      <c r="S1674" s="503"/>
      <c r="T1674" s="884">
        <f>$A1674*S1674*$T$1</f>
        <v>0</v>
      </c>
    </row>
    <row r="1675" spans="1:41" s="504" customFormat="1" ht="12.6" thickBot="1">
      <c r="A1675" s="885" t="s">
        <v>142</v>
      </c>
      <c r="B1675" s="886">
        <f>(R1674+T1674)</f>
        <v>0</v>
      </c>
      <c r="C1675" s="887"/>
      <c r="D1675" s="887"/>
      <c r="E1675" s="887"/>
      <c r="F1675" s="888"/>
      <c r="G1675" s="887" t="s">
        <v>143</v>
      </c>
      <c r="H1675" s="887"/>
      <c r="I1675" s="889"/>
      <c r="J1675" s="887"/>
      <c r="K1675" s="887" t="s">
        <v>3</v>
      </c>
      <c r="L1675" s="890" t="s">
        <v>140</v>
      </c>
      <c r="M1675" s="890"/>
      <c r="N1675" s="890"/>
      <c r="O1675" s="890"/>
      <c r="P1675" s="890"/>
      <c r="Q1675" s="891"/>
      <c r="R1675" s="892">
        <f>SUM(R1672:R1674)</f>
        <v>101.97</v>
      </c>
      <c r="S1675" s="887"/>
      <c r="T1675" s="892">
        <f>SUM(T1672:T1674)</f>
        <v>0</v>
      </c>
      <c r="U1675" s="514"/>
      <c r="V1675" s="514"/>
      <c r="W1675" s="514"/>
      <c r="X1675" s="514"/>
      <c r="Y1675" s="514"/>
      <c r="Z1675" s="514"/>
      <c r="AA1675" s="514"/>
      <c r="AB1675" s="514"/>
      <c r="AC1675" s="514"/>
      <c r="AD1675" s="514"/>
      <c r="AE1675" s="514"/>
      <c r="AF1675" s="514"/>
      <c r="AG1675" s="514"/>
      <c r="AH1675" s="514"/>
      <c r="AI1675" s="514"/>
      <c r="AJ1675" s="514"/>
      <c r="AK1675" s="514"/>
      <c r="AL1675" s="514"/>
      <c r="AM1675" s="514"/>
      <c r="AN1675" s="514"/>
      <c r="AO1675" s="514"/>
    </row>
    <row r="1676" spans="1:41" s="504" customFormat="1" ht="12" thickTop="1">
      <c r="A1676" s="50"/>
      <c r="B1676" s="40"/>
      <c r="C1676" s="50"/>
      <c r="E1676" s="41" t="s">
        <v>136</v>
      </c>
      <c r="F1676" s="41" t="s">
        <v>137</v>
      </c>
      <c r="G1676" s="50"/>
      <c r="H1676" s="50"/>
      <c r="I1676" s="50"/>
      <c r="J1676" s="50"/>
      <c r="K1676" s="50" t="s">
        <v>138</v>
      </c>
      <c r="L1676" s="50"/>
      <c r="M1676" s="50"/>
      <c r="N1676" s="50"/>
      <c r="O1676" s="51"/>
      <c r="P1676" s="50"/>
      <c r="Q1676" s="50"/>
      <c r="R1676" s="50"/>
      <c r="S1676" s="50"/>
      <c r="T1676" s="40"/>
      <c r="AG1676" s="867" t="s">
        <v>241</v>
      </c>
      <c r="AH1676" s="867" t="s">
        <v>242</v>
      </c>
      <c r="AI1676" s="867" t="s">
        <v>243</v>
      </c>
      <c r="AJ1676" s="867" t="s">
        <v>244</v>
      </c>
      <c r="AK1676" s="867" t="s">
        <v>245</v>
      </c>
      <c r="AM1676" s="868" t="s">
        <v>254</v>
      </c>
      <c r="AN1676" s="869" t="s">
        <v>255</v>
      </c>
      <c r="AO1676" s="505" t="s">
        <v>251</v>
      </c>
    </row>
    <row r="1677" spans="1:41" s="504" customFormat="1" ht="12" customHeight="1">
      <c r="A1677" s="870">
        <v>1</v>
      </c>
      <c r="B1677" s="871" t="s">
        <v>335</v>
      </c>
      <c r="C1677" s="872"/>
      <c r="D1677" s="873" t="s">
        <v>808</v>
      </c>
      <c r="E1677" s="874">
        <f>IF(AND($A1677=0,$A$1="DIF"),0, ROUND(ROUND(($R1681*$S$2+($T1681*$T$2))/A1677,2)*$C$2,2))</f>
        <v>124.4</v>
      </c>
      <c r="F1677" s="875">
        <f>ROUND($A1677*$E1677,2)</f>
        <v>124.4</v>
      </c>
      <c r="G1677" s="876" t="s">
        <v>139</v>
      </c>
      <c r="H1677" s="877"/>
      <c r="I1677" s="878"/>
      <c r="J1677" s="877"/>
      <c r="K1677" s="877" t="s">
        <v>3</v>
      </c>
      <c r="L1677" s="879" t="s">
        <v>140</v>
      </c>
      <c r="M1677" s="879"/>
      <c r="N1677" s="879"/>
      <c r="O1677" s="879"/>
      <c r="P1677" s="879"/>
      <c r="Q1677" s="50"/>
      <c r="T1677" s="880" t="str">
        <f>IF(AND($R1681=0,$T1681=0),"0.00","mu :" &amp; ROUND($F1677/$C$2/($R1681+$T1681*$D$9),2))</f>
        <v>mu :1.22</v>
      </c>
      <c r="W1677" s="507"/>
      <c r="AG1677" s="465">
        <f>IF($E1677=0,0,ROUND($R1681*$S$2*$C$2/$A1677,2))</f>
        <v>124.4</v>
      </c>
      <c r="AH1677" s="465">
        <f>$AG1677*$A1677</f>
        <v>124.4</v>
      </c>
      <c r="AI1677" s="508">
        <f>$E1677-$AG1677</f>
        <v>0</v>
      </c>
      <c r="AJ1677" s="508">
        <f>$A1677*$AI1677</f>
        <v>0</v>
      </c>
      <c r="AK1677" s="509">
        <f>ROUND(($AG1677+$AI1677)*$A1677,2)</f>
        <v>124.4</v>
      </c>
      <c r="AM1677" s="510">
        <f>ROUND(R1681,2)</f>
        <v>101.97</v>
      </c>
      <c r="AN1677" s="511">
        <f>ROUND(T1681,2)</f>
        <v>0</v>
      </c>
      <c r="AO1677" s="512">
        <f>ROUND(AM1677+AN1677,2)*A1677</f>
        <v>101.97</v>
      </c>
    </row>
    <row r="1678" spans="1:41" s="504" customFormat="1" ht="13.2">
      <c r="A1678" s="872"/>
      <c r="B1678"/>
      <c r="C1678" s="872"/>
      <c r="D1678" s="873" t="s">
        <v>431</v>
      </c>
      <c r="F1678" s="877"/>
      <c r="G1678" s="3"/>
      <c r="H1678" s="877"/>
      <c r="I1678" s="878"/>
      <c r="J1678" s="877"/>
      <c r="K1678" s="877" t="s">
        <v>141</v>
      </c>
      <c r="L1678" s="877"/>
      <c r="M1678" s="877"/>
      <c r="N1678" s="877"/>
      <c r="O1678" s="877"/>
      <c r="P1678" s="877"/>
      <c r="Q1678" s="50"/>
      <c r="R1678" s="513"/>
      <c r="S1678" s="881"/>
      <c r="T1678" s="877"/>
    </row>
    <row r="1679" spans="1:41" s="504" customFormat="1" ht="13.2">
      <c r="A1679">
        <v>1</v>
      </c>
      <c r="B1679" s="1039" t="s">
        <v>949</v>
      </c>
      <c r="C1679" s="1039"/>
      <c r="D1679" s="1039" t="s">
        <v>1437</v>
      </c>
      <c r="E1679" s="1039"/>
      <c r="F1679" s="1039"/>
      <c r="G1679" s="1040" t="s">
        <v>950</v>
      </c>
      <c r="H1679" s="1041">
        <v>510</v>
      </c>
      <c r="I1679" s="1039" t="s">
        <v>951</v>
      </c>
      <c r="J1679" s="1039"/>
      <c r="K1679" s="882"/>
      <c r="L1679" s="1039"/>
      <c r="M1679" s="1039"/>
      <c r="N1679" s="1039"/>
      <c r="O1679" s="1042">
        <v>2</v>
      </c>
      <c r="P1679" s="1043"/>
      <c r="Q1679" s="1044">
        <f>95.2+6.77</f>
        <v>101.97</v>
      </c>
      <c r="R1679" s="883">
        <f>$A1679*Q1679</f>
        <v>101.97</v>
      </c>
      <c r="S1679" s="1044"/>
      <c r="T1679" s="1046">
        <f>$A1679*S1679*$T$1</f>
        <v>0</v>
      </c>
    </row>
    <row r="1680" spans="1:41" s="504" customFormat="1" ht="12">
      <c r="A1680" s="882"/>
      <c r="B1680" s="882"/>
      <c r="C1680" s="882"/>
      <c r="D1680" s="882"/>
      <c r="E1680" s="882"/>
      <c r="F1680" s="877"/>
      <c r="G1680" s="882"/>
      <c r="H1680" s="882"/>
      <c r="I1680" s="503"/>
      <c r="J1680" s="882"/>
      <c r="K1680" s="882"/>
      <c r="L1680" s="882"/>
      <c r="M1680" s="882"/>
      <c r="N1680" s="882"/>
      <c r="O1680" s="882"/>
      <c r="P1680" s="882"/>
      <c r="Q1680" s="503"/>
      <c r="R1680" s="883">
        <f>$A1680*Q1680</f>
        <v>0</v>
      </c>
      <c r="S1680" s="503"/>
      <c r="T1680" s="884">
        <f>$A1680*S1680*$T$1</f>
        <v>0</v>
      </c>
    </row>
    <row r="1681" spans="1:41" s="504" customFormat="1" ht="12.6" thickBot="1">
      <c r="A1681" s="885" t="s">
        <v>142</v>
      </c>
      <c r="B1681" s="886">
        <f>(R1680+T1680)</f>
        <v>0</v>
      </c>
      <c r="C1681" s="887"/>
      <c r="D1681" s="887"/>
      <c r="E1681" s="887"/>
      <c r="F1681" s="888"/>
      <c r="G1681" s="887" t="s">
        <v>143</v>
      </c>
      <c r="H1681" s="887"/>
      <c r="I1681" s="889"/>
      <c r="J1681" s="887"/>
      <c r="K1681" s="887" t="s">
        <v>3</v>
      </c>
      <c r="L1681" s="890" t="s">
        <v>140</v>
      </c>
      <c r="M1681" s="890"/>
      <c r="N1681" s="890"/>
      <c r="O1681" s="890"/>
      <c r="P1681" s="890"/>
      <c r="Q1681" s="891"/>
      <c r="R1681" s="892">
        <f>SUM(R1678:R1680)</f>
        <v>101.97</v>
      </c>
      <c r="S1681" s="887"/>
      <c r="T1681" s="892">
        <f>SUM(T1678:T1680)</f>
        <v>0</v>
      </c>
      <c r="U1681" s="514"/>
      <c r="V1681" s="514"/>
      <c r="W1681" s="514"/>
      <c r="X1681" s="514"/>
      <c r="Y1681" s="514"/>
      <c r="Z1681" s="514"/>
      <c r="AA1681" s="514"/>
      <c r="AB1681" s="514"/>
      <c r="AC1681" s="514"/>
      <c r="AD1681" s="514"/>
      <c r="AE1681" s="514"/>
      <c r="AF1681" s="514"/>
      <c r="AG1681" s="514"/>
      <c r="AH1681" s="514"/>
      <c r="AI1681" s="514"/>
      <c r="AJ1681" s="514"/>
      <c r="AK1681" s="514"/>
      <c r="AL1681" s="514"/>
      <c r="AM1681" s="514"/>
      <c r="AN1681" s="514"/>
      <c r="AO1681" s="514"/>
    </row>
    <row r="1682" spans="1:41" s="504" customFormat="1" ht="12" thickTop="1">
      <c r="A1682" s="50"/>
      <c r="B1682" s="40"/>
      <c r="C1682" s="50"/>
      <c r="E1682" s="41" t="s">
        <v>136</v>
      </c>
      <c r="F1682" s="41" t="s">
        <v>137</v>
      </c>
      <c r="G1682" s="50"/>
      <c r="H1682" s="50"/>
      <c r="I1682" s="50"/>
      <c r="J1682" s="50"/>
      <c r="K1682" s="50" t="s">
        <v>138</v>
      </c>
      <c r="L1682" s="50"/>
      <c r="M1682" s="50"/>
      <c r="N1682" s="50"/>
      <c r="O1682" s="51"/>
      <c r="P1682" s="50"/>
      <c r="Q1682" s="50"/>
      <c r="R1682" s="50"/>
      <c r="S1682" s="50"/>
      <c r="T1682" s="40"/>
      <c r="AG1682" s="867" t="s">
        <v>241</v>
      </c>
      <c r="AH1682" s="867" t="s">
        <v>242</v>
      </c>
      <c r="AI1682" s="867" t="s">
        <v>243</v>
      </c>
      <c r="AJ1682" s="867" t="s">
        <v>244</v>
      </c>
      <c r="AK1682" s="867" t="s">
        <v>245</v>
      </c>
      <c r="AM1682" s="868" t="s">
        <v>254</v>
      </c>
      <c r="AN1682" s="869" t="s">
        <v>255</v>
      </c>
      <c r="AO1682" s="505" t="s">
        <v>251</v>
      </c>
    </row>
    <row r="1683" spans="1:41" s="504" customFormat="1" ht="12" customHeight="1">
      <c r="A1683" s="870">
        <v>1</v>
      </c>
      <c r="B1683" s="871" t="s">
        <v>335</v>
      </c>
      <c r="C1683" s="872"/>
      <c r="D1683" s="873" t="s">
        <v>810</v>
      </c>
      <c r="E1683" s="874">
        <f>IF(AND($A1683=0,$A$1="DIF"),0, ROUND(ROUND(($R1687*$S$2+($T1687*$T$2))/A1683,2)*$C$2,2))</f>
        <v>124.4</v>
      </c>
      <c r="F1683" s="875">
        <f>ROUND($A1683*$E1683,2)</f>
        <v>124.4</v>
      </c>
      <c r="G1683" s="876" t="s">
        <v>139</v>
      </c>
      <c r="H1683" s="877"/>
      <c r="I1683" s="878"/>
      <c r="J1683" s="877"/>
      <c r="K1683" s="877" t="s">
        <v>3</v>
      </c>
      <c r="L1683" s="879" t="s">
        <v>140</v>
      </c>
      <c r="M1683" s="879"/>
      <c r="N1683" s="879"/>
      <c r="O1683" s="879"/>
      <c r="P1683" s="879"/>
      <c r="Q1683" s="50"/>
      <c r="T1683" s="880" t="str">
        <f>IF(AND($R1687=0,$T1687=0),"0.00","mu :" &amp; ROUND($F1683/$C$2/($R1687+$T1687*$D$9),2))</f>
        <v>mu :1.22</v>
      </c>
      <c r="W1683" s="507"/>
      <c r="AG1683" s="465">
        <f>IF($E1683=0,0,ROUND($R1687*$S$2*$C$2/$A1683,2))</f>
        <v>124.4</v>
      </c>
      <c r="AH1683" s="465">
        <f>$AG1683*$A1683</f>
        <v>124.4</v>
      </c>
      <c r="AI1683" s="508">
        <f>$E1683-$AG1683</f>
        <v>0</v>
      </c>
      <c r="AJ1683" s="508">
        <f>$A1683*$AI1683</f>
        <v>0</v>
      </c>
      <c r="AK1683" s="509">
        <f>ROUND(($AG1683+$AI1683)*$A1683,2)</f>
        <v>124.4</v>
      </c>
      <c r="AM1683" s="510">
        <f>ROUND(R1687,2)</f>
        <v>101.97</v>
      </c>
      <c r="AN1683" s="511">
        <f>ROUND(T1687,2)</f>
        <v>0</v>
      </c>
      <c r="AO1683" s="512">
        <f>ROUND(AM1683+AN1683,2)*A1683</f>
        <v>101.97</v>
      </c>
    </row>
    <row r="1684" spans="1:41" s="504" customFormat="1" ht="13.2">
      <c r="A1684" s="872"/>
      <c r="B1684"/>
      <c r="C1684" s="872"/>
      <c r="D1684" s="873" t="s">
        <v>432</v>
      </c>
      <c r="F1684" s="877"/>
      <c r="G1684" s="3"/>
      <c r="H1684" s="877"/>
      <c r="I1684" s="878"/>
      <c r="J1684" s="877"/>
      <c r="K1684" s="877" t="s">
        <v>141</v>
      </c>
      <c r="L1684" s="877"/>
      <c r="M1684" s="877"/>
      <c r="N1684" s="877"/>
      <c r="O1684" s="877"/>
      <c r="P1684" s="877"/>
      <c r="Q1684" s="50"/>
      <c r="R1684" s="513"/>
      <c r="S1684" s="881"/>
      <c r="T1684" s="877"/>
    </row>
    <row r="1685" spans="1:41" s="504" customFormat="1" ht="13.2">
      <c r="A1685">
        <v>1</v>
      </c>
      <c r="B1685" s="1039" t="s">
        <v>949</v>
      </c>
      <c r="C1685" s="1039"/>
      <c r="D1685" s="1039" t="s">
        <v>1438</v>
      </c>
      <c r="E1685" s="1039"/>
      <c r="F1685" s="1039"/>
      <c r="G1685" s="1040" t="s">
        <v>950</v>
      </c>
      <c r="H1685" s="1041">
        <v>510</v>
      </c>
      <c r="I1685" s="1039" t="s">
        <v>951</v>
      </c>
      <c r="J1685" s="1039"/>
      <c r="K1685" s="882"/>
      <c r="L1685" s="1039"/>
      <c r="M1685" s="1039"/>
      <c r="N1685" s="1039"/>
      <c r="O1685" s="1042">
        <v>2</v>
      </c>
      <c r="P1685" s="1043"/>
      <c r="Q1685" s="1044">
        <f>95.2+6.77</f>
        <v>101.97</v>
      </c>
      <c r="R1685" s="883">
        <f>$A1685*Q1685</f>
        <v>101.97</v>
      </c>
      <c r="S1685" s="1044"/>
      <c r="T1685" s="1046">
        <f>$A1685*S1685*$T$1</f>
        <v>0</v>
      </c>
    </row>
    <row r="1686" spans="1:41" s="504" customFormat="1" ht="12">
      <c r="A1686" s="882"/>
      <c r="B1686" s="882"/>
      <c r="C1686" s="882"/>
      <c r="D1686" s="882"/>
      <c r="E1686" s="882"/>
      <c r="F1686" s="877"/>
      <c r="G1686" s="882"/>
      <c r="H1686" s="882"/>
      <c r="I1686" s="503"/>
      <c r="J1686" s="882"/>
      <c r="K1686" s="882"/>
      <c r="L1686" s="882"/>
      <c r="M1686" s="882"/>
      <c r="N1686" s="882"/>
      <c r="O1686" s="882"/>
      <c r="P1686" s="882"/>
      <c r="Q1686" s="503"/>
      <c r="R1686" s="883">
        <f>$A1686*Q1686</f>
        <v>0</v>
      </c>
      <c r="S1686" s="503"/>
      <c r="T1686" s="884">
        <f>$A1686*S1686*$T$1</f>
        <v>0</v>
      </c>
    </row>
    <row r="1687" spans="1:41" s="504" customFormat="1" ht="12.6" thickBot="1">
      <c r="A1687" s="885" t="s">
        <v>142</v>
      </c>
      <c r="B1687" s="886">
        <f>(R1686+T1686)</f>
        <v>0</v>
      </c>
      <c r="C1687" s="887"/>
      <c r="D1687" s="887"/>
      <c r="E1687" s="887"/>
      <c r="F1687" s="888"/>
      <c r="G1687" s="887" t="s">
        <v>143</v>
      </c>
      <c r="H1687" s="887"/>
      <c r="I1687" s="889"/>
      <c r="J1687" s="887"/>
      <c r="K1687" s="887" t="s">
        <v>3</v>
      </c>
      <c r="L1687" s="890" t="s">
        <v>140</v>
      </c>
      <c r="M1687" s="890"/>
      <c r="N1687" s="890"/>
      <c r="O1687" s="890"/>
      <c r="P1687" s="890"/>
      <c r="Q1687" s="891"/>
      <c r="R1687" s="892">
        <f>SUM(R1684:R1686)</f>
        <v>101.97</v>
      </c>
      <c r="S1687" s="887"/>
      <c r="T1687" s="892">
        <f>SUM(T1684:T1686)</f>
        <v>0</v>
      </c>
      <c r="U1687" s="514"/>
      <c r="V1687" s="514"/>
      <c r="W1687" s="514"/>
      <c r="X1687" s="514"/>
      <c r="Y1687" s="514"/>
      <c r="Z1687" s="514"/>
      <c r="AA1687" s="514"/>
      <c r="AB1687" s="514"/>
      <c r="AC1687" s="514"/>
      <c r="AD1687" s="514"/>
      <c r="AE1687" s="514"/>
      <c r="AF1687" s="514"/>
      <c r="AG1687" s="514"/>
      <c r="AH1687" s="514"/>
      <c r="AI1687" s="514"/>
      <c r="AJ1687" s="514"/>
      <c r="AK1687" s="514"/>
      <c r="AL1687" s="514"/>
      <c r="AM1687" s="514"/>
      <c r="AN1687" s="514"/>
      <c r="AO1687" s="514"/>
    </row>
    <row r="1688" spans="1:41" s="504" customFormat="1" thickTop="1">
      <c r="A1688" s="50"/>
      <c r="B1688" s="50"/>
      <c r="C1688" s="3"/>
      <c r="D1688" s="3"/>
      <c r="E1688" s="50"/>
      <c r="F1688" s="50"/>
      <c r="G1688" s="50"/>
      <c r="H1688" s="50"/>
      <c r="I1688" s="50"/>
      <c r="J1688" s="50"/>
      <c r="K1688" s="50" t="s">
        <v>133</v>
      </c>
      <c r="L1688" s="50"/>
      <c r="M1688" s="50"/>
      <c r="N1688" s="50"/>
      <c r="O1688" s="51"/>
      <c r="P1688" s="50"/>
      <c r="Q1688" s="50"/>
      <c r="R1688" s="50"/>
      <c r="S1688" s="50"/>
      <c r="T1688" s="50"/>
    </row>
    <row r="1689" spans="1:41" s="504" customFormat="1" ht="12">
      <c r="A1689" s="50"/>
      <c r="B1689" s="50"/>
      <c r="C1689" s="50" t="s">
        <v>134</v>
      </c>
      <c r="D1689" s="37" t="s">
        <v>865</v>
      </c>
      <c r="E1689" s="50"/>
      <c r="F1689" s="50"/>
      <c r="G1689" s="50"/>
      <c r="H1689" s="50"/>
      <c r="I1689" s="50"/>
      <c r="J1689" s="50"/>
      <c r="K1689" s="50"/>
      <c r="L1689" s="50"/>
      <c r="M1689" s="50"/>
      <c r="N1689" s="50"/>
      <c r="O1689" s="51"/>
      <c r="P1689" s="50"/>
      <c r="Q1689" s="50"/>
      <c r="R1689" s="50"/>
      <c r="S1689" s="50"/>
      <c r="T1689" s="50"/>
    </row>
    <row r="1690" spans="1:41" s="504" customFormat="1" ht="12">
      <c r="A1690" s="50"/>
      <c r="B1690" s="50"/>
      <c r="C1690" s="50"/>
      <c r="D1690" s="37" t="s">
        <v>304</v>
      </c>
      <c r="E1690" s="50"/>
      <c r="F1690" s="50"/>
      <c r="G1690" s="50"/>
      <c r="H1690" s="50"/>
      <c r="I1690" s="50"/>
      <c r="J1690" s="50"/>
      <c r="K1690" s="50"/>
      <c r="L1690" s="50"/>
      <c r="M1690" s="50"/>
      <c r="N1690" s="50"/>
      <c r="O1690" s="51"/>
      <c r="P1690" s="50"/>
      <c r="Q1690" s="50"/>
      <c r="R1690" s="50"/>
      <c r="S1690" s="38"/>
      <c r="T1690" s="38"/>
    </row>
    <row r="1691" spans="1:41" s="3" customFormat="1" thickBot="1">
      <c r="A1691" s="514"/>
      <c r="O1691" s="103"/>
    </row>
    <row r="1692" spans="1:41" s="504" customFormat="1" ht="12" thickTop="1">
      <c r="A1692" s="50"/>
      <c r="B1692" s="40"/>
      <c r="C1692" s="50"/>
      <c r="E1692" s="41" t="s">
        <v>136</v>
      </c>
      <c r="F1692" s="41" t="s">
        <v>137</v>
      </c>
      <c r="G1692" s="50"/>
      <c r="H1692" s="50"/>
      <c r="I1692" s="50"/>
      <c r="J1692" s="50"/>
      <c r="K1692" s="50" t="s">
        <v>138</v>
      </c>
      <c r="L1692" s="50"/>
      <c r="M1692" s="50"/>
      <c r="N1692" s="50"/>
      <c r="O1692" s="51"/>
      <c r="P1692" s="50"/>
      <c r="Q1692" s="50"/>
      <c r="R1692" s="50"/>
      <c r="S1692" s="50"/>
      <c r="T1692" s="40"/>
      <c r="AG1692" s="867" t="s">
        <v>241</v>
      </c>
      <c r="AH1692" s="867" t="s">
        <v>242</v>
      </c>
      <c r="AI1692" s="867" t="s">
        <v>243</v>
      </c>
      <c r="AJ1692" s="867" t="s">
        <v>244</v>
      </c>
      <c r="AK1692" s="867" t="s">
        <v>245</v>
      </c>
      <c r="AM1692" s="868" t="s">
        <v>254</v>
      </c>
      <c r="AN1692" s="869" t="s">
        <v>255</v>
      </c>
      <c r="AO1692" s="505" t="s">
        <v>251</v>
      </c>
    </row>
    <row r="1693" spans="1:41" s="504" customFormat="1" ht="12" customHeight="1">
      <c r="A1693" s="870">
        <v>1</v>
      </c>
      <c r="B1693" s="871" t="s">
        <v>335</v>
      </c>
      <c r="C1693" s="872"/>
      <c r="D1693" s="873" t="s">
        <v>804</v>
      </c>
      <c r="E1693" s="874">
        <f>IF(AND($A1693=0,$A$1="DIF"),0, ROUND(ROUND(($R1700*$S$2+($T1700*$T$2))/A1693,2)*$C$2,2))</f>
        <v>198.68</v>
      </c>
      <c r="F1693" s="875">
        <f>ROUND($A1693*$E1693,2)</f>
        <v>198.68</v>
      </c>
      <c r="G1693" s="876" t="s">
        <v>139</v>
      </c>
      <c r="H1693" s="877"/>
      <c r="I1693" s="878"/>
      <c r="J1693" s="877"/>
      <c r="K1693" s="877" t="s">
        <v>3</v>
      </c>
      <c r="L1693" s="879" t="s">
        <v>140</v>
      </c>
      <c r="M1693" s="879"/>
      <c r="N1693" s="879"/>
      <c r="O1693" s="879"/>
      <c r="P1693" s="879"/>
      <c r="Q1693" s="50"/>
      <c r="T1693" s="880" t="str">
        <f>IF(AND($R1700=0,$T1700=0),"0.00","mu :" &amp; ROUND($F1693/$C$2/($R1700+$T1700*$D$9),2))</f>
        <v>mu :1.22</v>
      </c>
      <c r="W1693" s="507"/>
      <c r="AG1693" s="465">
        <f>IF($E1693=0,0,ROUND($R1700*$S$2*$C$2/$A1693,2))</f>
        <v>12.34</v>
      </c>
      <c r="AH1693" s="465">
        <f>$AG1693*$A1693</f>
        <v>12.34</v>
      </c>
      <c r="AI1693" s="508">
        <f>$E1693-$AG1693</f>
        <v>186.34</v>
      </c>
      <c r="AJ1693" s="508">
        <f>$A1693*$AI1693</f>
        <v>186.34</v>
      </c>
      <c r="AK1693" s="509">
        <f>ROUND(($AG1693+$AI1693)*$A1693,2)</f>
        <v>198.68</v>
      </c>
      <c r="AM1693" s="510">
        <f>ROUND(R1700,2)</f>
        <v>10.119999999999999</v>
      </c>
      <c r="AN1693" s="511">
        <f>ROUND(T1700,2)</f>
        <v>5.3</v>
      </c>
      <c r="AO1693" s="512">
        <f>ROUND(AM1693+AN1693,2)*A1693</f>
        <v>15.42</v>
      </c>
    </row>
    <row r="1694" spans="1:41" s="504" customFormat="1" ht="13.2">
      <c r="A1694" s="872"/>
      <c r="B1694"/>
      <c r="C1694" s="872"/>
      <c r="D1694" s="873" t="s">
        <v>429</v>
      </c>
      <c r="F1694" s="877"/>
      <c r="G1694" s="3"/>
      <c r="H1694" s="877"/>
      <c r="I1694" s="878"/>
      <c r="J1694" s="877"/>
      <c r="K1694" s="877" t="s">
        <v>141</v>
      </c>
      <c r="L1694" s="877"/>
      <c r="M1694" s="877"/>
      <c r="N1694" s="877"/>
      <c r="O1694" s="877"/>
      <c r="P1694" s="877"/>
      <c r="Q1694" s="50"/>
      <c r="R1694" s="513"/>
      <c r="S1694" s="881"/>
      <c r="T1694" s="877"/>
    </row>
    <row r="1695" spans="1:41" s="504" customFormat="1" ht="13.2">
      <c r="A1695">
        <v>1</v>
      </c>
      <c r="B1695" s="1039" t="s">
        <v>949</v>
      </c>
      <c r="C1695" s="1039"/>
      <c r="D1695" s="1039" t="s">
        <v>1310</v>
      </c>
      <c r="E1695" s="1039"/>
      <c r="F1695" s="1039"/>
      <c r="G1695" s="1040" t="s">
        <v>950</v>
      </c>
      <c r="H1695" s="1041">
        <v>510</v>
      </c>
      <c r="I1695" s="1039" t="s">
        <v>951</v>
      </c>
      <c r="J1695" s="1039"/>
      <c r="K1695" s="882"/>
      <c r="L1695" s="1039"/>
      <c r="M1695" s="1039"/>
      <c r="N1695" s="1039"/>
      <c r="O1695" s="1042">
        <v>2</v>
      </c>
      <c r="P1695" s="1043"/>
      <c r="Q1695" s="1044">
        <v>0</v>
      </c>
      <c r="R1695" s="883">
        <f>$A1695*Q1695</f>
        <v>0</v>
      </c>
      <c r="S1695" s="1044">
        <f>2+(6*0.5)</f>
        <v>5</v>
      </c>
      <c r="T1695" s="1046">
        <f>$A1695*S1695*$T$1</f>
        <v>5.25</v>
      </c>
    </row>
    <row r="1696" spans="1:41" s="504" customFormat="1" ht="13.2">
      <c r="A1696" s="112">
        <v>1</v>
      </c>
      <c r="B1696" s="1039" t="s">
        <v>949</v>
      </c>
      <c r="C1696" s="1039"/>
      <c r="D1696" s="1039" t="s">
        <v>957</v>
      </c>
      <c r="E1696" s="1039"/>
      <c r="F1696" s="1039"/>
      <c r="G1696" s="1040" t="s">
        <v>958</v>
      </c>
      <c r="H1696" s="1041">
        <v>875</v>
      </c>
      <c r="I1696" s="1039" t="s">
        <v>951</v>
      </c>
      <c r="J1696" s="1039"/>
      <c r="K1696" s="882"/>
      <c r="L1696" s="1039"/>
      <c r="M1696" s="1039"/>
      <c r="N1696" s="1039"/>
      <c r="O1696" s="1042">
        <v>3</v>
      </c>
      <c r="P1696" s="1043">
        <v>34820</v>
      </c>
      <c r="Q1696" s="1044">
        <f>0.9 *(5.82)</f>
        <v>5.2380000000000004</v>
      </c>
      <c r="R1696" s="883">
        <f>$A1696*Q1696</f>
        <v>5.2380000000000004</v>
      </c>
      <c r="S1696" s="1044">
        <f>0.9 *(0.05)</f>
        <v>4.5000000000000005E-2</v>
      </c>
      <c r="T1696" s="1046">
        <f>$A1696*S1696*$T$1</f>
        <v>4.7250000000000007E-2</v>
      </c>
    </row>
    <row r="1697" spans="1:41" s="504" customFormat="1" ht="13.2">
      <c r="A1697" s="112">
        <v>1</v>
      </c>
      <c r="B1697" s="1039" t="s">
        <v>949</v>
      </c>
      <c r="C1697" s="1039"/>
      <c r="D1697" s="1039" t="s">
        <v>1239</v>
      </c>
      <c r="E1697" s="1039"/>
      <c r="F1697" s="1039"/>
      <c r="G1697" s="1040" t="s">
        <v>1240</v>
      </c>
      <c r="H1697" s="1041">
        <v>880</v>
      </c>
      <c r="I1697" s="1039" t="s">
        <v>951</v>
      </c>
      <c r="J1697" s="1039"/>
      <c r="K1697" s="882"/>
      <c r="L1697" s="1039"/>
      <c r="M1697" s="1039"/>
      <c r="N1697" s="1039"/>
      <c r="O1697" s="1042">
        <v>3</v>
      </c>
      <c r="P1697" s="1043">
        <v>35443</v>
      </c>
      <c r="Q1697" s="1044">
        <f>0.9 *(4.66)</f>
        <v>4.194</v>
      </c>
      <c r="R1697" s="883">
        <f>$A1697*Q1697</f>
        <v>4.194</v>
      </c>
      <c r="S1697" s="1044"/>
      <c r="T1697" s="1046">
        <f>$A1697*S1697*$T$1</f>
        <v>0</v>
      </c>
    </row>
    <row r="1698" spans="1:41" s="504" customFormat="1" ht="13.2">
      <c r="A1698" s="112">
        <v>4</v>
      </c>
      <c r="B1698" s="1039" t="s">
        <v>949</v>
      </c>
      <c r="C1698" s="1039"/>
      <c r="D1698" s="1039" t="s">
        <v>1241</v>
      </c>
      <c r="E1698" s="1039"/>
      <c r="F1698" s="1039"/>
      <c r="G1698" s="1040" t="s">
        <v>1242</v>
      </c>
      <c r="H1698" s="1041">
        <v>875</v>
      </c>
      <c r="I1698" s="1039" t="s">
        <v>1243</v>
      </c>
      <c r="J1698" s="1039" t="s">
        <v>1244</v>
      </c>
      <c r="K1698" s="882"/>
      <c r="L1698" s="1039"/>
      <c r="M1698" s="1039"/>
      <c r="N1698" s="1039"/>
      <c r="O1698" s="1042">
        <v>1</v>
      </c>
      <c r="P1698" s="1043">
        <v>36175</v>
      </c>
      <c r="Q1698" s="1044">
        <f>0.9 *(0.19)</f>
        <v>0.17100000000000001</v>
      </c>
      <c r="R1698" s="883">
        <f>$A1698*Q1698</f>
        <v>0.68400000000000005</v>
      </c>
      <c r="S1698" s="1044"/>
      <c r="T1698" s="1046">
        <f>$A1698*S1698*$T$1</f>
        <v>0</v>
      </c>
    </row>
    <row r="1699" spans="1:41" s="504" customFormat="1" ht="12">
      <c r="A1699" s="882"/>
      <c r="B1699" s="882"/>
      <c r="C1699" s="882"/>
      <c r="D1699" s="882"/>
      <c r="E1699" s="882"/>
      <c r="F1699" s="877"/>
      <c r="G1699" s="882"/>
      <c r="H1699" s="882"/>
      <c r="I1699" s="503"/>
      <c r="J1699" s="882"/>
      <c r="K1699" s="882"/>
      <c r="L1699" s="882"/>
      <c r="M1699" s="882"/>
      <c r="N1699" s="882"/>
      <c r="O1699" s="882"/>
      <c r="P1699" s="882"/>
      <c r="Q1699" s="503"/>
      <c r="R1699" s="883">
        <f>$A1699*Q1699</f>
        <v>0</v>
      </c>
      <c r="S1699" s="503"/>
      <c r="T1699" s="884">
        <f>$A1699*S1699*$T$1</f>
        <v>0</v>
      </c>
    </row>
    <row r="1700" spans="1:41" s="504" customFormat="1" ht="12.6" thickBot="1">
      <c r="A1700" s="885" t="s">
        <v>142</v>
      </c>
      <c r="B1700" s="886">
        <f>(R1699+T1699)</f>
        <v>0</v>
      </c>
      <c r="C1700" s="887"/>
      <c r="D1700" s="887"/>
      <c r="E1700" s="887"/>
      <c r="F1700" s="888"/>
      <c r="G1700" s="887" t="s">
        <v>143</v>
      </c>
      <c r="H1700" s="887"/>
      <c r="I1700" s="889"/>
      <c r="J1700" s="887"/>
      <c r="K1700" s="887" t="s">
        <v>3</v>
      </c>
      <c r="L1700" s="890" t="s">
        <v>140</v>
      </c>
      <c r="M1700" s="890"/>
      <c r="N1700" s="890"/>
      <c r="O1700" s="890"/>
      <c r="P1700" s="890"/>
      <c r="Q1700" s="891"/>
      <c r="R1700" s="892">
        <f>SUM(R1694:R1699)</f>
        <v>10.116</v>
      </c>
      <c r="S1700" s="887"/>
      <c r="T1700" s="892">
        <f>SUM(T1694:T1699)</f>
        <v>5.29725</v>
      </c>
      <c r="U1700" s="514"/>
      <c r="V1700" s="514"/>
      <c r="W1700" s="514"/>
      <c r="X1700" s="514"/>
      <c r="Y1700" s="514"/>
      <c r="Z1700" s="514"/>
      <c r="AA1700" s="514"/>
      <c r="AB1700" s="514"/>
      <c r="AC1700" s="514"/>
      <c r="AD1700" s="514"/>
      <c r="AE1700" s="514"/>
      <c r="AF1700" s="514"/>
      <c r="AG1700" s="514"/>
      <c r="AH1700" s="514"/>
      <c r="AI1700" s="514"/>
      <c r="AJ1700" s="514"/>
      <c r="AK1700" s="514"/>
      <c r="AL1700" s="514"/>
      <c r="AM1700" s="514"/>
      <c r="AN1700" s="514"/>
      <c r="AO1700" s="514"/>
    </row>
    <row r="1701" spans="1:41" s="504" customFormat="1" ht="12" thickTop="1">
      <c r="A1701" s="50"/>
      <c r="B1701" s="40"/>
      <c r="C1701" s="50"/>
      <c r="E1701" s="41" t="s">
        <v>136</v>
      </c>
      <c r="F1701" s="41" t="s">
        <v>137</v>
      </c>
      <c r="G1701" s="50"/>
      <c r="H1701" s="50"/>
      <c r="I1701" s="50"/>
      <c r="J1701" s="50"/>
      <c r="K1701" s="50" t="s">
        <v>138</v>
      </c>
      <c r="L1701" s="50"/>
      <c r="M1701" s="50"/>
      <c r="N1701" s="50"/>
      <c r="O1701" s="51"/>
      <c r="P1701" s="50"/>
      <c r="Q1701" s="50"/>
      <c r="R1701" s="50"/>
      <c r="S1701" s="50"/>
      <c r="T1701" s="40"/>
      <c r="AG1701" s="867" t="s">
        <v>241</v>
      </c>
      <c r="AH1701" s="867" t="s">
        <v>242</v>
      </c>
      <c r="AI1701" s="867" t="s">
        <v>243</v>
      </c>
      <c r="AJ1701" s="867" t="s">
        <v>244</v>
      </c>
      <c r="AK1701" s="867" t="s">
        <v>245</v>
      </c>
      <c r="AM1701" s="868" t="s">
        <v>254</v>
      </c>
      <c r="AN1701" s="869" t="s">
        <v>255</v>
      </c>
      <c r="AO1701" s="505" t="s">
        <v>251</v>
      </c>
    </row>
    <row r="1702" spans="1:41" s="504" customFormat="1" ht="12" customHeight="1">
      <c r="A1702" s="870">
        <v>1</v>
      </c>
      <c r="B1702" s="871" t="s">
        <v>335</v>
      </c>
      <c r="C1702" s="872"/>
      <c r="D1702" s="873" t="s">
        <v>806</v>
      </c>
      <c r="E1702" s="874">
        <f>IF(AND($A1702=0,$A$1="DIF"),0, ROUND(ROUND(($R1710*$S$2+($T1710*$T$2))/A1702,2)*$C$2,2))</f>
        <v>161.1</v>
      </c>
      <c r="F1702" s="875">
        <f>ROUND($A1702*$E1702,2)</f>
        <v>161.1</v>
      </c>
      <c r="G1702" s="876" t="s">
        <v>139</v>
      </c>
      <c r="H1702" s="877"/>
      <c r="I1702" s="878"/>
      <c r="J1702" s="877"/>
      <c r="K1702" s="877" t="s">
        <v>3</v>
      </c>
      <c r="L1702" s="879" t="s">
        <v>140</v>
      </c>
      <c r="M1702" s="879"/>
      <c r="N1702" s="879"/>
      <c r="O1702" s="879"/>
      <c r="P1702" s="879"/>
      <c r="Q1702" s="50"/>
      <c r="T1702" s="880" t="str">
        <f>IF(AND($R1710=0,$T1710=0),"0.00","mu :" &amp; ROUND($F1702/$C$2/($R1710+$T1710*$D$9),2))</f>
        <v>mu :1.22</v>
      </c>
      <c r="W1702" s="507"/>
      <c r="AG1702" s="465">
        <f>IF($E1702=0,0,ROUND($R1710*$S$2*$C$2/$A1702,2))</f>
        <v>11.7</v>
      </c>
      <c r="AH1702" s="465">
        <f>$AG1702*$A1702</f>
        <v>11.7</v>
      </c>
      <c r="AI1702" s="508">
        <f>$E1702-$AG1702</f>
        <v>149.4</v>
      </c>
      <c r="AJ1702" s="508">
        <f>$A1702*$AI1702</f>
        <v>149.4</v>
      </c>
      <c r="AK1702" s="509">
        <f>ROUND(($AG1702+$AI1702)*$A1702,2)</f>
        <v>161.1</v>
      </c>
      <c r="AM1702" s="510">
        <f>ROUND(R1710,2)</f>
        <v>9.59</v>
      </c>
      <c r="AN1702" s="511">
        <f>ROUND(T1710,2)</f>
        <v>4.25</v>
      </c>
      <c r="AO1702" s="512">
        <f>ROUND(AM1702+AN1702,2)*A1702</f>
        <v>13.84</v>
      </c>
    </row>
    <row r="1703" spans="1:41" s="504" customFormat="1" ht="13.2">
      <c r="A1703" s="872"/>
      <c r="B1703"/>
      <c r="C1703" s="872"/>
      <c r="D1703" s="873" t="s">
        <v>430</v>
      </c>
      <c r="F1703" s="877"/>
      <c r="G1703" s="3"/>
      <c r="H1703" s="877"/>
      <c r="I1703" s="878"/>
      <c r="J1703" s="877"/>
      <c r="K1703" s="877" t="s">
        <v>141</v>
      </c>
      <c r="L1703" s="877"/>
      <c r="M1703" s="877"/>
      <c r="N1703" s="877"/>
      <c r="O1703" s="877"/>
      <c r="P1703" s="877"/>
      <c r="Q1703" s="50"/>
      <c r="R1703" s="513"/>
      <c r="S1703" s="881"/>
      <c r="T1703" s="877"/>
    </row>
    <row r="1704" spans="1:41" s="504" customFormat="1" ht="13.2">
      <c r="A1704">
        <v>1</v>
      </c>
      <c r="B1704" s="1039" t="s">
        <v>949</v>
      </c>
      <c r="C1704" s="1039"/>
      <c r="D1704" s="1039" t="s">
        <v>1313</v>
      </c>
      <c r="E1704" s="1039"/>
      <c r="F1704" s="1039"/>
      <c r="G1704" s="1040" t="s">
        <v>950</v>
      </c>
      <c r="H1704" s="1041">
        <v>510</v>
      </c>
      <c r="I1704" s="1039" t="s">
        <v>951</v>
      </c>
      <c r="J1704" s="1039"/>
      <c r="K1704" s="882"/>
      <c r="L1704" s="1039"/>
      <c r="M1704" s="1039"/>
      <c r="N1704" s="1039"/>
      <c r="O1704" s="1042">
        <v>2</v>
      </c>
      <c r="P1704" s="1043"/>
      <c r="Q1704" s="1044">
        <v>0</v>
      </c>
      <c r="R1704" s="883">
        <f t="shared" ref="R1704:R1709" si="18">$A1704*Q1704</f>
        <v>0</v>
      </c>
      <c r="S1704" s="1044">
        <f>2+(4*0.5)</f>
        <v>4</v>
      </c>
      <c r="T1704" s="1046">
        <f t="shared" ref="T1704:T1709" si="19">$A1704*S1704*$T$1</f>
        <v>4.2</v>
      </c>
    </row>
    <row r="1705" spans="1:41" s="504" customFormat="1" ht="13.2">
      <c r="A1705" s="112">
        <v>1</v>
      </c>
      <c r="B1705" s="1039" t="s">
        <v>949</v>
      </c>
      <c r="C1705" s="1039"/>
      <c r="D1705" s="1039" t="s">
        <v>957</v>
      </c>
      <c r="E1705" s="1039"/>
      <c r="F1705" s="1039"/>
      <c r="G1705" s="1040" t="s">
        <v>958</v>
      </c>
      <c r="H1705" s="1041">
        <v>875</v>
      </c>
      <c r="I1705" s="1039" t="s">
        <v>951</v>
      </c>
      <c r="J1705" s="1039"/>
      <c r="K1705" s="882"/>
      <c r="L1705" s="1039"/>
      <c r="M1705" s="1039"/>
      <c r="N1705" s="1039"/>
      <c r="O1705" s="1042">
        <v>3</v>
      </c>
      <c r="P1705" s="1043">
        <v>34820</v>
      </c>
      <c r="Q1705" s="1044">
        <f>0.9 *(5.82)</f>
        <v>5.2380000000000004</v>
      </c>
      <c r="R1705" s="883">
        <f t="shared" si="18"/>
        <v>5.2380000000000004</v>
      </c>
      <c r="S1705" s="1044">
        <f>0.9 *(0.05)</f>
        <v>4.5000000000000005E-2</v>
      </c>
      <c r="T1705" s="1046">
        <f t="shared" si="19"/>
        <v>4.7250000000000007E-2</v>
      </c>
    </row>
    <row r="1706" spans="1:41" s="1039" customFormat="1" ht="13.2">
      <c r="A1706" s="112">
        <v>1</v>
      </c>
      <c r="B1706" s="1039" t="s">
        <v>949</v>
      </c>
      <c r="D1706" s="1039" t="s">
        <v>1311</v>
      </c>
      <c r="G1706" s="1040" t="s">
        <v>1312</v>
      </c>
      <c r="H1706" s="1041">
        <v>880</v>
      </c>
      <c r="I1706" s="1039" t="s">
        <v>951</v>
      </c>
      <c r="O1706" s="1042">
        <v>3</v>
      </c>
      <c r="P1706" s="1043">
        <v>35443</v>
      </c>
      <c r="Q1706" s="1044">
        <f>0.9 *(4.66)</f>
        <v>4.194</v>
      </c>
      <c r="R1706" s="1045">
        <f t="shared" si="18"/>
        <v>4.194</v>
      </c>
      <c r="S1706" s="1044"/>
      <c r="T1706" s="1046">
        <f t="shared" si="19"/>
        <v>0</v>
      </c>
    </row>
    <row r="1707" spans="1:41" s="1039" customFormat="1" ht="13.2">
      <c r="A1707" s="112">
        <v>4</v>
      </c>
      <c r="B1707" s="1039" t="s">
        <v>949</v>
      </c>
      <c r="D1707" s="1039" t="s">
        <v>965</v>
      </c>
      <c r="G1707" s="1040" t="s">
        <v>966</v>
      </c>
      <c r="H1707" s="1041">
        <v>875</v>
      </c>
      <c r="I1707" s="1039" t="s">
        <v>951</v>
      </c>
      <c r="K1707" s="1039" t="s">
        <v>967</v>
      </c>
      <c r="O1707" s="1042">
        <v>1</v>
      </c>
      <c r="P1707" s="1043">
        <v>34669</v>
      </c>
      <c r="Q1707" s="1044">
        <v>0.02</v>
      </c>
      <c r="R1707" s="1045">
        <f t="shared" si="18"/>
        <v>0.08</v>
      </c>
      <c r="S1707" s="1044"/>
      <c r="T1707" s="1046">
        <f t="shared" si="19"/>
        <v>0</v>
      </c>
    </row>
    <row r="1708" spans="1:41" s="1039" customFormat="1" ht="13.2">
      <c r="A1708" s="112">
        <v>4</v>
      </c>
      <c r="B1708" s="1039" t="s">
        <v>949</v>
      </c>
      <c r="D1708" s="1039" t="s">
        <v>968</v>
      </c>
      <c r="G1708" s="1040" t="s">
        <v>969</v>
      </c>
      <c r="H1708" s="1041">
        <v>875</v>
      </c>
      <c r="I1708" s="1039" t="s">
        <v>951</v>
      </c>
      <c r="K1708" s="1039" t="s">
        <v>970</v>
      </c>
      <c r="O1708" s="1042">
        <v>1</v>
      </c>
      <c r="P1708" s="1043">
        <v>34669</v>
      </c>
      <c r="Q1708" s="1044">
        <v>0.02</v>
      </c>
      <c r="R1708" s="1045">
        <f t="shared" si="18"/>
        <v>0.08</v>
      </c>
      <c r="S1708" s="1044"/>
      <c r="T1708" s="1046">
        <f t="shared" si="19"/>
        <v>0</v>
      </c>
    </row>
    <row r="1709" spans="1:41" s="504" customFormat="1" ht="12">
      <c r="A1709" s="882"/>
      <c r="B1709" s="882"/>
      <c r="C1709" s="882"/>
      <c r="D1709" s="882"/>
      <c r="E1709" s="882"/>
      <c r="F1709" s="877"/>
      <c r="G1709" s="882"/>
      <c r="H1709" s="882"/>
      <c r="I1709" s="503"/>
      <c r="J1709" s="882"/>
      <c r="K1709" s="882"/>
      <c r="L1709" s="882"/>
      <c r="M1709" s="882"/>
      <c r="N1709" s="882"/>
      <c r="O1709" s="882"/>
      <c r="P1709" s="882"/>
      <c r="Q1709" s="503"/>
      <c r="R1709" s="883">
        <f t="shared" si="18"/>
        <v>0</v>
      </c>
      <c r="S1709" s="503"/>
      <c r="T1709" s="884">
        <f t="shared" si="19"/>
        <v>0</v>
      </c>
    </row>
    <row r="1710" spans="1:41" s="504" customFormat="1" ht="12.6" thickBot="1">
      <c r="A1710" s="885" t="s">
        <v>142</v>
      </c>
      <c r="B1710" s="886">
        <f>(R1709+T1709)</f>
        <v>0</v>
      </c>
      <c r="C1710" s="887"/>
      <c r="D1710" s="887"/>
      <c r="E1710" s="887"/>
      <c r="F1710" s="888"/>
      <c r="G1710" s="887" t="s">
        <v>143</v>
      </c>
      <c r="H1710" s="887"/>
      <c r="I1710" s="889"/>
      <c r="J1710" s="887"/>
      <c r="K1710" s="887" t="s">
        <v>3</v>
      </c>
      <c r="L1710" s="890" t="s">
        <v>140</v>
      </c>
      <c r="M1710" s="890"/>
      <c r="N1710" s="890"/>
      <c r="O1710" s="890"/>
      <c r="P1710" s="890"/>
      <c r="Q1710" s="891"/>
      <c r="R1710" s="892">
        <f>SUM(R1703:R1709)</f>
        <v>9.5920000000000005</v>
      </c>
      <c r="S1710" s="887"/>
      <c r="T1710" s="892">
        <f>SUM(T1703:T1709)</f>
        <v>4.2472500000000002</v>
      </c>
      <c r="U1710" s="514"/>
      <c r="V1710" s="514"/>
      <c r="W1710" s="514"/>
      <c r="X1710" s="514"/>
      <c r="Y1710" s="514"/>
      <c r="Z1710" s="514"/>
      <c r="AA1710" s="514"/>
      <c r="AB1710" s="514"/>
      <c r="AC1710" s="514"/>
      <c r="AD1710" s="514"/>
      <c r="AE1710" s="514"/>
      <c r="AF1710" s="514"/>
      <c r="AG1710" s="514"/>
      <c r="AH1710" s="514"/>
      <c r="AI1710" s="514"/>
      <c r="AJ1710" s="514"/>
      <c r="AK1710" s="514"/>
      <c r="AL1710" s="514"/>
      <c r="AM1710" s="514"/>
      <c r="AN1710" s="514"/>
      <c r="AO1710" s="514"/>
    </row>
    <row r="1711" spans="1:41" s="504" customFormat="1" ht="12" thickTop="1">
      <c r="A1711" s="50"/>
      <c r="B1711" s="40"/>
      <c r="C1711" s="50"/>
      <c r="E1711" s="41" t="s">
        <v>136</v>
      </c>
      <c r="F1711" s="41" t="s">
        <v>137</v>
      </c>
      <c r="G1711" s="50"/>
      <c r="H1711" s="50"/>
      <c r="I1711" s="50"/>
      <c r="J1711" s="50"/>
      <c r="K1711" s="50" t="s">
        <v>138</v>
      </c>
      <c r="L1711" s="50"/>
      <c r="M1711" s="50"/>
      <c r="N1711" s="50"/>
      <c r="O1711" s="51"/>
      <c r="P1711" s="50"/>
      <c r="Q1711" s="50"/>
      <c r="R1711" s="50"/>
      <c r="S1711" s="50"/>
      <c r="T1711" s="40"/>
      <c r="AG1711" s="867" t="s">
        <v>241</v>
      </c>
      <c r="AH1711" s="867" t="s">
        <v>242</v>
      </c>
      <c r="AI1711" s="867" t="s">
        <v>243</v>
      </c>
      <c r="AJ1711" s="867" t="s">
        <v>244</v>
      </c>
      <c r="AK1711" s="867" t="s">
        <v>245</v>
      </c>
      <c r="AM1711" s="868" t="s">
        <v>254</v>
      </c>
      <c r="AN1711" s="869" t="s">
        <v>255</v>
      </c>
      <c r="AO1711" s="505" t="s">
        <v>251</v>
      </c>
    </row>
    <row r="1712" spans="1:41" s="504" customFormat="1" ht="12" customHeight="1">
      <c r="A1712" s="870">
        <v>1</v>
      </c>
      <c r="B1712" s="871" t="s">
        <v>335</v>
      </c>
      <c r="C1712" s="872"/>
      <c r="D1712" s="873" t="s">
        <v>808</v>
      </c>
      <c r="E1712" s="874">
        <f>IF(AND($A1712=0,$A$1="DIF"),0, ROUND(ROUND(($R1720*$S$2+($T1720*$T$2))/A1712,2)*$C$2,2))</f>
        <v>161.1</v>
      </c>
      <c r="F1712" s="875">
        <f>ROUND($A1712*$E1712,2)</f>
        <v>161.1</v>
      </c>
      <c r="G1712" s="876" t="s">
        <v>139</v>
      </c>
      <c r="H1712" s="877"/>
      <c r="I1712" s="878"/>
      <c r="J1712" s="877"/>
      <c r="K1712" s="877" t="s">
        <v>3</v>
      </c>
      <c r="L1712" s="879" t="s">
        <v>140</v>
      </c>
      <c r="M1712" s="879"/>
      <c r="N1712" s="879"/>
      <c r="O1712" s="879"/>
      <c r="P1712" s="879"/>
      <c r="Q1712" s="50"/>
      <c r="T1712" s="880" t="str">
        <f>IF(AND($R1720=0,$T1720=0),"0.00","mu :" &amp; ROUND($F1712/$C$2/($R1720+$T1720*$D$9),2))</f>
        <v>mu :1.22</v>
      </c>
      <c r="W1712" s="507"/>
      <c r="AG1712" s="465">
        <f>IF($E1712=0,0,ROUND($R1720*$S$2*$C$2/$A1712,2))</f>
        <v>11.7</v>
      </c>
      <c r="AH1712" s="465">
        <f>$AG1712*$A1712</f>
        <v>11.7</v>
      </c>
      <c r="AI1712" s="508">
        <f>$E1712-$AG1712</f>
        <v>149.4</v>
      </c>
      <c r="AJ1712" s="508">
        <f>$A1712*$AI1712</f>
        <v>149.4</v>
      </c>
      <c r="AK1712" s="509">
        <f>ROUND(($AG1712+$AI1712)*$A1712,2)</f>
        <v>161.1</v>
      </c>
      <c r="AM1712" s="510">
        <f>ROUND(R1720,2)</f>
        <v>9.59</v>
      </c>
      <c r="AN1712" s="511">
        <f>ROUND(T1720,2)</f>
        <v>4.25</v>
      </c>
      <c r="AO1712" s="512">
        <f>ROUND(AM1712+AN1712,2)*A1712</f>
        <v>13.84</v>
      </c>
    </row>
    <row r="1713" spans="1:41" s="504" customFormat="1" ht="13.2">
      <c r="A1713" s="872"/>
      <c r="B1713"/>
      <c r="C1713" s="872"/>
      <c r="D1713" s="873" t="s">
        <v>431</v>
      </c>
      <c r="F1713" s="877"/>
      <c r="G1713" s="3"/>
      <c r="H1713" s="877"/>
      <c r="I1713" s="878"/>
      <c r="J1713" s="877"/>
      <c r="K1713" s="877" t="s">
        <v>141</v>
      </c>
      <c r="L1713" s="877"/>
      <c r="M1713" s="877"/>
      <c r="N1713" s="877"/>
      <c r="O1713" s="877"/>
      <c r="P1713" s="877"/>
      <c r="Q1713" s="50"/>
      <c r="R1713" s="513"/>
      <c r="S1713" s="881"/>
      <c r="T1713" s="877"/>
    </row>
    <row r="1714" spans="1:41" s="504" customFormat="1" ht="13.2">
      <c r="A1714">
        <v>1</v>
      </c>
      <c r="B1714" s="1039" t="s">
        <v>949</v>
      </c>
      <c r="C1714" s="1039"/>
      <c r="D1714" s="1039" t="s">
        <v>1314</v>
      </c>
      <c r="E1714" s="1039"/>
      <c r="F1714" s="1039"/>
      <c r="G1714" s="1040" t="s">
        <v>950</v>
      </c>
      <c r="H1714" s="1041">
        <v>510</v>
      </c>
      <c r="I1714" s="1039" t="s">
        <v>951</v>
      </c>
      <c r="J1714" s="1039"/>
      <c r="K1714" s="882"/>
      <c r="L1714" s="1039"/>
      <c r="M1714" s="1039"/>
      <c r="N1714" s="1039"/>
      <c r="O1714" s="1042">
        <v>2</v>
      </c>
      <c r="P1714" s="1043"/>
      <c r="Q1714" s="1044">
        <v>0</v>
      </c>
      <c r="R1714" s="883">
        <f t="shared" ref="R1714:R1719" si="20">$A1714*Q1714</f>
        <v>0</v>
      </c>
      <c r="S1714" s="1044">
        <f>2+(4*0.5)</f>
        <v>4</v>
      </c>
      <c r="T1714" s="1046">
        <f t="shared" ref="T1714:T1719" si="21">$A1714*S1714*$T$1</f>
        <v>4.2</v>
      </c>
    </row>
    <row r="1715" spans="1:41" s="504" customFormat="1" ht="13.2">
      <c r="A1715" s="112">
        <v>1</v>
      </c>
      <c r="B1715" s="1039" t="s">
        <v>949</v>
      </c>
      <c r="C1715" s="1039"/>
      <c r="D1715" s="1039" t="s">
        <v>957</v>
      </c>
      <c r="E1715" s="1039"/>
      <c r="F1715" s="1039"/>
      <c r="G1715" s="1040" t="s">
        <v>958</v>
      </c>
      <c r="H1715" s="1041">
        <v>875</v>
      </c>
      <c r="I1715" s="1039" t="s">
        <v>951</v>
      </c>
      <c r="J1715" s="1039"/>
      <c r="K1715" s="882"/>
      <c r="L1715" s="1039"/>
      <c r="M1715" s="1039"/>
      <c r="N1715" s="1039"/>
      <c r="O1715" s="1042">
        <v>3</v>
      </c>
      <c r="P1715" s="1043">
        <v>34820</v>
      </c>
      <c r="Q1715" s="1044">
        <f>0.9 *(5.82)</f>
        <v>5.2380000000000004</v>
      </c>
      <c r="R1715" s="883">
        <f t="shared" si="20"/>
        <v>5.2380000000000004</v>
      </c>
      <c r="S1715" s="1044">
        <f>0.9 *(0.05)</f>
        <v>4.5000000000000005E-2</v>
      </c>
      <c r="T1715" s="1046">
        <f t="shared" si="21"/>
        <v>4.7250000000000007E-2</v>
      </c>
    </row>
    <row r="1716" spans="1:41" s="1039" customFormat="1" ht="13.2">
      <c r="A1716" s="112">
        <v>1</v>
      </c>
      <c r="B1716" s="1039" t="s">
        <v>949</v>
      </c>
      <c r="D1716" s="1039" t="s">
        <v>1311</v>
      </c>
      <c r="G1716" s="1040" t="s">
        <v>1312</v>
      </c>
      <c r="H1716" s="1041">
        <v>880</v>
      </c>
      <c r="I1716" s="1039" t="s">
        <v>951</v>
      </c>
      <c r="O1716" s="1042">
        <v>3</v>
      </c>
      <c r="P1716" s="1043">
        <v>35443</v>
      </c>
      <c r="Q1716" s="1044">
        <f>0.9 *(4.66)</f>
        <v>4.194</v>
      </c>
      <c r="R1716" s="1045">
        <f t="shared" si="20"/>
        <v>4.194</v>
      </c>
      <c r="S1716" s="1044"/>
      <c r="T1716" s="1046">
        <f t="shared" si="21"/>
        <v>0</v>
      </c>
    </row>
    <row r="1717" spans="1:41" s="1039" customFormat="1" ht="13.2">
      <c r="A1717" s="112">
        <v>4</v>
      </c>
      <c r="B1717" s="1039" t="s">
        <v>949</v>
      </c>
      <c r="D1717" s="1039" t="s">
        <v>965</v>
      </c>
      <c r="G1717" s="1040" t="s">
        <v>966</v>
      </c>
      <c r="H1717" s="1041">
        <v>875</v>
      </c>
      <c r="I1717" s="1039" t="s">
        <v>951</v>
      </c>
      <c r="K1717" s="1039" t="s">
        <v>967</v>
      </c>
      <c r="O1717" s="1042">
        <v>1</v>
      </c>
      <c r="P1717" s="1043">
        <v>34669</v>
      </c>
      <c r="Q1717" s="1044">
        <v>0.02</v>
      </c>
      <c r="R1717" s="1045">
        <f t="shared" si="20"/>
        <v>0.08</v>
      </c>
      <c r="S1717" s="1044"/>
      <c r="T1717" s="1046">
        <f t="shared" si="21"/>
        <v>0</v>
      </c>
    </row>
    <row r="1718" spans="1:41" s="1039" customFormat="1" ht="13.2">
      <c r="A1718" s="112">
        <v>4</v>
      </c>
      <c r="B1718" s="1039" t="s">
        <v>949</v>
      </c>
      <c r="D1718" s="1039" t="s">
        <v>968</v>
      </c>
      <c r="G1718" s="1040" t="s">
        <v>969</v>
      </c>
      <c r="H1718" s="1041">
        <v>875</v>
      </c>
      <c r="I1718" s="1039" t="s">
        <v>951</v>
      </c>
      <c r="K1718" s="1039" t="s">
        <v>970</v>
      </c>
      <c r="O1718" s="1042">
        <v>1</v>
      </c>
      <c r="P1718" s="1043">
        <v>34669</v>
      </c>
      <c r="Q1718" s="1044">
        <v>0.02</v>
      </c>
      <c r="R1718" s="1045">
        <f t="shared" si="20"/>
        <v>0.08</v>
      </c>
      <c r="S1718" s="1044"/>
      <c r="T1718" s="1046">
        <f t="shared" si="21"/>
        <v>0</v>
      </c>
    </row>
    <row r="1719" spans="1:41" s="504" customFormat="1" ht="12">
      <c r="A1719" s="882"/>
      <c r="B1719" s="882"/>
      <c r="C1719" s="882"/>
      <c r="D1719" s="882"/>
      <c r="E1719" s="882"/>
      <c r="F1719" s="877"/>
      <c r="G1719" s="882"/>
      <c r="H1719" s="882"/>
      <c r="I1719" s="503"/>
      <c r="J1719" s="882"/>
      <c r="K1719" s="882"/>
      <c r="L1719" s="882"/>
      <c r="M1719" s="882"/>
      <c r="N1719" s="882"/>
      <c r="O1719" s="882"/>
      <c r="P1719" s="882"/>
      <c r="Q1719" s="503"/>
      <c r="R1719" s="883">
        <f t="shared" si="20"/>
        <v>0</v>
      </c>
      <c r="S1719" s="503"/>
      <c r="T1719" s="884">
        <f t="shared" si="21"/>
        <v>0</v>
      </c>
    </row>
    <row r="1720" spans="1:41" s="504" customFormat="1" ht="12.6" thickBot="1">
      <c r="A1720" s="885" t="s">
        <v>142</v>
      </c>
      <c r="B1720" s="886">
        <f>(R1719+T1719)</f>
        <v>0</v>
      </c>
      <c r="C1720" s="887"/>
      <c r="D1720" s="887"/>
      <c r="E1720" s="887"/>
      <c r="F1720" s="888"/>
      <c r="G1720" s="887" t="s">
        <v>143</v>
      </c>
      <c r="H1720" s="887"/>
      <c r="I1720" s="889"/>
      <c r="J1720" s="887"/>
      <c r="K1720" s="887" t="s">
        <v>3</v>
      </c>
      <c r="L1720" s="890" t="s">
        <v>140</v>
      </c>
      <c r="M1720" s="890"/>
      <c r="N1720" s="890"/>
      <c r="O1720" s="890"/>
      <c r="P1720" s="890"/>
      <c r="Q1720" s="891"/>
      <c r="R1720" s="892">
        <f>SUM(R1713:R1719)</f>
        <v>9.5920000000000005</v>
      </c>
      <c r="S1720" s="887"/>
      <c r="T1720" s="892">
        <f>SUM(T1713:T1719)</f>
        <v>4.2472500000000002</v>
      </c>
      <c r="U1720" s="514"/>
      <c r="V1720" s="514"/>
      <c r="W1720" s="514"/>
      <c r="X1720" s="514"/>
      <c r="Y1720" s="514"/>
      <c r="Z1720" s="514"/>
      <c r="AA1720" s="514"/>
      <c r="AB1720" s="514"/>
      <c r="AC1720" s="514"/>
      <c r="AD1720" s="514"/>
      <c r="AE1720" s="514"/>
      <c r="AF1720" s="514"/>
      <c r="AG1720" s="514"/>
      <c r="AH1720" s="514"/>
      <c r="AI1720" s="514"/>
      <c r="AJ1720" s="514"/>
      <c r="AK1720" s="514"/>
      <c r="AL1720" s="514"/>
      <c r="AM1720" s="514"/>
      <c r="AN1720" s="514"/>
      <c r="AO1720" s="514"/>
    </row>
    <row r="1721" spans="1:41" s="504" customFormat="1" ht="12" thickTop="1">
      <c r="A1721" s="50"/>
      <c r="B1721" s="40"/>
      <c r="C1721" s="50"/>
      <c r="E1721" s="41" t="s">
        <v>136</v>
      </c>
      <c r="F1721" s="41" t="s">
        <v>137</v>
      </c>
      <c r="G1721" s="50"/>
      <c r="H1721" s="50"/>
      <c r="I1721" s="50"/>
      <c r="J1721" s="50"/>
      <c r="K1721" s="50" t="s">
        <v>138</v>
      </c>
      <c r="L1721" s="50"/>
      <c r="M1721" s="50"/>
      <c r="N1721" s="50"/>
      <c r="O1721" s="51"/>
      <c r="P1721" s="50"/>
      <c r="Q1721" s="50"/>
      <c r="R1721" s="50"/>
      <c r="S1721" s="50"/>
      <c r="T1721" s="40"/>
      <c r="AG1721" s="867" t="s">
        <v>241</v>
      </c>
      <c r="AH1721" s="867" t="s">
        <v>242</v>
      </c>
      <c r="AI1721" s="867" t="s">
        <v>243</v>
      </c>
      <c r="AJ1721" s="867" t="s">
        <v>244</v>
      </c>
      <c r="AK1721" s="867" t="s">
        <v>245</v>
      </c>
      <c r="AM1721" s="868" t="s">
        <v>254</v>
      </c>
      <c r="AN1721" s="869" t="s">
        <v>255</v>
      </c>
      <c r="AO1721" s="505" t="s">
        <v>251</v>
      </c>
    </row>
    <row r="1722" spans="1:41" s="504" customFormat="1" ht="12" customHeight="1">
      <c r="A1722" s="870">
        <v>1</v>
      </c>
      <c r="B1722" s="871" t="s">
        <v>335</v>
      </c>
      <c r="C1722" s="872"/>
      <c r="D1722" s="873" t="s">
        <v>810</v>
      </c>
      <c r="E1722" s="874">
        <f>IF(AND($A1722=0,$A$1="DIF"),0, ROUND(ROUND(($R1730*$S$2+($T1730*$T$2))/A1722,2)*$C$2,2))</f>
        <v>161.1</v>
      </c>
      <c r="F1722" s="875">
        <f>ROUND($A1722*$E1722,2)</f>
        <v>161.1</v>
      </c>
      <c r="G1722" s="876" t="s">
        <v>139</v>
      </c>
      <c r="H1722" s="877"/>
      <c r="I1722" s="878"/>
      <c r="J1722" s="877"/>
      <c r="K1722" s="877" t="s">
        <v>3</v>
      </c>
      <c r="L1722" s="879" t="s">
        <v>140</v>
      </c>
      <c r="M1722" s="879"/>
      <c r="N1722" s="879"/>
      <c r="O1722" s="879"/>
      <c r="P1722" s="879"/>
      <c r="Q1722" s="50"/>
      <c r="T1722" s="880" t="str">
        <f>IF(AND($R1730=0,$T1730=0),"0.00","mu :" &amp; ROUND($F1722/$C$2/($R1730+$T1730*$D$9),2))</f>
        <v>mu :1.22</v>
      </c>
      <c r="W1722" s="507"/>
      <c r="AG1722" s="465">
        <f>IF($E1722=0,0,ROUND($R1730*$S$2*$C$2/$A1722,2))</f>
        <v>11.7</v>
      </c>
      <c r="AH1722" s="465">
        <f>$AG1722*$A1722</f>
        <v>11.7</v>
      </c>
      <c r="AI1722" s="508">
        <f>$E1722-$AG1722</f>
        <v>149.4</v>
      </c>
      <c r="AJ1722" s="508">
        <f>$A1722*$AI1722</f>
        <v>149.4</v>
      </c>
      <c r="AK1722" s="509">
        <f>ROUND(($AG1722+$AI1722)*$A1722,2)</f>
        <v>161.1</v>
      </c>
      <c r="AM1722" s="510">
        <f>ROUND(R1730,2)</f>
        <v>9.59</v>
      </c>
      <c r="AN1722" s="511">
        <f>ROUND(T1730,2)</f>
        <v>4.25</v>
      </c>
      <c r="AO1722" s="512">
        <f>ROUND(AM1722+AN1722,2)*A1722</f>
        <v>13.84</v>
      </c>
    </row>
    <row r="1723" spans="1:41" s="504" customFormat="1" ht="13.2">
      <c r="A1723" s="872"/>
      <c r="B1723"/>
      <c r="C1723" s="872"/>
      <c r="D1723" s="873" t="s">
        <v>432</v>
      </c>
      <c r="F1723" s="877"/>
      <c r="G1723" s="3"/>
      <c r="H1723" s="877"/>
      <c r="I1723" s="878"/>
      <c r="J1723" s="877"/>
      <c r="K1723" s="877" t="s">
        <v>141</v>
      </c>
      <c r="L1723" s="877"/>
      <c r="M1723" s="877"/>
      <c r="N1723" s="877"/>
      <c r="O1723" s="877"/>
      <c r="P1723" s="877"/>
      <c r="Q1723" s="50"/>
      <c r="R1723" s="513"/>
      <c r="S1723" s="881"/>
      <c r="T1723" s="877"/>
    </row>
    <row r="1724" spans="1:41" s="504" customFormat="1" ht="13.2">
      <c r="A1724">
        <v>1</v>
      </c>
      <c r="B1724" s="1039" t="s">
        <v>949</v>
      </c>
      <c r="C1724" s="1039"/>
      <c r="D1724" s="1039" t="s">
        <v>1315</v>
      </c>
      <c r="E1724" s="1039"/>
      <c r="F1724" s="1039"/>
      <c r="G1724" s="1040" t="s">
        <v>950</v>
      </c>
      <c r="H1724" s="1041">
        <v>510</v>
      </c>
      <c r="I1724" s="1039" t="s">
        <v>951</v>
      </c>
      <c r="J1724" s="1039"/>
      <c r="K1724" s="882"/>
      <c r="L1724" s="1039"/>
      <c r="M1724" s="1039"/>
      <c r="N1724" s="1039"/>
      <c r="O1724" s="1042">
        <v>2</v>
      </c>
      <c r="P1724" s="1043"/>
      <c r="Q1724" s="1044">
        <v>0</v>
      </c>
      <c r="R1724" s="883">
        <f t="shared" ref="R1724:R1729" si="22">$A1724*Q1724</f>
        <v>0</v>
      </c>
      <c r="S1724" s="1044">
        <f>2+(4*0.5)</f>
        <v>4</v>
      </c>
      <c r="T1724" s="1046">
        <f t="shared" ref="T1724:T1729" si="23">$A1724*S1724*$T$1</f>
        <v>4.2</v>
      </c>
    </row>
    <row r="1725" spans="1:41" s="504" customFormat="1" ht="13.2">
      <c r="A1725" s="112">
        <v>1</v>
      </c>
      <c r="B1725" s="1039" t="s">
        <v>949</v>
      </c>
      <c r="C1725" s="1039"/>
      <c r="D1725" s="1039" t="s">
        <v>957</v>
      </c>
      <c r="E1725" s="1039"/>
      <c r="F1725" s="1039"/>
      <c r="G1725" s="1040" t="s">
        <v>958</v>
      </c>
      <c r="H1725" s="1041">
        <v>875</v>
      </c>
      <c r="I1725" s="1039" t="s">
        <v>951</v>
      </c>
      <c r="J1725" s="1039"/>
      <c r="K1725" s="882"/>
      <c r="L1725" s="1039"/>
      <c r="M1725" s="1039"/>
      <c r="N1725" s="1039"/>
      <c r="O1725" s="1042">
        <v>3</v>
      </c>
      <c r="P1725" s="1043">
        <v>34820</v>
      </c>
      <c r="Q1725" s="1044">
        <f>0.9 *(5.82)</f>
        <v>5.2380000000000004</v>
      </c>
      <c r="R1725" s="883">
        <f t="shared" si="22"/>
        <v>5.2380000000000004</v>
      </c>
      <c r="S1725" s="1044">
        <f>0.9 *(0.05)</f>
        <v>4.5000000000000005E-2</v>
      </c>
      <c r="T1725" s="1046">
        <f t="shared" si="23"/>
        <v>4.7250000000000007E-2</v>
      </c>
    </row>
    <row r="1726" spans="1:41" s="1039" customFormat="1" ht="13.2">
      <c r="A1726" s="112">
        <v>1</v>
      </c>
      <c r="B1726" s="1039" t="s">
        <v>949</v>
      </c>
      <c r="D1726" s="1039" t="s">
        <v>1311</v>
      </c>
      <c r="G1726" s="1040" t="s">
        <v>1312</v>
      </c>
      <c r="H1726" s="1041">
        <v>880</v>
      </c>
      <c r="I1726" s="1039" t="s">
        <v>951</v>
      </c>
      <c r="O1726" s="1042">
        <v>3</v>
      </c>
      <c r="P1726" s="1043">
        <v>35443</v>
      </c>
      <c r="Q1726" s="1044">
        <f>0.9 *(4.66)</f>
        <v>4.194</v>
      </c>
      <c r="R1726" s="1045">
        <f t="shared" si="22"/>
        <v>4.194</v>
      </c>
      <c r="S1726" s="1044"/>
      <c r="T1726" s="1046">
        <f t="shared" si="23"/>
        <v>0</v>
      </c>
    </row>
    <row r="1727" spans="1:41" s="1039" customFormat="1" ht="13.2">
      <c r="A1727" s="112">
        <v>4</v>
      </c>
      <c r="B1727" s="1039" t="s">
        <v>949</v>
      </c>
      <c r="D1727" s="1039" t="s">
        <v>965</v>
      </c>
      <c r="G1727" s="1040" t="s">
        <v>966</v>
      </c>
      <c r="H1727" s="1041">
        <v>875</v>
      </c>
      <c r="I1727" s="1039" t="s">
        <v>951</v>
      </c>
      <c r="K1727" s="1039" t="s">
        <v>967</v>
      </c>
      <c r="O1727" s="1042">
        <v>1</v>
      </c>
      <c r="P1727" s="1043">
        <v>34669</v>
      </c>
      <c r="Q1727" s="1044">
        <v>0.02</v>
      </c>
      <c r="R1727" s="1045">
        <f t="shared" si="22"/>
        <v>0.08</v>
      </c>
      <c r="S1727" s="1044"/>
      <c r="T1727" s="1046">
        <f t="shared" si="23"/>
        <v>0</v>
      </c>
    </row>
    <row r="1728" spans="1:41" s="1039" customFormat="1" ht="13.2">
      <c r="A1728" s="112">
        <v>4</v>
      </c>
      <c r="B1728" s="1039" t="s">
        <v>949</v>
      </c>
      <c r="D1728" s="1039" t="s">
        <v>968</v>
      </c>
      <c r="G1728" s="1040" t="s">
        <v>969</v>
      </c>
      <c r="H1728" s="1041">
        <v>875</v>
      </c>
      <c r="I1728" s="1039" t="s">
        <v>951</v>
      </c>
      <c r="K1728" s="1039" t="s">
        <v>970</v>
      </c>
      <c r="O1728" s="1042">
        <v>1</v>
      </c>
      <c r="P1728" s="1043">
        <v>34669</v>
      </c>
      <c r="Q1728" s="1044">
        <v>0.02</v>
      </c>
      <c r="R1728" s="1045">
        <f t="shared" si="22"/>
        <v>0.08</v>
      </c>
      <c r="S1728" s="1044"/>
      <c r="T1728" s="1046">
        <f t="shared" si="23"/>
        <v>0</v>
      </c>
    </row>
    <row r="1729" spans="1:41" s="504" customFormat="1" ht="12">
      <c r="A1729" s="882"/>
      <c r="B1729" s="882"/>
      <c r="C1729" s="882"/>
      <c r="D1729" s="882"/>
      <c r="E1729" s="882"/>
      <c r="F1729" s="877"/>
      <c r="G1729" s="882"/>
      <c r="H1729" s="882"/>
      <c r="I1729" s="503"/>
      <c r="J1729" s="882"/>
      <c r="K1729" s="882"/>
      <c r="L1729" s="882"/>
      <c r="M1729" s="882"/>
      <c r="N1729" s="882"/>
      <c r="O1729" s="882"/>
      <c r="P1729" s="882"/>
      <c r="Q1729" s="503"/>
      <c r="R1729" s="883">
        <f t="shared" si="22"/>
        <v>0</v>
      </c>
      <c r="S1729" s="503"/>
      <c r="T1729" s="884">
        <f t="shared" si="23"/>
        <v>0</v>
      </c>
    </row>
    <row r="1730" spans="1:41" s="504" customFormat="1" ht="12.6" thickBot="1">
      <c r="A1730" s="885" t="s">
        <v>142</v>
      </c>
      <c r="B1730" s="886">
        <f>(R1729+T1729)</f>
        <v>0</v>
      </c>
      <c r="C1730" s="887"/>
      <c r="D1730" s="887"/>
      <c r="E1730" s="887"/>
      <c r="F1730" s="888"/>
      <c r="G1730" s="887" t="s">
        <v>143</v>
      </c>
      <c r="H1730" s="887"/>
      <c r="I1730" s="889"/>
      <c r="J1730" s="887"/>
      <c r="K1730" s="887" t="s">
        <v>3</v>
      </c>
      <c r="L1730" s="890" t="s">
        <v>140</v>
      </c>
      <c r="M1730" s="890"/>
      <c r="N1730" s="890"/>
      <c r="O1730" s="890"/>
      <c r="P1730" s="890"/>
      <c r="Q1730" s="891"/>
      <c r="R1730" s="892">
        <f>SUM(R1723:R1729)</f>
        <v>9.5920000000000005</v>
      </c>
      <c r="S1730" s="887"/>
      <c r="T1730" s="892">
        <f>SUM(T1723:T1729)</f>
        <v>4.2472500000000002</v>
      </c>
      <c r="U1730" s="514"/>
      <c r="V1730" s="514"/>
      <c r="W1730" s="514"/>
      <c r="X1730" s="514"/>
      <c r="Y1730" s="514"/>
      <c r="Z1730" s="514"/>
      <c r="AA1730" s="514"/>
      <c r="AB1730" s="514"/>
      <c r="AC1730" s="514"/>
      <c r="AD1730" s="514"/>
      <c r="AE1730" s="514"/>
      <c r="AF1730" s="514"/>
      <c r="AG1730" s="514"/>
      <c r="AH1730" s="514"/>
      <c r="AI1730" s="514"/>
      <c r="AJ1730" s="514"/>
      <c r="AK1730" s="514"/>
      <c r="AL1730" s="514"/>
      <c r="AM1730" s="514"/>
      <c r="AN1730" s="514"/>
      <c r="AO1730" s="514"/>
    </row>
    <row r="1731" spans="1:41" s="504" customFormat="1" ht="12" thickTop="1">
      <c r="A1731" s="47" t="s">
        <v>145</v>
      </c>
      <c r="D1731" s="13"/>
      <c r="E1731" s="41"/>
      <c r="O1731" s="893"/>
    </row>
    <row r="1732" spans="1:41" s="504" customFormat="1" ht="13.2">
      <c r="B1732" s="3"/>
      <c r="O1732" s="893"/>
    </row>
    <row r="1733" spans="1:41" s="504" customFormat="1" ht="12">
      <c r="B1733" s="894">
        <f ca="1">$F1733/$C$2-($R1733*$S$2+$T1733*$T$2)</f>
        <v>-4.6036829999138718E-2</v>
      </c>
      <c r="D1733" s="895" t="s">
        <v>817</v>
      </c>
      <c r="E1733" s="896"/>
      <c r="F1733" s="897">
        <f ca="1">SUMIF($L1592:$L1731,"ITEM",F1592:F1731)</f>
        <v>6405.5599999999995</v>
      </c>
      <c r="G1733" s="882"/>
      <c r="H1733" s="882"/>
      <c r="I1733" s="503"/>
      <c r="J1733" s="882"/>
      <c r="K1733" s="882"/>
      <c r="L1733" s="879" t="s">
        <v>154</v>
      </c>
      <c r="M1733" s="879"/>
      <c r="N1733" s="879"/>
      <c r="O1733" s="879"/>
      <c r="P1733" s="879"/>
      <c r="R1733" s="897">
        <f ca="1">SUMIF($L1592:$L1731,"ITEM",R1592:R1731)</f>
        <v>2468.2419999999997</v>
      </c>
      <c r="S1733" s="898"/>
      <c r="T1733" s="897">
        <f ca="1">SUMIF($L1592:$L1731,"ITEM",T1592:T1731)</f>
        <v>96.495499999999993</v>
      </c>
    </row>
    <row r="1734" spans="1:41" s="504" customFormat="1" ht="13.2">
      <c r="A1734" s="50"/>
      <c r="B1734" s="48" t="s">
        <v>816</v>
      </c>
      <c r="C1734" s="50"/>
      <c r="D1734" s="3"/>
      <c r="F1734" s="899" t="s">
        <v>155</v>
      </c>
      <c r="G1734" s="882"/>
      <c r="H1734" s="882"/>
      <c r="I1734" s="503"/>
      <c r="J1734" s="882"/>
      <c r="K1734" s="882"/>
      <c r="L1734" s="882"/>
      <c r="M1734" s="882"/>
      <c r="N1734" s="882"/>
      <c r="O1734" s="882"/>
      <c r="P1734" s="882"/>
      <c r="Q1734" s="900"/>
      <c r="R1734" s="899" t="s">
        <v>156</v>
      </c>
      <c r="S1734" s="38"/>
      <c r="T1734" s="899" t="s">
        <v>157</v>
      </c>
    </row>
    <row r="1735" spans="1:41" s="504" customFormat="1" ht="13.2">
      <c r="A1735" s="882"/>
      <c r="B1735" s="3"/>
      <c r="C1735" s="882"/>
      <c r="D1735" s="3"/>
      <c r="E1735" s="3"/>
      <c r="G1735" s="3"/>
      <c r="H1735" s="3"/>
      <c r="I1735" s="3"/>
      <c r="J1735" s="3"/>
      <c r="K1735" s="3"/>
      <c r="L1735" s="3"/>
      <c r="M1735" s="3"/>
      <c r="N1735" s="3"/>
      <c r="O1735" s="103"/>
      <c r="P1735" s="3"/>
      <c r="Q1735" s="3"/>
      <c r="R1735" s="3"/>
      <c r="S1735" s="3"/>
      <c r="T1735" s="3"/>
    </row>
    <row r="1736" spans="1:41" s="504" customFormat="1" ht="12" thickBot="1">
      <c r="A1736" s="514"/>
      <c r="B1736" s="887"/>
      <c r="C1736" s="887"/>
      <c r="D1736" s="514"/>
      <c r="E1736" s="39"/>
      <c r="F1736" s="901"/>
      <c r="G1736" s="887"/>
      <c r="H1736" s="887"/>
      <c r="I1736" s="889"/>
      <c r="J1736" s="887"/>
      <c r="K1736" s="887"/>
      <c r="L1736" s="890"/>
      <c r="M1736" s="890"/>
      <c r="N1736" s="890"/>
      <c r="O1736" s="890"/>
      <c r="P1736" s="890"/>
      <c r="Q1736" s="891"/>
      <c r="R1736" s="901"/>
      <c r="S1736" s="902"/>
      <c r="T1736" s="901"/>
      <c r="U1736" s="514"/>
      <c r="V1736" s="514"/>
      <c r="W1736" s="514"/>
      <c r="X1736" s="514"/>
      <c r="Y1736" s="514"/>
      <c r="Z1736" s="514"/>
      <c r="AA1736" s="514"/>
      <c r="AB1736" s="514"/>
      <c r="AC1736" s="514"/>
      <c r="AD1736" s="514"/>
      <c r="AE1736" s="514"/>
      <c r="AF1736" s="514"/>
      <c r="AG1736" s="514"/>
      <c r="AH1736" s="514"/>
      <c r="AI1736" s="514"/>
      <c r="AJ1736" s="514"/>
      <c r="AK1736" s="514"/>
    </row>
    <row r="1737" spans="1:41" s="504" customFormat="1" thickTop="1">
      <c r="A1737" s="50"/>
      <c r="B1737" s="50"/>
      <c r="C1737" s="3"/>
      <c r="D1737" s="3"/>
      <c r="E1737" s="50"/>
      <c r="F1737" s="50"/>
      <c r="G1737" s="50"/>
      <c r="H1737" s="50"/>
      <c r="I1737" s="50"/>
      <c r="J1737" s="50"/>
      <c r="K1737" s="50" t="s">
        <v>133</v>
      </c>
      <c r="L1737" s="50"/>
      <c r="M1737" s="50"/>
      <c r="N1737" s="50"/>
      <c r="O1737" s="51"/>
      <c r="P1737" s="50"/>
      <c r="Q1737" s="50"/>
      <c r="R1737" s="50"/>
      <c r="S1737" s="50"/>
      <c r="T1737" s="50"/>
    </row>
    <row r="1738" spans="1:41" s="504" customFormat="1" ht="12">
      <c r="A1738" s="50"/>
      <c r="B1738" s="50"/>
      <c r="C1738" s="50" t="s">
        <v>134</v>
      </c>
      <c r="D1738" s="37"/>
      <c r="E1738" s="50"/>
      <c r="F1738" s="50"/>
      <c r="G1738" s="50"/>
      <c r="H1738" s="50"/>
      <c r="I1738" s="50"/>
      <c r="J1738" s="50"/>
      <c r="K1738" s="50"/>
      <c r="L1738" s="50"/>
      <c r="M1738" s="50"/>
      <c r="N1738" s="50"/>
      <c r="O1738" s="51"/>
      <c r="P1738" s="50"/>
      <c r="Q1738" s="50"/>
      <c r="R1738" s="50"/>
      <c r="S1738" s="50"/>
      <c r="T1738" s="50"/>
    </row>
    <row r="1739" spans="1:41" s="504" customFormat="1" ht="12">
      <c r="A1739" s="50"/>
      <c r="B1739" s="50"/>
      <c r="C1739" s="50"/>
      <c r="D1739" s="37" t="s">
        <v>305</v>
      </c>
      <c r="E1739" s="50"/>
      <c r="F1739" s="50"/>
      <c r="G1739" s="50"/>
      <c r="H1739" s="50"/>
      <c r="I1739" s="50"/>
      <c r="J1739" s="50"/>
      <c r="K1739" s="50"/>
      <c r="L1739" s="50"/>
      <c r="M1739" s="50"/>
      <c r="N1739" s="50"/>
      <c r="O1739" s="51"/>
      <c r="P1739" s="50"/>
      <c r="Q1739" s="50"/>
      <c r="R1739" s="50"/>
      <c r="S1739" s="38"/>
      <c r="T1739" s="38"/>
    </row>
    <row r="1740" spans="1:41" s="3" customFormat="1" thickBot="1">
      <c r="A1740" s="514"/>
      <c r="O1740" s="103"/>
    </row>
    <row r="1741" spans="1:41" s="504" customFormat="1" thickTop="1">
      <c r="A1741" s="50"/>
      <c r="B1741" s="50"/>
      <c r="C1741" s="3"/>
      <c r="D1741" s="3"/>
      <c r="E1741" s="50"/>
      <c r="F1741" s="50"/>
      <c r="G1741" s="50"/>
      <c r="H1741" s="50"/>
      <c r="I1741" s="50"/>
      <c r="J1741" s="50"/>
      <c r="K1741" s="50" t="s">
        <v>133</v>
      </c>
      <c r="L1741" s="50"/>
      <c r="M1741" s="50"/>
      <c r="N1741" s="50"/>
      <c r="O1741" s="51"/>
      <c r="P1741" s="50"/>
      <c r="Q1741" s="50"/>
      <c r="R1741" s="50"/>
      <c r="S1741" s="50"/>
      <c r="T1741" s="50"/>
    </row>
    <row r="1742" spans="1:41" s="504" customFormat="1" ht="12">
      <c r="A1742" s="50"/>
      <c r="B1742" s="50"/>
      <c r="C1742" s="50" t="s">
        <v>134</v>
      </c>
      <c r="D1742" s="873" t="s">
        <v>866</v>
      </c>
      <c r="E1742" s="50"/>
      <c r="F1742" s="50"/>
      <c r="G1742" s="50"/>
      <c r="H1742" s="50"/>
      <c r="I1742" s="50"/>
      <c r="J1742" s="50"/>
      <c r="K1742" s="50"/>
      <c r="L1742" s="50"/>
      <c r="M1742" s="50"/>
      <c r="N1742" s="50"/>
      <c r="O1742" s="51"/>
      <c r="P1742" s="50"/>
      <c r="Q1742" s="50"/>
      <c r="R1742" s="50"/>
      <c r="S1742" s="50"/>
      <c r="T1742" s="50"/>
    </row>
    <row r="1743" spans="1:41" s="504" customFormat="1" ht="13.2">
      <c r="A1743" s="872"/>
      <c r="B1743"/>
      <c r="C1743" s="872"/>
      <c r="D1743" s="916" t="s">
        <v>687</v>
      </c>
      <c r="E1743" s="917"/>
      <c r="F1743" s="918"/>
      <c r="G1743" s="919"/>
      <c r="H1743" s="918"/>
      <c r="I1743" s="920"/>
      <c r="J1743" s="918"/>
      <c r="K1743" s="918"/>
      <c r="L1743" s="918"/>
      <c r="M1743" s="918"/>
      <c r="N1743" s="918"/>
      <c r="O1743" s="918"/>
      <c r="P1743" s="918"/>
      <c r="Q1743" s="921"/>
      <c r="R1743" s="513"/>
      <c r="S1743" s="881"/>
      <c r="T1743" s="877"/>
    </row>
    <row r="1744" spans="1:41" s="3" customFormat="1" ht="13.2">
      <c r="N1744" s="103"/>
    </row>
    <row r="1745" spans="1:41" s="504" customFormat="1" ht="11.4">
      <c r="A1745" s="50"/>
      <c r="B1745" s="40"/>
      <c r="C1745" s="50"/>
      <c r="E1745" s="41" t="s">
        <v>136</v>
      </c>
      <c r="F1745" s="41" t="s">
        <v>137</v>
      </c>
      <c r="G1745" s="50"/>
      <c r="H1745" s="50"/>
      <c r="I1745" s="50"/>
      <c r="J1745" s="50"/>
      <c r="K1745" s="50" t="s">
        <v>138</v>
      </c>
      <c r="L1745" s="50"/>
      <c r="M1745" s="50"/>
      <c r="N1745" s="50"/>
      <c r="O1745" s="51"/>
      <c r="P1745" s="50"/>
      <c r="Q1745" s="50"/>
      <c r="R1745" s="50"/>
      <c r="S1745" s="50"/>
      <c r="T1745" s="40"/>
      <c r="AG1745" s="867" t="s">
        <v>241</v>
      </c>
      <c r="AH1745" s="867" t="s">
        <v>242</v>
      </c>
      <c r="AI1745" s="867" t="s">
        <v>243</v>
      </c>
      <c r="AJ1745" s="867" t="s">
        <v>244</v>
      </c>
      <c r="AK1745" s="867" t="s">
        <v>245</v>
      </c>
      <c r="AM1745" s="868" t="s">
        <v>254</v>
      </c>
      <c r="AN1745" s="869" t="s">
        <v>255</v>
      </c>
      <c r="AO1745" s="505" t="s">
        <v>251</v>
      </c>
    </row>
    <row r="1746" spans="1:41" s="504" customFormat="1" ht="12" customHeight="1">
      <c r="A1746" s="870">
        <v>10</v>
      </c>
      <c r="B1746" s="871" t="s">
        <v>306</v>
      </c>
      <c r="C1746" s="872"/>
      <c r="D1746" s="873" t="s">
        <v>806</v>
      </c>
      <c r="E1746" s="874">
        <f ca="1">IF(AND($A1746=0,$A$1="DIF"),0, ROUND(ROUND(($R1751*$S$2+($T1751*$T$2))/A1746,2)*$C$2,2))</f>
        <v>6.75</v>
      </c>
      <c r="F1746" s="875">
        <f ca="1">ROUND($A1746*$E1746,2)</f>
        <v>67.5</v>
      </c>
      <c r="G1746" s="876" t="s">
        <v>139</v>
      </c>
      <c r="H1746" s="877"/>
      <c r="I1746" s="878"/>
      <c r="J1746" s="877"/>
      <c r="K1746" s="877" t="s">
        <v>3</v>
      </c>
      <c r="L1746" s="879" t="s">
        <v>140</v>
      </c>
      <c r="M1746" s="879"/>
      <c r="N1746" s="879"/>
      <c r="O1746" s="879"/>
      <c r="P1746" s="879"/>
      <c r="Q1746" s="50"/>
      <c r="T1746" s="880" t="str">
        <f ca="1">IF(AND($R1751=0,$T1751=0),"0.00","mu :" &amp; ROUND($F1746/$C$2/($R1751+$T1751*$D$9),2))</f>
        <v>mu :1.22</v>
      </c>
      <c r="W1746" s="507"/>
      <c r="AG1746" s="465">
        <f ca="1">IF($E1746=0,0,ROUND($R1751*$S$2*$C$2/$A1746,2))</f>
        <v>2.5299999999999998</v>
      </c>
      <c r="AH1746" s="465">
        <f ca="1">$AG1746*$A1746</f>
        <v>25.299999999999997</v>
      </c>
      <c r="AI1746" s="508">
        <f ca="1">$E1746-$AG1746</f>
        <v>4.2200000000000006</v>
      </c>
      <c r="AJ1746" s="508">
        <f ca="1">$A1746*$AI1746</f>
        <v>42.2</v>
      </c>
      <c r="AK1746" s="509">
        <f ca="1">ROUND(($AG1746+$AI1746)*$A1746,2)</f>
        <v>67.5</v>
      </c>
      <c r="AM1746" s="510">
        <f ca="1">ROUND(R1751,2)</f>
        <v>20.7</v>
      </c>
      <c r="AN1746" s="511">
        <f ca="1">ROUND(T1751,2)</f>
        <v>1.2</v>
      </c>
      <c r="AO1746" s="512">
        <f ca="1">ROUND(AM1746+AN1746,2)*A1746</f>
        <v>219</v>
      </c>
    </row>
    <row r="1747" spans="1:41" s="504" customFormat="1" ht="13.2">
      <c r="A1747" s="872"/>
      <c r="B1747"/>
      <c r="C1747" s="872"/>
      <c r="D1747" s="873" t="s">
        <v>743</v>
      </c>
      <c r="F1747" s="877"/>
      <c r="G1747" s="3"/>
      <c r="H1747" s="877"/>
      <c r="I1747" s="878"/>
      <c r="J1747" s="877"/>
      <c r="K1747" s="877" t="s">
        <v>141</v>
      </c>
      <c r="L1747" s="877"/>
      <c r="M1747" s="877"/>
      <c r="N1747" s="877"/>
      <c r="O1747" s="877"/>
      <c r="P1747" s="877"/>
      <c r="Q1747" s="50"/>
      <c r="R1747" s="513"/>
      <c r="S1747" s="881"/>
      <c r="T1747" s="877"/>
    </row>
    <row r="1748" spans="1:41" s="997" customFormat="1" ht="13.2">
      <c r="A1748"/>
      <c r="B1748" s="1065"/>
      <c r="C1748" s="1065" t="s">
        <v>1006</v>
      </c>
      <c r="D1748" s="1065" t="str">
        <f ca="1">CELL("Address",Elec_Rates!D$95)</f>
        <v>[EL25_0662B_Brittania_Hotel_Elec_Revised_Estim_B.xlsx]Elec_Rates!$D$95</v>
      </c>
      <c r="E1748" s="1066"/>
      <c r="F1748" s="1066"/>
      <c r="G1748" s="1067" t="s">
        <v>1007</v>
      </c>
      <c r="H1748" s="1067"/>
      <c r="I1748" s="1067"/>
      <c r="J1748" s="1067"/>
      <c r="K1748" s="1068"/>
      <c r="L1748" s="1066"/>
      <c r="M1748" s="1066"/>
      <c r="N1748" s="1066"/>
      <c r="O1748" s="1069"/>
      <c r="P1748" s="1066"/>
      <c r="Q1748" s="1070"/>
      <c r="R1748" s="1071"/>
      <c r="S1748" s="1070"/>
      <c r="T1748" s="1072"/>
      <c r="U1748" s="1073"/>
    </row>
    <row r="1749" spans="1:41" s="997" customFormat="1" ht="11.4">
      <c r="A1749" s="1074">
        <v>10</v>
      </c>
      <c r="B1749" s="1075">
        <v>1</v>
      </c>
      <c r="C1749" s="1075">
        <f>$A1749*$B1749</f>
        <v>10</v>
      </c>
      <c r="D1749" s="1076" t="str">
        <f>Elec_Rates!$D$95</f>
        <v>009# 3 core x 4.0 mm2 FG16(O)M16 Cable</v>
      </c>
      <c r="E1749" s="1076"/>
      <c r="F1749" s="1076"/>
      <c r="G1749" s="1077" t="s">
        <v>1008</v>
      </c>
      <c r="H1749" s="1077"/>
      <c r="I1749" s="1077"/>
      <c r="J1749" s="1077"/>
      <c r="K1749" s="1078"/>
      <c r="L1749" s="1073"/>
      <c r="M1749" s="1073"/>
      <c r="N1749" s="1073"/>
      <c r="O1749" s="1079"/>
      <c r="P1749" s="1076"/>
      <c r="Q1749" s="1080">
        <f ca="1">$B1749*Elec_Rates!$R$95</f>
        <v>2.0699999999999998</v>
      </c>
      <c r="R1749" s="1071">
        <f ca="1">$A1749*Q1749</f>
        <v>20.7</v>
      </c>
      <c r="S1749" s="1080">
        <f ca="1">$B1749*Elec_Rates!$T$95</f>
        <v>0.12</v>
      </c>
      <c r="T1749" s="1072">
        <f ca="1">$A1749*S1749</f>
        <v>1.2</v>
      </c>
      <c r="U1749" s="1081"/>
    </row>
    <row r="1750" spans="1:41" s="504" customFormat="1" ht="12">
      <c r="A1750" s="882"/>
      <c r="B1750" s="882"/>
      <c r="C1750" s="882"/>
      <c r="D1750" s="882"/>
      <c r="E1750" s="882"/>
      <c r="F1750" s="877"/>
      <c r="G1750" s="882"/>
      <c r="H1750" s="882"/>
      <c r="I1750" s="503"/>
      <c r="J1750" s="882"/>
      <c r="K1750" s="882"/>
      <c r="L1750" s="882"/>
      <c r="M1750" s="882"/>
      <c r="N1750" s="882"/>
      <c r="O1750" s="882"/>
      <c r="P1750" s="882"/>
      <c r="Q1750" s="503"/>
      <c r="R1750" s="883">
        <f>$A1750*Q1750</f>
        <v>0</v>
      </c>
      <c r="S1750" s="503"/>
      <c r="T1750" s="884">
        <f>$A1750*S1750*$T$1</f>
        <v>0</v>
      </c>
    </row>
    <row r="1751" spans="1:41" s="504" customFormat="1" ht="12.6" thickBot="1">
      <c r="A1751" s="885" t="s">
        <v>142</v>
      </c>
      <c r="B1751" s="886">
        <f>(R1750+T1750)</f>
        <v>0</v>
      </c>
      <c r="C1751" s="887"/>
      <c r="D1751" s="887"/>
      <c r="E1751" s="887"/>
      <c r="F1751" s="888"/>
      <c r="G1751" s="887" t="s">
        <v>143</v>
      </c>
      <c r="H1751" s="887"/>
      <c r="I1751" s="889"/>
      <c r="J1751" s="887"/>
      <c r="K1751" s="887" t="s">
        <v>3</v>
      </c>
      <c r="L1751" s="890" t="s">
        <v>140</v>
      </c>
      <c r="M1751" s="890"/>
      <c r="N1751" s="890"/>
      <c r="O1751" s="890"/>
      <c r="P1751" s="890"/>
      <c r="Q1751" s="891"/>
      <c r="R1751" s="892">
        <f ca="1">SUM(R1747:R1750)</f>
        <v>20.7</v>
      </c>
      <c r="S1751" s="887"/>
      <c r="T1751" s="892">
        <f ca="1">SUM(T1747:T1750)</f>
        <v>1.2</v>
      </c>
      <c r="U1751" s="514"/>
      <c r="V1751" s="514"/>
      <c r="W1751" s="514"/>
      <c r="X1751" s="514"/>
      <c r="Y1751" s="514"/>
      <c r="Z1751" s="514"/>
      <c r="AA1751" s="514"/>
      <c r="AB1751" s="514"/>
      <c r="AC1751" s="514"/>
      <c r="AD1751" s="514"/>
      <c r="AE1751" s="514"/>
      <c r="AF1751" s="514"/>
      <c r="AG1751" s="514"/>
      <c r="AH1751" s="514"/>
      <c r="AI1751" s="514"/>
      <c r="AJ1751" s="514"/>
      <c r="AK1751" s="514"/>
      <c r="AL1751" s="514"/>
      <c r="AM1751" s="514"/>
      <c r="AN1751" s="514"/>
      <c r="AO1751" s="514"/>
    </row>
    <row r="1752" spans="1:41" s="504" customFormat="1" ht="12" thickTop="1">
      <c r="A1752" s="50"/>
      <c r="B1752" s="40"/>
      <c r="C1752" s="50"/>
      <c r="E1752" s="41" t="s">
        <v>136</v>
      </c>
      <c r="F1752" s="41" t="s">
        <v>137</v>
      </c>
      <c r="G1752" s="50"/>
      <c r="H1752" s="50"/>
      <c r="I1752" s="50"/>
      <c r="J1752" s="50"/>
      <c r="K1752" s="50" t="s">
        <v>138</v>
      </c>
      <c r="L1752" s="50"/>
      <c r="M1752" s="50"/>
      <c r="N1752" s="50"/>
      <c r="O1752" s="51"/>
      <c r="P1752" s="50"/>
      <c r="Q1752" s="50"/>
      <c r="R1752" s="50"/>
      <c r="S1752" s="50"/>
      <c r="T1752" s="40"/>
      <c r="AG1752" s="867" t="s">
        <v>241</v>
      </c>
      <c r="AH1752" s="867" t="s">
        <v>242</v>
      </c>
      <c r="AI1752" s="867" t="s">
        <v>243</v>
      </c>
      <c r="AJ1752" s="867" t="s">
        <v>244</v>
      </c>
      <c r="AK1752" s="867" t="s">
        <v>245</v>
      </c>
      <c r="AM1752" s="868" t="s">
        <v>254</v>
      </c>
      <c r="AN1752" s="869" t="s">
        <v>255</v>
      </c>
      <c r="AO1752" s="505" t="s">
        <v>251</v>
      </c>
    </row>
    <row r="1753" spans="1:41" s="504" customFormat="1" ht="12" customHeight="1">
      <c r="A1753" s="870">
        <v>8</v>
      </c>
      <c r="B1753" s="871" t="s">
        <v>306</v>
      </c>
      <c r="C1753" s="872"/>
      <c r="D1753" s="873" t="s">
        <v>808</v>
      </c>
      <c r="E1753" s="874">
        <f ca="1">IF(AND($A1753=0,$A$1="DIF"),0, ROUND(ROUND(($R1758*$S$2+($T1758*$T$2))/A1753,2)*$C$2,2))</f>
        <v>6.75</v>
      </c>
      <c r="F1753" s="875">
        <f ca="1">ROUND($A1753*$E1753,2)</f>
        <v>54</v>
      </c>
      <c r="G1753" s="876" t="s">
        <v>139</v>
      </c>
      <c r="H1753" s="877"/>
      <c r="I1753" s="878"/>
      <c r="J1753" s="877"/>
      <c r="K1753" s="877" t="s">
        <v>3</v>
      </c>
      <c r="L1753" s="879" t="s">
        <v>140</v>
      </c>
      <c r="M1753" s="879"/>
      <c r="N1753" s="879"/>
      <c r="O1753" s="879"/>
      <c r="P1753" s="879"/>
      <c r="Q1753" s="50"/>
      <c r="T1753" s="880" t="str">
        <f ca="1">IF(AND($R1758=0,$T1758=0),"0.00","mu :" &amp; ROUND($F1753/$C$2/($R1758+$T1758*$D$9),2))</f>
        <v>mu :1.22</v>
      </c>
      <c r="W1753" s="507"/>
      <c r="AG1753" s="465">
        <f ca="1">IF($E1753=0,0,ROUND($R1758*$S$2*$C$2/$A1753,2))</f>
        <v>2.5299999999999998</v>
      </c>
      <c r="AH1753" s="465">
        <f ca="1">$AG1753*$A1753</f>
        <v>20.239999999999998</v>
      </c>
      <c r="AI1753" s="508">
        <f ca="1">$E1753-$AG1753</f>
        <v>4.2200000000000006</v>
      </c>
      <c r="AJ1753" s="508">
        <f ca="1">$A1753*$AI1753</f>
        <v>33.760000000000005</v>
      </c>
      <c r="AK1753" s="509">
        <f ca="1">ROUND(($AG1753+$AI1753)*$A1753,2)</f>
        <v>54</v>
      </c>
      <c r="AM1753" s="510">
        <f ca="1">ROUND(R1758,2)</f>
        <v>16.559999999999999</v>
      </c>
      <c r="AN1753" s="511">
        <f ca="1">ROUND(T1758,2)</f>
        <v>0.96</v>
      </c>
      <c r="AO1753" s="512">
        <f ca="1">ROUND(AM1753+AN1753,2)*A1753</f>
        <v>140.16</v>
      </c>
    </row>
    <row r="1754" spans="1:41" s="504" customFormat="1" ht="13.2">
      <c r="A1754" s="872"/>
      <c r="B1754"/>
      <c r="C1754" s="872"/>
      <c r="D1754" s="873" t="s">
        <v>744</v>
      </c>
      <c r="F1754" s="877"/>
      <c r="G1754" s="3"/>
      <c r="H1754" s="877"/>
      <c r="I1754" s="878"/>
      <c r="J1754" s="877"/>
      <c r="K1754" s="877" t="s">
        <v>141</v>
      </c>
      <c r="L1754" s="877"/>
      <c r="M1754" s="877"/>
      <c r="N1754" s="877"/>
      <c r="O1754" s="877"/>
      <c r="P1754" s="877"/>
      <c r="Q1754" s="50"/>
      <c r="R1754" s="513"/>
      <c r="S1754" s="881"/>
      <c r="T1754" s="877"/>
    </row>
    <row r="1755" spans="1:41" s="997" customFormat="1" ht="13.2">
      <c r="A1755"/>
      <c r="B1755" s="1065"/>
      <c r="C1755" s="1065" t="s">
        <v>1006</v>
      </c>
      <c r="D1755" s="1065" t="str">
        <f ca="1">CELL("Address",Elec_Rates!D$95)</f>
        <v>[EL25_0662B_Brittania_Hotel_Elec_Revised_Estim_B.xlsx]Elec_Rates!$D$95</v>
      </c>
      <c r="E1755" s="1066"/>
      <c r="F1755" s="1066"/>
      <c r="G1755" s="1067" t="s">
        <v>1007</v>
      </c>
      <c r="H1755" s="1067"/>
      <c r="I1755" s="1067"/>
      <c r="J1755" s="1067"/>
      <c r="K1755" s="1068"/>
      <c r="L1755" s="1066"/>
      <c r="M1755" s="1066"/>
      <c r="N1755" s="1066"/>
      <c r="O1755" s="1069"/>
      <c r="P1755" s="1066"/>
      <c r="Q1755" s="1070"/>
      <c r="R1755" s="1071"/>
      <c r="S1755" s="1070"/>
      <c r="T1755" s="1072"/>
      <c r="U1755" s="1073"/>
    </row>
    <row r="1756" spans="1:41" s="997" customFormat="1" ht="11.4">
      <c r="A1756" s="1074">
        <v>8</v>
      </c>
      <c r="B1756" s="1075">
        <v>1</v>
      </c>
      <c r="C1756" s="1075">
        <f>$A1756*$B1756</f>
        <v>8</v>
      </c>
      <c r="D1756" s="1076" t="str">
        <f>Elec_Rates!$D$95</f>
        <v>009# 3 core x 4.0 mm2 FG16(O)M16 Cable</v>
      </c>
      <c r="E1756" s="1076"/>
      <c r="F1756" s="1076"/>
      <c r="G1756" s="1077" t="s">
        <v>1008</v>
      </c>
      <c r="H1756" s="1077"/>
      <c r="I1756" s="1077"/>
      <c r="J1756" s="1077"/>
      <c r="K1756" s="1078"/>
      <c r="L1756" s="1073"/>
      <c r="M1756" s="1073"/>
      <c r="N1756" s="1073"/>
      <c r="O1756" s="1079"/>
      <c r="P1756" s="1076"/>
      <c r="Q1756" s="1080">
        <f ca="1">$B1756*Elec_Rates!$R$95</f>
        <v>2.0699999999999998</v>
      </c>
      <c r="R1756" s="1071">
        <f ca="1">$A1756*Q1756</f>
        <v>16.559999999999999</v>
      </c>
      <c r="S1756" s="1080">
        <f ca="1">$B1756*Elec_Rates!$T$95</f>
        <v>0.12</v>
      </c>
      <c r="T1756" s="1072">
        <f ca="1">$A1756*S1756</f>
        <v>0.96</v>
      </c>
      <c r="U1756" s="1081"/>
    </row>
    <row r="1757" spans="1:41" s="504" customFormat="1" ht="12">
      <c r="A1757" s="882"/>
      <c r="B1757" s="882"/>
      <c r="C1757" s="882"/>
      <c r="D1757" s="882"/>
      <c r="E1757" s="882"/>
      <c r="F1757" s="877"/>
      <c r="G1757" s="882"/>
      <c r="H1757" s="882"/>
      <c r="I1757" s="503"/>
      <c r="J1757" s="882"/>
      <c r="K1757" s="882"/>
      <c r="L1757" s="882"/>
      <c r="M1757" s="882"/>
      <c r="N1757" s="882"/>
      <c r="O1757" s="882"/>
      <c r="P1757" s="882"/>
      <c r="Q1757" s="503"/>
      <c r="R1757" s="883">
        <f>$A1757*Q1757</f>
        <v>0</v>
      </c>
      <c r="S1757" s="503"/>
      <c r="T1757" s="884">
        <f>$A1757*S1757*$T$1</f>
        <v>0</v>
      </c>
    </row>
    <row r="1758" spans="1:41" s="504" customFormat="1" ht="12.6" thickBot="1">
      <c r="A1758" s="885" t="s">
        <v>142</v>
      </c>
      <c r="B1758" s="886">
        <f>(R1757+T1757)</f>
        <v>0</v>
      </c>
      <c r="C1758" s="887"/>
      <c r="D1758" s="887"/>
      <c r="E1758" s="887"/>
      <c r="F1758" s="888"/>
      <c r="G1758" s="887" t="s">
        <v>143</v>
      </c>
      <c r="H1758" s="887"/>
      <c r="I1758" s="889"/>
      <c r="J1758" s="887"/>
      <c r="K1758" s="887" t="s">
        <v>3</v>
      </c>
      <c r="L1758" s="890" t="s">
        <v>140</v>
      </c>
      <c r="M1758" s="890"/>
      <c r="N1758" s="890"/>
      <c r="O1758" s="890"/>
      <c r="P1758" s="890"/>
      <c r="Q1758" s="891"/>
      <c r="R1758" s="892">
        <f ca="1">SUM(R1754:R1757)</f>
        <v>16.559999999999999</v>
      </c>
      <c r="S1758" s="887"/>
      <c r="T1758" s="892">
        <f ca="1">SUM(T1754:T1757)</f>
        <v>0.96</v>
      </c>
      <c r="U1758" s="514"/>
      <c r="V1758" s="514"/>
      <c r="W1758" s="514"/>
      <c r="X1758" s="514"/>
      <c r="Y1758" s="514"/>
      <c r="Z1758" s="514"/>
      <c r="AA1758" s="514"/>
      <c r="AB1758" s="514"/>
      <c r="AC1758" s="514"/>
      <c r="AD1758" s="514"/>
      <c r="AE1758" s="514"/>
      <c r="AF1758" s="514"/>
      <c r="AG1758" s="514"/>
      <c r="AH1758" s="514"/>
      <c r="AI1758" s="514"/>
      <c r="AJ1758" s="514"/>
      <c r="AK1758" s="514"/>
      <c r="AL1758" s="514"/>
      <c r="AM1758" s="514"/>
      <c r="AN1758" s="514"/>
      <c r="AO1758" s="514"/>
    </row>
    <row r="1759" spans="1:41" s="504" customFormat="1" ht="12" thickTop="1">
      <c r="A1759" s="50"/>
      <c r="B1759" s="40"/>
      <c r="C1759" s="50"/>
      <c r="E1759" s="41" t="s">
        <v>136</v>
      </c>
      <c r="F1759" s="41" t="s">
        <v>137</v>
      </c>
      <c r="G1759" s="50"/>
      <c r="H1759" s="50"/>
      <c r="I1759" s="50"/>
      <c r="J1759" s="50"/>
      <c r="K1759" s="50" t="s">
        <v>138</v>
      </c>
      <c r="L1759" s="50"/>
      <c r="M1759" s="50"/>
      <c r="N1759" s="50"/>
      <c r="O1759" s="51"/>
      <c r="P1759" s="50"/>
      <c r="Q1759" s="50"/>
      <c r="R1759" s="50"/>
      <c r="S1759" s="50"/>
      <c r="T1759" s="40"/>
      <c r="AG1759" s="867" t="s">
        <v>241</v>
      </c>
      <c r="AH1759" s="867" t="s">
        <v>242</v>
      </c>
      <c r="AI1759" s="867" t="s">
        <v>243</v>
      </c>
      <c r="AJ1759" s="867" t="s">
        <v>244</v>
      </c>
      <c r="AK1759" s="867" t="s">
        <v>245</v>
      </c>
      <c r="AM1759" s="868" t="s">
        <v>254</v>
      </c>
      <c r="AN1759" s="869" t="s">
        <v>255</v>
      </c>
      <c r="AO1759" s="505" t="s">
        <v>251</v>
      </c>
    </row>
    <row r="1760" spans="1:41" s="504" customFormat="1" ht="12" customHeight="1">
      <c r="A1760" s="870">
        <v>15</v>
      </c>
      <c r="B1760" s="871" t="s">
        <v>306</v>
      </c>
      <c r="C1760" s="872"/>
      <c r="D1760" s="873" t="s">
        <v>810</v>
      </c>
      <c r="E1760" s="874">
        <f ca="1">IF(AND($A1760=0,$A$1="DIF"),0, ROUND(ROUND(($R1765*$S$2+($T1765*$T$2))/A1760,2)*$C$2,2))</f>
        <v>6.75</v>
      </c>
      <c r="F1760" s="875">
        <f ca="1">ROUND($A1760*$E1760,2)</f>
        <v>101.25</v>
      </c>
      <c r="G1760" s="876" t="s">
        <v>139</v>
      </c>
      <c r="H1760" s="877"/>
      <c r="I1760" s="878"/>
      <c r="J1760" s="877"/>
      <c r="K1760" s="877" t="s">
        <v>3</v>
      </c>
      <c r="L1760" s="879" t="s">
        <v>140</v>
      </c>
      <c r="M1760" s="879"/>
      <c r="N1760" s="879"/>
      <c r="O1760" s="879"/>
      <c r="P1760" s="879"/>
      <c r="Q1760" s="50"/>
      <c r="T1760" s="880" t="str">
        <f ca="1">IF(AND($R1765=0,$T1765=0),"0.00","mu :" &amp; ROUND($F1760/$C$2/($R1765+$T1765*$D$9),2))</f>
        <v>mu :1.22</v>
      </c>
      <c r="W1760" s="507"/>
      <c r="AG1760" s="465">
        <f ca="1">IF($E1760=0,0,ROUND($R1765*$S$2*$C$2/$A1760,2))</f>
        <v>2.5299999999999998</v>
      </c>
      <c r="AH1760" s="465">
        <f ca="1">$AG1760*$A1760</f>
        <v>37.949999999999996</v>
      </c>
      <c r="AI1760" s="508">
        <f ca="1">$E1760-$AG1760</f>
        <v>4.2200000000000006</v>
      </c>
      <c r="AJ1760" s="508">
        <f ca="1">$A1760*$AI1760</f>
        <v>63.300000000000011</v>
      </c>
      <c r="AK1760" s="509">
        <f ca="1">ROUND(($AG1760+$AI1760)*$A1760,2)</f>
        <v>101.25</v>
      </c>
      <c r="AM1760" s="510">
        <f ca="1">ROUND(R1765,2)</f>
        <v>31.05</v>
      </c>
      <c r="AN1760" s="511">
        <f ca="1">ROUND(T1765,2)</f>
        <v>1.8</v>
      </c>
      <c r="AO1760" s="512">
        <f ca="1">ROUND(AM1760+AN1760,2)*A1760</f>
        <v>492.75</v>
      </c>
    </row>
    <row r="1761" spans="1:41" s="504" customFormat="1" ht="13.2">
      <c r="A1761" s="872"/>
      <c r="B1761"/>
      <c r="C1761" s="872"/>
      <c r="D1761" s="873" t="s">
        <v>745</v>
      </c>
      <c r="F1761" s="877"/>
      <c r="G1761" s="3"/>
      <c r="H1761" s="877"/>
      <c r="I1761" s="878"/>
      <c r="J1761" s="877"/>
      <c r="K1761" s="877" t="s">
        <v>141</v>
      </c>
      <c r="L1761" s="877"/>
      <c r="M1761" s="877"/>
      <c r="N1761" s="877"/>
      <c r="O1761" s="877"/>
      <c r="P1761" s="877"/>
      <c r="Q1761" s="50"/>
      <c r="R1761" s="513"/>
      <c r="S1761" s="881"/>
      <c r="T1761" s="877"/>
    </row>
    <row r="1762" spans="1:41" s="997" customFormat="1" ht="13.2">
      <c r="A1762"/>
      <c r="B1762" s="1065"/>
      <c r="C1762" s="1065" t="s">
        <v>1006</v>
      </c>
      <c r="D1762" s="1065" t="str">
        <f ca="1">CELL("Address",Elec_Rates!D$95)</f>
        <v>[EL25_0662B_Brittania_Hotel_Elec_Revised_Estim_B.xlsx]Elec_Rates!$D$95</v>
      </c>
      <c r="E1762" s="1066"/>
      <c r="F1762" s="1066"/>
      <c r="G1762" s="1067" t="s">
        <v>1007</v>
      </c>
      <c r="H1762" s="1067"/>
      <c r="I1762" s="1067"/>
      <c r="J1762" s="1067"/>
      <c r="K1762" s="1068"/>
      <c r="L1762" s="1066"/>
      <c r="M1762" s="1066"/>
      <c r="N1762" s="1066"/>
      <c r="O1762" s="1069"/>
      <c r="P1762" s="1066"/>
      <c r="Q1762" s="1070"/>
      <c r="R1762" s="1071"/>
      <c r="S1762" s="1070"/>
      <c r="T1762" s="1072"/>
      <c r="U1762" s="1073"/>
    </row>
    <row r="1763" spans="1:41" s="997" customFormat="1" ht="11.4">
      <c r="A1763" s="1074">
        <v>15</v>
      </c>
      <c r="B1763" s="1075">
        <v>1</v>
      </c>
      <c r="C1763" s="1075">
        <f>$A1763*$B1763</f>
        <v>15</v>
      </c>
      <c r="D1763" s="1076" t="str">
        <f>Elec_Rates!$D$95</f>
        <v>009# 3 core x 4.0 mm2 FG16(O)M16 Cable</v>
      </c>
      <c r="E1763" s="1076"/>
      <c r="F1763" s="1076"/>
      <c r="G1763" s="1077" t="s">
        <v>1008</v>
      </c>
      <c r="H1763" s="1077"/>
      <c r="I1763" s="1077"/>
      <c r="J1763" s="1077"/>
      <c r="K1763" s="1078"/>
      <c r="L1763" s="1073"/>
      <c r="M1763" s="1073"/>
      <c r="N1763" s="1073"/>
      <c r="O1763" s="1079"/>
      <c r="P1763" s="1076"/>
      <c r="Q1763" s="1080">
        <f ca="1">$B1763*Elec_Rates!$R$95</f>
        <v>2.0699999999999998</v>
      </c>
      <c r="R1763" s="1071">
        <f ca="1">$A1763*Q1763</f>
        <v>31.049999999999997</v>
      </c>
      <c r="S1763" s="1080">
        <f ca="1">$B1763*Elec_Rates!$T$95</f>
        <v>0.12</v>
      </c>
      <c r="T1763" s="1072">
        <f ca="1">$A1763*S1763</f>
        <v>1.7999999999999998</v>
      </c>
      <c r="U1763" s="1081"/>
    </row>
    <row r="1764" spans="1:41" s="504" customFormat="1" ht="12">
      <c r="A1764" s="882"/>
      <c r="B1764" s="882"/>
      <c r="C1764" s="882"/>
      <c r="D1764" s="882"/>
      <c r="E1764" s="882"/>
      <c r="F1764" s="877"/>
      <c r="G1764" s="882"/>
      <c r="H1764" s="882"/>
      <c r="I1764" s="503"/>
      <c r="J1764" s="882"/>
      <c r="K1764" s="882"/>
      <c r="L1764" s="882"/>
      <c r="M1764" s="882"/>
      <c r="N1764" s="882"/>
      <c r="O1764" s="882"/>
      <c r="P1764" s="882"/>
      <c r="Q1764" s="503"/>
      <c r="R1764" s="883">
        <f>$A1764*Q1764</f>
        <v>0</v>
      </c>
      <c r="S1764" s="503"/>
      <c r="T1764" s="884">
        <f>$A1764*S1764*$T$1</f>
        <v>0</v>
      </c>
    </row>
    <row r="1765" spans="1:41" s="504" customFormat="1" ht="12.6" thickBot="1">
      <c r="A1765" s="885" t="s">
        <v>142</v>
      </c>
      <c r="B1765" s="886">
        <f>(R1764+T1764)</f>
        <v>0</v>
      </c>
      <c r="C1765" s="887"/>
      <c r="D1765" s="887"/>
      <c r="E1765" s="887"/>
      <c r="F1765" s="888"/>
      <c r="G1765" s="887" t="s">
        <v>143</v>
      </c>
      <c r="H1765" s="887"/>
      <c r="I1765" s="889"/>
      <c r="J1765" s="887"/>
      <c r="K1765" s="887" t="s">
        <v>3</v>
      </c>
      <c r="L1765" s="890" t="s">
        <v>140</v>
      </c>
      <c r="M1765" s="890"/>
      <c r="N1765" s="890"/>
      <c r="O1765" s="890"/>
      <c r="P1765" s="890"/>
      <c r="Q1765" s="891"/>
      <c r="R1765" s="892">
        <f ca="1">SUM(R1761:R1764)</f>
        <v>31.049999999999997</v>
      </c>
      <c r="S1765" s="887"/>
      <c r="T1765" s="892">
        <f ca="1">SUM(T1761:T1764)</f>
        <v>1.7999999999999998</v>
      </c>
      <c r="U1765" s="514"/>
      <c r="V1765" s="514"/>
      <c r="W1765" s="514"/>
      <c r="X1765" s="514"/>
      <c r="Y1765" s="514"/>
      <c r="Z1765" s="514"/>
      <c r="AA1765" s="514"/>
      <c r="AB1765" s="514"/>
      <c r="AC1765" s="514"/>
      <c r="AD1765" s="514"/>
      <c r="AE1765" s="514"/>
      <c r="AF1765" s="514"/>
      <c r="AG1765" s="514"/>
      <c r="AH1765" s="514"/>
      <c r="AI1765" s="514"/>
      <c r="AJ1765" s="514"/>
      <c r="AK1765" s="514"/>
      <c r="AL1765" s="514"/>
      <c r="AM1765" s="514"/>
      <c r="AN1765" s="514"/>
      <c r="AO1765" s="514"/>
    </row>
    <row r="1766" spans="1:41" s="504" customFormat="1" thickTop="1">
      <c r="A1766" s="50"/>
      <c r="B1766" s="50"/>
      <c r="C1766" s="3"/>
      <c r="D1766" s="3"/>
      <c r="E1766" s="50"/>
      <c r="F1766" s="50"/>
      <c r="G1766" s="50"/>
      <c r="H1766" s="50"/>
      <c r="I1766" s="50"/>
      <c r="J1766" s="50"/>
      <c r="K1766" s="50" t="s">
        <v>133</v>
      </c>
      <c r="L1766" s="50"/>
      <c r="M1766" s="50"/>
      <c r="N1766" s="50"/>
      <c r="O1766" s="51"/>
      <c r="P1766" s="50"/>
      <c r="Q1766" s="50"/>
      <c r="R1766" s="50"/>
      <c r="S1766" s="50"/>
      <c r="T1766" s="50"/>
    </row>
    <row r="1767" spans="1:41" s="504" customFormat="1" ht="12">
      <c r="A1767" s="50"/>
      <c r="B1767" s="50"/>
      <c r="C1767" s="50" t="s">
        <v>134</v>
      </c>
      <c r="D1767" s="37"/>
      <c r="E1767" s="50"/>
      <c r="F1767" s="50"/>
      <c r="G1767" s="50"/>
      <c r="H1767" s="50"/>
      <c r="I1767" s="50"/>
      <c r="J1767" s="50"/>
      <c r="K1767" s="50"/>
      <c r="L1767" s="50"/>
      <c r="M1767" s="50"/>
      <c r="N1767" s="50"/>
      <c r="O1767" s="51"/>
      <c r="P1767" s="50"/>
      <c r="Q1767" s="50"/>
      <c r="R1767" s="50"/>
      <c r="S1767" s="50"/>
      <c r="T1767" s="50"/>
    </row>
    <row r="1768" spans="1:41" s="504" customFormat="1" ht="12">
      <c r="A1768" s="50"/>
      <c r="B1768" s="50"/>
      <c r="C1768" s="50"/>
      <c r="D1768" s="37" t="s">
        <v>324</v>
      </c>
      <c r="E1768" s="50"/>
      <c r="F1768" s="50"/>
      <c r="G1768" s="50"/>
      <c r="H1768" s="50"/>
      <c r="I1768" s="50"/>
      <c r="J1768" s="50"/>
      <c r="K1768" s="50"/>
      <c r="L1768" s="50"/>
      <c r="M1768" s="50"/>
      <c r="N1768" s="50"/>
      <c r="O1768" s="51"/>
      <c r="P1768" s="50"/>
      <c r="Q1768" s="50"/>
      <c r="R1768" s="50"/>
      <c r="S1768" s="38"/>
      <c r="T1768" s="38"/>
    </row>
    <row r="1769" spans="1:41" s="3" customFormat="1" thickBot="1">
      <c r="A1769" s="514"/>
      <c r="O1769" s="103"/>
    </row>
    <row r="1770" spans="1:41" s="504" customFormat="1" thickTop="1">
      <c r="A1770" s="50"/>
      <c r="B1770" s="50"/>
      <c r="C1770" s="3"/>
      <c r="D1770" s="3"/>
      <c r="E1770" s="50"/>
      <c r="F1770" s="50"/>
      <c r="G1770" s="50"/>
      <c r="H1770" s="50"/>
      <c r="I1770" s="50"/>
      <c r="J1770" s="50"/>
      <c r="K1770" s="50" t="s">
        <v>133</v>
      </c>
      <c r="L1770" s="50"/>
      <c r="M1770" s="50"/>
      <c r="N1770" s="50"/>
      <c r="O1770" s="51"/>
      <c r="P1770" s="50"/>
      <c r="Q1770" s="50"/>
      <c r="R1770" s="50"/>
      <c r="S1770" s="50"/>
      <c r="T1770" s="50"/>
    </row>
    <row r="1771" spans="1:41" s="504" customFormat="1" ht="12">
      <c r="A1771" s="50"/>
      <c r="B1771" s="50"/>
      <c r="C1771" s="50" t="s">
        <v>134</v>
      </c>
      <c r="D1771" s="37" t="s">
        <v>867</v>
      </c>
      <c r="E1771" s="50"/>
      <c r="F1771" s="50"/>
      <c r="G1771" s="50"/>
      <c r="H1771" s="50"/>
      <c r="I1771" s="50"/>
      <c r="J1771" s="50"/>
      <c r="K1771" s="50"/>
      <c r="L1771" s="50"/>
      <c r="M1771" s="50"/>
      <c r="N1771" s="50"/>
      <c r="O1771" s="51"/>
      <c r="P1771" s="50"/>
      <c r="Q1771" s="50"/>
      <c r="R1771" s="50"/>
      <c r="S1771" s="50"/>
      <c r="T1771" s="50"/>
    </row>
    <row r="1772" spans="1:41" s="504" customFormat="1" ht="13.2">
      <c r="A1772" s="872"/>
      <c r="B1772"/>
      <c r="C1772" s="872"/>
      <c r="D1772" s="916" t="s">
        <v>715</v>
      </c>
      <c r="E1772" s="917"/>
      <c r="F1772" s="918"/>
      <c r="G1772" s="919"/>
      <c r="H1772" s="918"/>
      <c r="I1772" s="920"/>
      <c r="J1772" s="918"/>
      <c r="K1772" s="918"/>
      <c r="L1772" s="918"/>
      <c r="M1772" s="918"/>
      <c r="N1772" s="918"/>
      <c r="O1772" s="918"/>
      <c r="P1772" s="918"/>
      <c r="Q1772" s="921"/>
      <c r="R1772" s="513"/>
      <c r="S1772" s="881"/>
      <c r="T1772" s="877"/>
    </row>
    <row r="1773" spans="1:41" s="3" customFormat="1" thickBot="1">
      <c r="A1773" s="514"/>
      <c r="O1773" s="103"/>
    </row>
    <row r="1774" spans="1:41" s="504" customFormat="1" ht="12" thickTop="1">
      <c r="A1774" s="50"/>
      <c r="B1774" s="40"/>
      <c r="C1774" s="50"/>
      <c r="E1774" s="41" t="s">
        <v>136</v>
      </c>
      <c r="F1774" s="41" t="s">
        <v>137</v>
      </c>
      <c r="G1774" s="50"/>
      <c r="H1774" s="50"/>
      <c r="I1774" s="50"/>
      <c r="J1774" s="50"/>
      <c r="K1774" s="50" t="s">
        <v>138</v>
      </c>
      <c r="L1774" s="50"/>
      <c r="M1774" s="50"/>
      <c r="N1774" s="50"/>
      <c r="O1774" s="51"/>
      <c r="P1774" s="50"/>
      <c r="Q1774" s="50"/>
      <c r="R1774" s="50"/>
      <c r="S1774" s="50"/>
      <c r="T1774" s="40"/>
      <c r="AG1774" s="867" t="s">
        <v>241</v>
      </c>
      <c r="AH1774" s="867" t="s">
        <v>242</v>
      </c>
      <c r="AI1774" s="867" t="s">
        <v>243</v>
      </c>
      <c r="AJ1774" s="867" t="s">
        <v>244</v>
      </c>
      <c r="AK1774" s="867" t="s">
        <v>245</v>
      </c>
      <c r="AM1774" s="868" t="s">
        <v>254</v>
      </c>
      <c r="AN1774" s="869" t="s">
        <v>255</v>
      </c>
      <c r="AO1774" s="505" t="s">
        <v>251</v>
      </c>
    </row>
    <row r="1775" spans="1:41" s="504" customFormat="1" ht="12" customHeight="1">
      <c r="A1775" s="870">
        <v>10</v>
      </c>
      <c r="B1775" s="871" t="s">
        <v>326</v>
      </c>
      <c r="C1775" s="872"/>
      <c r="D1775" s="873" t="s">
        <v>804</v>
      </c>
      <c r="E1775" s="874">
        <f ca="1">IF(AND($A1775=0,$A$1="DIF"),0, ROUND(ROUND(($R1782*$S$2+($T1782*$T$2))/A1775,2)*$C$2,2))</f>
        <v>25.53</v>
      </c>
      <c r="F1775" s="875">
        <f ca="1">ROUND($A1775*$E1775,2)</f>
        <v>255.3</v>
      </c>
      <c r="G1775" s="876" t="s">
        <v>139</v>
      </c>
      <c r="H1775" s="877"/>
      <c r="I1775" s="878"/>
      <c r="J1775" s="877"/>
      <c r="K1775" s="877" t="s">
        <v>3</v>
      </c>
      <c r="L1775" s="879" t="s">
        <v>140</v>
      </c>
      <c r="M1775" s="879"/>
      <c r="N1775" s="879"/>
      <c r="O1775" s="879"/>
      <c r="P1775" s="879"/>
      <c r="Q1775" s="50"/>
      <c r="T1775" s="880" t="str">
        <f ca="1">IF(AND($R1782=0,$T1782=0),"0.00","mu :" &amp; ROUND($F1775/$C$2/($R1782+$T1782*$D$9),2))</f>
        <v>mu :1.22</v>
      </c>
      <c r="W1775" s="507"/>
      <c r="AG1775" s="465">
        <f ca="1">IF($E1775=0,0,ROUND($R1782*$S$2*$C$2/$A1775,2))</f>
        <v>9.35</v>
      </c>
      <c r="AH1775" s="465">
        <f ca="1">$AG1775*$A1775</f>
        <v>93.5</v>
      </c>
      <c r="AI1775" s="508">
        <f ca="1">$E1775-$AG1775</f>
        <v>16.18</v>
      </c>
      <c r="AJ1775" s="508">
        <f ca="1">$A1775*$AI1775</f>
        <v>161.80000000000001</v>
      </c>
      <c r="AK1775" s="509">
        <f ca="1">ROUND(($AG1775+$AI1775)*$A1775,2)</f>
        <v>255.3</v>
      </c>
      <c r="AM1775" s="510">
        <f ca="1">ROUND(R1782,2)</f>
        <v>76.599999999999994</v>
      </c>
      <c r="AN1775" s="511">
        <f ca="1">ROUND(T1782,2)</f>
        <v>4.5999999999999996</v>
      </c>
      <c r="AO1775" s="512">
        <f ca="1">ROUND(AM1775+AN1775,2)*A1775</f>
        <v>812</v>
      </c>
    </row>
    <row r="1776" spans="1:41" s="504" customFormat="1" ht="13.2">
      <c r="A1776" s="872"/>
      <c r="B1776"/>
      <c r="C1776" s="872"/>
      <c r="D1776" s="873" t="s">
        <v>837</v>
      </c>
      <c r="F1776" s="877"/>
      <c r="G1776" s="3"/>
      <c r="H1776" s="877"/>
      <c r="I1776" s="878"/>
      <c r="J1776" s="877"/>
      <c r="K1776" s="877" t="s">
        <v>141</v>
      </c>
      <c r="L1776" s="877"/>
      <c r="M1776" s="877"/>
      <c r="N1776" s="877"/>
      <c r="O1776" s="877"/>
      <c r="P1776" s="877"/>
      <c r="Q1776" s="50"/>
      <c r="R1776" s="513"/>
      <c r="S1776" s="881"/>
      <c r="T1776" s="877"/>
    </row>
    <row r="1777" spans="1:41" s="997" customFormat="1" ht="13.2">
      <c r="A1777"/>
      <c r="B1777" s="1065"/>
      <c r="C1777" s="1065" t="s">
        <v>1006</v>
      </c>
      <c r="D1777" s="1065" t="str">
        <f ca="1">CELL("Address",Elec_Rates!D$135)</f>
        <v>[EL25_0662B_Brittania_Hotel_Elec_Revised_Estim_B.xlsx]Elec_Rates!$D$135</v>
      </c>
      <c r="E1777" s="1066"/>
      <c r="F1777" s="1066"/>
      <c r="G1777" s="1067" t="s">
        <v>1007</v>
      </c>
      <c r="H1777" s="1067"/>
      <c r="I1777" s="1067"/>
      <c r="J1777" s="1067"/>
      <c r="K1777" s="1068"/>
      <c r="L1777" s="1066"/>
      <c r="M1777" s="1066"/>
      <c r="N1777" s="1066"/>
      <c r="O1777" s="1069"/>
      <c r="P1777" s="1066"/>
      <c r="Q1777" s="1070"/>
      <c r="R1777" s="1071"/>
      <c r="S1777" s="1070"/>
      <c r="T1777" s="1072"/>
      <c r="U1777" s="1073"/>
    </row>
    <row r="1778" spans="1:41" s="997" customFormat="1" ht="11.4">
      <c r="A1778" s="1074">
        <v>10</v>
      </c>
      <c r="B1778" s="1075">
        <v>1</v>
      </c>
      <c r="C1778" s="1075">
        <f>$A1778*$B1778</f>
        <v>10</v>
      </c>
      <c r="D1778" s="1076" t="str">
        <f>Elec_Rates!$D$135</f>
        <v>013# HDG Cable Tray Size 100mm x 50mm</v>
      </c>
      <c r="E1778" s="1076"/>
      <c r="F1778" s="1076"/>
      <c r="G1778" s="1077" t="s">
        <v>1008</v>
      </c>
      <c r="H1778" s="1077"/>
      <c r="I1778" s="1077"/>
      <c r="J1778" s="1077"/>
      <c r="K1778" s="1078"/>
      <c r="L1778" s="1073"/>
      <c r="M1778" s="1073"/>
      <c r="N1778" s="1073"/>
      <c r="O1778" s="1079"/>
      <c r="P1778" s="1076"/>
      <c r="Q1778" s="1080">
        <f ca="1">$B1778*Elec_Rates!$R$135</f>
        <v>4.01</v>
      </c>
      <c r="R1778" s="1071">
        <f ca="1">$A1778*Q1778</f>
        <v>40.099999999999994</v>
      </c>
      <c r="S1778" s="1080">
        <f ca="1">$B1778*Elec_Rates!$T$135</f>
        <v>0.21</v>
      </c>
      <c r="T1778" s="1072">
        <f ca="1">$A1778*S1778</f>
        <v>2.1</v>
      </c>
      <c r="U1778" s="1081"/>
    </row>
    <row r="1779" spans="1:41" s="997" customFormat="1" ht="13.2">
      <c r="A1779"/>
      <c r="B1779" s="1065"/>
      <c r="C1779" s="1065" t="s">
        <v>1006</v>
      </c>
      <c r="D1779" s="1065" t="str">
        <f ca="1">CELL("Address",Elec_Rates!D$180)</f>
        <v>[EL25_0662B_Brittania_Hotel_Elec_Revised_Estim_B.xlsx]Elec_Rates!$D$180</v>
      </c>
      <c r="E1779" s="1066"/>
      <c r="F1779" s="1066"/>
      <c r="G1779" s="1067" t="s">
        <v>1007</v>
      </c>
      <c r="H1779" s="1067"/>
      <c r="I1779" s="1067"/>
      <c r="J1779" s="1067"/>
      <c r="K1779" s="1068"/>
      <c r="L1779" s="1066"/>
      <c r="M1779" s="1066"/>
      <c r="N1779" s="1066"/>
      <c r="O1779" s="1069"/>
      <c r="P1779" s="1066"/>
      <c r="Q1779" s="1070"/>
      <c r="R1779" s="1071"/>
      <c r="S1779" s="1070"/>
      <c r="T1779" s="1072"/>
      <c r="U1779" s="1073"/>
    </row>
    <row r="1780" spans="1:41" s="997" customFormat="1" ht="11.4">
      <c r="A1780" s="1074">
        <v>10</v>
      </c>
      <c r="B1780" s="1075">
        <v>1</v>
      </c>
      <c r="C1780" s="1075">
        <f>$A1780*$B1780</f>
        <v>10</v>
      </c>
      <c r="D1780" s="1076" t="str">
        <f>Elec_Rates!$D$180</f>
        <v>018# Cable Containment Supports</v>
      </c>
      <c r="E1780" s="1076"/>
      <c r="F1780" s="1076"/>
      <c r="G1780" s="1077" t="s">
        <v>1008</v>
      </c>
      <c r="H1780" s="1077"/>
      <c r="I1780" s="1077"/>
      <c r="J1780" s="1077"/>
      <c r="K1780" s="1078"/>
      <c r="L1780" s="1073"/>
      <c r="M1780" s="1073"/>
      <c r="N1780" s="1073"/>
      <c r="O1780" s="1079"/>
      <c r="P1780" s="1076"/>
      <c r="Q1780" s="1080">
        <f ca="1">$B1780*Elec_Rates!$R$180</f>
        <v>3.65</v>
      </c>
      <c r="R1780" s="1071">
        <f ca="1">$A1780*Q1780</f>
        <v>36.5</v>
      </c>
      <c r="S1780" s="1080">
        <f ca="1">$B1780*Elec_Rates!$T$180</f>
        <v>0.25</v>
      </c>
      <c r="T1780" s="1072">
        <f ca="1">$A1780*S1780</f>
        <v>2.5</v>
      </c>
      <c r="U1780" s="1081"/>
    </row>
    <row r="1781" spans="1:41" s="504" customFormat="1" ht="12">
      <c r="A1781" s="882"/>
      <c r="B1781" s="882"/>
      <c r="C1781" s="882"/>
      <c r="D1781" s="882"/>
      <c r="E1781" s="882"/>
      <c r="F1781" s="877"/>
      <c r="G1781" s="882"/>
      <c r="H1781" s="882"/>
      <c r="I1781" s="503"/>
      <c r="J1781" s="882"/>
      <c r="K1781" s="882"/>
      <c r="L1781" s="882"/>
      <c r="M1781" s="882"/>
      <c r="N1781" s="882"/>
      <c r="O1781" s="882"/>
      <c r="P1781" s="882"/>
      <c r="Q1781" s="503"/>
      <c r="R1781" s="883">
        <f>$A1781*Q1781</f>
        <v>0</v>
      </c>
      <c r="S1781" s="503"/>
      <c r="T1781" s="884">
        <f>$A1781*S1781*$T$1</f>
        <v>0</v>
      </c>
    </row>
    <row r="1782" spans="1:41" s="504" customFormat="1" ht="12.6" thickBot="1">
      <c r="A1782" s="885" t="s">
        <v>142</v>
      </c>
      <c r="B1782" s="886">
        <f>(R1781+T1781)</f>
        <v>0</v>
      </c>
      <c r="C1782" s="887"/>
      <c r="D1782" s="887"/>
      <c r="E1782" s="887"/>
      <c r="F1782" s="888"/>
      <c r="G1782" s="887" t="s">
        <v>143</v>
      </c>
      <c r="H1782" s="887"/>
      <c r="I1782" s="889"/>
      <c r="J1782" s="887"/>
      <c r="K1782" s="887" t="s">
        <v>3</v>
      </c>
      <c r="L1782" s="890" t="s">
        <v>140</v>
      </c>
      <c r="M1782" s="890"/>
      <c r="N1782" s="890"/>
      <c r="O1782" s="890"/>
      <c r="P1782" s="890"/>
      <c r="Q1782" s="891"/>
      <c r="R1782" s="892">
        <f ca="1">SUM(R1776:R1781)</f>
        <v>76.599999999999994</v>
      </c>
      <c r="S1782" s="887"/>
      <c r="T1782" s="892">
        <f ca="1">SUM(T1776:T1781)</f>
        <v>4.5999999999999996</v>
      </c>
      <c r="U1782" s="514"/>
      <c r="V1782" s="514"/>
      <c r="W1782" s="514"/>
      <c r="X1782" s="514"/>
      <c r="Y1782" s="514"/>
      <c r="Z1782" s="514"/>
      <c r="AA1782" s="514"/>
      <c r="AB1782" s="514"/>
      <c r="AC1782" s="514"/>
      <c r="AD1782" s="514"/>
      <c r="AE1782" s="514"/>
      <c r="AF1782" s="514"/>
      <c r="AG1782" s="514"/>
      <c r="AH1782" s="514"/>
      <c r="AI1782" s="514"/>
      <c r="AJ1782" s="514"/>
      <c r="AK1782" s="514"/>
      <c r="AL1782" s="514"/>
      <c r="AM1782" s="514"/>
      <c r="AN1782" s="514"/>
      <c r="AO1782" s="514"/>
    </row>
    <row r="1783" spans="1:41" s="504" customFormat="1" ht="12" thickTop="1">
      <c r="A1783" s="47" t="s">
        <v>145</v>
      </c>
      <c r="D1783" s="13"/>
      <c r="E1783" s="41"/>
      <c r="O1783" s="893"/>
    </row>
    <row r="1784" spans="1:41" s="504" customFormat="1" ht="13.2">
      <c r="B1784" s="3"/>
      <c r="O1784" s="893"/>
    </row>
    <row r="1785" spans="1:41" s="504" customFormat="1" ht="12">
      <c r="B1785" s="894">
        <f ca="1">$F1785/$C$2-($R1785*$S$2+$T1785*$T$2)</f>
        <v>0.15101440000006505</v>
      </c>
      <c r="D1785" s="895" t="s">
        <v>817</v>
      </c>
      <c r="E1785" s="896"/>
      <c r="F1785" s="897">
        <f ca="1">SUMIF($L1737:$L1783,"ITEM",F1737:F1783)</f>
        <v>478.05</v>
      </c>
      <c r="G1785" s="882"/>
      <c r="H1785" s="882"/>
      <c r="I1785" s="503"/>
      <c r="J1785" s="882"/>
      <c r="K1785" s="882"/>
      <c r="L1785" s="879" t="s">
        <v>154</v>
      </c>
      <c r="M1785" s="879"/>
      <c r="N1785" s="879"/>
      <c r="O1785" s="879"/>
      <c r="P1785" s="879"/>
      <c r="R1785" s="897">
        <f ca="1">SUMIF($L1737:$L1783,"ITEM",R1737:R1783)</f>
        <v>144.91</v>
      </c>
      <c r="S1785" s="898"/>
      <c r="T1785" s="897">
        <f ca="1">SUMIF($L1737:$L1783,"ITEM",T1737:T1783)</f>
        <v>8.5599999999999987</v>
      </c>
    </row>
    <row r="1786" spans="1:41" s="504" customFormat="1" ht="13.2">
      <c r="A1786" s="50"/>
      <c r="B1786" s="48" t="s">
        <v>816</v>
      </c>
      <c r="C1786" s="50"/>
      <c r="D1786" s="3"/>
      <c r="F1786" s="899" t="s">
        <v>155</v>
      </c>
      <c r="G1786" s="882"/>
      <c r="H1786" s="882"/>
      <c r="I1786" s="503"/>
      <c r="J1786" s="882"/>
      <c r="K1786" s="882"/>
      <c r="L1786" s="882"/>
      <c r="M1786" s="882"/>
      <c r="N1786" s="882"/>
      <c r="O1786" s="882"/>
      <c r="P1786" s="882"/>
      <c r="Q1786" s="900"/>
      <c r="R1786" s="899" t="s">
        <v>156</v>
      </c>
      <c r="S1786" s="38"/>
      <c r="T1786" s="899" t="s">
        <v>157</v>
      </c>
    </row>
    <row r="1787" spans="1:41" s="504" customFormat="1" ht="13.2">
      <c r="A1787" s="882"/>
      <c r="B1787" s="3"/>
      <c r="C1787" s="882"/>
      <c r="D1787" s="3"/>
      <c r="E1787" s="3"/>
      <c r="G1787" s="3"/>
      <c r="H1787" s="3"/>
      <c r="I1787" s="3"/>
      <c r="J1787" s="3"/>
      <c r="K1787" s="3"/>
      <c r="L1787" s="3"/>
      <c r="M1787" s="3"/>
      <c r="N1787" s="3"/>
      <c r="O1787" s="103"/>
      <c r="P1787" s="3"/>
      <c r="Q1787" s="3"/>
      <c r="R1787" s="3"/>
      <c r="S1787" s="3"/>
      <c r="T1787" s="3"/>
    </row>
    <row r="1788" spans="1:41" s="504" customFormat="1" ht="12" thickBot="1">
      <c r="A1788" s="514"/>
      <c r="B1788" s="887"/>
      <c r="C1788" s="887"/>
      <c r="D1788" s="514"/>
      <c r="E1788" s="39"/>
      <c r="F1788" s="901"/>
      <c r="G1788" s="887"/>
      <c r="H1788" s="887"/>
      <c r="I1788" s="889"/>
      <c r="J1788" s="887"/>
      <c r="K1788" s="887"/>
      <c r="L1788" s="890"/>
      <c r="M1788" s="890"/>
      <c r="N1788" s="890"/>
      <c r="O1788" s="890"/>
      <c r="P1788" s="890"/>
      <c r="Q1788" s="891"/>
      <c r="R1788" s="901"/>
      <c r="S1788" s="902"/>
      <c r="T1788" s="901"/>
      <c r="U1788" s="514"/>
      <c r="V1788" s="514"/>
      <c r="W1788" s="514"/>
      <c r="X1788" s="514"/>
      <c r="Y1788" s="514"/>
      <c r="Z1788" s="514"/>
      <c r="AA1788" s="514"/>
      <c r="AB1788" s="514"/>
      <c r="AC1788" s="514"/>
      <c r="AD1788" s="514"/>
      <c r="AE1788" s="514"/>
      <c r="AF1788" s="514"/>
      <c r="AG1788" s="514"/>
      <c r="AH1788" s="514"/>
      <c r="AI1788" s="514"/>
      <c r="AJ1788" s="514"/>
      <c r="AK1788" s="514"/>
    </row>
    <row r="1789" spans="1:41" s="504" customFormat="1" thickTop="1">
      <c r="A1789" s="50"/>
      <c r="B1789" s="50"/>
      <c r="C1789" s="3"/>
      <c r="D1789" s="3"/>
      <c r="E1789" s="50"/>
      <c r="F1789" s="50"/>
      <c r="G1789" s="50"/>
      <c r="H1789" s="50"/>
      <c r="I1789" s="50"/>
      <c r="J1789" s="50"/>
      <c r="K1789" s="50" t="s">
        <v>133</v>
      </c>
      <c r="L1789" s="50"/>
      <c r="M1789" s="50"/>
      <c r="N1789" s="50"/>
      <c r="O1789" s="51"/>
      <c r="P1789" s="50"/>
      <c r="Q1789" s="50"/>
      <c r="R1789" s="50"/>
      <c r="S1789" s="50"/>
      <c r="T1789" s="50"/>
    </row>
    <row r="1790" spans="1:41" s="504" customFormat="1" ht="12">
      <c r="A1790" s="50"/>
      <c r="B1790" s="50"/>
      <c r="C1790" s="50" t="s">
        <v>134</v>
      </c>
      <c r="D1790" s="37"/>
      <c r="E1790" s="50"/>
      <c r="F1790" s="50"/>
      <c r="G1790" s="50"/>
      <c r="H1790" s="50"/>
      <c r="I1790" s="50"/>
      <c r="J1790" s="50"/>
      <c r="K1790" s="50"/>
      <c r="L1790" s="50"/>
      <c r="M1790" s="50"/>
      <c r="N1790" s="50"/>
      <c r="O1790" s="51"/>
      <c r="P1790" s="50"/>
      <c r="Q1790" s="50"/>
      <c r="R1790" s="50"/>
      <c r="S1790" s="50"/>
      <c r="T1790" s="50"/>
    </row>
    <row r="1791" spans="1:41" s="504" customFormat="1" ht="12">
      <c r="A1791" s="50"/>
      <c r="B1791" s="50"/>
      <c r="C1791" s="50"/>
      <c r="D1791" s="37" t="s">
        <v>433</v>
      </c>
      <c r="E1791" s="50"/>
      <c r="F1791" s="50"/>
      <c r="G1791" s="50"/>
      <c r="H1791" s="50"/>
      <c r="I1791" s="50"/>
      <c r="J1791" s="50"/>
      <c r="K1791" s="50"/>
      <c r="L1791" s="50"/>
      <c r="M1791" s="50"/>
      <c r="N1791" s="50"/>
      <c r="O1791" s="51"/>
      <c r="P1791" s="50"/>
      <c r="Q1791" s="50"/>
      <c r="R1791" s="50"/>
      <c r="S1791" s="38"/>
      <c r="T1791" s="38"/>
    </row>
    <row r="1792" spans="1:41" s="3" customFormat="1" thickBot="1">
      <c r="A1792" s="514"/>
      <c r="O1792" s="103"/>
    </row>
    <row r="1793" spans="1:41" s="504" customFormat="1" thickTop="1">
      <c r="A1793" s="50"/>
      <c r="B1793" s="50"/>
      <c r="C1793" s="3"/>
      <c r="D1793" s="3"/>
      <c r="E1793" s="50"/>
      <c r="F1793" s="50"/>
      <c r="G1793" s="50"/>
      <c r="H1793" s="50"/>
      <c r="I1793" s="50"/>
      <c r="J1793" s="50"/>
      <c r="K1793" s="50" t="s">
        <v>133</v>
      </c>
      <c r="L1793" s="50"/>
      <c r="M1793" s="50"/>
      <c r="N1793" s="50"/>
      <c r="O1793" s="51"/>
      <c r="P1793" s="50"/>
      <c r="Q1793" s="50"/>
      <c r="R1793" s="50"/>
      <c r="S1793" s="50"/>
      <c r="T1793" s="50"/>
    </row>
    <row r="1794" spans="1:41" s="504" customFormat="1" ht="12">
      <c r="A1794" s="50"/>
      <c r="B1794" s="50"/>
      <c r="C1794" s="50" t="s">
        <v>134</v>
      </c>
      <c r="D1794" s="37"/>
      <c r="E1794" s="50"/>
      <c r="F1794" s="50"/>
      <c r="G1794" s="50"/>
      <c r="H1794" s="50"/>
      <c r="I1794" s="50"/>
      <c r="J1794" s="50"/>
      <c r="K1794" s="50"/>
      <c r="L1794" s="50"/>
      <c r="M1794" s="50"/>
      <c r="N1794" s="50"/>
      <c r="O1794" s="51"/>
      <c r="P1794" s="50"/>
      <c r="Q1794" s="50"/>
      <c r="R1794" s="50"/>
      <c r="S1794" s="50"/>
      <c r="T1794" s="50"/>
    </row>
    <row r="1795" spans="1:41" s="504" customFormat="1" ht="12">
      <c r="A1795" s="50"/>
      <c r="B1795" s="50"/>
      <c r="C1795" s="50"/>
      <c r="D1795" s="37" t="s">
        <v>332</v>
      </c>
      <c r="E1795" s="50"/>
      <c r="F1795" s="50"/>
      <c r="G1795" s="50"/>
      <c r="H1795" s="50"/>
      <c r="I1795" s="50"/>
      <c r="J1795" s="50"/>
      <c r="K1795" s="50"/>
      <c r="L1795" s="50"/>
      <c r="M1795" s="50"/>
      <c r="N1795" s="50"/>
      <c r="O1795" s="51"/>
      <c r="P1795" s="50"/>
      <c r="Q1795" s="50"/>
      <c r="R1795" s="50"/>
      <c r="S1795" s="38"/>
      <c r="T1795" s="38"/>
    </row>
    <row r="1796" spans="1:41" s="3" customFormat="1" thickBot="1">
      <c r="A1796" s="514"/>
      <c r="O1796" s="103"/>
    </row>
    <row r="1797" spans="1:41" s="504" customFormat="1" thickTop="1">
      <c r="A1797" s="50"/>
      <c r="B1797" s="50"/>
      <c r="C1797" s="3"/>
      <c r="D1797" s="3"/>
      <c r="E1797" s="50"/>
      <c r="F1797" s="50"/>
      <c r="G1797" s="50"/>
      <c r="H1797" s="50"/>
      <c r="I1797" s="50"/>
      <c r="J1797" s="50"/>
      <c r="K1797" s="50" t="s">
        <v>133</v>
      </c>
      <c r="L1797" s="50"/>
      <c r="M1797" s="50"/>
      <c r="N1797" s="50"/>
      <c r="O1797" s="51"/>
      <c r="P1797" s="50"/>
      <c r="Q1797" s="50"/>
      <c r="R1797" s="50"/>
      <c r="S1797" s="50"/>
      <c r="T1797" s="50"/>
    </row>
    <row r="1798" spans="1:41" s="504" customFormat="1" ht="12">
      <c r="A1798" s="50"/>
      <c r="B1798" s="50"/>
      <c r="C1798" s="50" t="s">
        <v>134</v>
      </c>
      <c r="D1798" s="37" t="s">
        <v>868</v>
      </c>
      <c r="E1798" s="50"/>
      <c r="F1798" s="50"/>
      <c r="G1798" s="50"/>
      <c r="H1798" s="50"/>
      <c r="I1798" s="50"/>
      <c r="J1798" s="50"/>
      <c r="K1798" s="50"/>
      <c r="L1798" s="50"/>
      <c r="M1798" s="50"/>
      <c r="N1798" s="50"/>
      <c r="O1798" s="51"/>
      <c r="P1798" s="50"/>
      <c r="Q1798" s="50"/>
      <c r="R1798" s="50"/>
      <c r="S1798" s="50"/>
      <c r="T1798" s="50"/>
    </row>
    <row r="1799" spans="1:41" s="504" customFormat="1" ht="12">
      <c r="A1799" s="50"/>
      <c r="B1799" s="50"/>
      <c r="C1799" s="50"/>
      <c r="D1799" s="37" t="s">
        <v>839</v>
      </c>
      <c r="E1799" s="50"/>
      <c r="F1799" s="50"/>
      <c r="G1799" s="50"/>
      <c r="H1799" s="50"/>
      <c r="I1799" s="50"/>
      <c r="J1799" s="50"/>
      <c r="K1799" s="50"/>
      <c r="L1799" s="50"/>
      <c r="M1799" s="50"/>
      <c r="N1799" s="50"/>
      <c r="O1799" s="51"/>
      <c r="P1799" s="50"/>
      <c r="Q1799" s="50"/>
      <c r="R1799" s="50"/>
      <c r="S1799" s="38"/>
      <c r="T1799" s="38"/>
    </row>
    <row r="1800" spans="1:41" s="3" customFormat="1" thickBot="1">
      <c r="A1800" s="514"/>
      <c r="O1800" s="103"/>
    </row>
    <row r="1801" spans="1:41" s="504" customFormat="1" ht="12" thickTop="1">
      <c r="A1801" s="50"/>
      <c r="B1801" s="40"/>
      <c r="C1801" s="50"/>
      <c r="E1801" s="41" t="s">
        <v>136</v>
      </c>
      <c r="F1801" s="41" t="s">
        <v>137</v>
      </c>
      <c r="G1801" s="50"/>
      <c r="H1801" s="50"/>
      <c r="I1801" s="50"/>
      <c r="J1801" s="50"/>
      <c r="K1801" s="50" t="s">
        <v>138</v>
      </c>
      <c r="L1801" s="50"/>
      <c r="M1801" s="50"/>
      <c r="N1801" s="50"/>
      <c r="O1801" s="51"/>
      <c r="P1801" s="50"/>
      <c r="Q1801" s="50"/>
      <c r="R1801" s="50"/>
      <c r="S1801" s="50"/>
      <c r="T1801" s="40"/>
      <c r="AG1801" s="867" t="s">
        <v>241</v>
      </c>
      <c r="AH1801" s="867" t="s">
        <v>242</v>
      </c>
      <c r="AI1801" s="867" t="s">
        <v>243</v>
      </c>
      <c r="AJ1801" s="867" t="s">
        <v>244</v>
      </c>
      <c r="AK1801" s="867" t="s">
        <v>245</v>
      </c>
      <c r="AM1801" s="868" t="s">
        <v>254</v>
      </c>
      <c r="AN1801" s="869" t="s">
        <v>255</v>
      </c>
      <c r="AO1801" s="505" t="s">
        <v>251</v>
      </c>
    </row>
    <row r="1802" spans="1:41" s="504" customFormat="1" ht="12" customHeight="1">
      <c r="A1802" s="870">
        <v>3</v>
      </c>
      <c r="B1802" s="871" t="s">
        <v>335</v>
      </c>
      <c r="C1802" s="872"/>
      <c r="D1802" s="873" t="s">
        <v>804</v>
      </c>
      <c r="E1802" s="874">
        <f ca="1">IF(AND($A1802=0,$A$1="DIF"),0, ROUND(ROUND(($R1807*$S$2+($T1807*$T$2))/A1802,2)*$C$2,2))</f>
        <v>57.85</v>
      </c>
      <c r="F1802" s="875">
        <f ca="1">ROUND($A1802*$E1802,2)</f>
        <v>173.55</v>
      </c>
      <c r="G1802" s="876" t="s">
        <v>139</v>
      </c>
      <c r="H1802" s="877"/>
      <c r="I1802" s="878"/>
      <c r="J1802" s="877"/>
      <c r="K1802" s="877" t="s">
        <v>3</v>
      </c>
      <c r="L1802" s="879" t="s">
        <v>140</v>
      </c>
      <c r="M1802" s="879"/>
      <c r="N1802" s="879"/>
      <c r="O1802" s="879"/>
      <c r="P1802" s="879"/>
      <c r="Q1802" s="50"/>
      <c r="T1802" s="880" t="str">
        <f ca="1">IF(AND($R1807=0,$T1807=0),"0.00","mu :" &amp; ROUND($F1802/$C$2/($R1807+$T1807*$D$9),2))</f>
        <v>mu :1.22</v>
      </c>
      <c r="W1802" s="507"/>
      <c r="AG1802" s="465">
        <f ca="1">IF($E1802=0,0,ROUND($R1807*$S$2*$C$2/$A1802,2))</f>
        <v>11.77</v>
      </c>
      <c r="AH1802" s="465">
        <f ca="1">$AG1802*$A1802</f>
        <v>35.31</v>
      </c>
      <c r="AI1802" s="508">
        <f ca="1">$E1802-$AG1802</f>
        <v>46.08</v>
      </c>
      <c r="AJ1802" s="508">
        <f ca="1">$A1802*$AI1802</f>
        <v>138.24</v>
      </c>
      <c r="AK1802" s="509">
        <f ca="1">ROUND(($AG1802+$AI1802)*$A1802,2)</f>
        <v>173.55</v>
      </c>
      <c r="AM1802" s="510">
        <f ca="1">ROUND(R1807,2)</f>
        <v>28.95</v>
      </c>
      <c r="AN1802" s="511">
        <f ca="1">ROUND(T1807,2)</f>
        <v>3.93</v>
      </c>
      <c r="AO1802" s="512">
        <f ca="1">ROUND(AM1802+AN1802,2)*A1802</f>
        <v>98.640000000000015</v>
      </c>
    </row>
    <row r="1803" spans="1:41" s="504" customFormat="1" ht="13.2">
      <c r="A1803" s="872"/>
      <c r="B1803"/>
      <c r="C1803" s="872"/>
      <c r="D1803" s="873" t="s">
        <v>334</v>
      </c>
      <c r="F1803" s="877"/>
      <c r="G1803" s="3"/>
      <c r="H1803" s="877"/>
      <c r="I1803" s="878"/>
      <c r="J1803" s="877"/>
      <c r="K1803" s="877" t="s">
        <v>141</v>
      </c>
      <c r="L1803" s="877"/>
      <c r="M1803" s="877"/>
      <c r="N1803" s="877"/>
      <c r="O1803" s="877"/>
      <c r="P1803" s="877"/>
      <c r="Q1803" s="50"/>
      <c r="R1803" s="513"/>
      <c r="S1803" s="881"/>
      <c r="T1803" s="877"/>
    </row>
    <row r="1804" spans="1:41" s="997" customFormat="1" ht="13.2">
      <c r="A1804"/>
      <c r="B1804" s="1065"/>
      <c r="C1804" s="1065" t="s">
        <v>1006</v>
      </c>
      <c r="D1804" s="1065" t="str">
        <f ca="1">CELL("Address",Elec_Rates!D$200)</f>
        <v>[EL25_0662B_Brittania_Hotel_Elec_Revised_Estim_B.xlsx]Elec_Rates!$D$200</v>
      </c>
      <c r="E1804" s="1066"/>
      <c r="F1804" s="1066"/>
      <c r="G1804" s="1067" t="s">
        <v>1007</v>
      </c>
      <c r="H1804" s="1067"/>
      <c r="I1804" s="1067"/>
      <c r="J1804" s="1067"/>
      <c r="K1804" s="1068"/>
      <c r="L1804" s="1066"/>
      <c r="M1804" s="1066"/>
      <c r="N1804" s="1066"/>
      <c r="O1804" s="1069"/>
      <c r="P1804" s="1066"/>
      <c r="Q1804" s="1070"/>
      <c r="R1804" s="1071"/>
      <c r="S1804" s="1070"/>
      <c r="T1804" s="1072"/>
      <c r="U1804" s="1073"/>
    </row>
    <row r="1805" spans="1:41" s="997" customFormat="1" ht="11.4">
      <c r="A1805" s="1074">
        <v>3</v>
      </c>
      <c r="B1805" s="1075">
        <v>1</v>
      </c>
      <c r="C1805" s="1075">
        <f>$A1805*$B1805</f>
        <v>3</v>
      </c>
      <c r="D1805" s="1076" t="str">
        <f>Elec_Rates!$D$200</f>
        <v>019# Lighting point in LSZH Conduit</v>
      </c>
      <c r="E1805" s="1076"/>
      <c r="F1805" s="1076" t="s">
        <v>1169</v>
      </c>
      <c r="G1805" s="1077" t="s">
        <v>1008</v>
      </c>
      <c r="H1805" s="1077"/>
      <c r="I1805" s="1077"/>
      <c r="J1805" s="1077"/>
      <c r="K1805" s="1078"/>
      <c r="L1805" s="1073"/>
      <c r="M1805" s="1073"/>
      <c r="N1805" s="1073"/>
      <c r="O1805" s="1079"/>
      <c r="P1805" s="1076"/>
      <c r="Q1805" s="1080">
        <f ca="1">$B1805*Elec_Rates!$R$200</f>
        <v>9.65</v>
      </c>
      <c r="R1805" s="1071">
        <f ca="1">$A1805*Q1805</f>
        <v>28.950000000000003</v>
      </c>
      <c r="S1805" s="1080">
        <f ca="1">$B1805*Elec_Rates!$T$200</f>
        <v>1.31</v>
      </c>
      <c r="T1805" s="1072">
        <f ca="1">$A1805*S1805</f>
        <v>3.93</v>
      </c>
      <c r="U1805" s="1081"/>
    </row>
    <row r="1806" spans="1:41" s="504" customFormat="1" ht="12">
      <c r="A1806" s="882"/>
      <c r="B1806" s="882"/>
      <c r="C1806" s="882"/>
      <c r="D1806" s="882"/>
      <c r="E1806" s="882"/>
      <c r="F1806" s="877"/>
      <c r="G1806" s="882"/>
      <c r="H1806" s="882"/>
      <c r="I1806" s="503"/>
      <c r="J1806" s="882"/>
      <c r="K1806" s="882"/>
      <c r="L1806" s="882"/>
      <c r="M1806" s="882"/>
      <c r="N1806" s="882"/>
      <c r="O1806" s="882"/>
      <c r="P1806" s="882"/>
      <c r="Q1806" s="503"/>
      <c r="R1806" s="883">
        <f>$A1806*Q1806</f>
        <v>0</v>
      </c>
      <c r="S1806" s="503"/>
      <c r="T1806" s="884">
        <f>$A1806*S1806*$T$1</f>
        <v>0</v>
      </c>
    </row>
    <row r="1807" spans="1:41" s="504" customFormat="1" ht="12.6" thickBot="1">
      <c r="A1807" s="885" t="s">
        <v>142</v>
      </c>
      <c r="B1807" s="886">
        <f>(R1806+T1806)</f>
        <v>0</v>
      </c>
      <c r="C1807" s="887"/>
      <c r="D1807" s="887"/>
      <c r="E1807" s="887"/>
      <c r="F1807" s="888"/>
      <c r="G1807" s="887" t="s">
        <v>143</v>
      </c>
      <c r="H1807" s="887"/>
      <c r="I1807" s="889"/>
      <c r="J1807" s="887"/>
      <c r="K1807" s="887" t="s">
        <v>3</v>
      </c>
      <c r="L1807" s="890" t="s">
        <v>140</v>
      </c>
      <c r="M1807" s="890"/>
      <c r="N1807" s="890"/>
      <c r="O1807" s="890"/>
      <c r="P1807" s="890"/>
      <c r="Q1807" s="891"/>
      <c r="R1807" s="892">
        <f ca="1">SUM(R1803:R1806)</f>
        <v>28.950000000000003</v>
      </c>
      <c r="S1807" s="887"/>
      <c r="T1807" s="892">
        <f ca="1">SUM(T1803:T1806)</f>
        <v>3.93</v>
      </c>
      <c r="U1807" s="514"/>
      <c r="V1807" s="514"/>
      <c r="W1807" s="514"/>
      <c r="X1807" s="514"/>
      <c r="Y1807" s="514"/>
      <c r="Z1807" s="514"/>
      <c r="AA1807" s="514"/>
      <c r="AB1807" s="514"/>
      <c r="AC1807" s="514"/>
      <c r="AD1807" s="514"/>
      <c r="AE1807" s="514"/>
      <c r="AF1807" s="514"/>
      <c r="AG1807" s="514"/>
      <c r="AH1807" s="514"/>
      <c r="AI1807" s="514"/>
      <c r="AJ1807" s="514"/>
      <c r="AK1807" s="514"/>
      <c r="AL1807" s="514"/>
      <c r="AM1807" s="514"/>
      <c r="AN1807" s="514"/>
      <c r="AO1807" s="514"/>
    </row>
    <row r="1808" spans="1:41" s="504" customFormat="1" ht="12" thickTop="1">
      <c r="A1808" s="50"/>
      <c r="B1808" s="40"/>
      <c r="C1808" s="50"/>
      <c r="E1808" s="41" t="s">
        <v>136</v>
      </c>
      <c r="F1808" s="41" t="s">
        <v>137</v>
      </c>
      <c r="G1808" s="50"/>
      <c r="H1808" s="50"/>
      <c r="I1808" s="50"/>
      <c r="J1808" s="50"/>
      <c r="K1808" s="50" t="s">
        <v>138</v>
      </c>
      <c r="L1808" s="50"/>
      <c r="M1808" s="50"/>
      <c r="N1808" s="50"/>
      <c r="O1808" s="51"/>
      <c r="P1808" s="50"/>
      <c r="Q1808" s="50"/>
      <c r="R1808" s="50"/>
      <c r="S1808" s="50"/>
      <c r="T1808" s="40"/>
      <c r="AG1808" s="867" t="s">
        <v>241</v>
      </c>
      <c r="AH1808" s="867" t="s">
        <v>242</v>
      </c>
      <c r="AI1808" s="867" t="s">
        <v>243</v>
      </c>
      <c r="AJ1808" s="867" t="s">
        <v>244</v>
      </c>
      <c r="AK1808" s="867" t="s">
        <v>245</v>
      </c>
      <c r="AM1808" s="868" t="s">
        <v>254</v>
      </c>
      <c r="AN1808" s="869" t="s">
        <v>255</v>
      </c>
      <c r="AO1808" s="505" t="s">
        <v>251</v>
      </c>
    </row>
    <row r="1809" spans="1:41" s="504" customFormat="1" ht="12" customHeight="1">
      <c r="A1809" s="870">
        <v>2</v>
      </c>
      <c r="B1809" s="871" t="s">
        <v>335</v>
      </c>
      <c r="C1809" s="872"/>
      <c r="D1809" s="873" t="s">
        <v>806</v>
      </c>
      <c r="E1809" s="874">
        <f ca="1">IF(AND($A1809=0,$A$1="DIF"),0, ROUND(ROUND(($R1814*$S$2+($T1814*$T$2))/A1809,2)*$C$2,2))</f>
        <v>86.78</v>
      </c>
      <c r="F1809" s="875">
        <f ca="1">ROUND($A1809*$E1809,2)</f>
        <v>173.56</v>
      </c>
      <c r="G1809" s="876" t="s">
        <v>139</v>
      </c>
      <c r="H1809" s="877"/>
      <c r="I1809" s="878"/>
      <c r="J1809" s="877"/>
      <c r="K1809" s="877" t="s">
        <v>3</v>
      </c>
      <c r="L1809" s="879" t="s">
        <v>140</v>
      </c>
      <c r="M1809" s="879"/>
      <c r="N1809" s="879"/>
      <c r="O1809" s="879"/>
      <c r="P1809" s="879"/>
      <c r="Q1809" s="50"/>
      <c r="T1809" s="880" t="str">
        <f ca="1">IF(AND($R1814=0,$T1814=0),"0.00","mu :" &amp; ROUND($F1809/$C$2/($R1814+$T1814*$D$9),2))</f>
        <v>mu :1.22</v>
      </c>
      <c r="W1809" s="507"/>
      <c r="AG1809" s="465">
        <f ca="1">IF($E1809=0,0,ROUND($R1814*$S$2*$C$2/$A1809,2))</f>
        <v>17.66</v>
      </c>
      <c r="AH1809" s="465">
        <f ca="1">$AG1809*$A1809</f>
        <v>35.32</v>
      </c>
      <c r="AI1809" s="508">
        <f ca="1">$E1809-$AG1809</f>
        <v>69.12</v>
      </c>
      <c r="AJ1809" s="508">
        <f ca="1">$A1809*$AI1809</f>
        <v>138.24</v>
      </c>
      <c r="AK1809" s="509">
        <f ca="1">ROUND(($AG1809+$AI1809)*$A1809,2)</f>
        <v>173.56</v>
      </c>
      <c r="AM1809" s="510">
        <f ca="1">ROUND(R1814,2)</f>
        <v>28.95</v>
      </c>
      <c r="AN1809" s="511">
        <f ca="1">ROUND(T1814,2)</f>
        <v>3.93</v>
      </c>
      <c r="AO1809" s="512">
        <f ca="1">ROUND(AM1809+AN1809,2)*A1809</f>
        <v>65.760000000000005</v>
      </c>
    </row>
    <row r="1810" spans="1:41" s="504" customFormat="1" ht="13.2">
      <c r="A1810" s="872"/>
      <c r="B1810"/>
      <c r="C1810" s="872"/>
      <c r="D1810" s="873" t="s">
        <v>401</v>
      </c>
      <c r="F1810" s="877"/>
      <c r="G1810" s="3"/>
      <c r="H1810" s="877"/>
      <c r="I1810" s="878"/>
      <c r="J1810" s="877"/>
      <c r="K1810" s="877" t="s">
        <v>141</v>
      </c>
      <c r="L1810" s="877"/>
      <c r="M1810" s="877"/>
      <c r="N1810" s="877"/>
      <c r="O1810" s="877"/>
      <c r="P1810" s="877"/>
      <c r="Q1810" s="50"/>
      <c r="R1810" s="513"/>
      <c r="S1810" s="881"/>
      <c r="T1810" s="877"/>
    </row>
    <row r="1811" spans="1:41" s="997" customFormat="1" ht="13.2">
      <c r="A1811"/>
      <c r="B1811" s="1065"/>
      <c r="C1811" s="1065" t="s">
        <v>1006</v>
      </c>
      <c r="D1811" s="1065" t="str">
        <f ca="1">CELL("Address",Elec_Rates!D$200)</f>
        <v>[EL25_0662B_Brittania_Hotel_Elec_Revised_Estim_B.xlsx]Elec_Rates!$D$200</v>
      </c>
      <c r="E1811" s="1066"/>
      <c r="F1811" s="1066"/>
      <c r="G1811" s="1067" t="s">
        <v>1007</v>
      </c>
      <c r="H1811" s="1067"/>
      <c r="I1811" s="1067"/>
      <c r="J1811" s="1067"/>
      <c r="K1811" s="1068"/>
      <c r="L1811" s="1066"/>
      <c r="M1811" s="1066"/>
      <c r="N1811" s="1066"/>
      <c r="O1811" s="1069"/>
      <c r="P1811" s="1066"/>
      <c r="Q1811" s="1070"/>
      <c r="R1811" s="1071"/>
      <c r="S1811" s="1070"/>
      <c r="T1811" s="1072"/>
      <c r="U1811" s="1073"/>
    </row>
    <row r="1812" spans="1:41" s="997" customFormat="1" ht="11.4">
      <c r="A1812" s="1074">
        <v>2</v>
      </c>
      <c r="B1812" s="1075">
        <v>1.5</v>
      </c>
      <c r="C1812" s="1075">
        <f>$A1812*$B1812</f>
        <v>3</v>
      </c>
      <c r="D1812" s="1076" t="str">
        <f>Elec_Rates!$D$200</f>
        <v>019# Lighting point in LSZH Conduit</v>
      </c>
      <c r="E1812" s="1076"/>
      <c r="F1812" s="1076" t="s">
        <v>1177</v>
      </c>
      <c r="G1812" s="1077" t="s">
        <v>1008</v>
      </c>
      <c r="H1812" s="1077"/>
      <c r="I1812" s="1077"/>
      <c r="J1812" s="1077"/>
      <c r="K1812" s="1078"/>
      <c r="L1812" s="1073"/>
      <c r="M1812" s="1073"/>
      <c r="N1812" s="1073"/>
      <c r="O1812" s="1079"/>
      <c r="P1812" s="1076"/>
      <c r="Q1812" s="1080">
        <f ca="1">$B1812*Elec_Rates!$R$200</f>
        <v>14.475000000000001</v>
      </c>
      <c r="R1812" s="1071">
        <f ca="1">$A1812*Q1812</f>
        <v>28.950000000000003</v>
      </c>
      <c r="S1812" s="1080">
        <f ca="1">$B1812*Elec_Rates!$T$200</f>
        <v>1.9650000000000001</v>
      </c>
      <c r="T1812" s="1072">
        <f ca="1">$A1812*S1812</f>
        <v>3.93</v>
      </c>
      <c r="U1812" s="1081"/>
    </row>
    <row r="1813" spans="1:41" s="504" customFormat="1" ht="12">
      <c r="A1813" s="882"/>
      <c r="B1813" s="882"/>
      <c r="C1813" s="882"/>
      <c r="D1813" s="882"/>
      <c r="E1813" s="882"/>
      <c r="F1813" s="877"/>
      <c r="G1813" s="882"/>
      <c r="H1813" s="882"/>
      <c r="I1813" s="503"/>
      <c r="J1813" s="882"/>
      <c r="K1813" s="882"/>
      <c r="L1813" s="882"/>
      <c r="M1813" s="882"/>
      <c r="N1813" s="882"/>
      <c r="O1813" s="882"/>
      <c r="P1813" s="882"/>
      <c r="Q1813" s="503"/>
      <c r="R1813" s="883">
        <f>$A1813*Q1813</f>
        <v>0</v>
      </c>
      <c r="S1813" s="503"/>
      <c r="T1813" s="884">
        <f>$A1813*S1813*$T$1</f>
        <v>0</v>
      </c>
    </row>
    <row r="1814" spans="1:41" s="504" customFormat="1" ht="12.6" thickBot="1">
      <c r="A1814" s="885" t="s">
        <v>142</v>
      </c>
      <c r="B1814" s="886">
        <f>(R1813+T1813)</f>
        <v>0</v>
      </c>
      <c r="C1814" s="887"/>
      <c r="D1814" s="887"/>
      <c r="E1814" s="887"/>
      <c r="F1814" s="888"/>
      <c r="G1814" s="887" t="s">
        <v>143</v>
      </c>
      <c r="H1814" s="887"/>
      <c r="I1814" s="889"/>
      <c r="J1814" s="887"/>
      <c r="K1814" s="887" t="s">
        <v>3</v>
      </c>
      <c r="L1814" s="890" t="s">
        <v>140</v>
      </c>
      <c r="M1814" s="890"/>
      <c r="N1814" s="890"/>
      <c r="O1814" s="890"/>
      <c r="P1814" s="890"/>
      <c r="Q1814" s="891"/>
      <c r="R1814" s="892">
        <f ca="1">SUM(R1810:R1813)</f>
        <v>28.950000000000003</v>
      </c>
      <c r="S1814" s="887"/>
      <c r="T1814" s="892">
        <f ca="1">SUM(T1810:T1813)</f>
        <v>3.93</v>
      </c>
      <c r="U1814" s="514"/>
      <c r="V1814" s="514"/>
      <c r="W1814" s="514"/>
      <c r="X1814" s="514"/>
      <c r="Y1814" s="514"/>
      <c r="Z1814" s="514"/>
      <c r="AA1814" s="514"/>
      <c r="AB1814" s="514"/>
      <c r="AC1814" s="514"/>
      <c r="AD1814" s="514"/>
      <c r="AE1814" s="514"/>
      <c r="AF1814" s="514"/>
      <c r="AG1814" s="514"/>
      <c r="AH1814" s="514"/>
      <c r="AI1814" s="514"/>
      <c r="AJ1814" s="514"/>
      <c r="AK1814" s="514"/>
      <c r="AL1814" s="514"/>
      <c r="AM1814" s="514"/>
      <c r="AN1814" s="514"/>
      <c r="AO1814" s="514"/>
    </row>
    <row r="1815" spans="1:41" s="504" customFormat="1" ht="12" thickTop="1">
      <c r="A1815" s="50"/>
      <c r="B1815" s="40"/>
      <c r="C1815" s="50"/>
      <c r="E1815" s="41" t="s">
        <v>136</v>
      </c>
      <c r="F1815" s="41" t="s">
        <v>137</v>
      </c>
      <c r="G1815" s="50"/>
      <c r="H1815" s="50"/>
      <c r="I1815" s="50"/>
      <c r="J1815" s="50"/>
      <c r="K1815" s="50" t="s">
        <v>138</v>
      </c>
      <c r="L1815" s="50"/>
      <c r="M1815" s="50"/>
      <c r="N1815" s="50"/>
      <c r="O1815" s="51"/>
      <c r="P1815" s="50"/>
      <c r="Q1815" s="50"/>
      <c r="R1815" s="50"/>
      <c r="S1815" s="50"/>
      <c r="T1815" s="40"/>
      <c r="AG1815" s="867" t="s">
        <v>241</v>
      </c>
      <c r="AH1815" s="867" t="s">
        <v>242</v>
      </c>
      <c r="AI1815" s="867" t="s">
        <v>243</v>
      </c>
      <c r="AJ1815" s="867" t="s">
        <v>244</v>
      </c>
      <c r="AK1815" s="867" t="s">
        <v>245</v>
      </c>
      <c r="AM1815" s="868" t="s">
        <v>254</v>
      </c>
      <c r="AN1815" s="869" t="s">
        <v>255</v>
      </c>
      <c r="AO1815" s="505" t="s">
        <v>251</v>
      </c>
    </row>
    <row r="1816" spans="1:41" s="504" customFormat="1" ht="12" customHeight="1">
      <c r="A1816" s="870">
        <v>1</v>
      </c>
      <c r="B1816" s="871" t="s">
        <v>335</v>
      </c>
      <c r="C1816" s="872"/>
      <c r="D1816" s="873" t="s">
        <v>808</v>
      </c>
      <c r="E1816" s="874">
        <f ca="1">IF(AND($A1816=0,$A$1="DIF"),0, ROUND(ROUND(($R1821*$S$2+($T1821*$T$2))/A1816,2)*$C$2,2))</f>
        <v>115.71</v>
      </c>
      <c r="F1816" s="875">
        <f ca="1">ROUND($A1816*$E1816,2)</f>
        <v>115.71</v>
      </c>
      <c r="G1816" s="876" t="s">
        <v>139</v>
      </c>
      <c r="H1816" s="877"/>
      <c r="I1816" s="878"/>
      <c r="J1816" s="877"/>
      <c r="K1816" s="877" t="s">
        <v>3</v>
      </c>
      <c r="L1816" s="879" t="s">
        <v>140</v>
      </c>
      <c r="M1816" s="879"/>
      <c r="N1816" s="879"/>
      <c r="O1816" s="879"/>
      <c r="P1816" s="879"/>
      <c r="Q1816" s="50"/>
      <c r="T1816" s="880" t="str">
        <f ca="1">IF(AND($R1821=0,$T1821=0),"0.00","mu :" &amp; ROUND($F1816/$C$2/($R1821+$T1821*$D$9),2))</f>
        <v>mu :1.22</v>
      </c>
      <c r="W1816" s="507"/>
      <c r="AG1816" s="465">
        <f ca="1">IF($E1816=0,0,ROUND($R1821*$S$2*$C$2/$A1816,2))</f>
        <v>23.55</v>
      </c>
      <c r="AH1816" s="465">
        <f ca="1">$AG1816*$A1816</f>
        <v>23.55</v>
      </c>
      <c r="AI1816" s="508">
        <f ca="1">$E1816-$AG1816</f>
        <v>92.16</v>
      </c>
      <c r="AJ1816" s="508">
        <f ca="1">$A1816*$AI1816</f>
        <v>92.16</v>
      </c>
      <c r="AK1816" s="509">
        <f ca="1">ROUND(($AG1816+$AI1816)*$A1816,2)</f>
        <v>115.71</v>
      </c>
      <c r="AM1816" s="510">
        <f ca="1">ROUND(R1821,2)</f>
        <v>19.3</v>
      </c>
      <c r="AN1816" s="511">
        <f ca="1">ROUND(T1821,2)</f>
        <v>2.62</v>
      </c>
      <c r="AO1816" s="512">
        <f ca="1">ROUND(AM1816+AN1816,2)*A1816</f>
        <v>21.92</v>
      </c>
    </row>
    <row r="1817" spans="1:41" s="504" customFormat="1" ht="13.2">
      <c r="A1817" s="872"/>
      <c r="B1817"/>
      <c r="C1817" s="872"/>
      <c r="D1817" s="873" t="s">
        <v>434</v>
      </c>
      <c r="F1817" s="877"/>
      <c r="G1817" s="3"/>
      <c r="H1817" s="877"/>
      <c r="I1817" s="878"/>
      <c r="J1817" s="877"/>
      <c r="K1817" s="877" t="s">
        <v>141</v>
      </c>
      <c r="L1817" s="877"/>
      <c r="M1817" s="877"/>
      <c r="N1817" s="877"/>
      <c r="O1817" s="877"/>
      <c r="P1817" s="877"/>
      <c r="Q1817" s="50"/>
      <c r="R1817" s="513"/>
      <c r="S1817" s="881"/>
      <c r="T1817" s="877"/>
    </row>
    <row r="1818" spans="1:41" s="997" customFormat="1" ht="13.2">
      <c r="A1818"/>
      <c r="B1818" s="1065"/>
      <c r="C1818" s="1065" t="s">
        <v>1006</v>
      </c>
      <c r="D1818" s="1065" t="str">
        <f ca="1">CELL("Address",Elec_Rates!D$200)</f>
        <v>[EL25_0662B_Brittania_Hotel_Elec_Revised_Estim_B.xlsx]Elec_Rates!$D$200</v>
      </c>
      <c r="E1818" s="1066"/>
      <c r="F1818" s="1066"/>
      <c r="G1818" s="1067" t="s">
        <v>1007</v>
      </c>
      <c r="H1818" s="1067"/>
      <c r="I1818" s="1067"/>
      <c r="J1818" s="1067"/>
      <c r="K1818" s="1068"/>
      <c r="L1818" s="1066"/>
      <c r="M1818" s="1066"/>
      <c r="N1818" s="1066"/>
      <c r="O1818" s="1069"/>
      <c r="P1818" s="1066"/>
      <c r="Q1818" s="1070"/>
      <c r="R1818" s="1071"/>
      <c r="S1818" s="1070"/>
      <c r="T1818" s="1072"/>
      <c r="U1818" s="1073"/>
    </row>
    <row r="1819" spans="1:41" s="997" customFormat="1" ht="11.4">
      <c r="A1819" s="1074">
        <v>1</v>
      </c>
      <c r="B1819" s="1075">
        <v>2</v>
      </c>
      <c r="C1819" s="1075">
        <f>$A1819*$B1819</f>
        <v>2</v>
      </c>
      <c r="D1819" s="1076" t="str">
        <f>Elec_Rates!$D$200</f>
        <v>019# Lighting point in LSZH Conduit</v>
      </c>
      <c r="E1819" s="1076"/>
      <c r="F1819" s="1076" t="s">
        <v>1316</v>
      </c>
      <c r="G1819" s="1077" t="s">
        <v>1008</v>
      </c>
      <c r="H1819" s="1077"/>
      <c r="I1819" s="1077"/>
      <c r="J1819" s="1077"/>
      <c r="K1819" s="1078"/>
      <c r="L1819" s="1073"/>
      <c r="M1819" s="1073"/>
      <c r="N1819" s="1073"/>
      <c r="O1819" s="1079"/>
      <c r="P1819" s="1076"/>
      <c r="Q1819" s="1080">
        <f ca="1">$B1819*Elec_Rates!$R$200</f>
        <v>19.3</v>
      </c>
      <c r="R1819" s="1071">
        <f ca="1">$A1819*Q1819</f>
        <v>19.3</v>
      </c>
      <c r="S1819" s="1080">
        <f ca="1">$B1819*Elec_Rates!$T$200</f>
        <v>2.62</v>
      </c>
      <c r="T1819" s="1072">
        <f ca="1">$A1819*S1819</f>
        <v>2.62</v>
      </c>
      <c r="U1819" s="1081"/>
    </row>
    <row r="1820" spans="1:41" s="504" customFormat="1" ht="12">
      <c r="A1820" s="882"/>
      <c r="B1820" s="882"/>
      <c r="C1820" s="882"/>
      <c r="D1820" s="882"/>
      <c r="E1820" s="882"/>
      <c r="F1820" s="877"/>
      <c r="G1820" s="882"/>
      <c r="H1820" s="882"/>
      <c r="I1820" s="503"/>
      <c r="J1820" s="882"/>
      <c r="K1820" s="882"/>
      <c r="L1820" s="882"/>
      <c r="M1820" s="882"/>
      <c r="N1820" s="882"/>
      <c r="O1820" s="882"/>
      <c r="P1820" s="882"/>
      <c r="Q1820" s="503"/>
      <c r="R1820" s="883">
        <f>$A1820*Q1820</f>
        <v>0</v>
      </c>
      <c r="S1820" s="503"/>
      <c r="T1820" s="884">
        <f>$A1820*S1820*$T$1</f>
        <v>0</v>
      </c>
    </row>
    <row r="1821" spans="1:41" s="504" customFormat="1" ht="12.6" thickBot="1">
      <c r="A1821" s="885" t="s">
        <v>142</v>
      </c>
      <c r="B1821" s="886">
        <f>(R1820+T1820)</f>
        <v>0</v>
      </c>
      <c r="C1821" s="887"/>
      <c r="D1821" s="887"/>
      <c r="E1821" s="887"/>
      <c r="F1821" s="888"/>
      <c r="G1821" s="887" t="s">
        <v>143</v>
      </c>
      <c r="H1821" s="887"/>
      <c r="I1821" s="889"/>
      <c r="J1821" s="887"/>
      <c r="K1821" s="887" t="s">
        <v>3</v>
      </c>
      <c r="L1821" s="890" t="s">
        <v>140</v>
      </c>
      <c r="M1821" s="890"/>
      <c r="N1821" s="890"/>
      <c r="O1821" s="890"/>
      <c r="P1821" s="890"/>
      <c r="Q1821" s="891"/>
      <c r="R1821" s="892">
        <f ca="1">SUM(R1817:R1820)</f>
        <v>19.3</v>
      </c>
      <c r="S1821" s="887"/>
      <c r="T1821" s="892">
        <f ca="1">SUM(T1817:T1820)</f>
        <v>2.62</v>
      </c>
      <c r="U1821" s="514"/>
      <c r="V1821" s="514"/>
      <c r="W1821" s="514"/>
      <c r="X1821" s="514"/>
      <c r="Y1821" s="514"/>
      <c r="Z1821" s="514"/>
      <c r="AA1821" s="514"/>
      <c r="AB1821" s="514"/>
      <c r="AC1821" s="514"/>
      <c r="AD1821" s="514"/>
      <c r="AE1821" s="514"/>
      <c r="AF1821" s="514"/>
      <c r="AG1821" s="514"/>
      <c r="AH1821" s="514"/>
      <c r="AI1821" s="514"/>
      <c r="AJ1821" s="514"/>
      <c r="AK1821" s="514"/>
      <c r="AL1821" s="514"/>
      <c r="AM1821" s="514"/>
      <c r="AN1821" s="514"/>
      <c r="AO1821" s="514"/>
    </row>
    <row r="1822" spans="1:41" s="504" customFormat="1" ht="12" thickTop="1">
      <c r="A1822" s="50"/>
      <c r="B1822" s="40"/>
      <c r="C1822" s="50"/>
      <c r="E1822" s="41" t="s">
        <v>136</v>
      </c>
      <c r="F1822" s="41" t="s">
        <v>137</v>
      </c>
      <c r="G1822" s="50"/>
      <c r="H1822" s="50"/>
      <c r="I1822" s="50"/>
      <c r="J1822" s="50"/>
      <c r="K1822" s="50" t="s">
        <v>138</v>
      </c>
      <c r="L1822" s="50"/>
      <c r="M1822" s="50"/>
      <c r="N1822" s="50"/>
      <c r="O1822" s="51"/>
      <c r="P1822" s="50"/>
      <c r="Q1822" s="50"/>
      <c r="R1822" s="50"/>
      <c r="S1822" s="50"/>
      <c r="T1822" s="40"/>
      <c r="AG1822" s="867" t="s">
        <v>241</v>
      </c>
      <c r="AH1822" s="867" t="s">
        <v>242</v>
      </c>
      <c r="AI1822" s="867" t="s">
        <v>243</v>
      </c>
      <c r="AJ1822" s="867" t="s">
        <v>244</v>
      </c>
      <c r="AK1822" s="867" t="s">
        <v>245</v>
      </c>
      <c r="AM1822" s="868" t="s">
        <v>254</v>
      </c>
      <c r="AN1822" s="869" t="s">
        <v>255</v>
      </c>
      <c r="AO1822" s="505" t="s">
        <v>251</v>
      </c>
    </row>
    <row r="1823" spans="1:41" s="504" customFormat="1" ht="12" customHeight="1">
      <c r="A1823" s="870">
        <v>3</v>
      </c>
      <c r="B1823" s="871" t="s">
        <v>335</v>
      </c>
      <c r="C1823" s="872"/>
      <c r="D1823" s="873" t="s">
        <v>810</v>
      </c>
      <c r="E1823" s="874">
        <f ca="1">IF(AND($A1823=0,$A$1="DIF"),0, ROUND(ROUND(($R1828*$S$2+($T1828*$T$2))/A1823,2)*$C$2,2))</f>
        <v>318.2</v>
      </c>
      <c r="F1823" s="875">
        <f ca="1">ROUND($A1823*$E1823,2)</f>
        <v>954.6</v>
      </c>
      <c r="G1823" s="876" t="s">
        <v>139</v>
      </c>
      <c r="H1823" s="877"/>
      <c r="I1823" s="878"/>
      <c r="J1823" s="877"/>
      <c r="K1823" s="877" t="s">
        <v>3</v>
      </c>
      <c r="L1823" s="879" t="s">
        <v>140</v>
      </c>
      <c r="M1823" s="879"/>
      <c r="N1823" s="879"/>
      <c r="O1823" s="879"/>
      <c r="P1823" s="879"/>
      <c r="Q1823" s="50"/>
      <c r="T1823" s="880" t="str">
        <f ca="1">IF(AND($R1828=0,$T1828=0),"0.00","mu :" &amp; ROUND($F1823/$C$2/($R1828+$T1828*$D$9),2))</f>
        <v>mu :1.22</v>
      </c>
      <c r="W1823" s="507"/>
      <c r="AG1823" s="465">
        <f ca="1">IF($E1823=0,0,ROUND($R1828*$S$2*$C$2/$A1823,2))</f>
        <v>64.75</v>
      </c>
      <c r="AH1823" s="465">
        <f ca="1">$AG1823*$A1823</f>
        <v>194.25</v>
      </c>
      <c r="AI1823" s="508">
        <f ca="1">$E1823-$AG1823</f>
        <v>253.45</v>
      </c>
      <c r="AJ1823" s="508">
        <f ca="1">$A1823*$AI1823</f>
        <v>760.34999999999991</v>
      </c>
      <c r="AK1823" s="509">
        <f ca="1">ROUND(($AG1823+$AI1823)*$A1823,2)</f>
        <v>954.6</v>
      </c>
      <c r="AM1823" s="510">
        <f ca="1">ROUND(R1828,2)</f>
        <v>159.22999999999999</v>
      </c>
      <c r="AN1823" s="511">
        <f ca="1">ROUND(T1828,2)</f>
        <v>21.62</v>
      </c>
      <c r="AO1823" s="512">
        <f ca="1">ROUND(AM1823+AN1823,2)*A1823</f>
        <v>542.54999999999995</v>
      </c>
    </row>
    <row r="1824" spans="1:41" s="504" customFormat="1" ht="13.2">
      <c r="A1824" s="872"/>
      <c r="B1824"/>
      <c r="C1824" s="872"/>
      <c r="D1824" s="873" t="s">
        <v>405</v>
      </c>
      <c r="F1824" s="877"/>
      <c r="G1824" s="3"/>
      <c r="H1824" s="877"/>
      <c r="I1824" s="878"/>
      <c r="J1824" s="877"/>
      <c r="K1824" s="877" t="s">
        <v>141</v>
      </c>
      <c r="L1824" s="877"/>
      <c r="M1824" s="877"/>
      <c r="N1824" s="877"/>
      <c r="O1824" s="877"/>
      <c r="P1824" s="877"/>
      <c r="Q1824" s="50"/>
      <c r="R1824" s="513"/>
      <c r="S1824" s="881"/>
      <c r="T1824" s="877"/>
    </row>
    <row r="1825" spans="1:41" s="997" customFormat="1" ht="13.2">
      <c r="A1825"/>
      <c r="B1825" s="1065"/>
      <c r="C1825" s="1065" t="s">
        <v>1006</v>
      </c>
      <c r="D1825" s="1065" t="str">
        <f ca="1">CELL("Address",Elec_Rates!D$200)</f>
        <v>[EL25_0662B_Brittania_Hotel_Elec_Revised_Estim_B.xlsx]Elec_Rates!$D$200</v>
      </c>
      <c r="E1825" s="1066"/>
      <c r="F1825" s="1066"/>
      <c r="G1825" s="1067" t="s">
        <v>1007</v>
      </c>
      <c r="H1825" s="1067"/>
      <c r="I1825" s="1067"/>
      <c r="J1825" s="1067"/>
      <c r="K1825" s="1068"/>
      <c r="L1825" s="1066"/>
      <c r="M1825" s="1066"/>
      <c r="N1825" s="1066"/>
      <c r="O1825" s="1069"/>
      <c r="P1825" s="1066"/>
      <c r="Q1825" s="1070"/>
      <c r="R1825" s="1071"/>
      <c r="S1825" s="1070"/>
      <c r="T1825" s="1072"/>
      <c r="U1825" s="1073"/>
    </row>
    <row r="1826" spans="1:41" s="997" customFormat="1" ht="11.4">
      <c r="A1826" s="1074">
        <v>3</v>
      </c>
      <c r="B1826" s="1075">
        <v>5.5</v>
      </c>
      <c r="C1826" s="1075">
        <f>$A1826*$B1826</f>
        <v>16.5</v>
      </c>
      <c r="D1826" s="1076" t="str">
        <f>Elec_Rates!$D$200</f>
        <v>019# Lighting point in LSZH Conduit</v>
      </c>
      <c r="E1826" s="1076"/>
      <c r="F1826" s="1076" t="s">
        <v>1329</v>
      </c>
      <c r="G1826" s="1077" t="s">
        <v>1008</v>
      </c>
      <c r="H1826" s="1077"/>
      <c r="I1826" s="1077"/>
      <c r="J1826" s="1077"/>
      <c r="K1826" s="1078"/>
      <c r="L1826" s="1073"/>
      <c r="M1826" s="1073"/>
      <c r="N1826" s="1073"/>
      <c r="O1826" s="1079"/>
      <c r="P1826" s="1076"/>
      <c r="Q1826" s="1080">
        <f ca="1">$B1826*Elec_Rates!$R$200</f>
        <v>53.075000000000003</v>
      </c>
      <c r="R1826" s="1071">
        <f ca="1">$A1826*Q1826</f>
        <v>159.22500000000002</v>
      </c>
      <c r="S1826" s="1080">
        <f ca="1">$B1826*Elec_Rates!$T$200</f>
        <v>7.2050000000000001</v>
      </c>
      <c r="T1826" s="1072">
        <f ca="1">$A1826*S1826</f>
        <v>21.615000000000002</v>
      </c>
      <c r="U1826" s="1081"/>
    </row>
    <row r="1827" spans="1:41" s="504" customFormat="1" ht="12">
      <c r="A1827" s="882"/>
      <c r="B1827" s="882"/>
      <c r="C1827" s="882"/>
      <c r="D1827" s="882"/>
      <c r="E1827" s="882"/>
      <c r="F1827" s="877"/>
      <c r="G1827" s="882"/>
      <c r="H1827" s="882"/>
      <c r="I1827" s="503"/>
      <c r="J1827" s="882"/>
      <c r="K1827" s="882"/>
      <c r="L1827" s="882"/>
      <c r="M1827" s="882"/>
      <c r="N1827" s="882"/>
      <c r="O1827" s="882"/>
      <c r="P1827" s="882"/>
      <c r="Q1827" s="503"/>
      <c r="R1827" s="883">
        <f>$A1827*Q1827</f>
        <v>0</v>
      </c>
      <c r="S1827" s="503"/>
      <c r="T1827" s="884">
        <f>$A1827*S1827*$T$1</f>
        <v>0</v>
      </c>
    </row>
    <row r="1828" spans="1:41" s="504" customFormat="1" ht="12.6" thickBot="1">
      <c r="A1828" s="885" t="s">
        <v>142</v>
      </c>
      <c r="B1828" s="886">
        <f>(R1827+T1827)</f>
        <v>0</v>
      </c>
      <c r="C1828" s="887"/>
      <c r="D1828" s="887"/>
      <c r="E1828" s="887"/>
      <c r="F1828" s="888"/>
      <c r="G1828" s="887" t="s">
        <v>143</v>
      </c>
      <c r="H1828" s="887"/>
      <c r="I1828" s="889"/>
      <c r="J1828" s="887"/>
      <c r="K1828" s="887" t="s">
        <v>3</v>
      </c>
      <c r="L1828" s="890" t="s">
        <v>140</v>
      </c>
      <c r="M1828" s="890"/>
      <c r="N1828" s="890"/>
      <c r="O1828" s="890"/>
      <c r="P1828" s="890"/>
      <c r="Q1828" s="891"/>
      <c r="R1828" s="892">
        <f ca="1">SUM(R1824:R1827)</f>
        <v>159.22500000000002</v>
      </c>
      <c r="S1828" s="887"/>
      <c r="T1828" s="892">
        <f ca="1">SUM(T1824:T1827)</f>
        <v>21.615000000000002</v>
      </c>
      <c r="U1828" s="514"/>
      <c r="V1828" s="514"/>
      <c r="W1828" s="514"/>
      <c r="X1828" s="514"/>
      <c r="Y1828" s="514"/>
      <c r="Z1828" s="514"/>
      <c r="AA1828" s="514"/>
      <c r="AB1828" s="514"/>
      <c r="AC1828" s="514"/>
      <c r="AD1828" s="514"/>
      <c r="AE1828" s="514"/>
      <c r="AF1828" s="514"/>
      <c r="AG1828" s="514"/>
      <c r="AH1828" s="514"/>
      <c r="AI1828" s="514"/>
      <c r="AJ1828" s="514"/>
      <c r="AK1828" s="514"/>
      <c r="AL1828" s="514"/>
      <c r="AM1828" s="514"/>
      <c r="AN1828" s="514"/>
      <c r="AO1828" s="514"/>
    </row>
    <row r="1829" spans="1:41" s="504" customFormat="1" ht="12" thickTop="1">
      <c r="A1829" s="50"/>
      <c r="B1829" s="40"/>
      <c r="C1829" s="50"/>
      <c r="E1829" s="41" t="s">
        <v>136</v>
      </c>
      <c r="F1829" s="41" t="s">
        <v>137</v>
      </c>
      <c r="G1829" s="50"/>
      <c r="H1829" s="50"/>
      <c r="I1829" s="50"/>
      <c r="J1829" s="50"/>
      <c r="K1829" s="50" t="s">
        <v>138</v>
      </c>
      <c r="L1829" s="50"/>
      <c r="M1829" s="50"/>
      <c r="N1829" s="50"/>
      <c r="O1829" s="51"/>
      <c r="P1829" s="50"/>
      <c r="Q1829" s="50"/>
      <c r="R1829" s="50"/>
      <c r="S1829" s="50"/>
      <c r="T1829" s="40"/>
      <c r="AG1829" s="867" t="s">
        <v>241</v>
      </c>
      <c r="AH1829" s="867" t="s">
        <v>242</v>
      </c>
      <c r="AI1829" s="867" t="s">
        <v>243</v>
      </c>
      <c r="AJ1829" s="867" t="s">
        <v>244</v>
      </c>
      <c r="AK1829" s="867" t="s">
        <v>245</v>
      </c>
      <c r="AM1829" s="868" t="s">
        <v>254</v>
      </c>
      <c r="AN1829" s="869" t="s">
        <v>255</v>
      </c>
      <c r="AO1829" s="505" t="s">
        <v>251</v>
      </c>
    </row>
    <row r="1830" spans="1:41" s="504" customFormat="1" ht="12" customHeight="1">
      <c r="A1830" s="870">
        <v>3</v>
      </c>
      <c r="B1830" s="871" t="s">
        <v>335</v>
      </c>
      <c r="C1830" s="872"/>
      <c r="D1830" s="873" t="s">
        <v>812</v>
      </c>
      <c r="E1830" s="874">
        <f ca="1">IF(AND($A1830=0,$A$1="DIF"),0, ROUND(ROUND(($R1839*$S$2+($T1839*$T$2))/A1830,2)*$C$2,2))</f>
        <v>317.52</v>
      </c>
      <c r="F1830" s="875">
        <f ca="1">ROUND($A1830*$E1830,2)</f>
        <v>952.56</v>
      </c>
      <c r="G1830" s="876" t="s">
        <v>139</v>
      </c>
      <c r="H1830" s="877"/>
      <c r="I1830" s="878"/>
      <c r="J1830" s="877"/>
      <c r="K1830" s="877" t="s">
        <v>3</v>
      </c>
      <c r="L1830" s="879" t="s">
        <v>140</v>
      </c>
      <c r="M1830" s="879"/>
      <c r="N1830" s="879"/>
      <c r="O1830" s="879"/>
      <c r="P1830" s="879"/>
      <c r="Q1830" s="50"/>
      <c r="T1830" s="880" t="str">
        <f ca="1">IF(AND($R1839=0,$T1839=0),"0.00","mu :" &amp; ROUND($F1830/$C$2/($R1839+$T1839*$D$9),2))</f>
        <v>mu :1.22</v>
      </c>
      <c r="W1830" s="507"/>
      <c r="AG1830" s="465">
        <f ca="1">IF($E1830=0,0,ROUND($R1839*$S$2*$C$2/$A1830,2))</f>
        <v>142.69</v>
      </c>
      <c r="AH1830" s="465">
        <f ca="1">$AG1830*$A1830</f>
        <v>428.07</v>
      </c>
      <c r="AI1830" s="508">
        <f ca="1">$E1830-$AG1830</f>
        <v>174.82999999999998</v>
      </c>
      <c r="AJ1830" s="508">
        <f ca="1">$A1830*$AI1830</f>
        <v>524.49</v>
      </c>
      <c r="AK1830" s="509">
        <f ca="1">ROUND(($AG1830+$AI1830)*$A1830,2)</f>
        <v>952.56</v>
      </c>
      <c r="AM1830" s="510">
        <f ca="1">ROUND(R1839,2)</f>
        <v>350.88</v>
      </c>
      <c r="AN1830" s="511">
        <f ca="1">ROUND(T1839,2)</f>
        <v>14.91</v>
      </c>
      <c r="AO1830" s="512">
        <f ca="1">ROUND(AM1830+AN1830,2)*A1830</f>
        <v>1097.3700000000001</v>
      </c>
    </row>
    <row r="1831" spans="1:41" s="504" customFormat="1" ht="13.2">
      <c r="A1831" s="872"/>
      <c r="B1831"/>
      <c r="C1831" s="872"/>
      <c r="D1831" s="916" t="s">
        <v>410</v>
      </c>
      <c r="E1831" s="917"/>
      <c r="F1831" s="918"/>
      <c r="G1831" s="919"/>
      <c r="H1831" s="918"/>
      <c r="I1831" s="920"/>
      <c r="J1831" s="918"/>
      <c r="K1831" s="918"/>
      <c r="L1831" s="918"/>
      <c r="M1831" s="918"/>
      <c r="N1831" s="918"/>
      <c r="O1831" s="918"/>
      <c r="P1831" s="918"/>
      <c r="Q1831" s="921"/>
      <c r="R1831" s="513"/>
      <c r="S1831" s="881"/>
      <c r="T1831" s="877"/>
    </row>
    <row r="1832" spans="1:41" s="997" customFormat="1" ht="13.2">
      <c r="A1832"/>
      <c r="B1832" s="1065"/>
      <c r="C1832" s="1065" t="s">
        <v>1006</v>
      </c>
      <c r="D1832" s="1065" t="str">
        <f ca="1">CELL("Address",Elec_Rates!D$200)</f>
        <v>[EL25_0662B_Brittania_Hotel_Elec_Revised_Estim_B.xlsx]Elec_Rates!$D$200</v>
      </c>
      <c r="E1832" s="1066"/>
      <c r="F1832" s="1066"/>
      <c r="G1832" s="1067" t="s">
        <v>1007</v>
      </c>
      <c r="H1832" s="1067"/>
      <c r="I1832" s="1067"/>
      <c r="J1832" s="1067"/>
      <c r="K1832" s="1068"/>
      <c r="L1832" s="1066"/>
      <c r="M1832" s="1066"/>
      <c r="N1832" s="1066"/>
      <c r="O1832" s="1069"/>
      <c r="P1832" s="1066"/>
      <c r="Q1832" s="1070"/>
      <c r="R1832" s="1071"/>
      <c r="S1832" s="1070"/>
      <c r="T1832" s="1072"/>
      <c r="U1832" s="1073"/>
    </row>
    <row r="1833" spans="1:41" s="997" customFormat="1" ht="11.4">
      <c r="A1833" s="1074">
        <v>3</v>
      </c>
      <c r="B1833" s="1075">
        <v>3</v>
      </c>
      <c r="C1833" s="1075">
        <f>$A1833*$B1833</f>
        <v>9</v>
      </c>
      <c r="D1833" s="1076" t="str">
        <f>Elec_Rates!$D$200</f>
        <v>019# Lighting point in LSZH Conduit</v>
      </c>
      <c r="E1833" s="1076"/>
      <c r="F1833" s="1076"/>
      <c r="G1833" s="1077" t="s">
        <v>1008</v>
      </c>
      <c r="H1833" s="1077"/>
      <c r="I1833" s="1077"/>
      <c r="J1833" s="1077"/>
      <c r="K1833" s="1078"/>
      <c r="L1833" s="1073"/>
      <c r="M1833" s="1073"/>
      <c r="N1833" s="1073"/>
      <c r="O1833" s="1079"/>
      <c r="P1833" s="1076"/>
      <c r="Q1833" s="1080">
        <f ca="1">$B1833*Elec_Rates!$R$200</f>
        <v>28.950000000000003</v>
      </c>
      <c r="R1833" s="1071">
        <f ca="1">$A1833*Q1833</f>
        <v>86.850000000000009</v>
      </c>
      <c r="S1833" s="1080">
        <f ca="1">$B1833*Elec_Rates!$T$200</f>
        <v>3.93</v>
      </c>
      <c r="T1833" s="1072">
        <f ca="1">$A1833*S1833</f>
        <v>11.790000000000001</v>
      </c>
      <c r="U1833" s="1081"/>
    </row>
    <row r="1834" spans="1:41" s="997" customFormat="1" ht="13.2">
      <c r="A1834"/>
      <c r="B1834" s="1065"/>
      <c r="C1834" s="1065" t="s">
        <v>1006</v>
      </c>
      <c r="D1834" s="1065" t="str">
        <f ca="1">CELL("Address",Elec_Rates!D$210)</f>
        <v>[EL25_0662B_Brittania_Hotel_Elec_Revised_Estim_B.xlsx]Elec_Rates!$D$210</v>
      </c>
      <c r="E1834" s="1066"/>
      <c r="F1834" s="1066"/>
      <c r="G1834" s="1067" t="s">
        <v>1007</v>
      </c>
      <c r="H1834" s="1067"/>
      <c r="I1834" s="1067"/>
      <c r="J1834" s="1067"/>
      <c r="K1834" s="1068"/>
      <c r="L1834" s="1066"/>
      <c r="M1834" s="1066"/>
      <c r="N1834" s="1066"/>
      <c r="O1834" s="1069"/>
      <c r="P1834" s="1066"/>
      <c r="Q1834" s="1070"/>
      <c r="R1834" s="1071"/>
      <c r="S1834" s="1070"/>
      <c r="T1834" s="1072"/>
      <c r="U1834" s="1073"/>
    </row>
    <row r="1835" spans="1:41" s="997" customFormat="1" ht="11.4">
      <c r="A1835" s="1074">
        <v>3</v>
      </c>
      <c r="B1835" s="1075">
        <v>3</v>
      </c>
      <c r="C1835" s="1075">
        <f>$A1835*$B1835</f>
        <v>9</v>
      </c>
      <c r="D1835" s="1076" t="str">
        <f>Elec_Rates!$D$210</f>
        <v>020# Movement Detector</v>
      </c>
      <c r="E1835" s="1076"/>
      <c r="F1835" s="1076"/>
      <c r="G1835" s="1077" t="s">
        <v>1008</v>
      </c>
      <c r="H1835" s="1077"/>
      <c r="I1835" s="1077"/>
      <c r="J1835" s="1077"/>
      <c r="K1835" s="1078"/>
      <c r="L1835" s="1073"/>
      <c r="M1835" s="1073"/>
      <c r="N1835" s="1073"/>
      <c r="O1835" s="1079"/>
      <c r="P1835" s="1076"/>
      <c r="Q1835" s="1080">
        <f ca="1">$B1835*Elec_Rates!$R$210</f>
        <v>53.010000000000005</v>
      </c>
      <c r="R1835" s="1071">
        <f ca="1">$A1835*Q1835</f>
        <v>159.03000000000003</v>
      </c>
      <c r="S1835" s="1080">
        <f ca="1">$B1835*Elec_Rates!$T$210</f>
        <v>0.78</v>
      </c>
      <c r="T1835" s="1072">
        <f ca="1">$A1835*S1835</f>
        <v>2.34</v>
      </c>
      <c r="U1835" s="1081"/>
    </row>
    <row r="1836" spans="1:41" s="997" customFormat="1" ht="13.2">
      <c r="A1836"/>
      <c r="B1836" s="1065"/>
      <c r="C1836" s="1065" t="s">
        <v>1006</v>
      </c>
      <c r="D1836" s="1065" t="str">
        <f ca="1">CELL("Address",Elec_Rates!D$524)</f>
        <v>[EL25_0662B_Brittania_Hotel_Elec_Revised_Estim_B.xlsx]Elec_Rates!$D$524</v>
      </c>
      <c r="E1836" s="1066"/>
      <c r="F1836" s="1066"/>
      <c r="G1836" s="1067" t="s">
        <v>1007</v>
      </c>
      <c r="H1836" s="1067"/>
      <c r="I1836" s="1067"/>
      <c r="J1836" s="1067"/>
      <c r="K1836" s="1068"/>
      <c r="L1836" s="1066"/>
      <c r="M1836" s="1066"/>
      <c r="N1836" s="1066"/>
      <c r="O1836" s="1069"/>
      <c r="P1836" s="1066"/>
      <c r="Q1836" s="1070"/>
      <c r="R1836" s="1071"/>
      <c r="S1836" s="1070"/>
      <c r="T1836" s="1072"/>
      <c r="U1836" s="1073"/>
    </row>
    <row r="1837" spans="1:41" s="997" customFormat="1" ht="11.4">
      <c r="A1837" s="1074">
        <v>3</v>
      </c>
      <c r="B1837" s="1075">
        <v>1</v>
      </c>
      <c r="C1837" s="1075">
        <f>$A1837*$B1837</f>
        <v>3</v>
      </c>
      <c r="D1837" s="1076" t="str">
        <f>Elec_Rates!$D$524</f>
        <v>062# 230V 2P 16A Contactor</v>
      </c>
      <c r="E1837" s="1076"/>
      <c r="F1837" s="1076"/>
      <c r="G1837" s="1077" t="s">
        <v>1008</v>
      </c>
      <c r="H1837" s="1077"/>
      <c r="I1837" s="1077"/>
      <c r="J1837" s="1077"/>
      <c r="K1837" s="1078"/>
      <c r="L1837" s="1073"/>
      <c r="M1837" s="1073"/>
      <c r="N1837" s="1073"/>
      <c r="O1837" s="1079"/>
      <c r="P1837" s="1076"/>
      <c r="Q1837" s="1080">
        <f ca="1">$B1837*Elec_Rates!$R$524</f>
        <v>35</v>
      </c>
      <c r="R1837" s="1071">
        <f ca="1">$A1837*Q1837</f>
        <v>105</v>
      </c>
      <c r="S1837" s="1080">
        <f ca="1">$B1837*Elec_Rates!$T$524</f>
        <v>0.26</v>
      </c>
      <c r="T1837" s="1072">
        <f ca="1">$A1837*S1837</f>
        <v>0.78</v>
      </c>
      <c r="U1837" s="1081"/>
    </row>
    <row r="1838" spans="1:41" s="504" customFormat="1" ht="12">
      <c r="A1838" s="882"/>
      <c r="B1838" s="882"/>
      <c r="C1838" s="882"/>
      <c r="D1838" s="882"/>
      <c r="E1838" s="882"/>
      <c r="F1838" s="877"/>
      <c r="G1838" s="882"/>
      <c r="H1838" s="882"/>
      <c r="I1838" s="503"/>
      <c r="J1838" s="882"/>
      <c r="K1838" s="882"/>
      <c r="L1838" s="882"/>
      <c r="M1838" s="882"/>
      <c r="N1838" s="882"/>
      <c r="O1838" s="882"/>
      <c r="P1838" s="882"/>
      <c r="Q1838" s="503"/>
      <c r="R1838" s="883">
        <f>$A1838*Q1838</f>
        <v>0</v>
      </c>
      <c r="S1838" s="503"/>
      <c r="T1838" s="884">
        <f>$A1838*S1838*$T$1</f>
        <v>0</v>
      </c>
    </row>
    <row r="1839" spans="1:41" s="504" customFormat="1" ht="12.6" thickBot="1">
      <c r="A1839" s="885" t="s">
        <v>142</v>
      </c>
      <c r="B1839" s="886">
        <f>(R1838+T1838)</f>
        <v>0</v>
      </c>
      <c r="C1839" s="887"/>
      <c r="D1839" s="887"/>
      <c r="E1839" s="887"/>
      <c r="F1839" s="888"/>
      <c r="G1839" s="887" t="s">
        <v>143</v>
      </c>
      <c r="H1839" s="887"/>
      <c r="I1839" s="889"/>
      <c r="J1839" s="887"/>
      <c r="K1839" s="887" t="s">
        <v>3</v>
      </c>
      <c r="L1839" s="890" t="s">
        <v>140</v>
      </c>
      <c r="M1839" s="890"/>
      <c r="N1839" s="890"/>
      <c r="O1839" s="890"/>
      <c r="P1839" s="890"/>
      <c r="Q1839" s="891"/>
      <c r="R1839" s="892">
        <f ca="1">SUM(R1831:R1838)</f>
        <v>350.88000000000005</v>
      </c>
      <c r="S1839" s="887"/>
      <c r="T1839" s="892">
        <f ca="1">SUM(T1831:T1838)</f>
        <v>14.91</v>
      </c>
      <c r="U1839" s="514"/>
      <c r="V1839" s="514"/>
      <c r="W1839" s="514"/>
      <c r="X1839" s="514"/>
      <c r="Y1839" s="514"/>
      <c r="Z1839" s="514"/>
      <c r="AA1839" s="514"/>
      <c r="AB1839" s="514"/>
      <c r="AC1839" s="514"/>
      <c r="AD1839" s="514"/>
      <c r="AE1839" s="514"/>
      <c r="AF1839" s="514"/>
      <c r="AG1839" s="514"/>
      <c r="AH1839" s="514"/>
      <c r="AI1839" s="514"/>
      <c r="AJ1839" s="514"/>
      <c r="AK1839" s="514"/>
      <c r="AL1839" s="514"/>
      <c r="AM1839" s="514"/>
      <c r="AN1839" s="514"/>
      <c r="AO1839" s="514"/>
    </row>
    <row r="1840" spans="1:41" s="504" customFormat="1" ht="12" thickTop="1">
      <c r="A1840" s="50"/>
      <c r="B1840" s="40"/>
      <c r="C1840" s="50"/>
      <c r="E1840" s="41" t="s">
        <v>136</v>
      </c>
      <c r="F1840" s="41" t="s">
        <v>137</v>
      </c>
      <c r="G1840" s="50"/>
      <c r="H1840" s="50"/>
      <c r="I1840" s="50"/>
      <c r="J1840" s="50"/>
      <c r="K1840" s="50" t="s">
        <v>138</v>
      </c>
      <c r="L1840" s="50"/>
      <c r="M1840" s="50"/>
      <c r="N1840" s="50"/>
      <c r="O1840" s="51"/>
      <c r="P1840" s="50"/>
      <c r="Q1840" s="50"/>
      <c r="R1840" s="50"/>
      <c r="S1840" s="50"/>
      <c r="T1840" s="40"/>
      <c r="AG1840" s="867" t="s">
        <v>241</v>
      </c>
      <c r="AH1840" s="867" t="s">
        <v>242</v>
      </c>
      <c r="AI1840" s="867" t="s">
        <v>243</v>
      </c>
      <c r="AJ1840" s="867" t="s">
        <v>244</v>
      </c>
      <c r="AK1840" s="867" t="s">
        <v>245</v>
      </c>
      <c r="AM1840" s="868" t="s">
        <v>254</v>
      </c>
      <c r="AN1840" s="869" t="s">
        <v>255</v>
      </c>
      <c r="AO1840" s="505" t="s">
        <v>251</v>
      </c>
    </row>
    <row r="1841" spans="1:41" s="504" customFormat="1" ht="12" customHeight="1">
      <c r="A1841" s="870">
        <v>1</v>
      </c>
      <c r="B1841" s="871" t="s">
        <v>335</v>
      </c>
      <c r="C1841" s="872"/>
      <c r="D1841" s="873" t="s">
        <v>819</v>
      </c>
      <c r="E1841" s="874">
        <f ca="1">IF(AND($A1841=0,$A$1="DIF"),0, ROUND(ROUND(($R1846*$S$2+($T1846*$T$2))/A1841,2)*$C$2,2))</f>
        <v>144.63</v>
      </c>
      <c r="F1841" s="875">
        <f ca="1">ROUND($A1841*$E1841,2)</f>
        <v>144.63</v>
      </c>
      <c r="G1841" s="876" t="s">
        <v>139</v>
      </c>
      <c r="H1841" s="877"/>
      <c r="I1841" s="878"/>
      <c r="J1841" s="877"/>
      <c r="K1841" s="877" t="s">
        <v>3</v>
      </c>
      <c r="L1841" s="879" t="s">
        <v>140</v>
      </c>
      <c r="M1841" s="879"/>
      <c r="N1841" s="879"/>
      <c r="O1841" s="879"/>
      <c r="P1841" s="879"/>
      <c r="Q1841" s="50"/>
      <c r="T1841" s="880" t="str">
        <f ca="1">IF(AND($R1846=0,$T1846=0),"0.00","mu :" &amp; ROUND($F1841/$C$2/($R1846+$T1846*$D$9),2))</f>
        <v>mu :1.22</v>
      </c>
      <c r="W1841" s="507"/>
      <c r="AG1841" s="465">
        <f ca="1">IF($E1841=0,0,ROUND($R1846*$S$2*$C$2/$A1841,2))</f>
        <v>29.43</v>
      </c>
      <c r="AH1841" s="465">
        <f ca="1">$AG1841*$A1841</f>
        <v>29.43</v>
      </c>
      <c r="AI1841" s="508">
        <f ca="1">$E1841-$AG1841</f>
        <v>115.19999999999999</v>
      </c>
      <c r="AJ1841" s="508">
        <f ca="1">$A1841*$AI1841</f>
        <v>115.19999999999999</v>
      </c>
      <c r="AK1841" s="509">
        <f ca="1">ROUND(($AG1841+$AI1841)*$A1841,2)</f>
        <v>144.63</v>
      </c>
      <c r="AM1841" s="510">
        <f ca="1">ROUND(R1846,2)</f>
        <v>24.13</v>
      </c>
      <c r="AN1841" s="511">
        <f ca="1">ROUND(T1846,2)</f>
        <v>3.28</v>
      </c>
      <c r="AO1841" s="512">
        <f ca="1">ROUND(AM1841+AN1841,2)*A1841</f>
        <v>27.41</v>
      </c>
    </row>
    <row r="1842" spans="1:41" s="504" customFormat="1" ht="13.2">
      <c r="A1842" s="872"/>
      <c r="B1842"/>
      <c r="C1842" s="872"/>
      <c r="D1842" s="916" t="s">
        <v>435</v>
      </c>
      <c r="E1842" s="917"/>
      <c r="F1842" s="918"/>
      <c r="G1842" s="919"/>
      <c r="H1842" s="918"/>
      <c r="I1842" s="920"/>
      <c r="J1842" s="918"/>
      <c r="K1842" s="918"/>
      <c r="L1842" s="918"/>
      <c r="M1842" s="918"/>
      <c r="N1842" s="918"/>
      <c r="O1842" s="918"/>
      <c r="P1842" s="918"/>
      <c r="Q1842" s="921"/>
      <c r="R1842" s="513"/>
      <c r="S1842" s="881"/>
      <c r="T1842" s="877"/>
    </row>
    <row r="1843" spans="1:41" s="997" customFormat="1" ht="13.2">
      <c r="A1843"/>
      <c r="B1843" s="1065"/>
      <c r="C1843" s="1065" t="s">
        <v>1006</v>
      </c>
      <c r="D1843" s="1065" t="str">
        <f ca="1">CELL("Address",Elec_Rates!D$200)</f>
        <v>[EL25_0662B_Brittania_Hotel_Elec_Revised_Estim_B.xlsx]Elec_Rates!$D$200</v>
      </c>
      <c r="E1843" s="1066"/>
      <c r="F1843" s="1066"/>
      <c r="G1843" s="1067" t="s">
        <v>1007</v>
      </c>
      <c r="H1843" s="1067"/>
      <c r="I1843" s="1067"/>
      <c r="J1843" s="1067"/>
      <c r="K1843" s="1068"/>
      <c r="L1843" s="1066"/>
      <c r="M1843" s="1066"/>
      <c r="N1843" s="1066"/>
      <c r="O1843" s="1069"/>
      <c r="P1843" s="1066"/>
      <c r="Q1843" s="1070"/>
      <c r="R1843" s="1071"/>
      <c r="S1843" s="1070"/>
      <c r="T1843" s="1072"/>
      <c r="U1843" s="1073"/>
    </row>
    <row r="1844" spans="1:41" s="997" customFormat="1" ht="11.4">
      <c r="A1844" s="1074">
        <v>1</v>
      </c>
      <c r="B1844" s="1075">
        <v>2.5</v>
      </c>
      <c r="C1844" s="1075">
        <f>$A1844*$B1844</f>
        <v>2.5</v>
      </c>
      <c r="D1844" s="1076" t="str">
        <f>Elec_Rates!$D$200</f>
        <v>019# Lighting point in LSZH Conduit</v>
      </c>
      <c r="E1844" s="1076"/>
      <c r="F1844" s="1076" t="s">
        <v>1178</v>
      </c>
      <c r="G1844" s="1077" t="s">
        <v>1008</v>
      </c>
      <c r="H1844" s="1077"/>
      <c r="I1844" s="1077"/>
      <c r="J1844" s="1077"/>
      <c r="K1844" s="1078"/>
      <c r="L1844" s="1073"/>
      <c r="M1844" s="1073"/>
      <c r="N1844" s="1073"/>
      <c r="O1844" s="1079"/>
      <c r="P1844" s="1076"/>
      <c r="Q1844" s="1080">
        <f ca="1">$B1844*Elec_Rates!$R$200</f>
        <v>24.125</v>
      </c>
      <c r="R1844" s="1071">
        <f ca="1">$A1844*Q1844</f>
        <v>24.125</v>
      </c>
      <c r="S1844" s="1080">
        <f ca="1">$B1844*Elec_Rates!$T$200</f>
        <v>3.2750000000000004</v>
      </c>
      <c r="T1844" s="1072">
        <f ca="1">$A1844*S1844</f>
        <v>3.2750000000000004</v>
      </c>
      <c r="U1844" s="1081"/>
    </row>
    <row r="1845" spans="1:41" s="504" customFormat="1" ht="12">
      <c r="A1845" s="882"/>
      <c r="B1845" s="882"/>
      <c r="C1845" s="882"/>
      <c r="D1845" s="882"/>
      <c r="E1845" s="882"/>
      <c r="F1845" s="877"/>
      <c r="G1845" s="882"/>
      <c r="H1845" s="882"/>
      <c r="I1845" s="503"/>
      <c r="J1845" s="882"/>
      <c r="K1845" s="882"/>
      <c r="L1845" s="882"/>
      <c r="M1845" s="882"/>
      <c r="N1845" s="882"/>
      <c r="O1845" s="882"/>
      <c r="P1845" s="882"/>
      <c r="Q1845" s="503"/>
      <c r="R1845" s="883">
        <f>$A1845*Q1845</f>
        <v>0</v>
      </c>
      <c r="S1845" s="503"/>
      <c r="T1845" s="884">
        <f>$A1845*S1845*$T$1</f>
        <v>0</v>
      </c>
    </row>
    <row r="1846" spans="1:41" s="504" customFormat="1" ht="12.6" thickBot="1">
      <c r="A1846" s="885" t="s">
        <v>142</v>
      </c>
      <c r="B1846" s="886">
        <f>(R1845+T1845)</f>
        <v>0</v>
      </c>
      <c r="C1846" s="887"/>
      <c r="D1846" s="887"/>
      <c r="E1846" s="887"/>
      <c r="F1846" s="888"/>
      <c r="G1846" s="887" t="s">
        <v>143</v>
      </c>
      <c r="H1846" s="887"/>
      <c r="I1846" s="889"/>
      <c r="J1846" s="887"/>
      <c r="K1846" s="887" t="s">
        <v>3</v>
      </c>
      <c r="L1846" s="890" t="s">
        <v>140</v>
      </c>
      <c r="M1846" s="890"/>
      <c r="N1846" s="890"/>
      <c r="O1846" s="890"/>
      <c r="P1846" s="890"/>
      <c r="Q1846" s="891"/>
      <c r="R1846" s="892">
        <f ca="1">SUM(R1842:R1845)</f>
        <v>24.125</v>
      </c>
      <c r="S1846" s="887"/>
      <c r="T1846" s="892">
        <f ca="1">SUM(T1842:T1845)</f>
        <v>3.2750000000000004</v>
      </c>
      <c r="U1846" s="514"/>
      <c r="V1846" s="514"/>
      <c r="W1846" s="514"/>
      <c r="X1846" s="514"/>
      <c r="Y1846" s="514"/>
      <c r="Z1846" s="514"/>
      <c r="AA1846" s="514"/>
      <c r="AB1846" s="514"/>
      <c r="AC1846" s="514"/>
      <c r="AD1846" s="514"/>
      <c r="AE1846" s="514"/>
      <c r="AF1846" s="514"/>
      <c r="AG1846" s="514"/>
      <c r="AH1846" s="514"/>
      <c r="AI1846" s="514"/>
      <c r="AJ1846" s="514"/>
      <c r="AK1846" s="514"/>
      <c r="AL1846" s="514"/>
      <c r="AM1846" s="514"/>
      <c r="AN1846" s="514"/>
      <c r="AO1846" s="514"/>
    </row>
    <row r="1847" spans="1:41" s="504" customFormat="1" ht="12" thickTop="1">
      <c r="A1847" s="50"/>
      <c r="B1847" s="40"/>
      <c r="C1847" s="50"/>
      <c r="E1847" s="41" t="s">
        <v>136</v>
      </c>
      <c r="F1847" s="41" t="s">
        <v>137</v>
      </c>
      <c r="G1847" s="50"/>
      <c r="H1847" s="50"/>
      <c r="I1847" s="50"/>
      <c r="J1847" s="50"/>
      <c r="K1847" s="50" t="s">
        <v>138</v>
      </c>
      <c r="L1847" s="50"/>
      <c r="M1847" s="50"/>
      <c r="N1847" s="50"/>
      <c r="O1847" s="51"/>
      <c r="P1847" s="50"/>
      <c r="Q1847" s="50"/>
      <c r="R1847" s="50"/>
      <c r="S1847" s="50"/>
      <c r="T1847" s="40"/>
      <c r="AG1847" s="867" t="s">
        <v>241</v>
      </c>
      <c r="AH1847" s="867" t="s">
        <v>242</v>
      </c>
      <c r="AI1847" s="867" t="s">
        <v>243</v>
      </c>
      <c r="AJ1847" s="867" t="s">
        <v>244</v>
      </c>
      <c r="AK1847" s="867" t="s">
        <v>245</v>
      </c>
      <c r="AM1847" s="868" t="s">
        <v>254</v>
      </c>
      <c r="AN1847" s="869" t="s">
        <v>255</v>
      </c>
      <c r="AO1847" s="505" t="s">
        <v>251</v>
      </c>
    </row>
    <row r="1848" spans="1:41" s="504" customFormat="1" ht="12" customHeight="1">
      <c r="A1848" s="870">
        <v>1</v>
      </c>
      <c r="B1848" s="871" t="s">
        <v>335</v>
      </c>
      <c r="C1848" s="872"/>
      <c r="D1848" s="873" t="s">
        <v>820</v>
      </c>
      <c r="E1848" s="874">
        <f ca="1">IF(AND($A1848=0,$A$1="DIF"),0, ROUND(ROUND(($R1853*$S$2+($T1853*$T$2))/A1848,2)*$C$2,2))</f>
        <v>289.27</v>
      </c>
      <c r="F1848" s="875">
        <f ca="1">ROUND($A1848*$E1848,2)</f>
        <v>289.27</v>
      </c>
      <c r="G1848" s="876" t="s">
        <v>139</v>
      </c>
      <c r="H1848" s="877"/>
      <c r="I1848" s="878"/>
      <c r="J1848" s="877"/>
      <c r="K1848" s="877" t="s">
        <v>3</v>
      </c>
      <c r="L1848" s="879" t="s">
        <v>140</v>
      </c>
      <c r="M1848" s="879"/>
      <c r="N1848" s="879"/>
      <c r="O1848" s="879"/>
      <c r="P1848" s="879"/>
      <c r="Q1848" s="50"/>
      <c r="T1848" s="880" t="str">
        <f ca="1">IF(AND($R1853=0,$T1853=0),"0.00","mu :" &amp; ROUND($F1848/$C$2/($R1853+$T1853*$D$9),2))</f>
        <v>mu :1.22</v>
      </c>
      <c r="W1848" s="507"/>
      <c r="AG1848" s="465">
        <f ca="1">IF($E1848=0,0,ROUND($R1853*$S$2*$C$2/$A1848,2))</f>
        <v>58.87</v>
      </c>
      <c r="AH1848" s="465">
        <f ca="1">$AG1848*$A1848</f>
        <v>58.87</v>
      </c>
      <c r="AI1848" s="508">
        <f ca="1">$E1848-$AG1848</f>
        <v>230.39999999999998</v>
      </c>
      <c r="AJ1848" s="508">
        <f ca="1">$A1848*$AI1848</f>
        <v>230.39999999999998</v>
      </c>
      <c r="AK1848" s="509">
        <f ca="1">ROUND(($AG1848+$AI1848)*$A1848,2)</f>
        <v>289.27</v>
      </c>
      <c r="AM1848" s="510">
        <f ca="1">ROUND(R1853,2)</f>
        <v>48.25</v>
      </c>
      <c r="AN1848" s="511">
        <f ca="1">ROUND(T1853,2)</f>
        <v>6.55</v>
      </c>
      <c r="AO1848" s="512">
        <f ca="1">ROUND(AM1848+AN1848,2)*A1848</f>
        <v>54.8</v>
      </c>
    </row>
    <row r="1849" spans="1:41" s="504" customFormat="1" ht="13.2">
      <c r="A1849" s="872"/>
      <c r="B1849"/>
      <c r="C1849" s="872"/>
      <c r="D1849" s="916" t="s">
        <v>436</v>
      </c>
      <c r="E1849" s="917"/>
      <c r="F1849" s="918"/>
      <c r="G1849" s="919"/>
      <c r="H1849" s="918"/>
      <c r="I1849" s="920"/>
      <c r="J1849" s="918"/>
      <c r="K1849" s="918"/>
      <c r="L1849" s="918"/>
      <c r="M1849" s="918"/>
      <c r="N1849" s="918"/>
      <c r="O1849" s="918"/>
      <c r="P1849" s="918"/>
      <c r="Q1849" s="921"/>
      <c r="R1849" s="513"/>
      <c r="S1849" s="881"/>
      <c r="T1849" s="877"/>
    </row>
    <row r="1850" spans="1:41" s="997" customFormat="1" ht="13.2">
      <c r="A1850"/>
      <c r="B1850" s="1065"/>
      <c r="C1850" s="1065" t="s">
        <v>1006</v>
      </c>
      <c r="D1850" s="1065" t="str">
        <f ca="1">CELL("Address",Elec_Rates!D$200)</f>
        <v>[EL25_0662B_Brittania_Hotel_Elec_Revised_Estim_B.xlsx]Elec_Rates!$D$200</v>
      </c>
      <c r="E1850" s="1066"/>
      <c r="F1850" s="1066"/>
      <c r="G1850" s="1067" t="s">
        <v>1007</v>
      </c>
      <c r="H1850" s="1067"/>
      <c r="I1850" s="1067"/>
      <c r="J1850" s="1067"/>
      <c r="K1850" s="1068"/>
      <c r="L1850" s="1066"/>
      <c r="M1850" s="1066"/>
      <c r="N1850" s="1066"/>
      <c r="O1850" s="1069"/>
      <c r="P1850" s="1066"/>
      <c r="Q1850" s="1070"/>
      <c r="R1850" s="1071"/>
      <c r="S1850" s="1070"/>
      <c r="T1850" s="1072"/>
      <c r="U1850" s="1073"/>
    </row>
    <row r="1851" spans="1:41" s="997" customFormat="1" ht="11.4">
      <c r="A1851" s="1074">
        <v>1</v>
      </c>
      <c r="B1851" s="1075">
        <v>5</v>
      </c>
      <c r="C1851" s="1075">
        <f>$A1851*$B1851</f>
        <v>5</v>
      </c>
      <c r="D1851" s="1076" t="str">
        <f>Elec_Rates!$D$200</f>
        <v>019# Lighting point in LSZH Conduit</v>
      </c>
      <c r="E1851" s="1076"/>
      <c r="F1851" s="1076" t="s">
        <v>1317</v>
      </c>
      <c r="G1851" s="1077" t="s">
        <v>1008</v>
      </c>
      <c r="H1851" s="1077"/>
      <c r="I1851" s="1077"/>
      <c r="J1851" s="1077"/>
      <c r="K1851" s="1078"/>
      <c r="L1851" s="1073"/>
      <c r="M1851" s="1073"/>
      <c r="N1851" s="1073"/>
      <c r="O1851" s="1079"/>
      <c r="P1851" s="1076"/>
      <c r="Q1851" s="1080">
        <f ca="1">$B1851*Elec_Rates!$R$200</f>
        <v>48.25</v>
      </c>
      <c r="R1851" s="1071">
        <f ca="1">$A1851*Q1851</f>
        <v>48.25</v>
      </c>
      <c r="S1851" s="1080">
        <f ca="1">$B1851*Elec_Rates!$T$200</f>
        <v>6.5500000000000007</v>
      </c>
      <c r="T1851" s="1072">
        <f ca="1">$A1851*S1851</f>
        <v>6.5500000000000007</v>
      </c>
      <c r="U1851" s="1081"/>
    </row>
    <row r="1852" spans="1:41" s="504" customFormat="1" ht="12">
      <c r="A1852" s="882"/>
      <c r="B1852" s="882"/>
      <c r="C1852" s="882"/>
      <c r="D1852" s="882"/>
      <c r="E1852" s="882"/>
      <c r="F1852" s="877"/>
      <c r="G1852" s="882"/>
      <c r="H1852" s="882"/>
      <c r="I1852" s="503"/>
      <c r="J1852" s="882"/>
      <c r="K1852" s="882"/>
      <c r="L1852" s="882"/>
      <c r="M1852" s="882"/>
      <c r="N1852" s="882"/>
      <c r="O1852" s="882"/>
      <c r="P1852" s="882"/>
      <c r="Q1852" s="503"/>
      <c r="R1852" s="883">
        <f>$A1852*Q1852</f>
        <v>0</v>
      </c>
      <c r="S1852" s="503"/>
      <c r="T1852" s="884">
        <f>$A1852*S1852*$T$1</f>
        <v>0</v>
      </c>
    </row>
    <row r="1853" spans="1:41" s="504" customFormat="1" ht="12.6" thickBot="1">
      <c r="A1853" s="885" t="s">
        <v>142</v>
      </c>
      <c r="B1853" s="886">
        <f>(R1852+T1852)</f>
        <v>0</v>
      </c>
      <c r="C1853" s="887"/>
      <c r="D1853" s="887"/>
      <c r="E1853" s="887"/>
      <c r="F1853" s="888"/>
      <c r="G1853" s="887" t="s">
        <v>143</v>
      </c>
      <c r="H1853" s="887"/>
      <c r="I1853" s="889"/>
      <c r="J1853" s="887"/>
      <c r="K1853" s="887" t="s">
        <v>3</v>
      </c>
      <c r="L1853" s="890" t="s">
        <v>140</v>
      </c>
      <c r="M1853" s="890"/>
      <c r="N1853" s="890"/>
      <c r="O1853" s="890"/>
      <c r="P1853" s="890"/>
      <c r="Q1853" s="891"/>
      <c r="R1853" s="892">
        <f ca="1">SUM(R1849:R1852)</f>
        <v>48.25</v>
      </c>
      <c r="S1853" s="887"/>
      <c r="T1853" s="892">
        <f ca="1">SUM(T1849:T1852)</f>
        <v>6.5500000000000007</v>
      </c>
      <c r="U1853" s="514"/>
      <c r="V1853" s="514"/>
      <c r="W1853" s="514"/>
      <c r="X1853" s="514"/>
      <c r="Y1853" s="514"/>
      <c r="Z1853" s="514"/>
      <c r="AA1853" s="514"/>
      <c r="AB1853" s="514"/>
      <c r="AC1853" s="514"/>
      <c r="AD1853" s="514"/>
      <c r="AE1853" s="514"/>
      <c r="AF1853" s="514"/>
      <c r="AG1853" s="514"/>
      <c r="AH1853" s="514"/>
      <c r="AI1853" s="514"/>
      <c r="AJ1853" s="514"/>
      <c r="AK1853" s="514"/>
      <c r="AL1853" s="514"/>
      <c r="AM1853" s="514"/>
      <c r="AN1853" s="514"/>
      <c r="AO1853" s="514"/>
    </row>
    <row r="1854" spans="1:41" s="504" customFormat="1" ht="12" thickTop="1">
      <c r="A1854" s="50"/>
      <c r="B1854" s="40"/>
      <c r="C1854" s="50"/>
      <c r="E1854" s="41" t="s">
        <v>136</v>
      </c>
      <c r="F1854" s="41" t="s">
        <v>137</v>
      </c>
      <c r="G1854" s="50"/>
      <c r="H1854" s="50"/>
      <c r="I1854" s="50"/>
      <c r="J1854" s="50"/>
      <c r="K1854" s="50" t="s">
        <v>138</v>
      </c>
      <c r="L1854" s="50"/>
      <c r="M1854" s="50"/>
      <c r="N1854" s="50"/>
      <c r="O1854" s="51"/>
      <c r="P1854" s="50"/>
      <c r="Q1854" s="50"/>
      <c r="R1854" s="50"/>
      <c r="S1854" s="50"/>
      <c r="T1854" s="40"/>
      <c r="AG1854" s="867" t="s">
        <v>241</v>
      </c>
      <c r="AH1854" s="867" t="s">
        <v>242</v>
      </c>
      <c r="AI1854" s="867" t="s">
        <v>243</v>
      </c>
      <c r="AJ1854" s="867" t="s">
        <v>244</v>
      </c>
      <c r="AK1854" s="867" t="s">
        <v>245</v>
      </c>
      <c r="AM1854" s="868" t="s">
        <v>254</v>
      </c>
      <c r="AN1854" s="869" t="s">
        <v>255</v>
      </c>
      <c r="AO1854" s="505" t="s">
        <v>251</v>
      </c>
    </row>
    <row r="1855" spans="1:41" s="504" customFormat="1" ht="12" customHeight="1">
      <c r="A1855" s="870">
        <v>1</v>
      </c>
      <c r="B1855" s="871" t="s">
        <v>335</v>
      </c>
      <c r="C1855" s="872"/>
      <c r="D1855" s="873" t="s">
        <v>821</v>
      </c>
      <c r="E1855" s="874">
        <f ca="1">IF(AND($A1855=0,$A$1="DIF"),0, ROUND(ROUND(($R1860*$S$2+($T1860*$T$2))/A1855,2)*$C$2,2))</f>
        <v>318.2</v>
      </c>
      <c r="F1855" s="875">
        <f ca="1">ROUND($A1855*$E1855,2)</f>
        <v>318.2</v>
      </c>
      <c r="G1855" s="876" t="s">
        <v>139</v>
      </c>
      <c r="H1855" s="877"/>
      <c r="I1855" s="878"/>
      <c r="J1855" s="877"/>
      <c r="K1855" s="877" t="s">
        <v>3</v>
      </c>
      <c r="L1855" s="879" t="s">
        <v>140</v>
      </c>
      <c r="M1855" s="879"/>
      <c r="N1855" s="879"/>
      <c r="O1855" s="879"/>
      <c r="P1855" s="879"/>
      <c r="Q1855" s="50"/>
      <c r="T1855" s="880" t="str">
        <f ca="1">IF(AND($R1860=0,$T1860=0),"0.00","mu :" &amp; ROUND($F1855/$C$2/($R1860+$T1860*$D$9),2))</f>
        <v>mu :1.22</v>
      </c>
      <c r="W1855" s="507"/>
      <c r="AG1855" s="465">
        <f ca="1">IF($E1855=0,0,ROUND($R1860*$S$2*$C$2/$A1855,2))</f>
        <v>64.75</v>
      </c>
      <c r="AH1855" s="465">
        <f ca="1">$AG1855*$A1855</f>
        <v>64.75</v>
      </c>
      <c r="AI1855" s="508">
        <f ca="1">$E1855-$AG1855</f>
        <v>253.45</v>
      </c>
      <c r="AJ1855" s="508">
        <f ca="1">$A1855*$AI1855</f>
        <v>253.45</v>
      </c>
      <c r="AK1855" s="509">
        <f ca="1">ROUND(($AG1855+$AI1855)*$A1855,2)</f>
        <v>318.2</v>
      </c>
      <c r="AM1855" s="510">
        <f ca="1">ROUND(R1860,2)</f>
        <v>53.08</v>
      </c>
      <c r="AN1855" s="511">
        <f ca="1">ROUND(T1860,2)</f>
        <v>7.21</v>
      </c>
      <c r="AO1855" s="512">
        <f ca="1">ROUND(AM1855+AN1855,2)*A1855</f>
        <v>60.29</v>
      </c>
    </row>
    <row r="1856" spans="1:41" s="504" customFormat="1" ht="13.2">
      <c r="A1856" s="872"/>
      <c r="B1856"/>
      <c r="C1856" s="872"/>
      <c r="D1856" s="916" t="s">
        <v>437</v>
      </c>
      <c r="E1856" s="917"/>
      <c r="F1856" s="918"/>
      <c r="G1856" s="919"/>
      <c r="H1856" s="918"/>
      <c r="I1856" s="920"/>
      <c r="J1856" s="918"/>
      <c r="K1856" s="918"/>
      <c r="L1856" s="918"/>
      <c r="M1856" s="918"/>
      <c r="N1856" s="918"/>
      <c r="O1856" s="918"/>
      <c r="P1856" s="918"/>
      <c r="Q1856" s="921"/>
      <c r="R1856" s="513"/>
      <c r="S1856" s="881"/>
      <c r="T1856" s="877"/>
    </row>
    <row r="1857" spans="1:41" s="997" customFormat="1" ht="13.2">
      <c r="A1857"/>
      <c r="B1857" s="1065"/>
      <c r="C1857" s="1065" t="s">
        <v>1006</v>
      </c>
      <c r="D1857" s="1065" t="str">
        <f ca="1">CELL("Address",Elec_Rates!D$200)</f>
        <v>[EL25_0662B_Brittania_Hotel_Elec_Revised_Estim_B.xlsx]Elec_Rates!$D$200</v>
      </c>
      <c r="E1857" s="1066"/>
      <c r="F1857" s="1066"/>
      <c r="G1857" s="1067" t="s">
        <v>1007</v>
      </c>
      <c r="H1857" s="1067"/>
      <c r="I1857" s="1067"/>
      <c r="J1857" s="1067"/>
      <c r="K1857" s="1068"/>
      <c r="L1857" s="1066"/>
      <c r="M1857" s="1066"/>
      <c r="N1857" s="1066"/>
      <c r="O1857" s="1069"/>
      <c r="P1857" s="1066"/>
      <c r="Q1857" s="1070"/>
      <c r="R1857" s="1071"/>
      <c r="S1857" s="1070"/>
      <c r="T1857" s="1072"/>
      <c r="U1857" s="1073"/>
    </row>
    <row r="1858" spans="1:41" s="997" customFormat="1" ht="11.4">
      <c r="A1858" s="1074">
        <v>1</v>
      </c>
      <c r="B1858" s="1075">
        <v>5.5</v>
      </c>
      <c r="C1858" s="1075">
        <f>$A1858*$B1858</f>
        <v>5.5</v>
      </c>
      <c r="D1858" s="1076" t="str">
        <f>Elec_Rates!$D$200</f>
        <v>019# Lighting point in LSZH Conduit</v>
      </c>
      <c r="E1858" s="1076"/>
      <c r="F1858" s="1076" t="s">
        <v>1318</v>
      </c>
      <c r="G1858" s="1077" t="s">
        <v>1008</v>
      </c>
      <c r="H1858" s="1077"/>
      <c r="I1858" s="1077"/>
      <c r="J1858" s="1077"/>
      <c r="K1858" s="1078"/>
      <c r="L1858" s="1073"/>
      <c r="M1858" s="1073"/>
      <c r="N1858" s="1073"/>
      <c r="O1858" s="1079"/>
      <c r="P1858" s="1076"/>
      <c r="Q1858" s="1080">
        <f ca="1">$B1858*Elec_Rates!$R$200</f>
        <v>53.075000000000003</v>
      </c>
      <c r="R1858" s="1071">
        <f ca="1">$A1858*Q1858</f>
        <v>53.075000000000003</v>
      </c>
      <c r="S1858" s="1080">
        <f ca="1">$B1858*Elec_Rates!$T$200</f>
        <v>7.2050000000000001</v>
      </c>
      <c r="T1858" s="1072">
        <f ca="1">$A1858*S1858</f>
        <v>7.2050000000000001</v>
      </c>
      <c r="U1858" s="1081"/>
    </row>
    <row r="1859" spans="1:41" s="504" customFormat="1" ht="12">
      <c r="A1859" s="882"/>
      <c r="B1859" s="882"/>
      <c r="C1859" s="882"/>
      <c r="D1859" s="882"/>
      <c r="E1859" s="882"/>
      <c r="F1859" s="877"/>
      <c r="G1859" s="882"/>
      <c r="H1859" s="882"/>
      <c r="I1859" s="503"/>
      <c r="J1859" s="882"/>
      <c r="K1859" s="882"/>
      <c r="L1859" s="882"/>
      <c r="M1859" s="882"/>
      <c r="N1859" s="882"/>
      <c r="O1859" s="882"/>
      <c r="P1859" s="882"/>
      <c r="Q1859" s="503"/>
      <c r="R1859" s="883">
        <f>$A1859*Q1859</f>
        <v>0</v>
      </c>
      <c r="S1859" s="503"/>
      <c r="T1859" s="884">
        <f>$A1859*S1859*$T$1</f>
        <v>0</v>
      </c>
    </row>
    <row r="1860" spans="1:41" s="504" customFormat="1" ht="12.6" thickBot="1">
      <c r="A1860" s="885" t="s">
        <v>142</v>
      </c>
      <c r="B1860" s="886">
        <f>(R1859+T1859)</f>
        <v>0</v>
      </c>
      <c r="C1860" s="887"/>
      <c r="D1860" s="887"/>
      <c r="E1860" s="887"/>
      <c r="F1860" s="888"/>
      <c r="G1860" s="887" t="s">
        <v>143</v>
      </c>
      <c r="H1860" s="887"/>
      <c r="I1860" s="889"/>
      <c r="J1860" s="887"/>
      <c r="K1860" s="887" t="s">
        <v>3</v>
      </c>
      <c r="L1860" s="890" t="s">
        <v>140</v>
      </c>
      <c r="M1860" s="890"/>
      <c r="N1860" s="890"/>
      <c r="O1860" s="890"/>
      <c r="P1860" s="890"/>
      <c r="Q1860" s="891"/>
      <c r="R1860" s="892">
        <f ca="1">SUM(R1856:R1859)</f>
        <v>53.075000000000003</v>
      </c>
      <c r="S1860" s="887"/>
      <c r="T1860" s="892">
        <f ca="1">SUM(T1856:T1859)</f>
        <v>7.2050000000000001</v>
      </c>
      <c r="U1860" s="514"/>
      <c r="V1860" s="514"/>
      <c r="W1860" s="514"/>
      <c r="X1860" s="514"/>
      <c r="Y1860" s="514"/>
      <c r="Z1860" s="514"/>
      <c r="AA1860" s="514"/>
      <c r="AB1860" s="514"/>
      <c r="AC1860" s="514"/>
      <c r="AD1860" s="514"/>
      <c r="AE1860" s="514"/>
      <c r="AF1860" s="514"/>
      <c r="AG1860" s="514"/>
      <c r="AH1860" s="514"/>
      <c r="AI1860" s="514"/>
      <c r="AJ1860" s="514"/>
      <c r="AK1860" s="514"/>
      <c r="AL1860" s="514"/>
      <c r="AM1860" s="514"/>
      <c r="AN1860" s="514"/>
      <c r="AO1860" s="514"/>
    </row>
    <row r="1861" spans="1:41" s="504" customFormat="1" ht="12" thickTop="1">
      <c r="A1861" s="50"/>
      <c r="B1861" s="40"/>
      <c r="C1861" s="50"/>
      <c r="E1861" s="41" t="s">
        <v>136</v>
      </c>
      <c r="F1861" s="41" t="s">
        <v>137</v>
      </c>
      <c r="G1861" s="50"/>
      <c r="H1861" s="50"/>
      <c r="I1861" s="50"/>
      <c r="J1861" s="50"/>
      <c r="K1861" s="50" t="s">
        <v>138</v>
      </c>
      <c r="L1861" s="50"/>
      <c r="M1861" s="50"/>
      <c r="N1861" s="50"/>
      <c r="O1861" s="51"/>
      <c r="P1861" s="50"/>
      <c r="Q1861" s="50"/>
      <c r="R1861" s="50"/>
      <c r="S1861" s="50"/>
      <c r="T1861" s="40"/>
      <c r="AG1861" s="867" t="s">
        <v>241</v>
      </c>
      <c r="AH1861" s="867" t="s">
        <v>242</v>
      </c>
      <c r="AI1861" s="867" t="s">
        <v>243</v>
      </c>
      <c r="AJ1861" s="867" t="s">
        <v>244</v>
      </c>
      <c r="AK1861" s="867" t="s">
        <v>245</v>
      </c>
      <c r="AM1861" s="868" t="s">
        <v>254</v>
      </c>
      <c r="AN1861" s="869" t="s">
        <v>255</v>
      </c>
      <c r="AO1861" s="505" t="s">
        <v>251</v>
      </c>
    </row>
    <row r="1862" spans="1:41" s="504" customFormat="1" ht="12" customHeight="1">
      <c r="A1862" s="870">
        <v>9</v>
      </c>
      <c r="B1862" s="871" t="s">
        <v>335</v>
      </c>
      <c r="C1862" s="872"/>
      <c r="D1862" s="873" t="s">
        <v>822</v>
      </c>
      <c r="E1862" s="874">
        <f ca="1">IF(AND($A1862=0,$A$1="DIF"),0, ROUND(ROUND(($R1868*$S$2+($T1868*$T$2))/A1862,2)*$C$2,2))</f>
        <v>64.13</v>
      </c>
      <c r="F1862" s="875">
        <f ca="1">ROUND($A1862*$E1862,2)</f>
        <v>577.16999999999996</v>
      </c>
      <c r="G1862" s="876" t="s">
        <v>139</v>
      </c>
      <c r="H1862" s="877"/>
      <c r="I1862" s="878"/>
      <c r="J1862" s="877"/>
      <c r="K1862" s="877" t="s">
        <v>3</v>
      </c>
      <c r="L1862" s="879" t="s">
        <v>140</v>
      </c>
      <c r="M1862" s="879"/>
      <c r="N1862" s="879"/>
      <c r="O1862" s="879"/>
      <c r="P1862" s="879"/>
      <c r="Q1862" s="50"/>
      <c r="T1862" s="880" t="str">
        <f ca="1">IF(AND($R1868=0,$T1868=0),"0.00","mu :" &amp; ROUND($F1862/$C$2/($R1868+$T1868*$D$9),2))</f>
        <v>mu :1.22</v>
      </c>
      <c r="W1862" s="507"/>
      <c r="AG1862" s="465">
        <f ca="1">IF($E1862=0,0,ROUND($R1868*$S$2*$C$2/$A1862,2))</f>
        <v>11.77</v>
      </c>
      <c r="AH1862" s="465">
        <f ca="1">$AG1862*$A1862</f>
        <v>105.92999999999999</v>
      </c>
      <c r="AI1862" s="508">
        <f ca="1">$E1862-$AG1862</f>
        <v>52.36</v>
      </c>
      <c r="AJ1862" s="508">
        <f ca="1">$A1862*$AI1862</f>
        <v>471.24</v>
      </c>
      <c r="AK1862" s="509">
        <f ca="1">ROUND(($AG1862+$AI1862)*$A1862,2)</f>
        <v>577.16999999999996</v>
      </c>
      <c r="AM1862" s="510">
        <f ca="1">ROUND(R1868,2)</f>
        <v>86.85</v>
      </c>
      <c r="AN1862" s="511">
        <f ca="1">ROUND(T1868,2)</f>
        <v>13.4</v>
      </c>
      <c r="AO1862" s="512">
        <f ca="1">ROUND(AM1862+AN1862,2)*A1862</f>
        <v>902.25</v>
      </c>
    </row>
    <row r="1863" spans="1:41" s="504" customFormat="1" ht="13.2">
      <c r="A1863" s="872"/>
      <c r="B1863"/>
      <c r="C1863" s="872"/>
      <c r="D1863" s="873" t="s">
        <v>381</v>
      </c>
      <c r="F1863" s="877"/>
      <c r="G1863" s="3"/>
      <c r="H1863" s="877"/>
      <c r="I1863" s="878"/>
      <c r="J1863" s="877"/>
      <c r="K1863" s="877" t="s">
        <v>141</v>
      </c>
      <c r="L1863" s="877"/>
      <c r="M1863" s="877"/>
      <c r="N1863" s="877"/>
      <c r="O1863" s="877"/>
      <c r="P1863" s="877"/>
      <c r="Q1863" s="50"/>
      <c r="R1863" s="513"/>
      <c r="S1863" s="881"/>
      <c r="T1863" s="877"/>
    </row>
    <row r="1864" spans="1:41" s="997" customFormat="1" ht="13.2">
      <c r="A1864"/>
      <c r="B1864" s="1065"/>
      <c r="C1864" s="1065" t="s">
        <v>1006</v>
      </c>
      <c r="D1864" s="1065" t="str">
        <f ca="1">CELL("Address",Elec_Rates!D$200)</f>
        <v>[EL25_0662B_Brittania_Hotel_Elec_Revised_Estim_B.xlsx]Elec_Rates!$D$200</v>
      </c>
      <c r="E1864" s="1066"/>
      <c r="F1864" s="1066"/>
      <c r="G1864" s="1067" t="s">
        <v>1007</v>
      </c>
      <c r="H1864" s="1067"/>
      <c r="I1864" s="1067"/>
      <c r="J1864" s="1067"/>
      <c r="K1864" s="1068"/>
      <c r="L1864" s="1066"/>
      <c r="M1864" s="1066"/>
      <c r="N1864" s="1066"/>
      <c r="O1864" s="1069"/>
      <c r="P1864" s="1066"/>
      <c r="Q1864" s="1070"/>
      <c r="R1864" s="1071"/>
      <c r="S1864" s="1070"/>
      <c r="T1864" s="1072"/>
      <c r="U1864" s="1073"/>
    </row>
    <row r="1865" spans="1:41" s="997" customFormat="1" ht="11.4">
      <c r="A1865" s="1074">
        <v>9</v>
      </c>
      <c r="B1865" s="1075">
        <v>1</v>
      </c>
      <c r="C1865" s="1075">
        <f>$A1865*$B1865</f>
        <v>9</v>
      </c>
      <c r="D1865" s="1076" t="str">
        <f>Elec_Rates!$D$200</f>
        <v>019# Lighting point in LSZH Conduit</v>
      </c>
      <c r="E1865" s="1076"/>
      <c r="F1865" s="1076" t="s">
        <v>1169</v>
      </c>
      <c r="G1865" s="1077" t="s">
        <v>1008</v>
      </c>
      <c r="H1865" s="1077"/>
      <c r="I1865" s="1077"/>
      <c r="J1865" s="1077"/>
      <c r="K1865" s="1078"/>
      <c r="L1865" s="1073"/>
      <c r="M1865" s="1073"/>
      <c r="N1865" s="1073"/>
      <c r="O1865" s="1079"/>
      <c r="P1865" s="1076"/>
      <c r="Q1865" s="1080">
        <f ca="1">$B1865*Elec_Rates!$R$200</f>
        <v>9.65</v>
      </c>
      <c r="R1865" s="1071">
        <f ca="1">$A1865*Q1865</f>
        <v>86.850000000000009</v>
      </c>
      <c r="S1865" s="1080">
        <f ca="1">$B1865*Elec_Rates!$T$200</f>
        <v>1.31</v>
      </c>
      <c r="T1865" s="1072">
        <f ca="1">$A1865*S1865</f>
        <v>11.790000000000001</v>
      </c>
      <c r="U1865" s="1081"/>
    </row>
    <row r="1866" spans="1:41" s="1039" customFormat="1" ht="11.4">
      <c r="A1866" s="50">
        <v>9</v>
      </c>
      <c r="B1866" s="1039" t="s">
        <v>949</v>
      </c>
      <c r="D1866" s="1039" t="s">
        <v>1286</v>
      </c>
      <c r="G1866" s="1040" t="s">
        <v>1182</v>
      </c>
      <c r="H1866" s="1041">
        <v>705</v>
      </c>
      <c r="I1866" s="1039" t="s">
        <v>1183</v>
      </c>
      <c r="J1866" s="1039" t="s">
        <v>1184</v>
      </c>
      <c r="O1866" s="1042">
        <v>3</v>
      </c>
      <c r="P1866" s="1043">
        <v>34669</v>
      </c>
      <c r="Q1866" s="1044">
        <v>0</v>
      </c>
      <c r="R1866" s="1045">
        <f>$A1866*Q1866</f>
        <v>0</v>
      </c>
      <c r="S1866" s="1044">
        <v>0.17</v>
      </c>
      <c r="T1866" s="1046">
        <f>$A1866*S1866*$T$1</f>
        <v>1.6065</v>
      </c>
    </row>
    <row r="1867" spans="1:41" s="504" customFormat="1" ht="12">
      <c r="A1867" s="882"/>
      <c r="B1867" s="882"/>
      <c r="C1867" s="882"/>
      <c r="D1867" s="882"/>
      <c r="E1867" s="882"/>
      <c r="F1867" s="877"/>
      <c r="G1867" s="882"/>
      <c r="H1867" s="882"/>
      <c r="I1867" s="503"/>
      <c r="J1867" s="882"/>
      <c r="K1867" s="882"/>
      <c r="L1867" s="882"/>
      <c r="M1867" s="882"/>
      <c r="N1867" s="882"/>
      <c r="O1867" s="882"/>
      <c r="P1867" s="882"/>
      <c r="Q1867" s="503"/>
      <c r="R1867" s="883">
        <f>$A1867*Q1867</f>
        <v>0</v>
      </c>
      <c r="S1867" s="503"/>
      <c r="T1867" s="884">
        <f>$A1867*S1867*$T$1</f>
        <v>0</v>
      </c>
    </row>
    <row r="1868" spans="1:41" s="504" customFormat="1" ht="12.6" thickBot="1">
      <c r="A1868" s="885" t="s">
        <v>142</v>
      </c>
      <c r="B1868" s="886">
        <f>(R1867+T1867)</f>
        <v>0</v>
      </c>
      <c r="C1868" s="887"/>
      <c r="D1868" s="887"/>
      <c r="E1868" s="887"/>
      <c r="F1868" s="888"/>
      <c r="G1868" s="887" t="s">
        <v>143</v>
      </c>
      <c r="H1868" s="887"/>
      <c r="I1868" s="889"/>
      <c r="J1868" s="887"/>
      <c r="K1868" s="887" t="s">
        <v>3</v>
      </c>
      <c r="L1868" s="890" t="s">
        <v>140</v>
      </c>
      <c r="M1868" s="890"/>
      <c r="N1868" s="890"/>
      <c r="O1868" s="890"/>
      <c r="P1868" s="890"/>
      <c r="Q1868" s="891"/>
      <c r="R1868" s="892">
        <f ca="1">SUM(R1863:R1867)</f>
        <v>86.850000000000009</v>
      </c>
      <c r="S1868" s="887"/>
      <c r="T1868" s="892">
        <f ca="1">SUM(T1863:T1867)</f>
        <v>13.396500000000001</v>
      </c>
      <c r="U1868" s="514"/>
      <c r="V1868" s="514"/>
      <c r="W1868" s="514"/>
      <c r="X1868" s="514"/>
      <c r="Y1868" s="514"/>
      <c r="Z1868" s="514"/>
      <c r="AA1868" s="514"/>
      <c r="AB1868" s="514"/>
      <c r="AC1868" s="514"/>
      <c r="AD1868" s="514"/>
      <c r="AE1868" s="514"/>
      <c r="AF1868" s="514"/>
      <c r="AG1868" s="514"/>
      <c r="AH1868" s="514"/>
      <c r="AI1868" s="514"/>
      <c r="AJ1868" s="514"/>
      <c r="AK1868" s="514"/>
      <c r="AL1868" s="514"/>
      <c r="AM1868" s="514"/>
      <c r="AN1868" s="514"/>
      <c r="AO1868" s="514"/>
    </row>
    <row r="1869" spans="1:41" s="504" customFormat="1" ht="12" thickTop="1">
      <c r="A1869" s="50"/>
      <c r="B1869" s="40"/>
      <c r="C1869" s="50"/>
      <c r="E1869" s="41" t="s">
        <v>136</v>
      </c>
      <c r="F1869" s="41" t="s">
        <v>137</v>
      </c>
      <c r="G1869" s="50"/>
      <c r="H1869" s="50"/>
      <c r="I1869" s="50"/>
      <c r="J1869" s="50"/>
      <c r="K1869" s="50" t="s">
        <v>138</v>
      </c>
      <c r="L1869" s="50"/>
      <c r="M1869" s="50"/>
      <c r="N1869" s="50"/>
      <c r="O1869" s="51"/>
      <c r="P1869" s="50"/>
      <c r="Q1869" s="50"/>
      <c r="R1869" s="50"/>
      <c r="S1869" s="50"/>
      <c r="T1869" s="40"/>
      <c r="AG1869" s="867" t="s">
        <v>241</v>
      </c>
      <c r="AH1869" s="867" t="s">
        <v>242</v>
      </c>
      <c r="AI1869" s="867" t="s">
        <v>243</v>
      </c>
      <c r="AJ1869" s="867" t="s">
        <v>244</v>
      </c>
      <c r="AK1869" s="867" t="s">
        <v>245</v>
      </c>
      <c r="AM1869" s="868" t="s">
        <v>254</v>
      </c>
      <c r="AN1869" s="869" t="s">
        <v>255</v>
      </c>
      <c r="AO1869" s="505" t="s">
        <v>251</v>
      </c>
    </row>
    <row r="1870" spans="1:41" s="504" customFormat="1" ht="12" customHeight="1">
      <c r="A1870" s="870">
        <v>6</v>
      </c>
      <c r="B1870" s="871" t="s">
        <v>335</v>
      </c>
      <c r="C1870" s="872"/>
      <c r="D1870" s="873" t="s">
        <v>823</v>
      </c>
      <c r="E1870" s="874">
        <f ca="1">IF(AND($A1870=0,$A$1="DIF"),0, ROUND(ROUND(($R1875*$S$2+($T1875*$T$2))/A1870,2)*$C$2,2))</f>
        <v>57.85</v>
      </c>
      <c r="F1870" s="875">
        <f ca="1">ROUND($A1870*$E1870,2)</f>
        <v>347.1</v>
      </c>
      <c r="G1870" s="876" t="s">
        <v>139</v>
      </c>
      <c r="H1870" s="877"/>
      <c r="I1870" s="878"/>
      <c r="J1870" s="877"/>
      <c r="K1870" s="877" t="s">
        <v>3</v>
      </c>
      <c r="L1870" s="879" t="s">
        <v>140</v>
      </c>
      <c r="M1870" s="879"/>
      <c r="N1870" s="879"/>
      <c r="O1870" s="879"/>
      <c r="P1870" s="879"/>
      <c r="Q1870" s="50"/>
      <c r="T1870" s="880" t="str">
        <f ca="1">IF(AND($R1875=0,$T1875=0),"0.00","mu :" &amp; ROUND($F1870/$C$2/($R1875+$T1875*$D$9),2))</f>
        <v>mu :1.22</v>
      </c>
      <c r="W1870" s="507"/>
      <c r="AG1870" s="465">
        <f ca="1">IF($E1870=0,0,ROUND($R1875*$S$2*$C$2/$A1870,2))</f>
        <v>11.77</v>
      </c>
      <c r="AH1870" s="465">
        <f ca="1">$AG1870*$A1870</f>
        <v>70.62</v>
      </c>
      <c r="AI1870" s="508">
        <f ca="1">$E1870-$AG1870</f>
        <v>46.08</v>
      </c>
      <c r="AJ1870" s="508">
        <f ca="1">$A1870*$AI1870</f>
        <v>276.48</v>
      </c>
      <c r="AK1870" s="509">
        <f ca="1">ROUND(($AG1870+$AI1870)*$A1870,2)</f>
        <v>347.1</v>
      </c>
      <c r="AM1870" s="510">
        <f ca="1">ROUND(R1875,2)</f>
        <v>57.9</v>
      </c>
      <c r="AN1870" s="511">
        <f ca="1">ROUND(T1875,2)</f>
        <v>7.86</v>
      </c>
      <c r="AO1870" s="512">
        <f ca="1">ROUND(AM1870+AN1870,2)*A1870</f>
        <v>394.56000000000006</v>
      </c>
    </row>
    <row r="1871" spans="1:41" s="504" customFormat="1" ht="13.2">
      <c r="A1871" s="872"/>
      <c r="B1871"/>
      <c r="C1871" s="872"/>
      <c r="D1871" s="873" t="s">
        <v>406</v>
      </c>
      <c r="F1871" s="877"/>
      <c r="G1871" s="3"/>
      <c r="H1871" s="877"/>
      <c r="I1871" s="878"/>
      <c r="J1871" s="877"/>
      <c r="K1871" s="877" t="s">
        <v>141</v>
      </c>
      <c r="L1871" s="877"/>
      <c r="M1871" s="877"/>
      <c r="N1871" s="877"/>
      <c r="O1871" s="877"/>
      <c r="P1871" s="877"/>
      <c r="Q1871" s="50"/>
      <c r="R1871" s="513"/>
      <c r="S1871" s="881"/>
      <c r="T1871" s="877"/>
    </row>
    <row r="1872" spans="1:41" s="997" customFormat="1" ht="13.2">
      <c r="A1872"/>
      <c r="B1872" s="1065"/>
      <c r="C1872" s="1065" t="s">
        <v>1006</v>
      </c>
      <c r="D1872" s="1065" t="str">
        <f ca="1">CELL("Address",Elec_Rates!D$200)</f>
        <v>[EL25_0662B_Brittania_Hotel_Elec_Revised_Estim_B.xlsx]Elec_Rates!$D$200</v>
      </c>
      <c r="E1872" s="1066"/>
      <c r="F1872" s="1066"/>
      <c r="G1872" s="1067" t="s">
        <v>1007</v>
      </c>
      <c r="H1872" s="1067"/>
      <c r="I1872" s="1067"/>
      <c r="J1872" s="1067"/>
      <c r="K1872" s="1068"/>
      <c r="L1872" s="1066"/>
      <c r="M1872" s="1066"/>
      <c r="N1872" s="1066"/>
      <c r="O1872" s="1069"/>
      <c r="P1872" s="1066"/>
      <c r="Q1872" s="1070"/>
      <c r="R1872" s="1071"/>
      <c r="S1872" s="1070"/>
      <c r="T1872" s="1072"/>
      <c r="U1872" s="1073"/>
    </row>
    <row r="1873" spans="1:41" s="997" customFormat="1" ht="11.4">
      <c r="A1873" s="1074">
        <v>6</v>
      </c>
      <c r="B1873" s="1075">
        <v>1</v>
      </c>
      <c r="C1873" s="1075">
        <f>$A1873*$B1873</f>
        <v>6</v>
      </c>
      <c r="D1873" s="1076" t="str">
        <f>Elec_Rates!$D$200</f>
        <v>019# Lighting point in LSZH Conduit</v>
      </c>
      <c r="E1873" s="1076"/>
      <c r="F1873" s="1076" t="s">
        <v>1169</v>
      </c>
      <c r="G1873" s="1077" t="s">
        <v>1008</v>
      </c>
      <c r="H1873" s="1077"/>
      <c r="I1873" s="1077"/>
      <c r="J1873" s="1077"/>
      <c r="K1873" s="1078"/>
      <c r="L1873" s="1073"/>
      <c r="M1873" s="1073"/>
      <c r="N1873" s="1073"/>
      <c r="O1873" s="1079"/>
      <c r="P1873" s="1076"/>
      <c r="Q1873" s="1080">
        <f ca="1">$B1873*Elec_Rates!$R$200</f>
        <v>9.65</v>
      </c>
      <c r="R1873" s="1071">
        <f ca="1">$A1873*Q1873</f>
        <v>57.900000000000006</v>
      </c>
      <c r="S1873" s="1080">
        <f ca="1">$B1873*Elec_Rates!$T$200</f>
        <v>1.31</v>
      </c>
      <c r="T1873" s="1072">
        <f ca="1">$A1873*S1873</f>
        <v>7.86</v>
      </c>
      <c r="U1873" s="1081"/>
    </row>
    <row r="1874" spans="1:41" s="504" customFormat="1" ht="12">
      <c r="A1874" s="882"/>
      <c r="B1874" s="882"/>
      <c r="C1874" s="882"/>
      <c r="D1874" s="882"/>
      <c r="E1874" s="882"/>
      <c r="F1874" s="877"/>
      <c r="G1874" s="882"/>
      <c r="H1874" s="882"/>
      <c r="I1874" s="503"/>
      <c r="J1874" s="882"/>
      <c r="K1874" s="882"/>
      <c r="L1874" s="882"/>
      <c r="M1874" s="882"/>
      <c r="N1874" s="882"/>
      <c r="O1874" s="882"/>
      <c r="P1874" s="882"/>
      <c r="Q1874" s="503"/>
      <c r="R1874" s="883">
        <f>$A1874*Q1874</f>
        <v>0</v>
      </c>
      <c r="S1874" s="503"/>
      <c r="T1874" s="884">
        <f>$A1874*S1874*$T$1</f>
        <v>0</v>
      </c>
    </row>
    <row r="1875" spans="1:41" s="504" customFormat="1" ht="12.6" thickBot="1">
      <c r="A1875" s="885" t="s">
        <v>142</v>
      </c>
      <c r="B1875" s="886">
        <f>(R1874+T1874)</f>
        <v>0</v>
      </c>
      <c r="C1875" s="887"/>
      <c r="D1875" s="887"/>
      <c r="E1875" s="887"/>
      <c r="F1875" s="888"/>
      <c r="G1875" s="887" t="s">
        <v>143</v>
      </c>
      <c r="H1875" s="887"/>
      <c r="I1875" s="889"/>
      <c r="J1875" s="887"/>
      <c r="K1875" s="887" t="s">
        <v>3</v>
      </c>
      <c r="L1875" s="890" t="s">
        <v>140</v>
      </c>
      <c r="M1875" s="890"/>
      <c r="N1875" s="890"/>
      <c r="O1875" s="890"/>
      <c r="P1875" s="890"/>
      <c r="Q1875" s="891"/>
      <c r="R1875" s="892">
        <f ca="1">SUM(R1871:R1874)</f>
        <v>57.900000000000006</v>
      </c>
      <c r="S1875" s="887"/>
      <c r="T1875" s="892">
        <f ca="1">SUM(T1871:T1874)</f>
        <v>7.86</v>
      </c>
      <c r="U1875" s="514"/>
      <c r="V1875" s="514"/>
      <c r="W1875" s="514"/>
      <c r="X1875" s="514"/>
      <c r="Y1875" s="514"/>
      <c r="Z1875" s="514"/>
      <c r="AA1875" s="514"/>
      <c r="AB1875" s="514"/>
      <c r="AC1875" s="514"/>
      <c r="AD1875" s="514"/>
      <c r="AE1875" s="514"/>
      <c r="AF1875" s="514"/>
      <c r="AG1875" s="514"/>
      <c r="AH1875" s="514"/>
      <c r="AI1875" s="514"/>
      <c r="AJ1875" s="514"/>
      <c r="AK1875" s="514"/>
      <c r="AL1875" s="514"/>
      <c r="AM1875" s="514"/>
      <c r="AN1875" s="514"/>
      <c r="AO1875" s="514"/>
    </row>
    <row r="1876" spans="1:41" s="504" customFormat="1" ht="12" thickTop="1">
      <c r="A1876" s="50"/>
      <c r="B1876" s="40"/>
      <c r="C1876" s="50"/>
      <c r="E1876" s="41" t="s">
        <v>136</v>
      </c>
      <c r="F1876" s="41" t="s">
        <v>137</v>
      </c>
      <c r="G1876" s="50"/>
      <c r="H1876" s="50"/>
      <c r="I1876" s="50"/>
      <c r="J1876" s="50"/>
      <c r="K1876" s="50" t="s">
        <v>138</v>
      </c>
      <c r="L1876" s="50"/>
      <c r="M1876" s="50"/>
      <c r="N1876" s="50"/>
      <c r="O1876" s="51"/>
      <c r="P1876" s="50"/>
      <c r="Q1876" s="50"/>
      <c r="R1876" s="50"/>
      <c r="S1876" s="50"/>
      <c r="T1876" s="40"/>
      <c r="AG1876" s="867" t="s">
        <v>241</v>
      </c>
      <c r="AH1876" s="867" t="s">
        <v>242</v>
      </c>
      <c r="AI1876" s="867" t="s">
        <v>243</v>
      </c>
      <c r="AJ1876" s="867" t="s">
        <v>244</v>
      </c>
      <c r="AK1876" s="867" t="s">
        <v>245</v>
      </c>
      <c r="AM1876" s="868" t="s">
        <v>254</v>
      </c>
      <c r="AN1876" s="869" t="s">
        <v>255</v>
      </c>
      <c r="AO1876" s="505" t="s">
        <v>251</v>
      </c>
    </row>
    <row r="1877" spans="1:41" s="504" customFormat="1" ht="12" customHeight="1">
      <c r="A1877" s="870">
        <v>5</v>
      </c>
      <c r="B1877" s="871" t="s">
        <v>335</v>
      </c>
      <c r="C1877" s="872"/>
      <c r="D1877" s="873" t="s">
        <v>824</v>
      </c>
      <c r="E1877" s="874">
        <f ca="1">IF(AND($A1877=0,$A$1="DIF"),0, ROUND(ROUND(($R1882*$S$2+($T1882*$T$2))/A1877,2)*$C$2,2))</f>
        <v>57.85</v>
      </c>
      <c r="F1877" s="875">
        <f ca="1">ROUND($A1877*$E1877,2)</f>
        <v>289.25</v>
      </c>
      <c r="G1877" s="876" t="s">
        <v>139</v>
      </c>
      <c r="H1877" s="877"/>
      <c r="I1877" s="878"/>
      <c r="J1877" s="877"/>
      <c r="K1877" s="877" t="s">
        <v>3</v>
      </c>
      <c r="L1877" s="879" t="s">
        <v>140</v>
      </c>
      <c r="M1877" s="879"/>
      <c r="N1877" s="879"/>
      <c r="O1877" s="879"/>
      <c r="P1877" s="879"/>
      <c r="Q1877" s="50"/>
      <c r="T1877" s="880" t="str">
        <f ca="1">IF(AND($R1882=0,$T1882=0),"0.00","mu :" &amp; ROUND($F1877/$C$2/($R1882+$T1882*$D$9),2))</f>
        <v>mu :1.22</v>
      </c>
      <c r="W1877" s="507"/>
      <c r="AG1877" s="465">
        <f ca="1">IF($E1877=0,0,ROUND($R1882*$S$2*$C$2/$A1877,2))</f>
        <v>11.77</v>
      </c>
      <c r="AH1877" s="465">
        <f ca="1">$AG1877*$A1877</f>
        <v>58.849999999999994</v>
      </c>
      <c r="AI1877" s="508">
        <f ca="1">$E1877-$AG1877</f>
        <v>46.08</v>
      </c>
      <c r="AJ1877" s="508">
        <f ca="1">$A1877*$AI1877</f>
        <v>230.39999999999998</v>
      </c>
      <c r="AK1877" s="509">
        <f ca="1">ROUND(($AG1877+$AI1877)*$A1877,2)</f>
        <v>289.25</v>
      </c>
      <c r="AM1877" s="510">
        <f ca="1">ROUND(R1882,2)</f>
        <v>48.25</v>
      </c>
      <c r="AN1877" s="511">
        <f ca="1">ROUND(T1882,2)</f>
        <v>6.55</v>
      </c>
      <c r="AO1877" s="512">
        <f ca="1">ROUND(AM1877+AN1877,2)*A1877</f>
        <v>274</v>
      </c>
    </row>
    <row r="1878" spans="1:41" s="504" customFormat="1" ht="13.2">
      <c r="A1878" s="872"/>
      <c r="B1878"/>
      <c r="C1878" s="872"/>
      <c r="D1878" s="873" t="s">
        <v>407</v>
      </c>
      <c r="F1878" s="877"/>
      <c r="G1878" s="3"/>
      <c r="H1878" s="877"/>
      <c r="I1878" s="878"/>
      <c r="J1878" s="877"/>
      <c r="K1878" s="877" t="s">
        <v>141</v>
      </c>
      <c r="L1878" s="877"/>
      <c r="M1878" s="877"/>
      <c r="N1878" s="877"/>
      <c r="O1878" s="877"/>
      <c r="P1878" s="877"/>
      <c r="Q1878" s="50"/>
      <c r="R1878" s="513"/>
      <c r="S1878" s="881"/>
      <c r="T1878" s="877"/>
    </row>
    <row r="1879" spans="1:41" s="997" customFormat="1" ht="13.2">
      <c r="A1879"/>
      <c r="B1879" s="1065"/>
      <c r="C1879" s="1065" t="s">
        <v>1006</v>
      </c>
      <c r="D1879" s="1065" t="str">
        <f ca="1">CELL("Address",Elec_Rates!D$200)</f>
        <v>[EL25_0662B_Brittania_Hotel_Elec_Revised_Estim_B.xlsx]Elec_Rates!$D$200</v>
      </c>
      <c r="E1879" s="1066"/>
      <c r="F1879" s="1066"/>
      <c r="G1879" s="1067" t="s">
        <v>1007</v>
      </c>
      <c r="H1879" s="1067"/>
      <c r="I1879" s="1067"/>
      <c r="J1879" s="1067"/>
      <c r="K1879" s="1068"/>
      <c r="L1879" s="1066"/>
      <c r="M1879" s="1066"/>
      <c r="N1879" s="1066"/>
      <c r="O1879" s="1069"/>
      <c r="P1879" s="1066"/>
      <c r="Q1879" s="1070"/>
      <c r="R1879" s="1071"/>
      <c r="S1879" s="1070"/>
      <c r="T1879" s="1072"/>
      <c r="U1879" s="1073"/>
    </row>
    <row r="1880" spans="1:41" s="997" customFormat="1" ht="11.4">
      <c r="A1880" s="1074">
        <v>5</v>
      </c>
      <c r="B1880" s="1075">
        <v>1</v>
      </c>
      <c r="C1880" s="1075">
        <f>$A1880*$B1880</f>
        <v>5</v>
      </c>
      <c r="D1880" s="1076" t="str">
        <f>Elec_Rates!$D$200</f>
        <v>019# Lighting point in LSZH Conduit</v>
      </c>
      <c r="E1880" s="1076"/>
      <c r="F1880" s="1076" t="s">
        <v>1169</v>
      </c>
      <c r="G1880" s="1077" t="s">
        <v>1008</v>
      </c>
      <c r="H1880" s="1077"/>
      <c r="I1880" s="1077"/>
      <c r="J1880" s="1077"/>
      <c r="K1880" s="1078"/>
      <c r="L1880" s="1073"/>
      <c r="M1880" s="1073"/>
      <c r="N1880" s="1073"/>
      <c r="O1880" s="1079"/>
      <c r="P1880" s="1076"/>
      <c r="Q1880" s="1080">
        <f ca="1">$B1880*Elec_Rates!$R$200</f>
        <v>9.65</v>
      </c>
      <c r="R1880" s="1071">
        <f ca="1">$A1880*Q1880</f>
        <v>48.25</v>
      </c>
      <c r="S1880" s="1080">
        <f ca="1">$B1880*Elec_Rates!$T$200</f>
        <v>1.31</v>
      </c>
      <c r="T1880" s="1072">
        <f ca="1">$A1880*S1880</f>
        <v>6.5500000000000007</v>
      </c>
      <c r="U1880" s="1081"/>
    </row>
    <row r="1881" spans="1:41" s="504" customFormat="1" ht="12">
      <c r="A1881" s="882"/>
      <c r="B1881" s="882"/>
      <c r="C1881" s="882"/>
      <c r="D1881" s="882"/>
      <c r="E1881" s="882"/>
      <c r="F1881" s="877"/>
      <c r="G1881" s="882"/>
      <c r="H1881" s="882"/>
      <c r="I1881" s="503"/>
      <c r="J1881" s="882"/>
      <c r="K1881" s="882"/>
      <c r="L1881" s="882"/>
      <c r="M1881" s="882"/>
      <c r="N1881" s="882"/>
      <c r="O1881" s="882"/>
      <c r="P1881" s="882"/>
      <c r="Q1881" s="503"/>
      <c r="R1881" s="883">
        <f>$A1881*Q1881</f>
        <v>0</v>
      </c>
      <c r="S1881" s="503"/>
      <c r="T1881" s="884">
        <f>$A1881*S1881*$T$1</f>
        <v>0</v>
      </c>
    </row>
    <row r="1882" spans="1:41" s="504" customFormat="1" ht="12.6" thickBot="1">
      <c r="A1882" s="885" t="s">
        <v>142</v>
      </c>
      <c r="B1882" s="886">
        <f>(R1881+T1881)</f>
        <v>0</v>
      </c>
      <c r="C1882" s="887"/>
      <c r="D1882" s="887"/>
      <c r="E1882" s="887"/>
      <c r="F1882" s="888"/>
      <c r="G1882" s="887" t="s">
        <v>143</v>
      </c>
      <c r="H1882" s="887"/>
      <c r="I1882" s="889"/>
      <c r="J1882" s="887"/>
      <c r="K1882" s="887" t="s">
        <v>3</v>
      </c>
      <c r="L1882" s="890" t="s">
        <v>140</v>
      </c>
      <c r="M1882" s="890"/>
      <c r="N1882" s="890"/>
      <c r="O1882" s="890"/>
      <c r="P1882" s="890"/>
      <c r="Q1882" s="891"/>
      <c r="R1882" s="892">
        <f ca="1">SUM(R1878:R1881)</f>
        <v>48.25</v>
      </c>
      <c r="S1882" s="887"/>
      <c r="T1882" s="892">
        <f ca="1">SUM(T1878:T1881)</f>
        <v>6.5500000000000007</v>
      </c>
      <c r="U1882" s="514"/>
      <c r="V1882" s="514"/>
      <c r="W1882" s="514"/>
      <c r="X1882" s="514"/>
      <c r="Y1882" s="514"/>
      <c r="Z1882" s="514"/>
      <c r="AA1882" s="514"/>
      <c r="AB1882" s="514"/>
      <c r="AC1882" s="514"/>
      <c r="AD1882" s="514"/>
      <c r="AE1882" s="514"/>
      <c r="AF1882" s="514"/>
      <c r="AG1882" s="514"/>
      <c r="AH1882" s="514"/>
      <c r="AI1882" s="514"/>
      <c r="AJ1882" s="514"/>
      <c r="AK1882" s="514"/>
      <c r="AL1882" s="514"/>
      <c r="AM1882" s="514"/>
      <c r="AN1882" s="514"/>
      <c r="AO1882" s="514"/>
    </row>
    <row r="1883" spans="1:41" s="504" customFormat="1" ht="12" thickTop="1">
      <c r="A1883" s="50"/>
      <c r="B1883" s="40"/>
      <c r="C1883" s="50"/>
      <c r="E1883" s="41" t="s">
        <v>136</v>
      </c>
      <c r="F1883" s="41" t="s">
        <v>137</v>
      </c>
      <c r="G1883" s="50"/>
      <c r="H1883" s="50"/>
      <c r="I1883" s="50"/>
      <c r="J1883" s="50"/>
      <c r="K1883" s="50" t="s">
        <v>138</v>
      </c>
      <c r="L1883" s="50"/>
      <c r="M1883" s="50"/>
      <c r="N1883" s="50"/>
      <c r="O1883" s="51"/>
      <c r="P1883" s="50"/>
      <c r="Q1883" s="50"/>
      <c r="R1883" s="50"/>
      <c r="S1883" s="50"/>
      <c r="T1883" s="40"/>
      <c r="AG1883" s="867" t="s">
        <v>241</v>
      </c>
      <c r="AH1883" s="867" t="s">
        <v>242</v>
      </c>
      <c r="AI1883" s="867" t="s">
        <v>243</v>
      </c>
      <c r="AJ1883" s="867" t="s">
        <v>244</v>
      </c>
      <c r="AK1883" s="867" t="s">
        <v>245</v>
      </c>
      <c r="AM1883" s="868" t="s">
        <v>254</v>
      </c>
      <c r="AN1883" s="869" t="s">
        <v>255</v>
      </c>
      <c r="AO1883" s="505" t="s">
        <v>251</v>
      </c>
    </row>
    <row r="1884" spans="1:41" s="504" customFormat="1" ht="12" customHeight="1">
      <c r="A1884" s="870">
        <v>3</v>
      </c>
      <c r="B1884" s="871" t="s">
        <v>335</v>
      </c>
      <c r="C1884" s="872"/>
      <c r="D1884" s="873" t="s">
        <v>825</v>
      </c>
      <c r="E1884" s="874">
        <f ca="1">IF(AND($A1884=0,$A$1="DIF"),0, ROUND(ROUND(($R1889*$S$2+($T1889*$T$2))/A1884,2)*$C$2,2))</f>
        <v>57.85</v>
      </c>
      <c r="F1884" s="875">
        <f ca="1">ROUND($A1884*$E1884,2)</f>
        <v>173.55</v>
      </c>
      <c r="G1884" s="876" t="s">
        <v>139</v>
      </c>
      <c r="H1884" s="877"/>
      <c r="I1884" s="878"/>
      <c r="J1884" s="877"/>
      <c r="K1884" s="877" t="s">
        <v>3</v>
      </c>
      <c r="L1884" s="879" t="s">
        <v>140</v>
      </c>
      <c r="M1884" s="879"/>
      <c r="N1884" s="879"/>
      <c r="O1884" s="879"/>
      <c r="P1884" s="879"/>
      <c r="Q1884" s="50"/>
      <c r="T1884" s="880" t="str">
        <f ca="1">IF(AND($R1889=0,$T1889=0),"0.00","mu :" &amp; ROUND($F1884/$C$2/($R1889+$T1889*$D$9),2))</f>
        <v>mu :1.22</v>
      </c>
      <c r="W1884" s="507"/>
      <c r="AG1884" s="465">
        <f ca="1">IF($E1884=0,0,ROUND($R1889*$S$2*$C$2/$A1884,2))</f>
        <v>11.77</v>
      </c>
      <c r="AH1884" s="465">
        <f ca="1">$AG1884*$A1884</f>
        <v>35.31</v>
      </c>
      <c r="AI1884" s="508">
        <f ca="1">$E1884-$AG1884</f>
        <v>46.08</v>
      </c>
      <c r="AJ1884" s="508">
        <f ca="1">$A1884*$AI1884</f>
        <v>138.24</v>
      </c>
      <c r="AK1884" s="509">
        <f ca="1">ROUND(($AG1884+$AI1884)*$A1884,2)</f>
        <v>173.55</v>
      </c>
      <c r="AM1884" s="510">
        <f ca="1">ROUND(R1889,2)</f>
        <v>28.95</v>
      </c>
      <c r="AN1884" s="511">
        <f ca="1">ROUND(T1889,2)</f>
        <v>3.93</v>
      </c>
      <c r="AO1884" s="512">
        <f ca="1">ROUND(AM1884+AN1884,2)*A1884</f>
        <v>98.640000000000015</v>
      </c>
    </row>
    <row r="1885" spans="1:41" s="504" customFormat="1" ht="13.2">
      <c r="A1885" s="872"/>
      <c r="B1885"/>
      <c r="C1885" s="872"/>
      <c r="D1885" s="873" t="s">
        <v>408</v>
      </c>
      <c r="F1885" s="877"/>
      <c r="G1885" s="3"/>
      <c r="H1885" s="877"/>
      <c r="I1885" s="878"/>
      <c r="J1885" s="877"/>
      <c r="K1885" s="877" t="s">
        <v>141</v>
      </c>
      <c r="L1885" s="877"/>
      <c r="M1885" s="877"/>
      <c r="N1885" s="877"/>
      <c r="O1885" s="877"/>
      <c r="P1885" s="877"/>
      <c r="Q1885" s="50"/>
      <c r="R1885" s="513"/>
      <c r="S1885" s="881"/>
      <c r="T1885" s="877"/>
    </row>
    <row r="1886" spans="1:41" s="997" customFormat="1" ht="13.2">
      <c r="A1886"/>
      <c r="B1886" s="1065"/>
      <c r="C1886" s="1065" t="s">
        <v>1006</v>
      </c>
      <c r="D1886" s="1065" t="str">
        <f ca="1">CELL("Address",Elec_Rates!D$200)</f>
        <v>[EL25_0662B_Brittania_Hotel_Elec_Revised_Estim_B.xlsx]Elec_Rates!$D$200</v>
      </c>
      <c r="E1886" s="1066"/>
      <c r="F1886" s="1066"/>
      <c r="G1886" s="1067" t="s">
        <v>1007</v>
      </c>
      <c r="H1886" s="1067"/>
      <c r="I1886" s="1067"/>
      <c r="J1886" s="1067"/>
      <c r="K1886" s="1068"/>
      <c r="L1886" s="1066"/>
      <c r="M1886" s="1066"/>
      <c r="N1886" s="1066"/>
      <c r="O1886" s="1069"/>
      <c r="P1886" s="1066"/>
      <c r="Q1886" s="1070"/>
      <c r="R1886" s="1071"/>
      <c r="S1886" s="1070"/>
      <c r="T1886" s="1072"/>
      <c r="U1886" s="1073"/>
    </row>
    <row r="1887" spans="1:41" s="997" customFormat="1" ht="11.4">
      <c r="A1887" s="1074">
        <v>3</v>
      </c>
      <c r="B1887" s="1075">
        <v>1</v>
      </c>
      <c r="C1887" s="1075">
        <f>$A1887*$B1887</f>
        <v>3</v>
      </c>
      <c r="D1887" s="1076" t="str">
        <f>Elec_Rates!$D$200</f>
        <v>019# Lighting point in LSZH Conduit</v>
      </c>
      <c r="E1887" s="1076"/>
      <c r="F1887" s="1076" t="s">
        <v>1169</v>
      </c>
      <c r="G1887" s="1077" t="s">
        <v>1008</v>
      </c>
      <c r="H1887" s="1077"/>
      <c r="I1887" s="1077"/>
      <c r="J1887" s="1077"/>
      <c r="K1887" s="1078"/>
      <c r="L1887" s="1073"/>
      <c r="M1887" s="1073"/>
      <c r="N1887" s="1073"/>
      <c r="O1887" s="1079"/>
      <c r="P1887" s="1076"/>
      <c r="Q1887" s="1080">
        <f ca="1">$B1887*Elec_Rates!$R$200</f>
        <v>9.65</v>
      </c>
      <c r="R1887" s="1071">
        <f ca="1">$A1887*Q1887</f>
        <v>28.950000000000003</v>
      </c>
      <c r="S1887" s="1080">
        <f ca="1">$B1887*Elec_Rates!$T$200</f>
        <v>1.31</v>
      </c>
      <c r="T1887" s="1072">
        <f ca="1">$A1887*S1887</f>
        <v>3.93</v>
      </c>
      <c r="U1887" s="1081"/>
    </row>
    <row r="1888" spans="1:41" s="504" customFormat="1" ht="12">
      <c r="A1888" s="882"/>
      <c r="B1888" s="882"/>
      <c r="C1888" s="882"/>
      <c r="D1888" s="882"/>
      <c r="E1888" s="882"/>
      <c r="F1888" s="877"/>
      <c r="G1888" s="882"/>
      <c r="H1888" s="882"/>
      <c r="I1888" s="503"/>
      <c r="J1888" s="882"/>
      <c r="K1888" s="882"/>
      <c r="L1888" s="882"/>
      <c r="M1888" s="882"/>
      <c r="N1888" s="882"/>
      <c r="O1888" s="882"/>
      <c r="P1888" s="882"/>
      <c r="Q1888" s="503"/>
      <c r="R1888" s="883">
        <f>$A1888*Q1888</f>
        <v>0</v>
      </c>
      <c r="S1888" s="503"/>
      <c r="T1888" s="884">
        <f>$A1888*S1888*$T$1</f>
        <v>0</v>
      </c>
    </row>
    <row r="1889" spans="1:41" s="504" customFormat="1" ht="12.6" thickBot="1">
      <c r="A1889" s="885" t="s">
        <v>142</v>
      </c>
      <c r="B1889" s="886">
        <f>(R1888+T1888)</f>
        <v>0</v>
      </c>
      <c r="C1889" s="887"/>
      <c r="D1889" s="887"/>
      <c r="E1889" s="887"/>
      <c r="F1889" s="888"/>
      <c r="G1889" s="887" t="s">
        <v>143</v>
      </c>
      <c r="H1889" s="887"/>
      <c r="I1889" s="889"/>
      <c r="J1889" s="887"/>
      <c r="K1889" s="887" t="s">
        <v>3</v>
      </c>
      <c r="L1889" s="890" t="s">
        <v>140</v>
      </c>
      <c r="M1889" s="890"/>
      <c r="N1889" s="890"/>
      <c r="O1889" s="890"/>
      <c r="P1889" s="890"/>
      <c r="Q1889" s="891"/>
      <c r="R1889" s="892">
        <f ca="1">SUM(R1885:R1888)</f>
        <v>28.950000000000003</v>
      </c>
      <c r="S1889" s="887"/>
      <c r="T1889" s="892">
        <f ca="1">SUM(T1885:T1888)</f>
        <v>3.93</v>
      </c>
      <c r="U1889" s="514"/>
      <c r="V1889" s="514"/>
      <c r="W1889" s="514"/>
      <c r="X1889" s="514"/>
      <c r="Y1889" s="514"/>
      <c r="Z1889" s="514"/>
      <c r="AA1889" s="514"/>
      <c r="AB1889" s="514"/>
      <c r="AC1889" s="514"/>
      <c r="AD1889" s="514"/>
      <c r="AE1889" s="514"/>
      <c r="AF1889" s="514"/>
      <c r="AG1889" s="514"/>
      <c r="AH1889" s="514"/>
      <c r="AI1889" s="514"/>
      <c r="AJ1889" s="514"/>
      <c r="AK1889" s="514"/>
      <c r="AL1889" s="514"/>
      <c r="AM1889" s="514"/>
      <c r="AN1889" s="514"/>
      <c r="AO1889" s="514"/>
    </row>
    <row r="1890" spans="1:41" s="504" customFormat="1" ht="12" thickTop="1">
      <c r="A1890" s="50"/>
      <c r="B1890" s="40"/>
      <c r="C1890" s="50"/>
      <c r="E1890" s="41" t="s">
        <v>136</v>
      </c>
      <c r="F1890" s="41" t="s">
        <v>137</v>
      </c>
      <c r="G1890" s="50"/>
      <c r="H1890" s="50"/>
      <c r="I1890" s="50"/>
      <c r="J1890" s="50"/>
      <c r="K1890" s="50" t="s">
        <v>138</v>
      </c>
      <c r="L1890" s="50"/>
      <c r="M1890" s="50"/>
      <c r="N1890" s="50"/>
      <c r="O1890" s="51"/>
      <c r="P1890" s="50"/>
      <c r="Q1890" s="50"/>
      <c r="R1890" s="50"/>
      <c r="S1890" s="50"/>
      <c r="T1890" s="40"/>
      <c r="AG1890" s="867" t="s">
        <v>241</v>
      </c>
      <c r="AH1890" s="867" t="s">
        <v>242</v>
      </c>
      <c r="AI1890" s="867" t="s">
        <v>243</v>
      </c>
      <c r="AJ1890" s="867" t="s">
        <v>244</v>
      </c>
      <c r="AK1890" s="867" t="s">
        <v>245</v>
      </c>
      <c r="AM1890" s="868" t="s">
        <v>254</v>
      </c>
      <c r="AN1890" s="869" t="s">
        <v>255</v>
      </c>
      <c r="AO1890" s="505" t="s">
        <v>251</v>
      </c>
    </row>
    <row r="1891" spans="1:41" s="504" customFormat="1" ht="12" customHeight="1">
      <c r="A1891" s="870">
        <v>3</v>
      </c>
      <c r="B1891" s="871" t="s">
        <v>335</v>
      </c>
      <c r="C1891" s="872"/>
      <c r="D1891" s="873" t="s">
        <v>826</v>
      </c>
      <c r="E1891" s="874">
        <f ca="1">IF(AND($A1891=0,$A$1="DIF"),0, ROUND(ROUND(($R1896*$S$2+($T1896*$T$2))/A1891,2)*$C$2,2))</f>
        <v>57.85</v>
      </c>
      <c r="F1891" s="875">
        <f ca="1">ROUND($A1891*$E1891,2)</f>
        <v>173.55</v>
      </c>
      <c r="G1891" s="876" t="s">
        <v>139</v>
      </c>
      <c r="H1891" s="877"/>
      <c r="I1891" s="878"/>
      <c r="J1891" s="877"/>
      <c r="K1891" s="877" t="s">
        <v>3</v>
      </c>
      <c r="L1891" s="879" t="s">
        <v>140</v>
      </c>
      <c r="M1891" s="879"/>
      <c r="N1891" s="879"/>
      <c r="O1891" s="879"/>
      <c r="P1891" s="879"/>
      <c r="Q1891" s="50"/>
      <c r="T1891" s="880" t="str">
        <f ca="1">IF(AND($R1896=0,$T1896=0),"0.00","mu :" &amp; ROUND($F1891/$C$2/($R1896+$T1896*$D$9),2))</f>
        <v>mu :1.22</v>
      </c>
      <c r="W1891" s="507"/>
      <c r="AG1891" s="465">
        <f ca="1">IF($E1891=0,0,ROUND($R1896*$S$2*$C$2/$A1891,2))</f>
        <v>11.77</v>
      </c>
      <c r="AH1891" s="465">
        <f ca="1">$AG1891*$A1891</f>
        <v>35.31</v>
      </c>
      <c r="AI1891" s="508">
        <f ca="1">$E1891-$AG1891</f>
        <v>46.08</v>
      </c>
      <c r="AJ1891" s="508">
        <f ca="1">$A1891*$AI1891</f>
        <v>138.24</v>
      </c>
      <c r="AK1891" s="509">
        <f ca="1">ROUND(($AG1891+$AI1891)*$A1891,2)</f>
        <v>173.55</v>
      </c>
      <c r="AM1891" s="510">
        <f ca="1">ROUND(R1896,2)</f>
        <v>28.95</v>
      </c>
      <c r="AN1891" s="511">
        <f ca="1">ROUND(T1896,2)</f>
        <v>3.93</v>
      </c>
      <c r="AO1891" s="512">
        <f ca="1">ROUND(AM1891+AN1891,2)*A1891</f>
        <v>98.640000000000015</v>
      </c>
    </row>
    <row r="1892" spans="1:41" s="504" customFormat="1" ht="13.2">
      <c r="A1892" s="872"/>
      <c r="B1892"/>
      <c r="C1892" s="872"/>
      <c r="D1892" s="873" t="s">
        <v>409</v>
      </c>
      <c r="F1892" s="877"/>
      <c r="G1892" s="3"/>
      <c r="H1892" s="877"/>
      <c r="I1892" s="878"/>
      <c r="J1892" s="877"/>
      <c r="K1892" s="877" t="s">
        <v>141</v>
      </c>
      <c r="L1892" s="877"/>
      <c r="M1892" s="877"/>
      <c r="N1892" s="877"/>
      <c r="O1892" s="877"/>
      <c r="P1892" s="877"/>
      <c r="Q1892" s="50"/>
      <c r="R1892" s="513"/>
      <c r="S1892" s="881"/>
      <c r="T1892" s="877"/>
    </row>
    <row r="1893" spans="1:41" s="997" customFormat="1" ht="13.2">
      <c r="A1893"/>
      <c r="B1893" s="1065"/>
      <c r="C1893" s="1065" t="s">
        <v>1006</v>
      </c>
      <c r="D1893" s="1065" t="str">
        <f ca="1">CELL("Address",Elec_Rates!D$200)</f>
        <v>[EL25_0662B_Brittania_Hotel_Elec_Revised_Estim_B.xlsx]Elec_Rates!$D$200</v>
      </c>
      <c r="E1893" s="1066"/>
      <c r="F1893" s="1066"/>
      <c r="G1893" s="1067" t="s">
        <v>1007</v>
      </c>
      <c r="H1893" s="1067"/>
      <c r="I1893" s="1067"/>
      <c r="J1893" s="1067"/>
      <c r="K1893" s="1068"/>
      <c r="L1893" s="1066"/>
      <c r="M1893" s="1066"/>
      <c r="N1893" s="1066"/>
      <c r="O1893" s="1069"/>
      <c r="P1893" s="1066"/>
      <c r="Q1893" s="1070"/>
      <c r="R1893" s="1071"/>
      <c r="S1893" s="1070"/>
      <c r="T1893" s="1072"/>
      <c r="U1893" s="1073"/>
    </row>
    <row r="1894" spans="1:41" s="997" customFormat="1" ht="11.4">
      <c r="A1894" s="1074">
        <v>3</v>
      </c>
      <c r="B1894" s="1075">
        <v>1</v>
      </c>
      <c r="C1894" s="1075">
        <f>$A1894*$B1894</f>
        <v>3</v>
      </c>
      <c r="D1894" s="1076" t="str">
        <f>Elec_Rates!$D$200</f>
        <v>019# Lighting point in LSZH Conduit</v>
      </c>
      <c r="E1894" s="1076"/>
      <c r="F1894" s="1076" t="s">
        <v>1169</v>
      </c>
      <c r="G1894" s="1077" t="s">
        <v>1008</v>
      </c>
      <c r="H1894" s="1077"/>
      <c r="I1894" s="1077"/>
      <c r="J1894" s="1077"/>
      <c r="K1894" s="1078"/>
      <c r="L1894" s="1073"/>
      <c r="M1894" s="1073"/>
      <c r="N1894" s="1073"/>
      <c r="O1894" s="1079"/>
      <c r="P1894" s="1076"/>
      <c r="Q1894" s="1080">
        <f ca="1">$B1894*Elec_Rates!$R$200</f>
        <v>9.65</v>
      </c>
      <c r="R1894" s="1071">
        <f ca="1">$A1894*Q1894</f>
        <v>28.950000000000003</v>
      </c>
      <c r="S1894" s="1080">
        <f ca="1">$B1894*Elec_Rates!$T$200</f>
        <v>1.31</v>
      </c>
      <c r="T1894" s="1072">
        <f ca="1">$A1894*S1894</f>
        <v>3.93</v>
      </c>
      <c r="U1894" s="1081"/>
    </row>
    <row r="1895" spans="1:41" s="504" customFormat="1" ht="12">
      <c r="A1895" s="882"/>
      <c r="B1895" s="882"/>
      <c r="C1895" s="882"/>
      <c r="D1895" s="882"/>
      <c r="E1895" s="882"/>
      <c r="F1895" s="877"/>
      <c r="G1895" s="882"/>
      <c r="H1895" s="882"/>
      <c r="I1895" s="503"/>
      <c r="J1895" s="882"/>
      <c r="K1895" s="882"/>
      <c r="L1895" s="882"/>
      <c r="M1895" s="882"/>
      <c r="N1895" s="882"/>
      <c r="O1895" s="882"/>
      <c r="P1895" s="882"/>
      <c r="Q1895" s="503"/>
      <c r="R1895" s="883">
        <f>$A1895*Q1895</f>
        <v>0</v>
      </c>
      <c r="S1895" s="503"/>
      <c r="T1895" s="884">
        <f>$A1895*S1895*$T$1</f>
        <v>0</v>
      </c>
    </row>
    <row r="1896" spans="1:41" s="504" customFormat="1" ht="12.6" thickBot="1">
      <c r="A1896" s="885" t="s">
        <v>142</v>
      </c>
      <c r="B1896" s="886">
        <f>(R1895+T1895)</f>
        <v>0</v>
      </c>
      <c r="C1896" s="887"/>
      <c r="D1896" s="887"/>
      <c r="E1896" s="887"/>
      <c r="F1896" s="888"/>
      <c r="G1896" s="887" t="s">
        <v>143</v>
      </c>
      <c r="H1896" s="887"/>
      <c r="I1896" s="889"/>
      <c r="J1896" s="887"/>
      <c r="K1896" s="887" t="s">
        <v>3</v>
      </c>
      <c r="L1896" s="890" t="s">
        <v>140</v>
      </c>
      <c r="M1896" s="890"/>
      <c r="N1896" s="890"/>
      <c r="O1896" s="890"/>
      <c r="P1896" s="890"/>
      <c r="Q1896" s="891"/>
      <c r="R1896" s="892">
        <f ca="1">SUM(R1892:R1895)</f>
        <v>28.950000000000003</v>
      </c>
      <c r="S1896" s="887"/>
      <c r="T1896" s="892">
        <f ca="1">SUM(T1892:T1895)</f>
        <v>3.93</v>
      </c>
      <c r="U1896" s="514"/>
      <c r="V1896" s="514"/>
      <c r="W1896" s="514"/>
      <c r="X1896" s="514"/>
      <c r="Y1896" s="514"/>
      <c r="Z1896" s="514"/>
      <c r="AA1896" s="514"/>
      <c r="AB1896" s="514"/>
      <c r="AC1896" s="514"/>
      <c r="AD1896" s="514"/>
      <c r="AE1896" s="514"/>
      <c r="AF1896" s="514"/>
      <c r="AG1896" s="514"/>
      <c r="AH1896" s="514"/>
      <c r="AI1896" s="514"/>
      <c r="AJ1896" s="514"/>
      <c r="AK1896" s="514"/>
      <c r="AL1896" s="514"/>
      <c r="AM1896" s="514"/>
      <c r="AN1896" s="514"/>
      <c r="AO1896" s="514"/>
    </row>
    <row r="1897" spans="1:41" s="504" customFormat="1" ht="12" thickTop="1">
      <c r="A1897" s="50"/>
      <c r="B1897" s="40"/>
      <c r="C1897" s="50"/>
      <c r="E1897" s="41" t="s">
        <v>136</v>
      </c>
      <c r="F1897" s="41" t="s">
        <v>137</v>
      </c>
      <c r="G1897" s="50"/>
      <c r="H1897" s="50"/>
      <c r="I1897" s="50"/>
      <c r="J1897" s="50"/>
      <c r="K1897" s="50" t="s">
        <v>138</v>
      </c>
      <c r="L1897" s="50"/>
      <c r="M1897" s="50"/>
      <c r="N1897" s="50"/>
      <c r="O1897" s="51"/>
      <c r="P1897" s="50"/>
      <c r="Q1897" s="50"/>
      <c r="R1897" s="50"/>
      <c r="S1897" s="50"/>
      <c r="T1897" s="40"/>
      <c r="AG1897" s="867" t="s">
        <v>241</v>
      </c>
      <c r="AH1897" s="867" t="s">
        <v>242</v>
      </c>
      <c r="AI1897" s="867" t="s">
        <v>243</v>
      </c>
      <c r="AJ1897" s="867" t="s">
        <v>244</v>
      </c>
      <c r="AK1897" s="867" t="s">
        <v>245</v>
      </c>
      <c r="AM1897" s="868" t="s">
        <v>254</v>
      </c>
      <c r="AN1897" s="869" t="s">
        <v>255</v>
      </c>
      <c r="AO1897" s="505" t="s">
        <v>251</v>
      </c>
    </row>
    <row r="1898" spans="1:41" s="504" customFormat="1" ht="12" customHeight="1">
      <c r="A1898" s="870">
        <v>3</v>
      </c>
      <c r="B1898" s="871" t="s">
        <v>335</v>
      </c>
      <c r="C1898" s="872"/>
      <c r="D1898" s="873" t="s">
        <v>827</v>
      </c>
      <c r="E1898" s="874">
        <f ca="1">IF(AND($A1898=0,$A$1="DIF"),0, ROUND(ROUND(($R1905*$S$2+($T1905*$T$2))/A1898,2)*$C$2,2))</f>
        <v>88.56</v>
      </c>
      <c r="F1898" s="875">
        <f ca="1">ROUND($A1898*$E1898,2)</f>
        <v>265.68</v>
      </c>
      <c r="G1898" s="876" t="s">
        <v>139</v>
      </c>
      <c r="H1898" s="877"/>
      <c r="I1898" s="878"/>
      <c r="J1898" s="877"/>
      <c r="K1898" s="877" t="s">
        <v>3</v>
      </c>
      <c r="L1898" s="879" t="s">
        <v>140</v>
      </c>
      <c r="M1898" s="879"/>
      <c r="N1898" s="879"/>
      <c r="O1898" s="879"/>
      <c r="P1898" s="879"/>
      <c r="Q1898" s="50"/>
      <c r="T1898" s="880" t="str">
        <f ca="1">IF(AND($R1905=0,$T1905=0),"0.00","mu :" &amp; ROUND($F1898/$C$2/($R1905+$T1905*$D$9),2))</f>
        <v>mu :1.22</v>
      </c>
      <c r="W1898" s="507"/>
      <c r="AG1898" s="465">
        <f ca="1">IF($E1898=0,0,ROUND($R1905*$S$2*$C$2/$A1898,2))</f>
        <v>33.33</v>
      </c>
      <c r="AH1898" s="465">
        <f ca="1">$AG1898*$A1898</f>
        <v>99.99</v>
      </c>
      <c r="AI1898" s="508">
        <f ca="1">$E1898-$AG1898</f>
        <v>55.230000000000004</v>
      </c>
      <c r="AJ1898" s="508">
        <f ca="1">$A1898*$AI1898</f>
        <v>165.69</v>
      </c>
      <c r="AK1898" s="509">
        <f ca="1">ROUND(($AG1898+$AI1898)*$A1898,2)</f>
        <v>265.68</v>
      </c>
      <c r="AM1898" s="510">
        <f ca="1">ROUND(R1905,2)</f>
        <v>81.96</v>
      </c>
      <c r="AN1898" s="511">
        <f ca="1">ROUND(T1905,2)</f>
        <v>4.71</v>
      </c>
      <c r="AO1898" s="512">
        <f ca="1">ROUND(AM1898+AN1898,2)*A1898</f>
        <v>260.01</v>
      </c>
    </row>
    <row r="1899" spans="1:41" s="504" customFormat="1" ht="13.2">
      <c r="A1899" s="872"/>
      <c r="B1899"/>
      <c r="C1899" s="872"/>
      <c r="D1899" s="873" t="s">
        <v>340</v>
      </c>
      <c r="F1899" s="877"/>
      <c r="G1899" s="3"/>
      <c r="H1899" s="877"/>
      <c r="I1899" s="878"/>
      <c r="J1899" s="877"/>
      <c r="K1899" s="877" t="s">
        <v>141</v>
      </c>
      <c r="L1899" s="877"/>
      <c r="M1899" s="877"/>
      <c r="N1899" s="877"/>
      <c r="O1899" s="877"/>
      <c r="P1899" s="877"/>
      <c r="Q1899" s="50"/>
      <c r="R1899" s="513"/>
      <c r="S1899" s="881"/>
      <c r="T1899" s="877"/>
    </row>
    <row r="1900" spans="1:41" s="997" customFormat="1" ht="13.2">
      <c r="A1900"/>
      <c r="B1900" s="1065"/>
      <c r="C1900" s="1065" t="s">
        <v>1006</v>
      </c>
      <c r="D1900" s="1065" t="str">
        <f ca="1">CELL("Address",Elec_Rates!D$200)</f>
        <v>[EL25_0662B_Brittania_Hotel_Elec_Revised_Estim_B.xlsx]Elec_Rates!$D$200</v>
      </c>
      <c r="E1900" s="1066"/>
      <c r="F1900" s="1066"/>
      <c r="G1900" s="1067" t="s">
        <v>1007</v>
      </c>
      <c r="H1900" s="1067"/>
      <c r="I1900" s="1067"/>
      <c r="J1900" s="1067"/>
      <c r="K1900" s="1068"/>
      <c r="L1900" s="1066"/>
      <c r="M1900" s="1066"/>
      <c r="N1900" s="1066"/>
      <c r="O1900" s="1069"/>
      <c r="P1900" s="1066"/>
      <c r="Q1900" s="1070"/>
      <c r="R1900" s="1071"/>
      <c r="S1900" s="1070"/>
      <c r="T1900" s="1072"/>
      <c r="U1900" s="1073"/>
    </row>
    <row r="1901" spans="1:41" s="997" customFormat="1" ht="11.4">
      <c r="A1901" s="1074">
        <v>3</v>
      </c>
      <c r="B1901" s="1075">
        <v>1</v>
      </c>
      <c r="C1901" s="1075">
        <f>$A1901*$B1901</f>
        <v>3</v>
      </c>
      <c r="D1901" s="1076" t="str">
        <f>Elec_Rates!$D$200</f>
        <v>019# Lighting point in LSZH Conduit</v>
      </c>
      <c r="E1901" s="1076"/>
      <c r="F1901" s="1076" t="s">
        <v>1169</v>
      </c>
      <c r="G1901" s="1077" t="s">
        <v>1008</v>
      </c>
      <c r="H1901" s="1077"/>
      <c r="I1901" s="1077"/>
      <c r="J1901" s="1077"/>
      <c r="K1901" s="1078"/>
      <c r="L1901" s="1073"/>
      <c r="M1901" s="1073"/>
      <c r="N1901" s="1073"/>
      <c r="O1901" s="1079"/>
      <c r="P1901" s="1076"/>
      <c r="Q1901" s="1080">
        <f ca="1">$B1901*Elec_Rates!$R$200</f>
        <v>9.65</v>
      </c>
      <c r="R1901" s="1071">
        <f ca="1">$A1901*Q1901</f>
        <v>28.950000000000003</v>
      </c>
      <c r="S1901" s="1080">
        <f ca="1">$B1901*Elec_Rates!$T$200</f>
        <v>1.31</v>
      </c>
      <c r="T1901" s="1072">
        <f ca="1">$A1901*S1901</f>
        <v>3.93</v>
      </c>
      <c r="U1901" s="1081"/>
    </row>
    <row r="1902" spans="1:41" s="997" customFormat="1" ht="13.2">
      <c r="A1902"/>
      <c r="B1902" s="1065"/>
      <c r="C1902" s="1065" t="s">
        <v>1006</v>
      </c>
      <c r="D1902" s="1065" t="str">
        <f ca="1">CELL("Address",Elec_Rates!D$210)</f>
        <v>[EL25_0662B_Brittania_Hotel_Elec_Revised_Estim_B.xlsx]Elec_Rates!$D$210</v>
      </c>
      <c r="E1902" s="1066"/>
      <c r="F1902" s="1066"/>
      <c r="G1902" s="1067" t="s">
        <v>1007</v>
      </c>
      <c r="H1902" s="1067"/>
      <c r="I1902" s="1067"/>
      <c r="J1902" s="1067"/>
      <c r="K1902" s="1068"/>
      <c r="L1902" s="1066"/>
      <c r="M1902" s="1066"/>
      <c r="N1902" s="1066"/>
      <c r="O1902" s="1069"/>
      <c r="P1902" s="1066"/>
      <c r="Q1902" s="1070"/>
      <c r="R1902" s="1071"/>
      <c r="S1902" s="1070"/>
      <c r="T1902" s="1072"/>
      <c r="U1902" s="1073"/>
    </row>
    <row r="1903" spans="1:41" s="997" customFormat="1" ht="11.4">
      <c r="A1903" s="1074">
        <v>3</v>
      </c>
      <c r="B1903" s="1075">
        <v>1</v>
      </c>
      <c r="C1903" s="1075">
        <f>$A1903*$B1903</f>
        <v>3</v>
      </c>
      <c r="D1903" s="1076" t="str">
        <f>Elec_Rates!$D$210</f>
        <v>020# Movement Detector</v>
      </c>
      <c r="E1903" s="1076"/>
      <c r="F1903" s="1076"/>
      <c r="G1903" s="1077" t="s">
        <v>1008</v>
      </c>
      <c r="H1903" s="1077"/>
      <c r="I1903" s="1077"/>
      <c r="J1903" s="1077"/>
      <c r="K1903" s="1078"/>
      <c r="L1903" s="1073"/>
      <c r="M1903" s="1073"/>
      <c r="N1903" s="1073"/>
      <c r="O1903" s="1079"/>
      <c r="P1903" s="1076"/>
      <c r="Q1903" s="1080">
        <f ca="1">$B1903*Elec_Rates!$R$210</f>
        <v>17.670000000000002</v>
      </c>
      <c r="R1903" s="1071">
        <f ca="1">$A1903*Q1903</f>
        <v>53.010000000000005</v>
      </c>
      <c r="S1903" s="1080">
        <f ca="1">$B1903*Elec_Rates!$T$210</f>
        <v>0.26</v>
      </c>
      <c r="T1903" s="1072">
        <f ca="1">$A1903*S1903</f>
        <v>0.78</v>
      </c>
      <c r="U1903" s="1081"/>
    </row>
    <row r="1904" spans="1:41" s="504" customFormat="1" ht="12">
      <c r="A1904" s="882"/>
      <c r="B1904" s="882"/>
      <c r="C1904" s="882"/>
      <c r="D1904" s="882"/>
      <c r="E1904" s="882"/>
      <c r="F1904" s="877"/>
      <c r="G1904" s="882"/>
      <c r="H1904" s="882"/>
      <c r="I1904" s="503"/>
      <c r="J1904" s="882"/>
      <c r="K1904" s="882"/>
      <c r="L1904" s="882"/>
      <c r="M1904" s="882"/>
      <c r="N1904" s="882"/>
      <c r="O1904" s="882"/>
      <c r="P1904" s="882"/>
      <c r="Q1904" s="503"/>
      <c r="R1904" s="883">
        <f>$A1904*Q1904</f>
        <v>0</v>
      </c>
      <c r="S1904" s="503"/>
      <c r="T1904" s="884">
        <f>$A1904*S1904*$T$1</f>
        <v>0</v>
      </c>
    </row>
    <row r="1905" spans="1:41" s="504" customFormat="1" ht="12.6" thickBot="1">
      <c r="A1905" s="885" t="s">
        <v>142</v>
      </c>
      <c r="B1905" s="886">
        <f>(R1904+T1904)</f>
        <v>0</v>
      </c>
      <c r="C1905" s="887"/>
      <c r="D1905" s="887"/>
      <c r="E1905" s="887"/>
      <c r="F1905" s="888"/>
      <c r="G1905" s="887" t="s">
        <v>143</v>
      </c>
      <c r="H1905" s="887"/>
      <c r="I1905" s="889"/>
      <c r="J1905" s="887"/>
      <c r="K1905" s="887" t="s">
        <v>3</v>
      </c>
      <c r="L1905" s="890" t="s">
        <v>140</v>
      </c>
      <c r="M1905" s="890"/>
      <c r="N1905" s="890"/>
      <c r="O1905" s="890"/>
      <c r="P1905" s="890"/>
      <c r="Q1905" s="891"/>
      <c r="R1905" s="892">
        <f ca="1">SUM(R1899:R1904)</f>
        <v>81.960000000000008</v>
      </c>
      <c r="S1905" s="887"/>
      <c r="T1905" s="892">
        <f ca="1">SUM(T1899:T1904)</f>
        <v>4.71</v>
      </c>
      <c r="U1905" s="514"/>
      <c r="V1905" s="514"/>
      <c r="W1905" s="514"/>
      <c r="X1905" s="514"/>
      <c r="Y1905" s="514"/>
      <c r="Z1905" s="514"/>
      <c r="AA1905" s="514"/>
      <c r="AB1905" s="514"/>
      <c r="AC1905" s="514"/>
      <c r="AD1905" s="514"/>
      <c r="AE1905" s="514"/>
      <c r="AF1905" s="514"/>
      <c r="AG1905" s="514"/>
      <c r="AH1905" s="514"/>
      <c r="AI1905" s="514"/>
      <c r="AJ1905" s="514"/>
      <c r="AK1905" s="514"/>
      <c r="AL1905" s="514"/>
      <c r="AM1905" s="514"/>
      <c r="AN1905" s="514"/>
      <c r="AO1905" s="514"/>
    </row>
    <row r="1906" spans="1:41" s="504" customFormat="1" ht="12" thickTop="1">
      <c r="A1906" s="50"/>
      <c r="B1906" s="40"/>
      <c r="C1906" s="50"/>
      <c r="E1906" s="41" t="s">
        <v>136</v>
      </c>
      <c r="F1906" s="41" t="s">
        <v>137</v>
      </c>
      <c r="G1906" s="50"/>
      <c r="H1906" s="50"/>
      <c r="I1906" s="50"/>
      <c r="J1906" s="50"/>
      <c r="K1906" s="50" t="s">
        <v>138</v>
      </c>
      <c r="L1906" s="50"/>
      <c r="M1906" s="50"/>
      <c r="N1906" s="50"/>
      <c r="O1906" s="51"/>
      <c r="P1906" s="50"/>
      <c r="Q1906" s="50"/>
      <c r="R1906" s="50"/>
      <c r="S1906" s="50"/>
      <c r="T1906" s="40"/>
      <c r="AG1906" s="867" t="s">
        <v>241</v>
      </c>
      <c r="AH1906" s="867" t="s">
        <v>242</v>
      </c>
      <c r="AI1906" s="867" t="s">
        <v>243</v>
      </c>
      <c r="AJ1906" s="867" t="s">
        <v>244</v>
      </c>
      <c r="AK1906" s="867" t="s">
        <v>245</v>
      </c>
      <c r="AM1906" s="868" t="s">
        <v>254</v>
      </c>
      <c r="AN1906" s="869" t="s">
        <v>255</v>
      </c>
      <c r="AO1906" s="505" t="s">
        <v>251</v>
      </c>
    </row>
    <row r="1907" spans="1:41" s="504" customFormat="1" ht="12" customHeight="1">
      <c r="A1907" s="870">
        <v>2</v>
      </c>
      <c r="B1907" s="871" t="s">
        <v>335</v>
      </c>
      <c r="C1907" s="872"/>
      <c r="D1907" s="873" t="s">
        <v>828</v>
      </c>
      <c r="E1907" s="874">
        <f ca="1">IF(AND($A1907=0,$A$1="DIF"),0, ROUND(ROUND(($R1912*$S$2+($T1912*$T$2))/A1907,2)*$C$2,2))</f>
        <v>57.85</v>
      </c>
      <c r="F1907" s="875">
        <f ca="1">ROUND($A1907*$E1907,2)</f>
        <v>115.7</v>
      </c>
      <c r="G1907" s="876" t="s">
        <v>139</v>
      </c>
      <c r="H1907" s="877"/>
      <c r="I1907" s="878"/>
      <c r="J1907" s="877"/>
      <c r="K1907" s="877" t="s">
        <v>3</v>
      </c>
      <c r="L1907" s="879" t="s">
        <v>140</v>
      </c>
      <c r="M1907" s="879"/>
      <c r="N1907" s="879"/>
      <c r="O1907" s="879"/>
      <c r="P1907" s="879"/>
      <c r="Q1907" s="50"/>
      <c r="T1907" s="880" t="str">
        <f ca="1">IF(AND($R1912=0,$T1912=0),"0.00","mu :" &amp; ROUND($F1907/$C$2/($R1912+$T1912*$D$9),2))</f>
        <v>mu :1.22</v>
      </c>
      <c r="W1907" s="507"/>
      <c r="AG1907" s="465">
        <f ca="1">IF($E1907=0,0,ROUND($R1912*$S$2*$C$2/$A1907,2))</f>
        <v>11.77</v>
      </c>
      <c r="AH1907" s="465">
        <f ca="1">$AG1907*$A1907</f>
        <v>23.54</v>
      </c>
      <c r="AI1907" s="508">
        <f ca="1">$E1907-$AG1907</f>
        <v>46.08</v>
      </c>
      <c r="AJ1907" s="508">
        <f ca="1">$A1907*$AI1907</f>
        <v>92.16</v>
      </c>
      <c r="AK1907" s="509">
        <f ca="1">ROUND(($AG1907+$AI1907)*$A1907,2)</f>
        <v>115.7</v>
      </c>
      <c r="AM1907" s="510">
        <f ca="1">ROUND(R1912,2)</f>
        <v>19.3</v>
      </c>
      <c r="AN1907" s="511">
        <f ca="1">ROUND(T1912,2)</f>
        <v>2.62</v>
      </c>
      <c r="AO1907" s="512">
        <f ca="1">ROUND(AM1907+AN1907,2)*A1907</f>
        <v>43.84</v>
      </c>
    </row>
    <row r="1908" spans="1:41" s="504" customFormat="1" ht="13.2">
      <c r="A1908" s="872"/>
      <c r="B1908"/>
      <c r="C1908" s="872"/>
      <c r="D1908" s="873" t="s">
        <v>344</v>
      </c>
      <c r="F1908" s="877"/>
      <c r="G1908" s="3"/>
      <c r="H1908" s="877"/>
      <c r="I1908" s="878"/>
      <c r="J1908" s="877"/>
      <c r="K1908" s="877" t="s">
        <v>141</v>
      </c>
      <c r="L1908" s="877"/>
      <c r="M1908" s="877"/>
      <c r="N1908" s="877"/>
      <c r="O1908" s="877"/>
      <c r="P1908" s="877"/>
      <c r="Q1908" s="50"/>
      <c r="R1908" s="513"/>
      <c r="S1908" s="881"/>
      <c r="T1908" s="877"/>
    </row>
    <row r="1909" spans="1:41" s="997" customFormat="1" ht="13.2">
      <c r="A1909"/>
      <c r="B1909" s="1065"/>
      <c r="C1909" s="1065" t="s">
        <v>1006</v>
      </c>
      <c r="D1909" s="1065" t="str">
        <f ca="1">CELL("Address",Elec_Rates!D$200)</f>
        <v>[EL25_0662B_Brittania_Hotel_Elec_Revised_Estim_B.xlsx]Elec_Rates!$D$200</v>
      </c>
      <c r="E1909" s="1066"/>
      <c r="F1909" s="1066"/>
      <c r="G1909" s="1067" t="s">
        <v>1007</v>
      </c>
      <c r="H1909" s="1067"/>
      <c r="I1909" s="1067"/>
      <c r="J1909" s="1067"/>
      <c r="K1909" s="1068"/>
      <c r="L1909" s="1066"/>
      <c r="M1909" s="1066"/>
      <c r="N1909" s="1066"/>
      <c r="O1909" s="1069"/>
      <c r="P1909" s="1066"/>
      <c r="Q1909" s="1070"/>
      <c r="R1909" s="1071"/>
      <c r="S1909" s="1070"/>
      <c r="T1909" s="1072"/>
      <c r="U1909" s="1073"/>
    </row>
    <row r="1910" spans="1:41" s="997" customFormat="1" ht="11.4">
      <c r="A1910" s="1074">
        <v>2</v>
      </c>
      <c r="B1910" s="1075">
        <v>1</v>
      </c>
      <c r="C1910" s="1075">
        <f>$A1910*$B1910</f>
        <v>2</v>
      </c>
      <c r="D1910" s="1076" t="str">
        <f>Elec_Rates!$D$200</f>
        <v>019# Lighting point in LSZH Conduit</v>
      </c>
      <c r="E1910" s="1076"/>
      <c r="F1910" s="1076" t="s">
        <v>1179</v>
      </c>
      <c r="G1910" s="1077" t="s">
        <v>1008</v>
      </c>
      <c r="H1910" s="1077"/>
      <c r="I1910" s="1077"/>
      <c r="J1910" s="1077"/>
      <c r="K1910" s="1078"/>
      <c r="L1910" s="1073"/>
      <c r="M1910" s="1073"/>
      <c r="N1910" s="1073"/>
      <c r="O1910" s="1079"/>
      <c r="P1910" s="1076"/>
      <c r="Q1910" s="1080">
        <f ca="1">$B1910*Elec_Rates!$R$200</f>
        <v>9.65</v>
      </c>
      <c r="R1910" s="1071">
        <f ca="1">$A1910*Q1910</f>
        <v>19.3</v>
      </c>
      <c r="S1910" s="1080">
        <f ca="1">$B1910*Elec_Rates!$T$200</f>
        <v>1.31</v>
      </c>
      <c r="T1910" s="1072">
        <f ca="1">$A1910*S1910</f>
        <v>2.62</v>
      </c>
      <c r="U1910" s="1081"/>
    </row>
    <row r="1911" spans="1:41" s="504" customFormat="1" ht="12">
      <c r="A1911" s="882"/>
      <c r="B1911" s="882"/>
      <c r="C1911" s="882"/>
      <c r="D1911" s="882"/>
      <c r="E1911" s="882"/>
      <c r="F1911" s="877"/>
      <c r="G1911" s="882"/>
      <c r="H1911" s="882"/>
      <c r="I1911" s="503"/>
      <c r="J1911" s="882"/>
      <c r="K1911" s="882"/>
      <c r="L1911" s="882"/>
      <c r="M1911" s="882"/>
      <c r="N1911" s="882"/>
      <c r="O1911" s="882"/>
      <c r="P1911" s="882"/>
      <c r="Q1911" s="503"/>
      <c r="R1911" s="883">
        <f>$A1911*Q1911</f>
        <v>0</v>
      </c>
      <c r="S1911" s="503"/>
      <c r="T1911" s="884">
        <f>$A1911*S1911*$T$1</f>
        <v>0</v>
      </c>
    </row>
    <row r="1912" spans="1:41" s="504" customFormat="1" ht="12.6" thickBot="1">
      <c r="A1912" s="885" t="s">
        <v>142</v>
      </c>
      <c r="B1912" s="886">
        <f>(R1911+T1911)</f>
        <v>0</v>
      </c>
      <c r="C1912" s="887"/>
      <c r="D1912" s="887"/>
      <c r="E1912" s="887"/>
      <c r="F1912" s="888"/>
      <c r="G1912" s="887" t="s">
        <v>143</v>
      </c>
      <c r="H1912" s="887"/>
      <c r="I1912" s="889"/>
      <c r="J1912" s="887"/>
      <c r="K1912" s="887" t="s">
        <v>3</v>
      </c>
      <c r="L1912" s="890" t="s">
        <v>140</v>
      </c>
      <c r="M1912" s="890"/>
      <c r="N1912" s="890"/>
      <c r="O1912" s="890"/>
      <c r="P1912" s="890"/>
      <c r="Q1912" s="891"/>
      <c r="R1912" s="892">
        <f ca="1">SUM(R1908:R1911)</f>
        <v>19.3</v>
      </c>
      <c r="S1912" s="887"/>
      <c r="T1912" s="892">
        <f ca="1">SUM(T1908:T1911)</f>
        <v>2.62</v>
      </c>
      <c r="U1912" s="514"/>
      <c r="V1912" s="514"/>
      <c r="W1912" s="514"/>
      <c r="X1912" s="514"/>
      <c r="Y1912" s="514"/>
      <c r="Z1912" s="514"/>
      <c r="AA1912" s="514"/>
      <c r="AB1912" s="514"/>
      <c r="AC1912" s="514"/>
      <c r="AD1912" s="514"/>
      <c r="AE1912" s="514"/>
      <c r="AF1912" s="514"/>
      <c r="AG1912" s="514"/>
      <c r="AH1912" s="514"/>
      <c r="AI1912" s="514"/>
      <c r="AJ1912" s="514"/>
      <c r="AK1912" s="514"/>
      <c r="AL1912" s="514"/>
      <c r="AM1912" s="514"/>
      <c r="AN1912" s="514"/>
      <c r="AO1912" s="514"/>
    </row>
    <row r="1913" spans="1:41" s="504" customFormat="1" thickTop="1">
      <c r="A1913" s="50"/>
      <c r="B1913" s="50"/>
      <c r="C1913" s="3"/>
      <c r="D1913" s="3"/>
      <c r="E1913" s="50"/>
      <c r="F1913" s="50"/>
      <c r="G1913" s="50"/>
      <c r="H1913" s="50"/>
      <c r="I1913" s="50"/>
      <c r="J1913" s="50"/>
      <c r="K1913" s="50" t="s">
        <v>133</v>
      </c>
      <c r="L1913" s="50"/>
      <c r="M1913" s="50"/>
      <c r="N1913" s="50"/>
      <c r="O1913" s="51"/>
      <c r="P1913" s="50"/>
      <c r="Q1913" s="50"/>
      <c r="R1913" s="50"/>
      <c r="S1913" s="50"/>
      <c r="T1913" s="50"/>
    </row>
    <row r="1914" spans="1:41" s="504" customFormat="1" ht="12">
      <c r="A1914" s="50"/>
      <c r="B1914" s="50"/>
      <c r="C1914" s="50" t="s">
        <v>134</v>
      </c>
      <c r="D1914" s="37" t="s">
        <v>869</v>
      </c>
      <c r="E1914" s="50"/>
      <c r="F1914" s="50"/>
      <c r="G1914" s="50"/>
      <c r="H1914" s="50"/>
      <c r="I1914" s="50"/>
      <c r="J1914" s="50"/>
      <c r="K1914" s="50"/>
      <c r="L1914" s="50"/>
      <c r="M1914" s="50"/>
      <c r="N1914" s="50"/>
      <c r="O1914" s="51"/>
      <c r="P1914" s="50"/>
      <c r="Q1914" s="50"/>
      <c r="R1914" s="50"/>
      <c r="S1914" s="50"/>
      <c r="T1914" s="50"/>
    </row>
    <row r="1915" spans="1:41" s="504" customFormat="1" ht="12">
      <c r="A1915" s="50"/>
      <c r="B1915" s="50"/>
      <c r="C1915" s="50"/>
      <c r="D1915" s="37" t="s">
        <v>850</v>
      </c>
      <c r="E1915" s="50"/>
      <c r="F1915" s="50"/>
      <c r="G1915" s="50"/>
      <c r="H1915" s="50"/>
      <c r="I1915" s="50"/>
      <c r="J1915" s="50"/>
      <c r="K1915" s="50"/>
      <c r="L1915" s="50"/>
      <c r="M1915" s="50"/>
      <c r="N1915" s="50"/>
      <c r="O1915" s="51"/>
      <c r="P1915" s="50"/>
      <c r="Q1915" s="50"/>
      <c r="R1915" s="50"/>
      <c r="S1915" s="38"/>
      <c r="T1915" s="38"/>
    </row>
    <row r="1916" spans="1:41" s="3" customFormat="1" thickBot="1">
      <c r="A1916" s="514"/>
      <c r="O1916" s="103"/>
    </row>
    <row r="1917" spans="1:41" s="504" customFormat="1" ht="12" thickTop="1">
      <c r="A1917" s="50"/>
      <c r="B1917" s="40"/>
      <c r="C1917" s="50"/>
      <c r="E1917" s="41" t="s">
        <v>136</v>
      </c>
      <c r="F1917" s="41" t="s">
        <v>137</v>
      </c>
      <c r="G1917" s="50"/>
      <c r="H1917" s="50"/>
      <c r="I1917" s="50"/>
      <c r="J1917" s="50"/>
      <c r="K1917" s="50" t="s">
        <v>138</v>
      </c>
      <c r="L1917" s="50"/>
      <c r="M1917" s="50"/>
      <c r="N1917" s="50"/>
      <c r="O1917" s="51"/>
      <c r="P1917" s="50"/>
      <c r="Q1917" s="50"/>
      <c r="R1917" s="50"/>
      <c r="S1917" s="50"/>
      <c r="T1917" s="40"/>
      <c r="AG1917" s="867" t="s">
        <v>241</v>
      </c>
      <c r="AH1917" s="867" t="s">
        <v>242</v>
      </c>
      <c r="AI1917" s="867" t="s">
        <v>243</v>
      </c>
      <c r="AJ1917" s="867" t="s">
        <v>244</v>
      </c>
      <c r="AK1917" s="867" t="s">
        <v>245</v>
      </c>
      <c r="AM1917" s="868" t="s">
        <v>254</v>
      </c>
      <c r="AN1917" s="869" t="s">
        <v>255</v>
      </c>
      <c r="AO1917" s="505" t="s">
        <v>251</v>
      </c>
    </row>
    <row r="1918" spans="1:41" s="504" customFormat="1" ht="12" customHeight="1">
      <c r="A1918" s="870">
        <v>26</v>
      </c>
      <c r="B1918" s="871" t="s">
        <v>335</v>
      </c>
      <c r="C1918" s="872"/>
      <c r="D1918" s="873" t="s">
        <v>804</v>
      </c>
      <c r="E1918" s="874">
        <f ca="1">IF(AND($A1918=0,$A$1="DIF"),0, ROUND(ROUND(($R1925*$S$2+($T1925*$T$2))/A1918,2)*$C$2,2))</f>
        <v>67.06</v>
      </c>
      <c r="F1918" s="875">
        <f ca="1">ROUND($A1918*$E1918,2)</f>
        <v>1743.56</v>
      </c>
      <c r="G1918" s="876" t="s">
        <v>139</v>
      </c>
      <c r="H1918" s="877"/>
      <c r="I1918" s="878"/>
      <c r="J1918" s="877"/>
      <c r="K1918" s="877" t="s">
        <v>3</v>
      </c>
      <c r="L1918" s="879" t="s">
        <v>140</v>
      </c>
      <c r="M1918" s="879"/>
      <c r="N1918" s="879"/>
      <c r="O1918" s="879"/>
      <c r="P1918" s="879"/>
      <c r="Q1918" s="50"/>
      <c r="T1918" s="880" t="str">
        <f ca="1">IF(AND($R1925=0,$T1925=0),"0.00","mu :" &amp; ROUND($F1918/$C$2/($R1925+$T1925*$D$9),2))</f>
        <v>mu :1.22</v>
      </c>
      <c r="W1918" s="507"/>
      <c r="AG1918" s="465">
        <f ca="1">IF($E1918=0,0,ROUND($R1925*$S$2*$C$2/$A1918,2))</f>
        <v>14.3</v>
      </c>
      <c r="AH1918" s="465">
        <f ca="1">$AG1918*$A1918</f>
        <v>371.8</v>
      </c>
      <c r="AI1918" s="508">
        <f ca="1">$E1918-$AG1918</f>
        <v>52.760000000000005</v>
      </c>
      <c r="AJ1918" s="508">
        <f ca="1">$A1918*$AI1918</f>
        <v>1371.7600000000002</v>
      </c>
      <c r="AK1918" s="509">
        <f ca="1">ROUND(($AG1918+$AI1918)*$A1918,2)</f>
        <v>1743.56</v>
      </c>
      <c r="AM1918" s="510">
        <f ca="1">ROUND(R1925,2)</f>
        <v>304.72000000000003</v>
      </c>
      <c r="AN1918" s="511">
        <f ca="1">ROUND(T1925,2)</f>
        <v>39</v>
      </c>
      <c r="AO1918" s="512">
        <f ca="1">ROUND(AM1918+AN1918,2)*A1918</f>
        <v>8936.7200000000012</v>
      </c>
    </row>
    <row r="1919" spans="1:41" s="504" customFormat="1" ht="13.2">
      <c r="A1919" s="872"/>
      <c r="B1919"/>
      <c r="C1919" s="872"/>
      <c r="D1919" s="873" t="s">
        <v>377</v>
      </c>
      <c r="F1919" s="877"/>
      <c r="G1919" s="3"/>
      <c r="H1919" s="877"/>
      <c r="I1919" s="878"/>
      <c r="J1919" s="877"/>
      <c r="K1919" s="877" t="s">
        <v>141</v>
      </c>
      <c r="L1919" s="877"/>
      <c r="M1919" s="877"/>
      <c r="N1919" s="877"/>
      <c r="O1919" s="877"/>
      <c r="P1919" s="877"/>
      <c r="Q1919" s="50"/>
      <c r="R1919" s="513"/>
      <c r="S1919" s="881"/>
      <c r="T1919" s="877"/>
    </row>
    <row r="1920" spans="1:41" s="997" customFormat="1" ht="13.2">
      <c r="A1920"/>
      <c r="B1920" s="1065"/>
      <c r="C1920" s="1065" t="s">
        <v>1006</v>
      </c>
      <c r="D1920" s="1065" t="str">
        <f ca="1">CELL("Address",Elec_Rates!D$200)</f>
        <v>[EL25_0662B_Brittania_Hotel_Elec_Revised_Estim_B.xlsx]Elec_Rates!$D$200</v>
      </c>
      <c r="E1920" s="1066"/>
      <c r="F1920" s="1066"/>
      <c r="G1920" s="1067" t="s">
        <v>1007</v>
      </c>
      <c r="H1920" s="1067"/>
      <c r="I1920" s="1067"/>
      <c r="J1920" s="1067"/>
      <c r="K1920" s="1068"/>
      <c r="L1920" s="1066"/>
      <c r="M1920" s="1066"/>
      <c r="N1920" s="1066"/>
      <c r="O1920" s="1069"/>
      <c r="P1920" s="1066"/>
      <c r="Q1920" s="1070"/>
      <c r="R1920" s="1071"/>
      <c r="S1920" s="1070"/>
      <c r="T1920" s="1072"/>
      <c r="U1920" s="1073"/>
    </row>
    <row r="1921" spans="1:41" s="997" customFormat="1" ht="11.4">
      <c r="A1921" s="1074">
        <v>26</v>
      </c>
      <c r="B1921" s="1075">
        <v>1</v>
      </c>
      <c r="C1921" s="1075">
        <f>$A1921*$B1921</f>
        <v>26</v>
      </c>
      <c r="D1921" s="1076" t="str">
        <f>Elec_Rates!$D$200</f>
        <v>019# Lighting point in LSZH Conduit</v>
      </c>
      <c r="E1921" s="1076"/>
      <c r="F1921" s="1076"/>
      <c r="G1921" s="1077" t="s">
        <v>1008</v>
      </c>
      <c r="H1921" s="1077"/>
      <c r="I1921" s="1077"/>
      <c r="J1921" s="1077"/>
      <c r="K1921" s="1078"/>
      <c r="L1921" s="1073"/>
      <c r="M1921" s="1073"/>
      <c r="N1921" s="1073"/>
      <c r="O1921" s="1079"/>
      <c r="P1921" s="1076"/>
      <c r="Q1921" s="1080">
        <f ca="1">$B1921*Elec_Rates!$R$200</f>
        <v>9.65</v>
      </c>
      <c r="R1921" s="1071">
        <f ca="1">$A1921*Q1921</f>
        <v>250.9</v>
      </c>
      <c r="S1921" s="1080">
        <f ca="1">$B1921*Elec_Rates!$T$200</f>
        <v>1.31</v>
      </c>
      <c r="T1921" s="1072">
        <f ca="1">$A1921*S1921</f>
        <v>34.06</v>
      </c>
      <c r="U1921" s="1081"/>
    </row>
    <row r="1922" spans="1:41" s="997" customFormat="1" ht="13.2">
      <c r="A1922"/>
      <c r="B1922" s="1065"/>
      <c r="C1922" s="1065" t="s">
        <v>1006</v>
      </c>
      <c r="D1922" s="1065" t="str">
        <f ca="1">CELL("Address",Elec_Rates!D$517)</f>
        <v>[EL25_0662B_Brittania_Hotel_Elec_Revised_Estim_B.xlsx]Elec_Rates!$D$517</v>
      </c>
      <c r="E1922" s="1066"/>
      <c r="F1922" s="1066"/>
      <c r="G1922" s="1067" t="s">
        <v>1007</v>
      </c>
      <c r="H1922" s="1067"/>
      <c r="I1922" s="1067"/>
      <c r="J1922" s="1067"/>
      <c r="K1922" s="1068"/>
      <c r="L1922" s="1066"/>
      <c r="M1922" s="1066"/>
      <c r="N1922" s="1066"/>
      <c r="O1922" s="1069"/>
      <c r="P1922" s="1066"/>
      <c r="Q1922" s="1070"/>
      <c r="R1922" s="1071"/>
      <c r="S1922" s="1070"/>
      <c r="T1922" s="1072"/>
      <c r="U1922" s="1073"/>
    </row>
    <row r="1923" spans="1:41" s="997" customFormat="1" ht="11.4">
      <c r="A1923" s="1074">
        <v>26</v>
      </c>
      <c r="B1923" s="1075">
        <v>1</v>
      </c>
      <c r="C1923" s="1075">
        <f>$A1923*$B1923</f>
        <v>26</v>
      </c>
      <c r="D1923" s="1076" t="str">
        <f>Elec_Rates!$D$517</f>
        <v>061# DALI Wiring cables</v>
      </c>
      <c r="E1923" s="1076"/>
      <c r="F1923" s="1076"/>
      <c r="G1923" s="1077" t="s">
        <v>1008</v>
      </c>
      <c r="H1923" s="1077"/>
      <c r="I1923" s="1077"/>
      <c r="J1923" s="1077"/>
      <c r="K1923" s="1078"/>
      <c r="L1923" s="1073"/>
      <c r="M1923" s="1073"/>
      <c r="N1923" s="1073"/>
      <c r="O1923" s="1079"/>
      <c r="P1923" s="1076"/>
      <c r="Q1923" s="1080">
        <f ca="1">$B1923*Elec_Rates!$R$517</f>
        <v>2.0699999999999998</v>
      </c>
      <c r="R1923" s="1071">
        <f ca="1">$A1923*Q1923</f>
        <v>53.819999999999993</v>
      </c>
      <c r="S1923" s="1080">
        <f ca="1">$B1923*Elec_Rates!$T$517</f>
        <v>0.19</v>
      </c>
      <c r="T1923" s="1072">
        <f ca="1">$A1923*S1923</f>
        <v>4.9400000000000004</v>
      </c>
      <c r="U1923" s="1081"/>
    </row>
    <row r="1924" spans="1:41" s="504" customFormat="1" ht="12">
      <c r="A1924" s="882"/>
      <c r="B1924" s="882"/>
      <c r="C1924" s="882"/>
      <c r="D1924" s="882"/>
      <c r="E1924" s="882"/>
      <c r="F1924" s="877"/>
      <c r="G1924" s="882"/>
      <c r="H1924" s="882"/>
      <c r="I1924" s="503"/>
      <c r="J1924" s="882"/>
      <c r="K1924" s="882"/>
      <c r="L1924" s="882"/>
      <c r="M1924" s="882"/>
      <c r="N1924" s="882"/>
      <c r="O1924" s="882"/>
      <c r="P1924" s="882"/>
      <c r="Q1924" s="503"/>
      <c r="R1924" s="883">
        <f>$A1924*Q1924</f>
        <v>0</v>
      </c>
      <c r="S1924" s="503"/>
      <c r="T1924" s="884">
        <f>$A1924*S1924*$T$1</f>
        <v>0</v>
      </c>
    </row>
    <row r="1925" spans="1:41" s="504" customFormat="1" ht="12.6" thickBot="1">
      <c r="A1925" s="885" t="s">
        <v>142</v>
      </c>
      <c r="B1925" s="886">
        <f>(R1924+T1924)</f>
        <v>0</v>
      </c>
      <c r="C1925" s="887"/>
      <c r="D1925" s="887"/>
      <c r="E1925" s="887"/>
      <c r="F1925" s="888"/>
      <c r="G1925" s="887" t="s">
        <v>143</v>
      </c>
      <c r="H1925" s="887"/>
      <c r="I1925" s="889"/>
      <c r="J1925" s="887"/>
      <c r="K1925" s="887" t="s">
        <v>3</v>
      </c>
      <c r="L1925" s="890" t="s">
        <v>140</v>
      </c>
      <c r="M1925" s="890"/>
      <c r="N1925" s="890"/>
      <c r="O1925" s="890"/>
      <c r="P1925" s="890"/>
      <c r="Q1925" s="891"/>
      <c r="R1925" s="892">
        <f ca="1">SUM(R1919:R1924)</f>
        <v>304.72000000000003</v>
      </c>
      <c r="S1925" s="887"/>
      <c r="T1925" s="892">
        <f ca="1">SUM(T1919:T1924)</f>
        <v>39</v>
      </c>
      <c r="U1925" s="514"/>
      <c r="V1925" s="514"/>
      <c r="W1925" s="514"/>
      <c r="X1925" s="514"/>
      <c r="Y1925" s="514"/>
      <c r="Z1925" s="514"/>
      <c r="AA1925" s="514"/>
      <c r="AB1925" s="514"/>
      <c r="AC1925" s="514"/>
      <c r="AD1925" s="514"/>
      <c r="AE1925" s="514"/>
      <c r="AF1925" s="514"/>
      <c r="AG1925" s="514"/>
      <c r="AH1925" s="514"/>
      <c r="AI1925" s="514"/>
      <c r="AJ1925" s="514"/>
      <c r="AK1925" s="514"/>
      <c r="AL1925" s="514"/>
      <c r="AM1925" s="514"/>
      <c r="AN1925" s="514"/>
      <c r="AO1925" s="514"/>
    </row>
    <row r="1926" spans="1:41" s="504" customFormat="1" ht="12" thickTop="1">
      <c r="A1926" s="50"/>
      <c r="B1926" s="40"/>
      <c r="C1926" s="50"/>
      <c r="E1926" s="41" t="s">
        <v>136</v>
      </c>
      <c r="F1926" s="41" t="s">
        <v>137</v>
      </c>
      <c r="G1926" s="50"/>
      <c r="H1926" s="50"/>
      <c r="I1926" s="50"/>
      <c r="J1926" s="50"/>
      <c r="K1926" s="50" t="s">
        <v>138</v>
      </c>
      <c r="L1926" s="50"/>
      <c r="M1926" s="50"/>
      <c r="N1926" s="50"/>
      <c r="O1926" s="51"/>
      <c r="P1926" s="50"/>
      <c r="Q1926" s="50"/>
      <c r="R1926" s="50"/>
      <c r="S1926" s="50"/>
      <c r="T1926" s="40"/>
      <c r="AG1926" s="867" t="s">
        <v>241</v>
      </c>
      <c r="AH1926" s="867" t="s">
        <v>242</v>
      </c>
      <c r="AI1926" s="867" t="s">
        <v>243</v>
      </c>
      <c r="AJ1926" s="867" t="s">
        <v>244</v>
      </c>
      <c r="AK1926" s="867" t="s">
        <v>245</v>
      </c>
      <c r="AM1926" s="868" t="s">
        <v>254</v>
      </c>
      <c r="AN1926" s="869" t="s">
        <v>255</v>
      </c>
      <c r="AO1926" s="505" t="s">
        <v>251</v>
      </c>
    </row>
    <row r="1927" spans="1:41" s="504" customFormat="1" ht="12" customHeight="1">
      <c r="A1927" s="870">
        <v>10</v>
      </c>
      <c r="B1927" s="871" t="s">
        <v>335</v>
      </c>
      <c r="C1927" s="872"/>
      <c r="D1927" s="873" t="s">
        <v>806</v>
      </c>
      <c r="E1927" s="874">
        <f ca="1">IF(AND($A1927=0,$A$1="DIF"),0, ROUND(ROUND(($R1934*$S$2+($T1934*$T$2))/A1927,2)*$C$2,2))</f>
        <v>124.92</v>
      </c>
      <c r="F1927" s="875">
        <f ca="1">ROUND($A1927*$E1927,2)</f>
        <v>1249.2</v>
      </c>
      <c r="G1927" s="876" t="s">
        <v>139</v>
      </c>
      <c r="H1927" s="877"/>
      <c r="I1927" s="878"/>
      <c r="J1927" s="877"/>
      <c r="K1927" s="877" t="s">
        <v>3</v>
      </c>
      <c r="L1927" s="879" t="s">
        <v>140</v>
      </c>
      <c r="M1927" s="879"/>
      <c r="N1927" s="879"/>
      <c r="O1927" s="879"/>
      <c r="P1927" s="879"/>
      <c r="Q1927" s="50"/>
      <c r="T1927" s="880" t="str">
        <f ca="1">IF(AND($R1934=0,$T1934=0),"0.00","mu :" &amp; ROUND($F1927/$C$2/($R1934+$T1934*$D$9),2))</f>
        <v>mu :1.22</v>
      </c>
      <c r="W1927" s="507"/>
      <c r="AG1927" s="465">
        <f ca="1">IF($E1927=0,0,ROUND($R1934*$S$2*$C$2/$A1927,2))</f>
        <v>26.07</v>
      </c>
      <c r="AH1927" s="465">
        <f ca="1">$AG1927*$A1927</f>
        <v>260.7</v>
      </c>
      <c r="AI1927" s="508">
        <f ca="1">$E1927-$AG1927</f>
        <v>98.85</v>
      </c>
      <c r="AJ1927" s="508">
        <f ca="1">$A1927*$AI1927</f>
        <v>988.5</v>
      </c>
      <c r="AK1927" s="509">
        <f ca="1">ROUND(($AG1927+$AI1927)*$A1927,2)</f>
        <v>1249.2</v>
      </c>
      <c r="AM1927" s="510">
        <f ca="1">ROUND(R1934,2)</f>
        <v>213.7</v>
      </c>
      <c r="AN1927" s="511">
        <f ca="1">ROUND(T1934,2)</f>
        <v>28.1</v>
      </c>
      <c r="AO1927" s="512">
        <f ca="1">ROUND(AM1927+AN1927,2)*A1927</f>
        <v>2418</v>
      </c>
    </row>
    <row r="1928" spans="1:41" s="504" customFormat="1" ht="13.2">
      <c r="A1928" s="872"/>
      <c r="B1928"/>
      <c r="C1928" s="872"/>
      <c r="D1928" s="873" t="s">
        <v>378</v>
      </c>
      <c r="F1928" s="877"/>
      <c r="G1928" s="3"/>
      <c r="H1928" s="877"/>
      <c r="I1928" s="878"/>
      <c r="J1928" s="877"/>
      <c r="K1928" s="877" t="s">
        <v>141</v>
      </c>
      <c r="L1928" s="877"/>
      <c r="M1928" s="877"/>
      <c r="N1928" s="877"/>
      <c r="O1928" s="877"/>
      <c r="P1928" s="877"/>
      <c r="Q1928" s="50"/>
      <c r="R1928" s="513"/>
      <c r="S1928" s="881"/>
      <c r="T1928" s="877"/>
    </row>
    <row r="1929" spans="1:41" s="997" customFormat="1" ht="13.2">
      <c r="A1929"/>
      <c r="B1929" s="1065"/>
      <c r="C1929" s="1065" t="s">
        <v>1006</v>
      </c>
      <c r="D1929" s="1065" t="str">
        <f ca="1">CELL("Address",Elec_Rates!D$200)</f>
        <v>[EL25_0662B_Brittania_Hotel_Elec_Revised_Estim_B.xlsx]Elec_Rates!$D$200</v>
      </c>
      <c r="E1929" s="1066"/>
      <c r="F1929" s="1066"/>
      <c r="G1929" s="1067" t="s">
        <v>1007</v>
      </c>
      <c r="H1929" s="1067"/>
      <c r="I1929" s="1067"/>
      <c r="J1929" s="1067"/>
      <c r="K1929" s="1068"/>
      <c r="L1929" s="1066"/>
      <c r="M1929" s="1066"/>
      <c r="N1929" s="1066"/>
      <c r="O1929" s="1069"/>
      <c r="P1929" s="1066"/>
      <c r="Q1929" s="1070"/>
      <c r="R1929" s="1071"/>
      <c r="S1929" s="1070"/>
      <c r="T1929" s="1072"/>
      <c r="U1929" s="1073"/>
    </row>
    <row r="1930" spans="1:41" s="997" customFormat="1" ht="11.4">
      <c r="A1930" s="1074">
        <v>10</v>
      </c>
      <c r="B1930" s="1075">
        <v>2</v>
      </c>
      <c r="C1930" s="1075">
        <f>$A1930*$B1930</f>
        <v>20</v>
      </c>
      <c r="D1930" s="1076" t="str">
        <f>Elec_Rates!$D$200</f>
        <v>019# Lighting point in LSZH Conduit</v>
      </c>
      <c r="E1930" s="1076"/>
      <c r="F1930" s="1076"/>
      <c r="G1930" s="1077" t="s">
        <v>1008</v>
      </c>
      <c r="H1930" s="1077"/>
      <c r="I1930" s="1077"/>
      <c r="J1930" s="1077"/>
      <c r="K1930" s="1078"/>
      <c r="L1930" s="1073"/>
      <c r="M1930" s="1073"/>
      <c r="N1930" s="1073"/>
      <c r="O1930" s="1079"/>
      <c r="P1930" s="1076"/>
      <c r="Q1930" s="1080">
        <f ca="1">$B1930*Elec_Rates!$R$200</f>
        <v>19.3</v>
      </c>
      <c r="R1930" s="1071">
        <f ca="1">$A1930*Q1930</f>
        <v>193</v>
      </c>
      <c r="S1930" s="1080">
        <f ca="1">$B1930*Elec_Rates!$T$200</f>
        <v>2.62</v>
      </c>
      <c r="T1930" s="1072">
        <f ca="1">$A1930*S1930</f>
        <v>26.200000000000003</v>
      </c>
      <c r="U1930" s="1081"/>
    </row>
    <row r="1931" spans="1:41" s="997" customFormat="1" ht="13.2">
      <c r="A1931"/>
      <c r="B1931" s="1065"/>
      <c r="C1931" s="1065" t="s">
        <v>1006</v>
      </c>
      <c r="D1931" s="1065" t="str">
        <f ca="1">CELL("Address",Elec_Rates!D$517)</f>
        <v>[EL25_0662B_Brittania_Hotel_Elec_Revised_Estim_B.xlsx]Elec_Rates!$D$517</v>
      </c>
      <c r="E1931" s="1066"/>
      <c r="F1931" s="1066"/>
      <c r="G1931" s="1067" t="s">
        <v>1007</v>
      </c>
      <c r="H1931" s="1067"/>
      <c r="I1931" s="1067"/>
      <c r="J1931" s="1067"/>
      <c r="K1931" s="1068"/>
      <c r="L1931" s="1066"/>
      <c r="M1931" s="1066"/>
      <c r="N1931" s="1066"/>
      <c r="O1931" s="1069"/>
      <c r="P1931" s="1066"/>
      <c r="Q1931" s="1070"/>
      <c r="R1931" s="1071"/>
      <c r="S1931" s="1070"/>
      <c r="T1931" s="1072"/>
      <c r="U1931" s="1073"/>
    </row>
    <row r="1932" spans="1:41" s="997" customFormat="1" ht="11.4">
      <c r="A1932" s="1074">
        <v>10</v>
      </c>
      <c r="B1932" s="1075">
        <v>1</v>
      </c>
      <c r="C1932" s="1075">
        <f>$A1932*$B1932</f>
        <v>10</v>
      </c>
      <c r="D1932" s="1076" t="str">
        <f>Elec_Rates!$D$517</f>
        <v>061# DALI Wiring cables</v>
      </c>
      <c r="E1932" s="1076"/>
      <c r="F1932" s="1076"/>
      <c r="G1932" s="1077" t="s">
        <v>1008</v>
      </c>
      <c r="H1932" s="1077"/>
      <c r="I1932" s="1077"/>
      <c r="J1932" s="1077"/>
      <c r="K1932" s="1078"/>
      <c r="L1932" s="1073"/>
      <c r="M1932" s="1073"/>
      <c r="N1932" s="1073"/>
      <c r="O1932" s="1079"/>
      <c r="P1932" s="1076"/>
      <c r="Q1932" s="1080">
        <f ca="1">$B1932*Elec_Rates!$R$517</f>
        <v>2.0699999999999998</v>
      </c>
      <c r="R1932" s="1071">
        <f ca="1">$A1932*Q1932</f>
        <v>20.7</v>
      </c>
      <c r="S1932" s="1080">
        <f ca="1">$B1932*Elec_Rates!$T$517</f>
        <v>0.19</v>
      </c>
      <c r="T1932" s="1072">
        <f ca="1">$A1932*S1932</f>
        <v>1.9</v>
      </c>
      <c r="U1932" s="1081"/>
    </row>
    <row r="1933" spans="1:41" s="504" customFormat="1" ht="12">
      <c r="A1933" s="882"/>
      <c r="B1933" s="882"/>
      <c r="C1933" s="882"/>
      <c r="D1933" s="882"/>
      <c r="E1933" s="882"/>
      <c r="F1933" s="877"/>
      <c r="G1933" s="882"/>
      <c r="H1933" s="882"/>
      <c r="I1933" s="503"/>
      <c r="J1933" s="882"/>
      <c r="K1933" s="882"/>
      <c r="L1933" s="882"/>
      <c r="M1933" s="882"/>
      <c r="N1933" s="882"/>
      <c r="O1933" s="882"/>
      <c r="P1933" s="882"/>
      <c r="Q1933" s="503"/>
      <c r="R1933" s="883">
        <f>$A1933*Q1933</f>
        <v>0</v>
      </c>
      <c r="S1933" s="503"/>
      <c r="T1933" s="884">
        <f>$A1933*S1933*$T$1</f>
        <v>0</v>
      </c>
    </row>
    <row r="1934" spans="1:41" s="504" customFormat="1" ht="12.6" thickBot="1">
      <c r="A1934" s="885" t="s">
        <v>142</v>
      </c>
      <c r="B1934" s="886">
        <f>(R1933+T1933)</f>
        <v>0</v>
      </c>
      <c r="C1934" s="887"/>
      <c r="D1934" s="887"/>
      <c r="E1934" s="887"/>
      <c r="F1934" s="888"/>
      <c r="G1934" s="887" t="s">
        <v>143</v>
      </c>
      <c r="H1934" s="887"/>
      <c r="I1934" s="889"/>
      <c r="J1934" s="887"/>
      <c r="K1934" s="887" t="s">
        <v>3</v>
      </c>
      <c r="L1934" s="890" t="s">
        <v>140</v>
      </c>
      <c r="M1934" s="890"/>
      <c r="N1934" s="890"/>
      <c r="O1934" s="890"/>
      <c r="P1934" s="890"/>
      <c r="Q1934" s="891"/>
      <c r="R1934" s="892">
        <f ca="1">SUM(R1928:R1933)</f>
        <v>213.7</v>
      </c>
      <c r="S1934" s="887"/>
      <c r="T1934" s="892">
        <f ca="1">SUM(T1928:T1933)</f>
        <v>28.1</v>
      </c>
      <c r="U1934" s="514"/>
      <c r="V1934" s="514"/>
      <c r="W1934" s="514"/>
      <c r="X1934" s="514"/>
      <c r="Y1934" s="514"/>
      <c r="Z1934" s="514"/>
      <c r="AA1934" s="514"/>
      <c r="AB1934" s="514"/>
      <c r="AC1934" s="514"/>
      <c r="AD1934" s="514"/>
      <c r="AE1934" s="514"/>
      <c r="AF1934" s="514"/>
      <c r="AG1934" s="514"/>
      <c r="AH1934" s="514"/>
      <c r="AI1934" s="514"/>
      <c r="AJ1934" s="514"/>
      <c r="AK1934" s="514"/>
      <c r="AL1934" s="514"/>
      <c r="AM1934" s="514"/>
      <c r="AN1934" s="514"/>
      <c r="AO1934" s="514"/>
    </row>
    <row r="1935" spans="1:41" s="504" customFormat="1" ht="12" thickTop="1">
      <c r="A1935" s="47" t="s">
        <v>145</v>
      </c>
      <c r="D1935" s="13"/>
      <c r="E1935" s="41"/>
      <c r="O1935" s="893"/>
    </row>
    <row r="1936" spans="1:41" s="504" customFormat="1" ht="13.2">
      <c r="B1936" s="3"/>
      <c r="O1936" s="893"/>
    </row>
    <row r="1937" spans="1:41" s="504" customFormat="1" ht="12">
      <c r="B1937" s="894">
        <f ca="1">$F1937/$C$2-($R1937*$S$2+$T1937*$T$2)</f>
        <v>-0.12361818999852403</v>
      </c>
      <c r="D1937" s="895" t="s">
        <v>817</v>
      </c>
      <c r="E1937" s="896"/>
      <c r="F1937" s="897">
        <f ca="1">SUMIF($L1789:$L1935,"ITEM",F1789:F1935)</f>
        <v>8056.8400000000011</v>
      </c>
      <c r="G1937" s="882"/>
      <c r="H1937" s="882"/>
      <c r="I1937" s="503"/>
      <c r="J1937" s="882"/>
      <c r="K1937" s="882"/>
      <c r="L1937" s="879" t="s">
        <v>154</v>
      </c>
      <c r="M1937" s="879"/>
      <c r="N1937" s="879"/>
      <c r="O1937" s="879"/>
      <c r="P1937" s="879"/>
      <c r="R1937" s="897">
        <f ca="1">SUMIF($L1789:$L1935,"ITEM",R1789:R1935)</f>
        <v>1583.3350000000003</v>
      </c>
      <c r="S1937" s="898"/>
      <c r="T1937" s="897">
        <f ca="1">SUMIF($L1789:$L1935,"ITEM",T1789:T1935)</f>
        <v>174.13149999999999</v>
      </c>
    </row>
    <row r="1938" spans="1:41" s="504" customFormat="1" ht="13.2">
      <c r="A1938" s="50"/>
      <c r="B1938" s="48" t="s">
        <v>816</v>
      </c>
      <c r="C1938" s="50"/>
      <c r="D1938" s="3"/>
      <c r="F1938" s="899" t="s">
        <v>155</v>
      </c>
      <c r="G1938" s="882"/>
      <c r="H1938" s="882"/>
      <c r="I1938" s="503"/>
      <c r="J1938" s="882"/>
      <c r="K1938" s="882"/>
      <c r="L1938" s="882"/>
      <c r="M1938" s="882"/>
      <c r="N1938" s="882"/>
      <c r="O1938" s="882"/>
      <c r="P1938" s="882"/>
      <c r="Q1938" s="900"/>
      <c r="R1938" s="899" t="s">
        <v>156</v>
      </c>
      <c r="S1938" s="38"/>
      <c r="T1938" s="899" t="s">
        <v>157</v>
      </c>
    </row>
    <row r="1939" spans="1:41" s="504" customFormat="1" ht="13.2">
      <c r="A1939" s="882"/>
      <c r="B1939" s="3"/>
      <c r="C1939" s="882"/>
      <c r="D1939" s="3"/>
      <c r="E1939" s="3"/>
      <c r="G1939" s="3"/>
      <c r="H1939" s="3"/>
      <c r="I1939" s="3"/>
      <c r="J1939" s="3"/>
      <c r="K1939" s="3"/>
      <c r="L1939" s="3"/>
      <c r="M1939" s="3"/>
      <c r="N1939" s="3"/>
      <c r="O1939" s="103"/>
      <c r="P1939" s="3"/>
      <c r="Q1939" s="3"/>
      <c r="R1939" s="3"/>
      <c r="S1939" s="3"/>
      <c r="T1939" s="3"/>
    </row>
    <row r="1940" spans="1:41" s="504" customFormat="1" ht="12" thickBot="1">
      <c r="A1940" s="514"/>
      <c r="B1940" s="887"/>
      <c r="C1940" s="887"/>
      <c r="D1940" s="514"/>
      <c r="E1940" s="39"/>
      <c r="F1940" s="901"/>
      <c r="G1940" s="887"/>
      <c r="H1940" s="887"/>
      <c r="I1940" s="889"/>
      <c r="J1940" s="887"/>
      <c r="K1940" s="887"/>
      <c r="L1940" s="890"/>
      <c r="M1940" s="890"/>
      <c r="N1940" s="890"/>
      <c r="O1940" s="890"/>
      <c r="P1940" s="890"/>
      <c r="Q1940" s="891"/>
      <c r="R1940" s="901"/>
      <c r="S1940" s="902"/>
      <c r="T1940" s="901"/>
      <c r="U1940" s="514"/>
      <c r="V1940" s="514"/>
      <c r="W1940" s="514"/>
      <c r="X1940" s="514"/>
      <c r="Y1940" s="514"/>
      <c r="Z1940" s="514"/>
      <c r="AA1940" s="514"/>
      <c r="AB1940" s="514"/>
      <c r="AC1940" s="514"/>
      <c r="AD1940" s="514"/>
      <c r="AE1940" s="514"/>
      <c r="AF1940" s="514"/>
      <c r="AG1940" s="514"/>
      <c r="AH1940" s="514"/>
      <c r="AI1940" s="514"/>
      <c r="AJ1940" s="514"/>
      <c r="AK1940" s="514"/>
    </row>
    <row r="1941" spans="1:41" s="504" customFormat="1" thickTop="1">
      <c r="A1941" s="50"/>
      <c r="B1941" s="50"/>
      <c r="C1941" s="3"/>
      <c r="D1941" s="3"/>
      <c r="E1941" s="50"/>
      <c r="F1941" s="50"/>
      <c r="G1941" s="50"/>
      <c r="H1941" s="50"/>
      <c r="I1941" s="50"/>
      <c r="J1941" s="50"/>
      <c r="K1941" s="50" t="s">
        <v>133</v>
      </c>
      <c r="L1941" s="50"/>
      <c r="M1941" s="50"/>
      <c r="N1941" s="50"/>
      <c r="O1941" s="51"/>
      <c r="P1941" s="50"/>
      <c r="Q1941" s="50"/>
      <c r="R1941" s="50"/>
      <c r="S1941" s="50"/>
      <c r="T1941" s="50"/>
    </row>
    <row r="1942" spans="1:41" s="504" customFormat="1" ht="12">
      <c r="A1942" s="50"/>
      <c r="B1942" s="50"/>
      <c r="C1942" s="50" t="s">
        <v>134</v>
      </c>
      <c r="D1942" s="37" t="s">
        <v>870</v>
      </c>
      <c r="E1942" s="50"/>
      <c r="F1942" s="50"/>
      <c r="G1942" s="50"/>
      <c r="H1942" s="50"/>
      <c r="I1942" s="50"/>
      <c r="J1942" s="50"/>
      <c r="K1942" s="50"/>
      <c r="L1942" s="50"/>
      <c r="M1942" s="50"/>
      <c r="N1942" s="50"/>
      <c r="O1942" s="51"/>
      <c r="P1942" s="50"/>
      <c r="Q1942" s="50"/>
      <c r="R1942" s="50"/>
      <c r="S1942" s="50"/>
      <c r="T1942" s="50"/>
    </row>
    <row r="1943" spans="1:41" s="504" customFormat="1" ht="12">
      <c r="A1943" s="50"/>
      <c r="B1943" s="50"/>
      <c r="C1943" s="50"/>
      <c r="D1943" s="37" t="s">
        <v>852</v>
      </c>
      <c r="E1943" s="50"/>
      <c r="F1943" s="50"/>
      <c r="G1943" s="50"/>
      <c r="H1943" s="50"/>
      <c r="I1943" s="50"/>
      <c r="J1943" s="50"/>
      <c r="K1943" s="50"/>
      <c r="L1943" s="50"/>
      <c r="M1943" s="50"/>
      <c r="N1943" s="50"/>
      <c r="O1943" s="51"/>
      <c r="P1943" s="50"/>
      <c r="Q1943" s="50"/>
      <c r="R1943" s="50"/>
      <c r="S1943" s="38"/>
      <c r="T1943" s="38"/>
    </row>
    <row r="1944" spans="1:41" s="3" customFormat="1" thickBot="1">
      <c r="A1944" s="514"/>
      <c r="O1944" s="103"/>
    </row>
    <row r="1945" spans="1:41" s="504" customFormat="1" thickTop="1">
      <c r="A1945" s="50"/>
      <c r="B1945" s="40"/>
      <c r="C1945" s="50"/>
      <c r="E1945" s="41" t="s">
        <v>136</v>
      </c>
      <c r="F1945" s="41" t="s">
        <v>137</v>
      </c>
      <c r="G1945" s="50"/>
      <c r="H1945" s="50"/>
      <c r="I1945" s="50"/>
      <c r="J1945" s="50"/>
      <c r="K1945" s="50" t="s">
        <v>138</v>
      </c>
      <c r="L1945" s="1219"/>
      <c r="M1945" s="50"/>
      <c r="N1945" s="50"/>
      <c r="O1945" s="51"/>
      <c r="P1945" s="50"/>
      <c r="Q1945"/>
      <c r="R1945"/>
      <c r="S1945"/>
      <c r="T1945" s="40"/>
      <c r="AG1945" s="867" t="s">
        <v>241</v>
      </c>
      <c r="AH1945" s="867" t="s">
        <v>242</v>
      </c>
      <c r="AI1945" s="867" t="s">
        <v>243</v>
      </c>
      <c r="AJ1945" s="867" t="s">
        <v>244</v>
      </c>
      <c r="AK1945" s="867" t="s">
        <v>245</v>
      </c>
      <c r="AM1945" s="868" t="s">
        <v>254</v>
      </c>
      <c r="AN1945" s="869" t="s">
        <v>255</v>
      </c>
      <c r="AO1945" s="505" t="s">
        <v>251</v>
      </c>
    </row>
    <row r="1946" spans="1:41" s="504" customFormat="1" ht="13.2">
      <c r="A1946" s="870">
        <v>3</v>
      </c>
      <c r="B1946" s="871" t="s">
        <v>335</v>
      </c>
      <c r="C1946" s="872"/>
      <c r="D1946" s="873" t="s">
        <v>804</v>
      </c>
      <c r="E1946" s="1220">
        <f ca="1">IF(AND($A1946=0,$A$1="DIF"),0, ROUND(ROUND(SUMIF($L1948:$L1956,"SUBI",$E1948:$E1956)/$A1946,2)*$C$12,2))</f>
        <v>55.19</v>
      </c>
      <c r="F1946" s="1221">
        <f ca="1">ROUND($A1946*$E1946,2)</f>
        <v>165.57</v>
      </c>
      <c r="G1946" s="876" t="s">
        <v>139</v>
      </c>
      <c r="H1946" s="877"/>
      <c r="I1946" s="878"/>
      <c r="J1946" s="877"/>
      <c r="K1946" s="1222"/>
      <c r="L1946" s="1223" t="s">
        <v>140</v>
      </c>
      <c r="M1946" s="879"/>
      <c r="N1946" s="879"/>
      <c r="O1946" s="879"/>
      <c r="P1946" s="879"/>
      <c r="Q1946"/>
      <c r="R1946"/>
      <c r="S1946"/>
      <c r="T1946" s="1224" t="str">
        <f ca="1">IF(AND($R1962=0,$T1962=0),"0.00","mu :" &amp; ROUND($F1946/$C$12/($R1962+$T1962*$D$9),2))</f>
        <v>mu :1.22</v>
      </c>
      <c r="W1946" s="507"/>
      <c r="AG1946" s="1225">
        <f ca="1">IF(A1946=0,0,ROUND(SUM(AG1948:AG1962)/A1946,2))</f>
        <v>42.23</v>
      </c>
      <c r="AH1946" s="1225">
        <f ca="1">$AG1946*$A1946</f>
        <v>126.69</v>
      </c>
      <c r="AI1946" s="1225">
        <f ca="1">$E1946-$AG1946</f>
        <v>12.96</v>
      </c>
      <c r="AJ1946" s="1225">
        <f ca="1">$A1946*$AI1946</f>
        <v>38.880000000000003</v>
      </c>
      <c r="AK1946" s="1226">
        <f ca="1">ROUND(($AG1946+$AI1946)*$A1946,2)</f>
        <v>165.57</v>
      </c>
      <c r="AM1946" s="510">
        <f ca="1">ROUND(R1962,2)</f>
        <v>103.83</v>
      </c>
      <c r="AN1946" s="511">
        <f ca="1">ROUND(T1962,2)</f>
        <v>1.1100000000000001</v>
      </c>
      <c r="AO1946" s="512">
        <f ca="1">ROUND(AM1946+AN1946,2)*A1946</f>
        <v>314.82</v>
      </c>
    </row>
    <row r="1947" spans="1:41" s="504" customFormat="1" ht="12">
      <c r="A1947" s="1302"/>
      <c r="B1947" s="1303"/>
      <c r="C1947" s="872"/>
      <c r="D1947" s="873" t="s">
        <v>411</v>
      </c>
      <c r="F1947" s="877"/>
      <c r="G1947" s="877"/>
      <c r="H1947" s="877"/>
      <c r="I1947" s="878"/>
      <c r="J1947" s="877"/>
      <c r="K1947" s="877" t="s">
        <v>141</v>
      </c>
      <c r="L1947" s="1227"/>
      <c r="M1947" s="877"/>
      <c r="N1947" s="877"/>
      <c r="O1947" s="877"/>
      <c r="P1947" s="877"/>
      <c r="Q1947" s="50"/>
      <c r="R1947" s="513"/>
      <c r="S1947" s="881"/>
      <c r="T1947" s="877"/>
    </row>
    <row r="1948" spans="1:41" s="504" customFormat="1" ht="12">
      <c r="A1948" s="1228"/>
      <c r="B1948" s="1229"/>
      <c r="C1948" s="882"/>
      <c r="D1948" s="877"/>
      <c r="E1948" s="1230">
        <f ca="1">F1946/$C$12-SUMIF($L1945:$L1962,"SUBI",$E1945:$E1962)</f>
        <v>9.9999999999909051E-3</v>
      </c>
      <c r="F1948" s="1231" t="s">
        <v>1472</v>
      </c>
      <c r="G1948" s="1232"/>
      <c r="H1948" s="1232"/>
      <c r="I1948" s="1233"/>
      <c r="J1948" s="1232"/>
      <c r="K1948" s="1232"/>
      <c r="L1948" s="1234"/>
      <c r="M1948" s="1235"/>
      <c r="N1948" s="1235"/>
      <c r="O1948" s="1235"/>
      <c r="P1948" s="1235"/>
      <c r="Q1948" s="1236"/>
      <c r="R1948" s="1237"/>
      <c r="S1948" s="1236"/>
      <c r="T1948" s="1238"/>
    </row>
    <row r="1949" spans="1:41" s="504" customFormat="1" ht="12" customHeight="1">
      <c r="A1949" s="1239"/>
      <c r="B1949" s="1304"/>
      <c r="C1949" s="1240"/>
      <c r="D1949" s="1240" t="str">
        <f>$F$2</f>
        <v>Electrical</v>
      </c>
      <c r="E1949" s="1240">
        <f ca="1">ROUND(($R1955*$S$2 + ($T1955*$T$2)), 2)</f>
        <v>64.98</v>
      </c>
      <c r="F1949" s="1305">
        <f ca="1">$E1949*$C$12</f>
        <v>64.98</v>
      </c>
      <c r="G1949" s="513"/>
      <c r="H1949" s="1241"/>
      <c r="I1949" s="513"/>
      <c r="J1949" s="51"/>
      <c r="K1949" s="1242" t="s">
        <v>3</v>
      </c>
      <c r="L1949" s="1243" t="s">
        <v>1473</v>
      </c>
      <c r="M1949" s="513"/>
      <c r="N1949" s="513"/>
      <c r="O1949" s="51"/>
      <c r="P1949" s="513"/>
      <c r="Q1949" s="513"/>
      <c r="R1949"/>
      <c r="S1949"/>
      <c r="T1949"/>
    </row>
    <row r="1950" spans="1:41" s="504" customFormat="1" ht="13.95" customHeight="1">
      <c r="A1950" s="930"/>
      <c r="B1950" s="1244" t="s">
        <v>1474</v>
      </c>
      <c r="C1950" s="513"/>
      <c r="D1950" s="513"/>
      <c r="E1950" s="513"/>
      <c r="F1950" s="513"/>
      <c r="G1950" s="513"/>
      <c r="H1950" s="1241"/>
      <c r="I1950" s="513"/>
      <c r="J1950" s="51"/>
      <c r="K1950" s="1245"/>
      <c r="L1950" s="1246"/>
      <c r="M1950" s="513"/>
      <c r="N1950" s="513"/>
      <c r="O1950" s="51"/>
      <c r="P1950" s="513"/>
      <c r="Q1950" s="513"/>
      <c r="R1950" s="1247">
        <f>$A1950*Q1950</f>
        <v>0</v>
      </c>
      <c r="S1950" s="513"/>
      <c r="T1950" s="884">
        <f>$A1950*S1950*$T$1</f>
        <v>0</v>
      </c>
    </row>
    <row r="1951" spans="1:41" s="997" customFormat="1" ht="13.2">
      <c r="A1951"/>
      <c r="B1951" s="1065"/>
      <c r="C1951" s="1065" t="s">
        <v>1006</v>
      </c>
      <c r="D1951" s="1065" t="str">
        <f ca="1">CELL("Address",Elec_Rates!D$517)</f>
        <v>[EL25_0662B_Brittania_Hotel_Elec_Revised_Estim_B.xlsx]Elec_Rates!$D$517</v>
      </c>
      <c r="E1951" s="1066"/>
      <c r="F1951" s="1066"/>
      <c r="G1951" s="1067" t="s">
        <v>1007</v>
      </c>
      <c r="H1951" s="1067"/>
      <c r="I1951" s="1067"/>
      <c r="J1951" s="1067"/>
      <c r="K1951" s="1068"/>
      <c r="L1951" s="1066"/>
      <c r="M1951" s="1066"/>
      <c r="N1951" s="1066"/>
      <c r="O1951" s="1069"/>
      <c r="P1951" s="1066"/>
      <c r="Q1951" s="1070"/>
      <c r="R1951" s="1071"/>
      <c r="S1951" s="1070"/>
      <c r="T1951" s="1072"/>
      <c r="U1951" s="1073"/>
    </row>
    <row r="1952" spans="1:41" s="997" customFormat="1" ht="11.4">
      <c r="A1952" s="1074">
        <v>3</v>
      </c>
      <c r="B1952" s="1075">
        <v>1</v>
      </c>
      <c r="C1952" s="1075">
        <f>$A1952*$B1952</f>
        <v>3</v>
      </c>
      <c r="D1952" s="1076" t="str">
        <f>Elec_Rates!$D$517</f>
        <v>061# DALI Wiring cables</v>
      </c>
      <c r="E1952" s="1076"/>
      <c r="F1952" s="1076"/>
      <c r="G1952" s="1077" t="s">
        <v>1008</v>
      </c>
      <c r="H1952" s="1077"/>
      <c r="I1952" s="1077"/>
      <c r="J1952" s="1077"/>
      <c r="K1952" s="1078"/>
      <c r="L1952" s="1073"/>
      <c r="M1952" s="1073"/>
      <c r="N1952" s="1073"/>
      <c r="O1952" s="1079"/>
      <c r="P1952" s="1076"/>
      <c r="Q1952" s="1080">
        <f ca="1">$B1952*Elec_Rates!$R$517</f>
        <v>2.0699999999999998</v>
      </c>
      <c r="R1952" s="1071">
        <f ca="1">$A1952*Q1952</f>
        <v>6.2099999999999991</v>
      </c>
      <c r="S1952" s="1080">
        <f ca="1">$B1952*Elec_Rates!$T$517</f>
        <v>0.19</v>
      </c>
      <c r="T1952" s="1072">
        <f ca="1">$A1952*S1952</f>
        <v>0.57000000000000006</v>
      </c>
      <c r="U1952" s="1081"/>
    </row>
    <row r="1953" spans="1:41" s="1039" customFormat="1" ht="11.4">
      <c r="A1953" s="1074">
        <v>3</v>
      </c>
      <c r="B1953" s="1039" t="s">
        <v>949</v>
      </c>
      <c r="D1953" s="1039" t="s">
        <v>1522</v>
      </c>
      <c r="F1953" s="1039" t="s">
        <v>1506</v>
      </c>
      <c r="G1953" s="1040" t="s">
        <v>1182</v>
      </c>
      <c r="H1953" s="1041">
        <v>705</v>
      </c>
      <c r="I1953" s="1039" t="s">
        <v>1183</v>
      </c>
      <c r="J1953" s="1039" t="s">
        <v>1184</v>
      </c>
      <c r="O1953" s="1042">
        <v>3</v>
      </c>
      <c r="P1953" s="1043">
        <v>34669</v>
      </c>
      <c r="Q1953" s="1044">
        <v>5.0599999999999996</v>
      </c>
      <c r="R1953" s="1045">
        <f t="shared" ref="R1953" si="24">$A1953*Q1953</f>
        <v>15.18</v>
      </c>
      <c r="S1953" s="1044">
        <v>0.17</v>
      </c>
      <c r="T1953" s="1046">
        <f t="shared" ref="T1953" si="25">$A1953*S1953*$T$1</f>
        <v>0.53550000000000009</v>
      </c>
      <c r="AC1953" s="997"/>
      <c r="AD1953" s="997"/>
      <c r="AE1953" s="997"/>
    </row>
    <row r="1954" spans="1:41" s="504" customFormat="1" ht="13.95" customHeight="1">
      <c r="A1954" s="930"/>
      <c r="B1954" s="513"/>
      <c r="C1954" s="513"/>
      <c r="D1954" s="513"/>
      <c r="E1954" s="513"/>
      <c r="F1954" s="513"/>
      <c r="G1954" s="513"/>
      <c r="H1954" s="1241"/>
      <c r="I1954" s="513"/>
      <c r="J1954" s="51"/>
      <c r="K1954" s="1245"/>
      <c r="L1954" s="1246"/>
      <c r="M1954" s="513"/>
      <c r="N1954" s="513"/>
      <c r="O1954" s="51"/>
      <c r="P1954" s="513"/>
      <c r="Q1954" s="513"/>
      <c r="R1954" s="1247">
        <f>$A1954*Q1954</f>
        <v>0</v>
      </c>
      <c r="S1954" s="513"/>
      <c r="T1954" s="884">
        <f>$A1954*S1954*$T$1</f>
        <v>0</v>
      </c>
    </row>
    <row r="1955" spans="1:41" s="504" customFormat="1" ht="12">
      <c r="A1955" s="1248" t="s">
        <v>142</v>
      </c>
      <c r="B1955" s="1249">
        <f>(R1954+T1954)</f>
        <v>0</v>
      </c>
      <c r="C1955" s="882"/>
      <c r="G1955" s="1250"/>
      <c r="H1955" s="1250"/>
      <c r="I1955" s="1250"/>
      <c r="J1955" s="1250"/>
      <c r="K1955" s="1251" t="s">
        <v>3</v>
      </c>
      <c r="L1955" s="1252" t="s">
        <v>1473</v>
      </c>
      <c r="M1955" s="1250"/>
      <c r="N1955" s="1250"/>
      <c r="O1955" s="1250"/>
      <c r="P1955" s="1250"/>
      <c r="Q1955" s="1253"/>
      <c r="R1955" s="1254">
        <f ca="1">SUM(R1949:R1954)</f>
        <v>21.39</v>
      </c>
      <c r="S1955" s="1255"/>
      <c r="T1955" s="1254">
        <f ca="1">SUM(T1949:T1954)</f>
        <v>1.1055000000000001</v>
      </c>
      <c r="AG1955" s="1256">
        <f ca="1">ROUND($R1955*$S$2,2)</f>
        <v>26.1</v>
      </c>
    </row>
    <row r="1956" spans="1:41" s="504" customFormat="1" ht="12" customHeight="1">
      <c r="A1956" s="1257"/>
      <c r="B1956" s="1306"/>
      <c r="C1956" s="1307"/>
      <c r="D1956" s="1307" t="str">
        <f>$F$3</f>
        <v>Controls Section (DALI)</v>
      </c>
      <c r="E1956" s="1307">
        <f>ROUND(($R1960*$S$3 + ($T1960*$T$3)), 2)</f>
        <v>100.58</v>
      </c>
      <c r="F1956" s="1308">
        <f ca="1">$F1946-SUMIF($L1948:$P1952,"SUBI",$F1948:$F1952)</f>
        <v>100.58999999999999</v>
      </c>
      <c r="G1956" s="503"/>
      <c r="H1956" s="503"/>
      <c r="I1956" s="503"/>
      <c r="J1956" s="503"/>
      <c r="K1956" s="1242" t="s">
        <v>5</v>
      </c>
      <c r="L1956" s="1243" t="s">
        <v>1473</v>
      </c>
      <c r="M1956" s="503"/>
      <c r="N1956" s="503"/>
      <c r="O1956" s="503"/>
      <c r="P1956" s="503"/>
      <c r="Q1956" s="503"/>
      <c r="R1956" s="1258"/>
      <c r="S1956" s="503"/>
      <c r="T1956" s="1258"/>
    </row>
    <row r="1957" spans="1:41" s="1271" customFormat="1" ht="14.4" customHeight="1">
      <c r="A1957" s="1259"/>
      <c r="B1957" s="1244" t="s">
        <v>1475</v>
      </c>
      <c r="C1957" s="1260"/>
      <c r="D1957" s="1261"/>
      <c r="E1957" s="1261"/>
      <c r="F1957" s="1261"/>
      <c r="G1957" s="1262"/>
      <c r="H1957" s="1263"/>
      <c r="I1957" s="1263"/>
      <c r="J1957" s="1264"/>
      <c r="K1957" s="1265"/>
      <c r="L1957" s="1260"/>
      <c r="M1957" s="1266"/>
      <c r="N1957" s="1267"/>
      <c r="O1957" s="1268"/>
      <c r="P1957" s="1269"/>
      <c r="Q1957" s="1270"/>
      <c r="R1957" s="1247">
        <f>$A1957*Q1957</f>
        <v>0</v>
      </c>
      <c r="S1957" s="513"/>
      <c r="T1957" s="884">
        <f>$A1957*S1957*$T$1</f>
        <v>0</v>
      </c>
    </row>
    <row r="1958" spans="1:41" s="1039" customFormat="1" ht="13.2">
      <c r="A1958">
        <v>3</v>
      </c>
      <c r="B1958" s="1039" t="s">
        <v>949</v>
      </c>
      <c r="D1958" s="1039" t="s">
        <v>1523</v>
      </c>
      <c r="G1958" s="1374" t="s">
        <v>1991</v>
      </c>
      <c r="H1958" s="1375">
        <v>512</v>
      </c>
      <c r="I1958" s="1039" t="s">
        <v>1519</v>
      </c>
      <c r="J1958" s="1039" t="s">
        <v>1520</v>
      </c>
      <c r="O1958" s="1042">
        <v>3</v>
      </c>
      <c r="P1958" s="1043">
        <v>38421</v>
      </c>
      <c r="Q1958" s="1044">
        <v>27.48</v>
      </c>
      <c r="R1958" s="1045">
        <f>$A1958*Q1958</f>
        <v>82.44</v>
      </c>
      <c r="S1958" s="513"/>
      <c r="T1958" s="1046">
        <f>$A1958*S1958*$T$1</f>
        <v>0</v>
      </c>
    </row>
    <row r="1959" spans="1:41" s="504" customFormat="1" ht="13.2">
      <c r="A1959" s="930"/>
      <c r="B1959" s="513"/>
      <c r="C1959" s="513"/>
      <c r="D1959" s="3"/>
      <c r="E1959" s="513"/>
      <c r="F1959" s="513"/>
      <c r="G1959" s="513"/>
      <c r="H1959" s="513"/>
      <c r="I1959" s="513"/>
      <c r="J1959" s="513"/>
      <c r="K1959" s="513"/>
      <c r="L1959" s="1246"/>
      <c r="M1959" s="513"/>
      <c r="N1959" s="513"/>
      <c r="O1959" s="513"/>
      <c r="P1959" s="513"/>
      <c r="Q1959" s="513"/>
      <c r="R1959" s="1247">
        <f>$A1959*Q1959</f>
        <v>0</v>
      </c>
      <c r="S1959" s="513"/>
      <c r="T1959" s="884">
        <f>$A1959*S1959*$T$1</f>
        <v>0</v>
      </c>
    </row>
    <row r="1960" spans="1:41" s="504" customFormat="1" ht="12" customHeight="1">
      <c r="A1960" s="1272" t="s">
        <v>142</v>
      </c>
      <c r="B1960" s="1273">
        <f>(R1959+T1959)</f>
        <v>0</v>
      </c>
      <c r="C1960" s="1274"/>
      <c r="D1960" s="1274"/>
      <c r="E1960" s="1274"/>
      <c r="F1960" s="1274"/>
      <c r="G1960" s="1253"/>
      <c r="H1960" s="1253"/>
      <c r="I1960" s="1253"/>
      <c r="J1960" s="1253"/>
      <c r="K1960" s="1275" t="s">
        <v>5</v>
      </c>
      <c r="L1960" s="1276" t="s">
        <v>1473</v>
      </c>
      <c r="M1960" s="1253"/>
      <c r="N1960" s="1253"/>
      <c r="O1960" s="1253"/>
      <c r="P1960" s="1253"/>
      <c r="Q1960" s="1253"/>
      <c r="R1960" s="1254">
        <f>SUM(R1956:R1959)</f>
        <v>82.44</v>
      </c>
      <c r="S1960" s="1255"/>
      <c r="T1960" s="1254">
        <f>SUM(T1956:T1959)</f>
        <v>0</v>
      </c>
      <c r="AG1960" s="1309">
        <f>ROUND($R1960*$S$3,2)</f>
        <v>100.58</v>
      </c>
    </row>
    <row r="1961" spans="1:41" s="504" customFormat="1" ht="12.75" customHeight="1">
      <c r="A1961" s="1277"/>
      <c r="B1961" s="1278"/>
      <c r="E1961" s="882"/>
      <c r="F1961" s="1279"/>
      <c r="G1961" s="882"/>
      <c r="H1961" s="882"/>
      <c r="I1961" s="503"/>
      <c r="J1961" s="882"/>
      <c r="K1961" s="882"/>
      <c r="L1961" s="1280"/>
      <c r="M1961" s="933"/>
      <c r="N1961" s="933"/>
      <c r="O1961" s="933"/>
      <c r="P1961" s="933"/>
      <c r="Q1961" s="900"/>
      <c r="R1961" s="1258"/>
      <c r="S1961" s="882"/>
      <c r="T1961" s="1258"/>
    </row>
    <row r="1962" spans="1:41" s="504" customFormat="1" ht="13.5" customHeight="1" thickBot="1">
      <c r="A1962" s="1281"/>
      <c r="B1962" s="1282"/>
      <c r="C1962" s="514"/>
      <c r="D1962" s="514"/>
      <c r="E1962" s="887"/>
      <c r="F1962" s="888"/>
      <c r="G1962" s="887" t="s">
        <v>143</v>
      </c>
      <c r="H1962" s="887"/>
      <c r="I1962" s="889"/>
      <c r="J1962" s="887"/>
      <c r="K1962" s="887"/>
      <c r="L1962" s="1283" t="s">
        <v>140</v>
      </c>
      <c r="M1962" s="890"/>
      <c r="N1962" s="890"/>
      <c r="O1962" s="890"/>
      <c r="P1962" s="890"/>
      <c r="Q1962" s="891"/>
      <c r="R1962" s="1284">
        <f ca="1">SUMIF($L1947:$L1961,"SUBI",R1947:R1961)</f>
        <v>103.83</v>
      </c>
      <c r="S1962" s="887"/>
      <c r="T1962" s="1284">
        <f ca="1">SUMIF($L1947:$L1961,"SUBI",T1947:T1961)</f>
        <v>1.1055000000000001</v>
      </c>
      <c r="U1962" s="514"/>
      <c r="V1962" s="514"/>
      <c r="W1962" s="514"/>
      <c r="X1962" s="514"/>
      <c r="Y1962" s="514"/>
      <c r="Z1962" s="514"/>
      <c r="AA1962" s="514"/>
      <c r="AB1962" s="514"/>
      <c r="AC1962" s="514"/>
      <c r="AD1962" s="514"/>
      <c r="AE1962" s="514"/>
      <c r="AF1962" s="514"/>
      <c r="AG1962" s="514"/>
      <c r="AH1962" s="514"/>
      <c r="AI1962" s="514"/>
      <c r="AJ1962" s="514"/>
      <c r="AK1962" s="514"/>
      <c r="AL1962" s="514"/>
      <c r="AM1962" s="514"/>
      <c r="AN1962" s="514"/>
      <c r="AO1962" s="514"/>
    </row>
    <row r="1963" spans="1:41" s="504" customFormat="1" thickTop="1">
      <c r="A1963" s="50"/>
      <c r="B1963" s="40"/>
      <c r="C1963" s="50"/>
      <c r="E1963" s="41" t="s">
        <v>136</v>
      </c>
      <c r="F1963" s="41" t="s">
        <v>137</v>
      </c>
      <c r="G1963" s="50"/>
      <c r="H1963" s="50"/>
      <c r="I1963" s="50"/>
      <c r="J1963" s="50"/>
      <c r="K1963" s="50" t="s">
        <v>138</v>
      </c>
      <c r="L1963" s="1219"/>
      <c r="M1963" s="50"/>
      <c r="N1963" s="50"/>
      <c r="O1963" s="51"/>
      <c r="P1963" s="50"/>
      <c r="Q1963"/>
      <c r="R1963"/>
      <c r="S1963"/>
      <c r="T1963" s="40"/>
      <c r="AG1963" s="867" t="s">
        <v>241</v>
      </c>
      <c r="AH1963" s="867" t="s">
        <v>242</v>
      </c>
      <c r="AI1963" s="867" t="s">
        <v>243</v>
      </c>
      <c r="AJ1963" s="867" t="s">
        <v>244</v>
      </c>
      <c r="AK1963" s="867" t="s">
        <v>245</v>
      </c>
      <c r="AM1963" s="868" t="s">
        <v>254</v>
      </c>
      <c r="AN1963" s="869" t="s">
        <v>255</v>
      </c>
      <c r="AO1963" s="505" t="s">
        <v>251</v>
      </c>
    </row>
    <row r="1964" spans="1:41" s="504" customFormat="1" ht="13.2">
      <c r="A1964" s="870">
        <v>1</v>
      </c>
      <c r="B1964" s="871" t="s">
        <v>335</v>
      </c>
      <c r="C1964" s="872"/>
      <c r="D1964" s="873" t="s">
        <v>806</v>
      </c>
      <c r="E1964" s="1220">
        <f ca="1">IF(AND($A1964=0,$A$1="DIF"),0, ROUND(ROUND(SUMIF($L1966:$L1973,"SUBI",$E1966:$E1973)/$A1964,2)*$C$12,2))</f>
        <v>973.68</v>
      </c>
      <c r="F1964" s="1221">
        <f ca="1">ROUND($A1964*$E1964,2)</f>
        <v>973.68</v>
      </c>
      <c r="G1964" s="876" t="s">
        <v>139</v>
      </c>
      <c r="H1964" s="877"/>
      <c r="I1964" s="878"/>
      <c r="J1964" s="877"/>
      <c r="K1964" s="1222"/>
      <c r="L1964" s="1223" t="s">
        <v>140</v>
      </c>
      <c r="M1964" s="879"/>
      <c r="N1964" s="879"/>
      <c r="O1964" s="879"/>
      <c r="P1964" s="879"/>
      <c r="Q1964"/>
      <c r="R1964"/>
      <c r="S1964"/>
      <c r="T1964" s="1224" t="str">
        <f ca="1">IF(AND($R1980=0,$T1980=0),"0.00","mu :" &amp; ROUND($F1964/$C$12/($R1980+$T1980*$D$9),2))</f>
        <v>mu :1.57</v>
      </c>
      <c r="W1964" s="507"/>
      <c r="AG1964" s="1225">
        <f ca="1">IF(A1964=0,0,ROUND(SUM(AG1966:AG1980)/A1964,2))</f>
        <v>603.11</v>
      </c>
      <c r="AH1964" s="1225">
        <f ca="1">$AG1964*$A1964</f>
        <v>603.11</v>
      </c>
      <c r="AI1964" s="1225">
        <f ca="1">$E1964-$AG1964</f>
        <v>370.56999999999994</v>
      </c>
      <c r="AJ1964" s="1225">
        <f ca="1">$A1964*$AI1964</f>
        <v>370.56999999999994</v>
      </c>
      <c r="AK1964" s="1226">
        <f ca="1">ROUND(($AG1964+$AI1964)*$A1964,2)</f>
        <v>973.68</v>
      </c>
      <c r="AM1964" s="510">
        <f ca="1">ROUND(R1980,2)</f>
        <v>494.35</v>
      </c>
      <c r="AN1964" s="511">
        <f ca="1">ROUND(T1980,2)</f>
        <v>4.3899999999999997</v>
      </c>
      <c r="AO1964" s="512">
        <f ca="1">ROUND(AM1964+AN1964,2)*A1964</f>
        <v>498.74</v>
      </c>
    </row>
    <row r="1965" spans="1:41" s="504" customFormat="1" ht="12">
      <c r="A1965" s="1302"/>
      <c r="B1965" s="1303"/>
      <c r="C1965" s="872"/>
      <c r="D1965" s="873" t="s">
        <v>412</v>
      </c>
      <c r="F1965" s="877"/>
      <c r="G1965" s="877"/>
      <c r="H1965" s="877"/>
      <c r="I1965" s="878"/>
      <c r="J1965" s="877"/>
      <c r="K1965" s="877" t="s">
        <v>141</v>
      </c>
      <c r="L1965" s="1227"/>
      <c r="M1965" s="877"/>
      <c r="N1965" s="877"/>
      <c r="O1965" s="877"/>
      <c r="P1965" s="877"/>
      <c r="Q1965" s="50"/>
      <c r="R1965" s="513"/>
      <c r="S1965" s="881"/>
      <c r="T1965" s="877"/>
    </row>
    <row r="1966" spans="1:41" s="504" customFormat="1" ht="12">
      <c r="A1966" s="1228"/>
      <c r="B1966" s="1229"/>
      <c r="C1966" s="882"/>
      <c r="D1966" s="877"/>
      <c r="E1966" s="1230">
        <f ca="1">F1964/$C$12-SUMIF($L1963:$L1980,"SUBI",$E1963:$E1980)</f>
        <v>0</v>
      </c>
      <c r="F1966" s="1231" t="s">
        <v>1472</v>
      </c>
      <c r="G1966" s="1232"/>
      <c r="H1966" s="1232"/>
      <c r="I1966" s="1233"/>
      <c r="J1966" s="1232"/>
      <c r="K1966" s="1232"/>
      <c r="L1966" s="1234"/>
      <c r="M1966" s="1235"/>
      <c r="N1966" s="1235"/>
      <c r="O1966" s="1235"/>
      <c r="P1966" s="1235"/>
      <c r="Q1966" s="1236"/>
      <c r="R1966" s="1237"/>
      <c r="S1966" s="1236"/>
      <c r="T1966" s="1238"/>
    </row>
    <row r="1967" spans="1:41" s="504" customFormat="1" ht="12" customHeight="1">
      <c r="A1967" s="1239"/>
      <c r="B1967" s="1304"/>
      <c r="C1967" s="1240"/>
      <c r="D1967" s="1240" t="str">
        <f>$F$2</f>
        <v>Electrical</v>
      </c>
      <c r="E1967" s="1240">
        <f ca="1">ROUND(($R1972*$S$2 + ($T1972*$T$2)), 2)</f>
        <v>9.2100000000000009</v>
      </c>
      <c r="F1967" s="1305">
        <f ca="1">$E1967*$C$12</f>
        <v>9.2100000000000009</v>
      </c>
      <c r="G1967" s="513"/>
      <c r="H1967" s="1241"/>
      <c r="I1967" s="513"/>
      <c r="J1967" s="51"/>
      <c r="K1967" s="1242" t="s">
        <v>3</v>
      </c>
      <c r="L1967" s="1243" t="s">
        <v>1473</v>
      </c>
      <c r="M1967" s="513"/>
      <c r="N1967" s="513"/>
      <c r="O1967" s="51"/>
      <c r="P1967" s="513"/>
      <c r="Q1967" s="513"/>
      <c r="R1967"/>
      <c r="S1967"/>
      <c r="T1967"/>
    </row>
    <row r="1968" spans="1:41" s="504" customFormat="1" ht="13.95" customHeight="1">
      <c r="A1968" s="930"/>
      <c r="B1968" s="1244" t="s">
        <v>1474</v>
      </c>
      <c r="C1968" s="513"/>
      <c r="D1968" s="513"/>
      <c r="E1968" s="513"/>
      <c r="F1968" s="513"/>
      <c r="G1968" s="513"/>
      <c r="H1968" s="1241"/>
      <c r="I1968" s="513"/>
      <c r="J1968" s="51"/>
      <c r="K1968" s="1245"/>
      <c r="L1968" s="1246"/>
      <c r="M1968" s="513"/>
      <c r="N1968" s="513"/>
      <c r="O1968" s="51"/>
      <c r="P1968" s="513"/>
      <c r="Q1968" s="513"/>
      <c r="R1968" s="1247">
        <f>$A1968*Q1968</f>
        <v>0</v>
      </c>
      <c r="S1968" s="513"/>
      <c r="T1968" s="884">
        <f>$A1968*S1968*$T$1</f>
        <v>0</v>
      </c>
    </row>
    <row r="1969" spans="1:41" s="997" customFormat="1" ht="13.2">
      <c r="A1969"/>
      <c r="B1969" s="1065"/>
      <c r="C1969" s="1065" t="s">
        <v>1006</v>
      </c>
      <c r="D1969" s="1065" t="str">
        <f ca="1">CELL("Address",Elec_Rates!D$517)</f>
        <v>[EL25_0662B_Brittania_Hotel_Elec_Revised_Estim_B.xlsx]Elec_Rates!$D$517</v>
      </c>
      <c r="E1969" s="1066"/>
      <c r="F1969" s="1066"/>
      <c r="G1969" s="1067" t="s">
        <v>1007</v>
      </c>
      <c r="H1969" s="1067"/>
      <c r="I1969" s="1067"/>
      <c r="J1969" s="1067"/>
      <c r="K1969" s="1068"/>
      <c r="L1969" s="1066"/>
      <c r="M1969" s="1066"/>
      <c r="N1969" s="1066"/>
      <c r="O1969" s="1069"/>
      <c r="P1969" s="1066"/>
      <c r="Q1969" s="1070"/>
      <c r="R1969" s="1071"/>
      <c r="S1969" s="1070"/>
      <c r="T1969" s="1072"/>
      <c r="U1969" s="1073"/>
    </row>
    <row r="1970" spans="1:41" s="997" customFormat="1" ht="11.4">
      <c r="A1970" s="1074">
        <v>1</v>
      </c>
      <c r="B1970" s="1075">
        <v>1</v>
      </c>
      <c r="C1970" s="1075">
        <f>$A1970*$B1970</f>
        <v>1</v>
      </c>
      <c r="D1970" s="1076" t="str">
        <f>Elec_Rates!$D$517</f>
        <v>061# DALI Wiring cables</v>
      </c>
      <c r="E1970" s="1076"/>
      <c r="F1970" s="1076"/>
      <c r="G1970" s="1077" t="s">
        <v>1008</v>
      </c>
      <c r="H1970" s="1077"/>
      <c r="I1970" s="1077"/>
      <c r="J1970" s="1077"/>
      <c r="K1970" s="1078"/>
      <c r="L1970" s="1073"/>
      <c r="M1970" s="1073"/>
      <c r="N1970" s="1073"/>
      <c r="O1970" s="1079"/>
      <c r="P1970" s="1076"/>
      <c r="Q1970" s="1080">
        <f ca="1">$B1970*Elec_Rates!$R$517</f>
        <v>2.0699999999999998</v>
      </c>
      <c r="R1970" s="1071">
        <f ca="1">$A1970*Q1970</f>
        <v>2.0699999999999998</v>
      </c>
      <c r="S1970" s="1080">
        <f ca="1">$B1970*Elec_Rates!$T$517</f>
        <v>0.19</v>
      </c>
      <c r="T1970" s="1072">
        <f ca="1">$A1970*S1970</f>
        <v>0.19</v>
      </c>
      <c r="U1970" s="1081"/>
    </row>
    <row r="1971" spans="1:41" s="504" customFormat="1" ht="13.95" customHeight="1">
      <c r="A1971" s="930"/>
      <c r="B1971" s="513"/>
      <c r="C1971" s="513"/>
      <c r="D1971" s="513"/>
      <c r="E1971" s="513"/>
      <c r="F1971" s="513"/>
      <c r="G1971" s="513"/>
      <c r="H1971" s="1241"/>
      <c r="I1971" s="513"/>
      <c r="J1971" s="51"/>
      <c r="K1971" s="1245"/>
      <c r="L1971" s="1246"/>
      <c r="M1971" s="513"/>
      <c r="N1971" s="513"/>
      <c r="O1971" s="51"/>
      <c r="P1971" s="513"/>
      <c r="Q1971" s="513"/>
      <c r="R1971" s="1247">
        <f>$A1971*Q1971</f>
        <v>0</v>
      </c>
      <c r="S1971" s="513"/>
      <c r="T1971" s="884">
        <f>$A1971*S1971*$T$1</f>
        <v>0</v>
      </c>
    </row>
    <row r="1972" spans="1:41" s="504" customFormat="1" ht="12">
      <c r="A1972" s="1248" t="s">
        <v>142</v>
      </c>
      <c r="B1972" s="1249">
        <f>(R1971+T1971)</f>
        <v>0</v>
      </c>
      <c r="C1972" s="882"/>
      <c r="G1972" s="1250"/>
      <c r="H1972" s="1250"/>
      <c r="I1972" s="1250"/>
      <c r="J1972" s="1250"/>
      <c r="K1972" s="1251" t="s">
        <v>3</v>
      </c>
      <c r="L1972" s="1252" t="s">
        <v>1473</v>
      </c>
      <c r="M1972" s="1250"/>
      <c r="N1972" s="1250"/>
      <c r="O1972" s="1250"/>
      <c r="P1972" s="1250"/>
      <c r="Q1972" s="1253"/>
      <c r="R1972" s="1254">
        <f ca="1">SUM(R1967:R1971)</f>
        <v>2.0699999999999998</v>
      </c>
      <c r="S1972" s="1255"/>
      <c r="T1972" s="1254">
        <f ca="1">SUM(T1967:T1971)</f>
        <v>0.19</v>
      </c>
      <c r="AG1972" s="1256">
        <f ca="1">ROUND($R1972*$S$2,2)</f>
        <v>2.5299999999999998</v>
      </c>
    </row>
    <row r="1973" spans="1:41" s="504" customFormat="1" ht="12" customHeight="1">
      <c r="A1973" s="1257"/>
      <c r="B1973" s="1306"/>
      <c r="C1973" s="1307"/>
      <c r="D1973" s="1307" t="str">
        <f>$F$3</f>
        <v>Controls Section (DALI)</v>
      </c>
      <c r="E1973" s="1307">
        <f>ROUND(($R1978*$S$3 + ($T1978*$T$3)), 2)</f>
        <v>964.47</v>
      </c>
      <c r="F1973" s="1308">
        <f ca="1">$F1964-SUMIF($L1966:$P1970,"SUBI",$F1966:$F1970)</f>
        <v>964.46999999999991</v>
      </c>
      <c r="G1973" s="503"/>
      <c r="H1973" s="503"/>
      <c r="I1973" s="503"/>
      <c r="J1973" s="503"/>
      <c r="K1973" s="1242" t="s">
        <v>5</v>
      </c>
      <c r="L1973" s="1243" t="s">
        <v>1473</v>
      </c>
      <c r="M1973" s="503"/>
      <c r="N1973" s="503"/>
      <c r="O1973" s="503"/>
      <c r="P1973" s="503"/>
      <c r="Q1973" s="503"/>
      <c r="R1973" s="1258"/>
      <c r="S1973" s="503"/>
      <c r="T1973" s="1258"/>
    </row>
    <row r="1974" spans="1:41" s="1271" customFormat="1" ht="14.4" customHeight="1">
      <c r="A1974" s="1259"/>
      <c r="B1974" s="1244" t="s">
        <v>1475</v>
      </c>
      <c r="C1974" s="1260"/>
      <c r="D1974" s="1261"/>
      <c r="E1974" s="1261"/>
      <c r="F1974" s="1261"/>
      <c r="G1974" s="1262"/>
      <c r="H1974" s="1263"/>
      <c r="I1974" s="1263"/>
      <c r="J1974" s="1264"/>
      <c r="K1974" s="1265"/>
      <c r="L1974" s="1260"/>
      <c r="M1974" s="1266"/>
      <c r="N1974" s="1267"/>
      <c r="O1974" s="1268"/>
      <c r="P1974" s="1269"/>
      <c r="Q1974" s="1270"/>
      <c r="R1974" s="1247">
        <f>$A1974*Q1974</f>
        <v>0</v>
      </c>
      <c r="S1974" s="513"/>
      <c r="T1974" s="884">
        <f>$A1974*S1974*$T$1</f>
        <v>0</v>
      </c>
    </row>
    <row r="1975" spans="1:41" s="1039" customFormat="1" ht="13.2">
      <c r="A1975" s="112">
        <v>1</v>
      </c>
      <c r="B1975" s="1039" t="s">
        <v>949</v>
      </c>
      <c r="D1975" s="1039" t="s">
        <v>1550</v>
      </c>
      <c r="G1975" s="1374" t="s">
        <v>1991</v>
      </c>
      <c r="H1975" s="1375">
        <v>512</v>
      </c>
      <c r="I1975" s="1039" t="s">
        <v>1519</v>
      </c>
      <c r="J1975" s="1039" t="s">
        <v>1520</v>
      </c>
      <c r="O1975" s="1042">
        <v>3</v>
      </c>
      <c r="P1975" s="1043">
        <v>38421</v>
      </c>
      <c r="Q1975" s="1044">
        <v>414.96</v>
      </c>
      <c r="R1975" s="1045">
        <f>$A1975*Q1975</f>
        <v>414.96</v>
      </c>
      <c r="S1975" s="1044">
        <v>4</v>
      </c>
      <c r="T1975" s="1046">
        <f>$A1975*S1975*$T$1</f>
        <v>4.2</v>
      </c>
    </row>
    <row r="1976" spans="1:41" s="1039" customFormat="1" ht="13.2">
      <c r="A1976" s="112">
        <v>1</v>
      </c>
      <c r="B1976" s="1039" t="s">
        <v>949</v>
      </c>
      <c r="D1976" s="1039" t="s">
        <v>1524</v>
      </c>
      <c r="G1976" s="1374" t="s">
        <v>1991</v>
      </c>
      <c r="H1976" s="1375">
        <v>512</v>
      </c>
      <c r="I1976" s="1039" t="s">
        <v>1519</v>
      </c>
      <c r="J1976" s="1039" t="s">
        <v>1520</v>
      </c>
      <c r="O1976" s="1042">
        <v>3</v>
      </c>
      <c r="P1976" s="1043">
        <v>38421</v>
      </c>
      <c r="Q1976" s="1044">
        <v>77.319999999999993</v>
      </c>
      <c r="R1976" s="1045">
        <f>$A1976*Q1976</f>
        <v>77.319999999999993</v>
      </c>
      <c r="S1976" s="1044"/>
      <c r="T1976" s="1046">
        <f>$A1976*S1976*$T$1</f>
        <v>0</v>
      </c>
    </row>
    <row r="1977" spans="1:41" s="504" customFormat="1" ht="13.2">
      <c r="A1977" s="930"/>
      <c r="B1977" s="513"/>
      <c r="C1977" s="513"/>
      <c r="D1977" s="3"/>
      <c r="E1977" s="513"/>
      <c r="F1977" s="513"/>
      <c r="G1977" s="513"/>
      <c r="H1977" s="513"/>
      <c r="I1977" s="513"/>
      <c r="J1977" s="513"/>
      <c r="K1977" s="513"/>
      <c r="L1977" s="1246"/>
      <c r="M1977" s="513"/>
      <c r="N1977" s="513"/>
      <c r="O1977" s="513"/>
      <c r="P1977" s="513"/>
      <c r="Q1977" s="513"/>
      <c r="R1977" s="1247">
        <f>$A1977*Q1977</f>
        <v>0</v>
      </c>
      <c r="S1977" s="513"/>
      <c r="T1977" s="884">
        <f>$A1977*S1977*$T$1</f>
        <v>0</v>
      </c>
    </row>
    <row r="1978" spans="1:41" s="504" customFormat="1" ht="12" customHeight="1">
      <c r="A1978" s="1272" t="s">
        <v>142</v>
      </c>
      <c r="B1978" s="1273">
        <f>(R1977+T1977)</f>
        <v>0</v>
      </c>
      <c r="C1978" s="1274"/>
      <c r="D1978" s="1274"/>
      <c r="E1978" s="1274"/>
      <c r="F1978" s="1274"/>
      <c r="G1978" s="1253"/>
      <c r="H1978" s="1253"/>
      <c r="I1978" s="1253"/>
      <c r="J1978" s="1253"/>
      <c r="K1978" s="1275" t="s">
        <v>5</v>
      </c>
      <c r="L1978" s="1276" t="s">
        <v>1473</v>
      </c>
      <c r="M1978" s="1253"/>
      <c r="N1978" s="1253"/>
      <c r="O1978" s="1253"/>
      <c r="P1978" s="1253"/>
      <c r="Q1978" s="1253"/>
      <c r="R1978" s="1254">
        <f>SUM(R1973:R1977)</f>
        <v>492.28</v>
      </c>
      <c r="S1978" s="1255"/>
      <c r="T1978" s="1254">
        <f>SUM(T1973:T1977)</f>
        <v>4.2</v>
      </c>
      <c r="AG1978" s="1309">
        <f>ROUND($R1978*$S$3,2)</f>
        <v>600.58000000000004</v>
      </c>
    </row>
    <row r="1979" spans="1:41" s="504" customFormat="1" ht="12.75" customHeight="1">
      <c r="A1979" s="1277"/>
      <c r="B1979" s="1278"/>
      <c r="E1979" s="882"/>
      <c r="F1979" s="1279"/>
      <c r="G1979" s="882"/>
      <c r="H1979" s="882"/>
      <c r="I1979" s="503"/>
      <c r="J1979" s="882"/>
      <c r="K1979" s="882"/>
      <c r="L1979" s="1280"/>
      <c r="M1979" s="933"/>
      <c r="N1979" s="933"/>
      <c r="O1979" s="933"/>
      <c r="P1979" s="933"/>
      <c r="Q1979" s="900"/>
      <c r="R1979" s="1258"/>
      <c r="S1979" s="882"/>
      <c r="T1979" s="1258"/>
    </row>
    <row r="1980" spans="1:41" s="504" customFormat="1" ht="13.5" customHeight="1" thickBot="1">
      <c r="A1980" s="1281"/>
      <c r="B1980" s="1282"/>
      <c r="C1980" s="514"/>
      <c r="D1980" s="514"/>
      <c r="E1980" s="887"/>
      <c r="F1980" s="888"/>
      <c r="G1980" s="887" t="s">
        <v>143</v>
      </c>
      <c r="H1980" s="887"/>
      <c r="I1980" s="889"/>
      <c r="J1980" s="887"/>
      <c r="K1980" s="887"/>
      <c r="L1980" s="1283" t="s">
        <v>140</v>
      </c>
      <c r="M1980" s="890"/>
      <c r="N1980" s="890"/>
      <c r="O1980" s="890"/>
      <c r="P1980" s="890"/>
      <c r="Q1980" s="891"/>
      <c r="R1980" s="1284">
        <f ca="1">SUMIF($L1965:$L1979,"SUBI",R1965:R1979)</f>
        <v>494.34999999999997</v>
      </c>
      <c r="S1980" s="887"/>
      <c r="T1980" s="1284">
        <f ca="1">SUMIF($L1965:$L1979,"SUBI",T1965:T1979)</f>
        <v>4.3900000000000006</v>
      </c>
      <c r="U1980" s="514"/>
      <c r="V1980" s="514"/>
      <c r="W1980" s="514"/>
      <c r="X1980" s="514"/>
      <c r="Y1980" s="514"/>
      <c r="Z1980" s="514"/>
      <c r="AA1980" s="514"/>
      <c r="AB1980" s="514"/>
      <c r="AC1980" s="514"/>
      <c r="AD1980" s="514"/>
      <c r="AE1980" s="514"/>
      <c r="AF1980" s="514"/>
      <c r="AG1980" s="514"/>
      <c r="AH1980" s="514"/>
      <c r="AI1980" s="514"/>
      <c r="AJ1980" s="514"/>
      <c r="AK1980" s="514"/>
      <c r="AL1980" s="514"/>
      <c r="AM1980" s="514"/>
      <c r="AN1980" s="514"/>
      <c r="AO1980" s="514"/>
    </row>
    <row r="1981" spans="1:41" s="504" customFormat="1" thickTop="1">
      <c r="A1981" s="50"/>
      <c r="B1981" s="50"/>
      <c r="C1981" s="3"/>
      <c r="D1981" s="3"/>
      <c r="E1981" s="50"/>
      <c r="F1981" s="50"/>
      <c r="G1981" s="50"/>
      <c r="H1981" s="50"/>
      <c r="I1981" s="50"/>
      <c r="J1981" s="50"/>
      <c r="K1981" s="50" t="s">
        <v>133</v>
      </c>
      <c r="L1981" s="50"/>
      <c r="M1981" s="50"/>
      <c r="N1981" s="50"/>
      <c r="O1981" s="51"/>
      <c r="P1981" s="50"/>
      <c r="Q1981" s="50"/>
      <c r="R1981" s="50"/>
      <c r="S1981" s="50"/>
      <c r="T1981" s="50"/>
    </row>
    <row r="1982" spans="1:41" s="504" customFormat="1" ht="12">
      <c r="A1982" s="50"/>
      <c r="B1982" s="50"/>
      <c r="C1982" s="50" t="s">
        <v>134</v>
      </c>
      <c r="D1982" s="37" t="s">
        <v>871</v>
      </c>
      <c r="E1982" s="50"/>
      <c r="F1982" s="50"/>
      <c r="G1982" s="50"/>
      <c r="H1982" s="50"/>
      <c r="I1982" s="50"/>
      <c r="J1982" s="50"/>
      <c r="K1982" s="50"/>
      <c r="L1982" s="50"/>
      <c r="M1982" s="50"/>
      <c r="N1982" s="50"/>
      <c r="O1982" s="51"/>
      <c r="P1982" s="50"/>
      <c r="Q1982" s="50"/>
      <c r="R1982" s="50"/>
      <c r="S1982" s="50"/>
      <c r="T1982" s="50"/>
    </row>
    <row r="1983" spans="1:41" s="504" customFormat="1" ht="12">
      <c r="A1983" s="50"/>
      <c r="B1983" s="50"/>
      <c r="C1983" s="50"/>
      <c r="D1983" s="37" t="s">
        <v>345</v>
      </c>
      <c r="E1983" s="50"/>
      <c r="F1983" s="50"/>
      <c r="G1983" s="50"/>
      <c r="H1983" s="50"/>
      <c r="I1983" s="50"/>
      <c r="J1983" s="50"/>
      <c r="K1983" s="50"/>
      <c r="L1983" s="50"/>
      <c r="M1983" s="50"/>
      <c r="N1983" s="50"/>
      <c r="O1983" s="51"/>
      <c r="P1983" s="50"/>
      <c r="Q1983" s="50"/>
      <c r="R1983" s="50"/>
      <c r="S1983" s="38"/>
      <c r="T1983" s="38"/>
    </row>
    <row r="1984" spans="1:41" s="3" customFormat="1" thickBot="1">
      <c r="A1984" s="514"/>
      <c r="O1984" s="103"/>
    </row>
    <row r="1985" spans="1:41" s="504" customFormat="1" ht="12" thickTop="1">
      <c r="A1985" s="50"/>
      <c r="B1985" s="40"/>
      <c r="C1985" s="50"/>
      <c r="E1985" s="41" t="s">
        <v>136</v>
      </c>
      <c r="F1985" s="41" t="s">
        <v>137</v>
      </c>
      <c r="G1985" s="50"/>
      <c r="H1985" s="50"/>
      <c r="I1985" s="50"/>
      <c r="J1985" s="50"/>
      <c r="K1985" s="50" t="s">
        <v>138</v>
      </c>
      <c r="L1985" s="50"/>
      <c r="M1985" s="50"/>
      <c r="N1985" s="50"/>
      <c r="O1985" s="51"/>
      <c r="P1985" s="50"/>
      <c r="Q1985" s="50"/>
      <c r="R1985" s="50"/>
      <c r="S1985" s="50"/>
      <c r="T1985" s="40"/>
      <c r="AG1985" s="867" t="s">
        <v>241</v>
      </c>
      <c r="AH1985" s="867" t="s">
        <v>242</v>
      </c>
      <c r="AI1985" s="867" t="s">
        <v>243</v>
      </c>
      <c r="AJ1985" s="867" t="s">
        <v>244</v>
      </c>
      <c r="AK1985" s="867" t="s">
        <v>245</v>
      </c>
      <c r="AM1985" s="868" t="s">
        <v>254</v>
      </c>
      <c r="AN1985" s="869" t="s">
        <v>255</v>
      </c>
      <c r="AO1985" s="505" t="s">
        <v>251</v>
      </c>
    </row>
    <row r="1986" spans="1:41" s="504" customFormat="1" ht="12" customHeight="1">
      <c r="A1986" s="870">
        <v>9</v>
      </c>
      <c r="B1986" s="871" t="s">
        <v>335</v>
      </c>
      <c r="C1986" s="872"/>
      <c r="D1986" s="873" t="s">
        <v>804</v>
      </c>
      <c r="E1986" s="874">
        <f>IF(AND($A1986=0,$A$1="DIF"),0, ROUND(ROUND(($R1990*$S$2+($T1990*$T$2))/A1986,2)*$C$2,2))</f>
        <v>0</v>
      </c>
      <c r="F1986" s="875">
        <f>ROUND($A1986*$E1986,2)</f>
        <v>0</v>
      </c>
      <c r="G1986" s="876" t="s">
        <v>139</v>
      </c>
      <c r="H1986" s="877"/>
      <c r="I1986" s="878"/>
      <c r="J1986" s="877"/>
      <c r="K1986" s="877" t="s">
        <v>3</v>
      </c>
      <c r="L1986" s="879" t="s">
        <v>140</v>
      </c>
      <c r="M1986" s="879"/>
      <c r="N1986" s="879"/>
      <c r="O1986" s="879"/>
      <c r="P1986" s="879"/>
      <c r="Q1986" s="50" t="s">
        <v>1334</v>
      </c>
      <c r="T1986" s="880" t="str">
        <f>IF(AND($R1990=0,$T1990=0),"0.00","mu :" &amp; ROUND($F1986/$C$2/($R1990+$T1990*$D$9),2))</f>
        <v>0.00</v>
      </c>
      <c r="W1986" s="507"/>
      <c r="AG1986" s="465">
        <f>IF($E1986=0,0,ROUND($R1990*$S$2*$C$2/$A1986,2))</f>
        <v>0</v>
      </c>
      <c r="AH1986" s="465">
        <f>$AG1986*$A1986</f>
        <v>0</v>
      </c>
      <c r="AI1986" s="508">
        <f>$E1986-$AG1986</f>
        <v>0</v>
      </c>
      <c r="AJ1986" s="508">
        <f>$A1986*$AI1986</f>
        <v>0</v>
      </c>
      <c r="AK1986" s="509">
        <f>ROUND(($AG1986+$AI1986)*$A1986,2)</f>
        <v>0</v>
      </c>
      <c r="AM1986" s="510">
        <f>ROUND(R1990,2)</f>
        <v>0</v>
      </c>
      <c r="AN1986" s="511">
        <f>ROUND(T1990,2)</f>
        <v>0</v>
      </c>
      <c r="AO1986" s="512">
        <f>ROUND(AM1986+AN1986,2)*A1986</f>
        <v>0</v>
      </c>
    </row>
    <row r="1987" spans="1:41" s="504" customFormat="1" ht="13.2">
      <c r="A1987" s="872"/>
      <c r="B1987"/>
      <c r="C1987" s="872"/>
      <c r="D1987" s="873" t="s">
        <v>381</v>
      </c>
      <c r="F1987" s="877"/>
      <c r="G1987" s="3"/>
      <c r="H1987" s="877"/>
      <c r="I1987" s="878"/>
      <c r="J1987" s="877"/>
      <c r="K1987" s="877" t="s">
        <v>141</v>
      </c>
      <c r="L1987" s="877"/>
      <c r="M1987" s="877"/>
      <c r="N1987" s="877"/>
      <c r="O1987" s="877"/>
      <c r="P1987" s="877"/>
      <c r="Q1987" s="50"/>
      <c r="R1987" s="513"/>
      <c r="S1987" s="881"/>
      <c r="T1987" s="877"/>
    </row>
    <row r="1988" spans="1:41" s="1039" customFormat="1" ht="11.4">
      <c r="A1988" s="50">
        <v>9</v>
      </c>
      <c r="B1988" s="1039" t="s">
        <v>949</v>
      </c>
      <c r="D1988" s="1039" t="s">
        <v>1284</v>
      </c>
      <c r="G1988" s="1040" t="s">
        <v>1182</v>
      </c>
      <c r="H1988" s="1041">
        <v>705</v>
      </c>
      <c r="I1988" s="1039" t="s">
        <v>1183</v>
      </c>
      <c r="J1988" s="1039" t="s">
        <v>1184</v>
      </c>
      <c r="O1988" s="1042">
        <v>3</v>
      </c>
      <c r="P1988" s="1043">
        <v>34669</v>
      </c>
      <c r="Q1988" s="1044">
        <v>0</v>
      </c>
      <c r="R1988" s="1045">
        <f>$A1988*Q1988</f>
        <v>0</v>
      </c>
      <c r="S1988" s="1044">
        <v>0</v>
      </c>
      <c r="T1988" s="1046">
        <f>$A1988*S1988*$T$1</f>
        <v>0</v>
      </c>
    </row>
    <row r="1989" spans="1:41" s="504" customFormat="1" ht="12">
      <c r="A1989" s="882"/>
      <c r="B1989" s="882"/>
      <c r="C1989" s="882"/>
      <c r="D1989" s="882"/>
      <c r="E1989" s="882"/>
      <c r="F1989" s="877"/>
      <c r="G1989" s="882"/>
      <c r="H1989" s="882"/>
      <c r="I1989" s="503"/>
      <c r="J1989" s="882"/>
      <c r="K1989" s="882"/>
      <c r="L1989" s="882"/>
      <c r="M1989" s="882"/>
      <c r="N1989" s="882"/>
      <c r="O1989" s="882"/>
      <c r="P1989" s="882"/>
      <c r="Q1989" s="503"/>
      <c r="R1989" s="883">
        <f>$A1989*Q1989</f>
        <v>0</v>
      </c>
      <c r="S1989" s="503"/>
      <c r="T1989" s="884">
        <f>$A1989*S1989*$T$1</f>
        <v>0</v>
      </c>
    </row>
    <row r="1990" spans="1:41" s="504" customFormat="1" ht="12.6" thickBot="1">
      <c r="A1990" s="885" t="s">
        <v>142</v>
      </c>
      <c r="B1990" s="886">
        <f>(R1989+T1989)</f>
        <v>0</v>
      </c>
      <c r="C1990" s="887"/>
      <c r="D1990" s="887"/>
      <c r="E1990" s="887"/>
      <c r="F1990" s="888"/>
      <c r="G1990" s="887" t="s">
        <v>143</v>
      </c>
      <c r="H1990" s="887"/>
      <c r="I1990" s="889"/>
      <c r="J1990" s="887"/>
      <c r="K1990" s="887" t="s">
        <v>3</v>
      </c>
      <c r="L1990" s="890" t="s">
        <v>140</v>
      </c>
      <c r="M1990" s="890"/>
      <c r="N1990" s="890"/>
      <c r="O1990" s="890"/>
      <c r="P1990" s="890"/>
      <c r="Q1990" s="891"/>
      <c r="R1990" s="892">
        <f>SUM(R1987:R1989)</f>
        <v>0</v>
      </c>
      <c r="S1990" s="887"/>
      <c r="T1990" s="892">
        <f>SUM(T1987:T1989)</f>
        <v>0</v>
      </c>
      <c r="U1990" s="514"/>
      <c r="V1990" s="514"/>
      <c r="W1990" s="514"/>
      <c r="X1990" s="514"/>
      <c r="Y1990" s="514"/>
      <c r="Z1990" s="514"/>
      <c r="AA1990" s="514"/>
      <c r="AB1990" s="514"/>
      <c r="AC1990" s="514"/>
      <c r="AD1990" s="514"/>
      <c r="AE1990" s="514"/>
      <c r="AF1990" s="514"/>
      <c r="AG1990" s="514"/>
      <c r="AH1990" s="514"/>
      <c r="AI1990" s="514"/>
      <c r="AJ1990" s="514"/>
      <c r="AK1990" s="514"/>
      <c r="AL1990" s="514"/>
      <c r="AM1990" s="514"/>
      <c r="AN1990" s="514"/>
      <c r="AO1990" s="514"/>
    </row>
    <row r="1991" spans="1:41" s="504" customFormat="1" ht="12" thickTop="1">
      <c r="A1991" s="50"/>
      <c r="B1991" s="40"/>
      <c r="C1991" s="50"/>
      <c r="E1991" s="41" t="s">
        <v>136</v>
      </c>
      <c r="F1991" s="41" t="s">
        <v>137</v>
      </c>
      <c r="G1991" s="50"/>
      <c r="H1991" s="50"/>
      <c r="I1991" s="50"/>
      <c r="J1991" s="50"/>
      <c r="K1991" s="50" t="s">
        <v>138</v>
      </c>
      <c r="L1991" s="50"/>
      <c r="M1991" s="50"/>
      <c r="N1991" s="50"/>
      <c r="O1991" s="51"/>
      <c r="P1991" s="50"/>
      <c r="Q1991" s="50"/>
      <c r="R1991" s="50"/>
      <c r="S1991" s="50"/>
      <c r="T1991" s="40"/>
      <c r="AG1991" s="867" t="s">
        <v>241</v>
      </c>
      <c r="AH1991" s="867" t="s">
        <v>242</v>
      </c>
      <c r="AI1991" s="867" t="s">
        <v>243</v>
      </c>
      <c r="AJ1991" s="867" t="s">
        <v>244</v>
      </c>
      <c r="AK1991" s="867" t="s">
        <v>245</v>
      </c>
      <c r="AM1991" s="868" t="s">
        <v>254</v>
      </c>
      <c r="AN1991" s="869" t="s">
        <v>255</v>
      </c>
      <c r="AO1991" s="505" t="s">
        <v>251</v>
      </c>
    </row>
    <row r="1992" spans="1:41" s="504" customFormat="1" ht="12" customHeight="1">
      <c r="A1992" s="870">
        <v>1</v>
      </c>
      <c r="B1992" s="871" t="s">
        <v>335</v>
      </c>
      <c r="C1992" s="872"/>
      <c r="D1992" s="873" t="s">
        <v>806</v>
      </c>
      <c r="E1992" s="874">
        <f ca="1">IF(AND($A1992=0,$A$1="DIF"),0, ROUND(ROUND(($R1997*$S$2+($T1997*$T$2))/A1992,2)*$C$2,2))</f>
        <v>28.98</v>
      </c>
      <c r="F1992" s="875">
        <f ca="1">ROUND($A1992*$E1992,2)</f>
        <v>28.98</v>
      </c>
      <c r="G1992" s="876" t="s">
        <v>139</v>
      </c>
      <c r="H1992" s="877"/>
      <c r="I1992" s="878"/>
      <c r="J1992" s="877"/>
      <c r="K1992" s="877" t="s">
        <v>3</v>
      </c>
      <c r="L1992" s="879" t="s">
        <v>140</v>
      </c>
      <c r="M1992" s="879"/>
      <c r="N1992" s="879"/>
      <c r="O1992" s="879"/>
      <c r="P1992" s="879"/>
      <c r="Q1992" s="50"/>
      <c r="T1992" s="880" t="str">
        <f ca="1">IF(AND($R1997=0,$T1997=0),"0.00","mu :" &amp; ROUND($F1992/$C$2/($R1997+$T1997*$D$9),2))</f>
        <v>mu :1.22</v>
      </c>
      <c r="W1992" s="507"/>
      <c r="AG1992" s="465">
        <f ca="1">IF($E1992=0,0,ROUND($R1997*$S$2*$C$2/$A1992,2))</f>
        <v>28.98</v>
      </c>
      <c r="AH1992" s="465">
        <f ca="1">$AG1992*$A1992</f>
        <v>28.98</v>
      </c>
      <c r="AI1992" s="508">
        <f ca="1">$E1992-$AG1992</f>
        <v>0</v>
      </c>
      <c r="AJ1992" s="508">
        <f ca="1">$A1992*$AI1992</f>
        <v>0</v>
      </c>
      <c r="AK1992" s="509">
        <f ca="1">ROUND(($AG1992+$AI1992)*$A1992,2)</f>
        <v>28.98</v>
      </c>
      <c r="AM1992" s="510">
        <f ca="1">ROUND(R1997,2)</f>
        <v>23.75</v>
      </c>
      <c r="AN1992" s="511">
        <f ca="1">ROUND(T1997,2)</f>
        <v>0</v>
      </c>
      <c r="AO1992" s="512">
        <f ca="1">ROUND(AM1992+AN1992,2)*A1992</f>
        <v>23.75</v>
      </c>
    </row>
    <row r="1993" spans="1:41" s="504" customFormat="1" ht="13.2">
      <c r="A1993" s="872"/>
      <c r="B1993"/>
      <c r="C1993" s="872"/>
      <c r="D1993" s="873" t="s">
        <v>348</v>
      </c>
      <c r="F1993" s="877"/>
      <c r="G1993" s="3"/>
      <c r="H1993" s="877"/>
      <c r="I1993" s="878"/>
      <c r="J1993" s="877"/>
      <c r="K1993" s="877" t="s">
        <v>141</v>
      </c>
      <c r="L1993" s="877"/>
      <c r="M1993" s="877"/>
      <c r="N1993" s="877"/>
      <c r="O1993" s="877"/>
      <c r="P1993" s="877"/>
      <c r="Q1993" s="50"/>
      <c r="R1993" s="513"/>
      <c r="S1993" s="881"/>
      <c r="T1993" s="877"/>
    </row>
    <row r="1994" spans="1:41" s="997" customFormat="1" ht="13.2">
      <c r="A1994"/>
      <c r="B1994" s="1065"/>
      <c r="C1994" s="1065" t="s">
        <v>1006</v>
      </c>
      <c r="D1994" s="1065" t="str">
        <f ca="1">CELL("Address",Elec_Rates!D$222)</f>
        <v>[EL25_0662B_Brittania_Hotel_Elec_Revised_Estim_B.xlsx]Elec_Rates!$D$222</v>
      </c>
      <c r="E1994" s="1066"/>
      <c r="F1994" s="1066"/>
      <c r="G1994" s="1067" t="s">
        <v>1007</v>
      </c>
      <c r="H1994" s="1067"/>
      <c r="I1994" s="1067"/>
      <c r="J1994" s="1067"/>
      <c r="K1994" s="1068"/>
      <c r="L1994" s="1066"/>
      <c r="M1994" s="1066"/>
      <c r="N1994" s="1066"/>
      <c r="O1994" s="1069"/>
      <c r="P1994" s="1066"/>
      <c r="Q1994" s="1070"/>
      <c r="R1994" s="1071"/>
      <c r="S1994" s="1070"/>
      <c r="T1994" s="1072"/>
      <c r="U1994" s="1073"/>
    </row>
    <row r="1995" spans="1:41" s="997" customFormat="1" ht="11.4">
      <c r="A1995" s="1074">
        <v>1</v>
      </c>
      <c r="B1995" s="1075">
        <v>1</v>
      </c>
      <c r="C1995" s="1075">
        <f>$A1995*$B1995</f>
        <v>1</v>
      </c>
      <c r="D1995" s="1076" t="str">
        <f>Elec_Rates!$D$222</f>
        <v>022# Supply Only - Type 'E1' - Single Sided, Wall Mounted, Directional Exit Signage</v>
      </c>
      <c r="E1995" s="1076"/>
      <c r="F1995" s="1076"/>
      <c r="G1995" s="1077" t="s">
        <v>1008</v>
      </c>
      <c r="H1995" s="1077"/>
      <c r="I1995" s="1077"/>
      <c r="J1995" s="1077"/>
      <c r="K1995" s="1078"/>
      <c r="L1995" s="1073"/>
      <c r="M1995" s="1073"/>
      <c r="N1995" s="1073"/>
      <c r="O1995" s="1079"/>
      <c r="P1995" s="1076"/>
      <c r="Q1995" s="1080">
        <f ca="1">$B1995*Elec_Rates!$R$222</f>
        <v>23.75</v>
      </c>
      <c r="R1995" s="1071">
        <f ca="1">$A1995*Q1995</f>
        <v>23.75</v>
      </c>
      <c r="S1995" s="1080">
        <f ca="1">$B1995*Elec_Rates!$T$222</f>
        <v>0</v>
      </c>
      <c r="T1995" s="1072">
        <f ca="1">$A1995*S1995</f>
        <v>0</v>
      </c>
      <c r="U1995" s="1081"/>
    </row>
    <row r="1996" spans="1:41" s="504" customFormat="1" ht="12">
      <c r="A1996" s="882"/>
      <c r="B1996" s="882"/>
      <c r="C1996" s="882"/>
      <c r="D1996" s="882"/>
      <c r="E1996" s="882"/>
      <c r="F1996" s="877"/>
      <c r="G1996" s="882"/>
      <c r="H1996" s="882"/>
      <c r="I1996" s="503"/>
      <c r="J1996" s="882"/>
      <c r="K1996" s="882"/>
      <c r="L1996" s="882"/>
      <c r="M1996" s="882"/>
      <c r="N1996" s="882"/>
      <c r="O1996" s="882"/>
      <c r="P1996" s="882"/>
      <c r="Q1996" s="503"/>
      <c r="R1996" s="883">
        <f>$A1996*Q1996</f>
        <v>0</v>
      </c>
      <c r="S1996" s="503"/>
      <c r="T1996" s="884">
        <f>$A1996*S1996*$T$1</f>
        <v>0</v>
      </c>
    </row>
    <row r="1997" spans="1:41" s="504" customFormat="1" ht="12.6" thickBot="1">
      <c r="A1997" s="885" t="s">
        <v>142</v>
      </c>
      <c r="B1997" s="886">
        <f>(R1996+T1996)</f>
        <v>0</v>
      </c>
      <c r="C1997" s="887"/>
      <c r="D1997" s="887"/>
      <c r="E1997" s="887"/>
      <c r="F1997" s="888"/>
      <c r="G1997" s="887" t="s">
        <v>143</v>
      </c>
      <c r="H1997" s="887"/>
      <c r="I1997" s="889"/>
      <c r="J1997" s="887"/>
      <c r="K1997" s="887" t="s">
        <v>3</v>
      </c>
      <c r="L1997" s="890" t="s">
        <v>140</v>
      </c>
      <c r="M1997" s="890"/>
      <c r="N1997" s="890"/>
      <c r="O1997" s="890"/>
      <c r="P1997" s="890"/>
      <c r="Q1997" s="891"/>
      <c r="R1997" s="892">
        <f ca="1">SUM(R1993:R1996)</f>
        <v>23.75</v>
      </c>
      <c r="S1997" s="887"/>
      <c r="T1997" s="892">
        <f ca="1">SUM(T1993:T1996)</f>
        <v>0</v>
      </c>
      <c r="U1997" s="514"/>
      <c r="V1997" s="514"/>
      <c r="W1997" s="514"/>
      <c r="X1997" s="514"/>
      <c r="Y1997" s="514"/>
      <c r="Z1997" s="514"/>
      <c r="AA1997" s="514"/>
      <c r="AB1997" s="514"/>
      <c r="AC1997" s="514"/>
      <c r="AD1997" s="514"/>
      <c r="AE1997" s="514"/>
      <c r="AF1997" s="514"/>
      <c r="AG1997" s="514"/>
      <c r="AH1997" s="514"/>
      <c r="AI1997" s="514"/>
      <c r="AJ1997" s="514"/>
      <c r="AK1997" s="514"/>
      <c r="AL1997" s="514"/>
      <c r="AM1997" s="514"/>
      <c r="AN1997" s="514"/>
      <c r="AO1997" s="514"/>
    </row>
    <row r="1998" spans="1:41" s="504" customFormat="1" ht="12" thickTop="1">
      <c r="A1998" s="50"/>
      <c r="B1998" s="40"/>
      <c r="C1998" s="50"/>
      <c r="E1998" s="41" t="s">
        <v>136</v>
      </c>
      <c r="F1998" s="41" t="s">
        <v>137</v>
      </c>
      <c r="G1998" s="50"/>
      <c r="H1998" s="50"/>
      <c r="I1998" s="50"/>
      <c r="J1998" s="50"/>
      <c r="K1998" s="50" t="s">
        <v>138</v>
      </c>
      <c r="L1998" s="50"/>
      <c r="M1998" s="50"/>
      <c r="N1998" s="50"/>
      <c r="O1998" s="51"/>
      <c r="P1998" s="50"/>
      <c r="Q1998" s="50"/>
      <c r="R1998" s="50"/>
      <c r="S1998" s="50"/>
      <c r="T1998" s="40"/>
      <c r="AG1998" s="867" t="s">
        <v>241</v>
      </c>
      <c r="AH1998" s="867" t="s">
        <v>242</v>
      </c>
      <c r="AI1998" s="867" t="s">
        <v>243</v>
      </c>
      <c r="AJ1998" s="867" t="s">
        <v>244</v>
      </c>
      <c r="AK1998" s="867" t="s">
        <v>245</v>
      </c>
      <c r="AM1998" s="868" t="s">
        <v>254</v>
      </c>
      <c r="AN1998" s="869" t="s">
        <v>255</v>
      </c>
      <c r="AO1998" s="505" t="s">
        <v>251</v>
      </c>
    </row>
    <row r="1999" spans="1:41" s="504" customFormat="1" ht="12" customHeight="1">
      <c r="A1999" s="870">
        <v>1</v>
      </c>
      <c r="B1999" s="871" t="s">
        <v>335</v>
      </c>
      <c r="C1999" s="872"/>
      <c r="D1999" s="873" t="s">
        <v>808</v>
      </c>
      <c r="E1999" s="874">
        <f ca="1">IF(AND($A1999=0,$A$1="DIF"),0, ROUND(ROUND(($R2004*$S$2+($T2004*$T$2))/A1999,2)*$C$2,2))</f>
        <v>43.86</v>
      </c>
      <c r="F1999" s="875">
        <f ca="1">ROUND($A1999*$E1999,2)</f>
        <v>43.86</v>
      </c>
      <c r="G1999" s="876" t="s">
        <v>139</v>
      </c>
      <c r="H1999" s="877"/>
      <c r="I1999" s="878"/>
      <c r="J1999" s="877"/>
      <c r="K1999" s="877" t="s">
        <v>3</v>
      </c>
      <c r="L1999" s="879" t="s">
        <v>140</v>
      </c>
      <c r="M1999" s="879"/>
      <c r="N1999" s="879"/>
      <c r="O1999" s="879"/>
      <c r="P1999" s="879"/>
      <c r="Q1999" s="50"/>
      <c r="T1999" s="880" t="str">
        <f ca="1">IF(AND($R2004=0,$T2004=0),"0.00","mu :" &amp; ROUND($F1999/$C$2/($R2004+$T2004*$D$9),2))</f>
        <v>mu :1.22</v>
      </c>
      <c r="W1999" s="507"/>
      <c r="AG1999" s="465">
        <f ca="1">IF($E1999=0,0,ROUND($R2004*$S$2*$C$2/$A1999,2))</f>
        <v>43.86</v>
      </c>
      <c r="AH1999" s="465">
        <f ca="1">$AG1999*$A1999</f>
        <v>43.86</v>
      </c>
      <c r="AI1999" s="508">
        <f ca="1">$E1999-$AG1999</f>
        <v>0</v>
      </c>
      <c r="AJ1999" s="508">
        <f ca="1">$A1999*$AI1999</f>
        <v>0</v>
      </c>
      <c r="AK1999" s="509">
        <f ca="1">ROUND(($AG1999+$AI1999)*$A1999,2)</f>
        <v>43.86</v>
      </c>
      <c r="AM1999" s="510">
        <f ca="1">ROUND(R2004,2)</f>
        <v>35.950000000000003</v>
      </c>
      <c r="AN1999" s="511">
        <f ca="1">ROUND(T2004,2)</f>
        <v>0</v>
      </c>
      <c r="AO1999" s="512">
        <f ca="1">ROUND(AM1999+AN1999,2)*A1999</f>
        <v>35.950000000000003</v>
      </c>
    </row>
    <row r="2000" spans="1:41" s="504" customFormat="1" ht="13.2">
      <c r="A2000" s="872"/>
      <c r="B2000"/>
      <c r="C2000" s="872"/>
      <c r="D2000" s="873" t="s">
        <v>382</v>
      </c>
      <c r="F2000" s="877"/>
      <c r="G2000" s="3"/>
      <c r="H2000" s="877"/>
      <c r="I2000" s="878"/>
      <c r="J2000" s="877"/>
      <c r="K2000" s="877" t="s">
        <v>141</v>
      </c>
      <c r="L2000" s="877"/>
      <c r="M2000" s="877"/>
      <c r="N2000" s="877"/>
      <c r="O2000" s="877"/>
      <c r="P2000" s="877"/>
      <c r="Q2000" s="50"/>
      <c r="R2000" s="513"/>
      <c r="S2000" s="881"/>
      <c r="T2000" s="877"/>
    </row>
    <row r="2001" spans="1:41" s="997" customFormat="1" ht="13.2">
      <c r="A2001"/>
      <c r="B2001" s="1065"/>
      <c r="C2001" s="1065" t="s">
        <v>1006</v>
      </c>
      <c r="D2001" s="1065" t="str">
        <f ca="1">CELL("Address",Elec_Rates!D$228)</f>
        <v>[EL25_0662B_Brittania_Hotel_Elec_Revised_Estim_B.xlsx]Elec_Rates!$D$228</v>
      </c>
      <c r="E2001" s="1066"/>
      <c r="F2001" s="1066"/>
      <c r="G2001" s="1067" t="s">
        <v>1007</v>
      </c>
      <c r="H2001" s="1067"/>
      <c r="I2001" s="1067"/>
      <c r="J2001" s="1067"/>
      <c r="K2001" s="1068"/>
      <c r="L2001" s="1066"/>
      <c r="M2001" s="1066"/>
      <c r="N2001" s="1066"/>
      <c r="O2001" s="1069"/>
      <c r="P2001" s="1066"/>
      <c r="Q2001" s="1070"/>
      <c r="R2001" s="1071"/>
      <c r="S2001" s="1070"/>
      <c r="T2001" s="1072"/>
      <c r="U2001" s="1073"/>
    </row>
    <row r="2002" spans="1:41" s="997" customFormat="1" ht="11.4">
      <c r="A2002" s="1074">
        <v>1</v>
      </c>
      <c r="B2002" s="1075">
        <v>1</v>
      </c>
      <c r="C2002" s="1075">
        <f>$A2002*$B2002</f>
        <v>1</v>
      </c>
      <c r="D2002" s="1076" t="str">
        <f>Elec_Rates!$D$228</f>
        <v>023# Supply Only - Type 'E2' - Double Sided, Ceiling Mounted/ Soffit Recessed, Directional Exit Signage.</v>
      </c>
      <c r="E2002" s="1076"/>
      <c r="F2002" s="1076"/>
      <c r="G2002" s="1077" t="s">
        <v>1008</v>
      </c>
      <c r="H2002" s="1077"/>
      <c r="I2002" s="1077"/>
      <c r="J2002" s="1077"/>
      <c r="K2002" s="1078"/>
      <c r="L2002" s="1073"/>
      <c r="M2002" s="1073"/>
      <c r="N2002" s="1073"/>
      <c r="O2002" s="1079"/>
      <c r="P2002" s="1076"/>
      <c r="Q2002" s="1080">
        <f ca="1">$B2002*Elec_Rates!$R$228</f>
        <v>35.950000000000003</v>
      </c>
      <c r="R2002" s="1071">
        <f ca="1">$A2002*Q2002</f>
        <v>35.950000000000003</v>
      </c>
      <c r="S2002" s="1080">
        <f ca="1">$B2002*Elec_Rates!$T$228</f>
        <v>0</v>
      </c>
      <c r="T2002" s="1072">
        <f ca="1">$A2002*S2002</f>
        <v>0</v>
      </c>
      <c r="U2002" s="1081"/>
    </row>
    <row r="2003" spans="1:41" s="504" customFormat="1" ht="12">
      <c r="A2003" s="882"/>
      <c r="B2003" s="882"/>
      <c r="C2003" s="882"/>
      <c r="D2003" s="882"/>
      <c r="E2003" s="882"/>
      <c r="F2003" s="877"/>
      <c r="G2003" s="882"/>
      <c r="H2003" s="882"/>
      <c r="I2003" s="503"/>
      <c r="J2003" s="882"/>
      <c r="K2003" s="882"/>
      <c r="L2003" s="882"/>
      <c r="M2003" s="882"/>
      <c r="N2003" s="882"/>
      <c r="O2003" s="882"/>
      <c r="P2003" s="882"/>
      <c r="Q2003" s="503"/>
      <c r="R2003" s="883">
        <f>$A2003*Q2003</f>
        <v>0</v>
      </c>
      <c r="S2003" s="503"/>
      <c r="T2003" s="884">
        <f>$A2003*S2003*$T$1</f>
        <v>0</v>
      </c>
    </row>
    <row r="2004" spans="1:41" s="504" customFormat="1" ht="12.6" thickBot="1">
      <c r="A2004" s="885" t="s">
        <v>142</v>
      </c>
      <c r="B2004" s="886">
        <f>(R2003+T2003)</f>
        <v>0</v>
      </c>
      <c r="C2004" s="887"/>
      <c r="D2004" s="887"/>
      <c r="E2004" s="887"/>
      <c r="F2004" s="888"/>
      <c r="G2004" s="887" t="s">
        <v>143</v>
      </c>
      <c r="H2004" s="887"/>
      <c r="I2004" s="889"/>
      <c r="J2004" s="887"/>
      <c r="K2004" s="887" t="s">
        <v>3</v>
      </c>
      <c r="L2004" s="890" t="s">
        <v>140</v>
      </c>
      <c r="M2004" s="890"/>
      <c r="N2004" s="890"/>
      <c r="O2004" s="890"/>
      <c r="P2004" s="890"/>
      <c r="Q2004" s="891"/>
      <c r="R2004" s="892">
        <f ca="1">SUM(R2000:R2003)</f>
        <v>35.950000000000003</v>
      </c>
      <c r="S2004" s="887"/>
      <c r="T2004" s="892">
        <f ca="1">SUM(T2000:T2003)</f>
        <v>0</v>
      </c>
      <c r="U2004" s="514"/>
      <c r="V2004" s="514"/>
      <c r="W2004" s="514"/>
      <c r="X2004" s="514"/>
      <c r="Y2004" s="514"/>
      <c r="Z2004" s="514"/>
      <c r="AA2004" s="514"/>
      <c r="AB2004" s="514"/>
      <c r="AC2004" s="514"/>
      <c r="AD2004" s="514"/>
      <c r="AE2004" s="514"/>
      <c r="AF2004" s="514"/>
      <c r="AG2004" s="514"/>
      <c r="AH2004" s="514"/>
      <c r="AI2004" s="514"/>
      <c r="AJ2004" s="514"/>
      <c r="AK2004" s="514"/>
      <c r="AL2004" s="514"/>
      <c r="AM2004" s="514"/>
      <c r="AN2004" s="514"/>
      <c r="AO2004" s="514"/>
    </row>
    <row r="2005" spans="1:41" s="504" customFormat="1" thickTop="1">
      <c r="A2005" s="50"/>
      <c r="B2005" s="50"/>
      <c r="C2005" s="3"/>
      <c r="D2005" s="3"/>
      <c r="E2005" s="50"/>
      <c r="F2005" s="50"/>
      <c r="G2005" s="50"/>
      <c r="H2005" s="50"/>
      <c r="I2005" s="50"/>
      <c r="J2005" s="50"/>
      <c r="K2005" s="50" t="s">
        <v>133</v>
      </c>
      <c r="L2005" s="50"/>
      <c r="M2005" s="50"/>
      <c r="N2005" s="50"/>
      <c r="O2005" s="51"/>
      <c r="P2005" s="50"/>
      <c r="Q2005" s="50"/>
      <c r="R2005" s="50"/>
      <c r="S2005" s="50"/>
      <c r="T2005" s="50"/>
    </row>
    <row r="2006" spans="1:41" s="504" customFormat="1" ht="12">
      <c r="A2006" s="50"/>
      <c r="B2006" s="50"/>
      <c r="C2006" s="50" t="s">
        <v>134</v>
      </c>
      <c r="D2006" s="37" t="s">
        <v>872</v>
      </c>
      <c r="E2006" s="50"/>
      <c r="F2006" s="50"/>
      <c r="G2006" s="50"/>
      <c r="H2006" s="50"/>
      <c r="I2006" s="50"/>
      <c r="J2006" s="50"/>
      <c r="K2006" s="50"/>
      <c r="L2006" s="50"/>
      <c r="M2006" s="50"/>
      <c r="N2006" s="50"/>
      <c r="O2006" s="51"/>
      <c r="P2006" s="50"/>
      <c r="Q2006" s="50"/>
      <c r="R2006" s="50"/>
      <c r="S2006" s="50"/>
      <c r="T2006" s="50"/>
    </row>
    <row r="2007" spans="1:41" s="504" customFormat="1" ht="13.2">
      <c r="A2007" s="872"/>
      <c r="B2007"/>
      <c r="C2007" s="872"/>
      <c r="D2007" s="916" t="s">
        <v>351</v>
      </c>
      <c r="E2007" s="917"/>
      <c r="F2007" s="918"/>
      <c r="G2007" s="919"/>
      <c r="H2007" s="918"/>
      <c r="I2007" s="920"/>
      <c r="J2007" s="918"/>
      <c r="K2007" s="918"/>
      <c r="L2007" s="918"/>
      <c r="M2007" s="918"/>
      <c r="N2007" s="918"/>
      <c r="O2007" s="918"/>
      <c r="P2007" s="918"/>
      <c r="Q2007" s="921"/>
      <c r="R2007" s="513"/>
      <c r="S2007" s="881"/>
      <c r="T2007" s="877"/>
    </row>
    <row r="2008" spans="1:41" s="3" customFormat="1" thickBot="1">
      <c r="A2008" s="514"/>
      <c r="O2008" s="103"/>
    </row>
    <row r="2009" spans="1:41" s="504" customFormat="1" ht="12" thickTop="1">
      <c r="A2009" s="50"/>
      <c r="B2009" s="40"/>
      <c r="C2009" s="50"/>
      <c r="E2009" s="41" t="s">
        <v>136</v>
      </c>
      <c r="F2009" s="41" t="s">
        <v>137</v>
      </c>
      <c r="G2009" s="50"/>
      <c r="H2009" s="50"/>
      <c r="I2009" s="50"/>
      <c r="J2009" s="50"/>
      <c r="K2009" s="50" t="s">
        <v>138</v>
      </c>
      <c r="L2009" s="50"/>
      <c r="M2009" s="50"/>
      <c r="N2009" s="50"/>
      <c r="O2009" s="51"/>
      <c r="P2009" s="50"/>
      <c r="Q2009" s="50"/>
      <c r="R2009" s="50"/>
      <c r="S2009" s="50"/>
      <c r="T2009" s="40"/>
      <c r="AG2009" s="867" t="s">
        <v>241</v>
      </c>
      <c r="AH2009" s="867" t="s">
        <v>242</v>
      </c>
      <c r="AI2009" s="867" t="s">
        <v>243</v>
      </c>
      <c r="AJ2009" s="867" t="s">
        <v>244</v>
      </c>
      <c r="AK2009" s="867" t="s">
        <v>245</v>
      </c>
      <c r="AM2009" s="868" t="s">
        <v>254</v>
      </c>
      <c r="AN2009" s="869" t="s">
        <v>255</v>
      </c>
      <c r="AO2009" s="505" t="s">
        <v>251</v>
      </c>
    </row>
    <row r="2010" spans="1:41" s="504" customFormat="1" ht="12" customHeight="1">
      <c r="A2010" s="870">
        <v>10</v>
      </c>
      <c r="B2010" s="871" t="s">
        <v>335</v>
      </c>
      <c r="C2010" s="872"/>
      <c r="D2010" s="873" t="s">
        <v>804</v>
      </c>
      <c r="E2010" s="874">
        <f ca="1">IF(AND($A2010=0,$A$1="DIF"),0, ROUND(ROUND(($R2015*$S$2+($T2015*$T$2))/A2010,2)*$C$2,2))</f>
        <v>14.36</v>
      </c>
      <c r="F2010" s="875">
        <f ca="1">ROUND($A2010*$E2010,2)</f>
        <v>143.6</v>
      </c>
      <c r="G2010" s="876" t="s">
        <v>139</v>
      </c>
      <c r="H2010" s="877"/>
      <c r="I2010" s="878"/>
      <c r="J2010" s="877"/>
      <c r="K2010" s="877" t="s">
        <v>3</v>
      </c>
      <c r="L2010" s="879" t="s">
        <v>140</v>
      </c>
      <c r="M2010" s="879"/>
      <c r="N2010" s="879"/>
      <c r="O2010" s="879"/>
      <c r="P2010" s="879"/>
      <c r="Q2010" s="50"/>
      <c r="T2010" s="880" t="str">
        <f ca="1">IF(AND($R2015=0,$T2015=0),"0.00","mu :" &amp; ROUND($F2010/$C$2/($R2015+$T2015*$D$9),2))</f>
        <v>mu :1.22</v>
      </c>
      <c r="W2010" s="507"/>
      <c r="AG2010" s="465">
        <f ca="1">IF($E2010=0,0,ROUND($R2015*$S$2*$C$2/$A2010,2))</f>
        <v>1.34</v>
      </c>
      <c r="AH2010" s="465">
        <f ca="1">$AG2010*$A2010</f>
        <v>13.4</v>
      </c>
      <c r="AI2010" s="508">
        <f ca="1">$E2010-$AG2010</f>
        <v>13.02</v>
      </c>
      <c r="AJ2010" s="508">
        <f ca="1">$A2010*$AI2010</f>
        <v>130.19999999999999</v>
      </c>
      <c r="AK2010" s="509">
        <f ca="1">ROUND(($AG2010+$AI2010)*$A2010,2)</f>
        <v>143.6</v>
      </c>
      <c r="AM2010" s="510">
        <f ca="1">ROUND(R2015,2)</f>
        <v>11</v>
      </c>
      <c r="AN2010" s="511">
        <f ca="1">ROUND(T2015,2)</f>
        <v>3.7</v>
      </c>
      <c r="AO2010" s="512">
        <f ca="1">ROUND(AM2010+AN2010,2)*A2010</f>
        <v>147</v>
      </c>
    </row>
    <row r="2011" spans="1:41" s="504" customFormat="1" ht="13.2">
      <c r="A2011" s="872"/>
      <c r="B2011"/>
      <c r="C2011" s="872"/>
      <c r="D2011" s="873" t="s">
        <v>413</v>
      </c>
      <c r="F2011" s="877"/>
      <c r="G2011" s="3"/>
      <c r="H2011" s="877"/>
      <c r="I2011" s="878"/>
      <c r="J2011" s="877"/>
      <c r="K2011" s="877" t="s">
        <v>141</v>
      </c>
      <c r="L2011" s="877"/>
      <c r="M2011" s="877"/>
      <c r="N2011" s="877"/>
      <c r="O2011" s="877"/>
      <c r="P2011" s="877"/>
      <c r="Q2011" s="50"/>
      <c r="R2011" s="513"/>
      <c r="S2011" s="881"/>
      <c r="T2011" s="877"/>
    </row>
    <row r="2012" spans="1:41" s="997" customFormat="1" ht="13.2">
      <c r="A2012"/>
      <c r="B2012" s="1065"/>
      <c r="C2012" s="1065" t="s">
        <v>1006</v>
      </c>
      <c r="D2012" s="1065" t="str">
        <f ca="1">CELL("Address",Elec_Rates!D$369)</f>
        <v>[EL25_0662B_Brittania_Hotel_Elec_Revised_Estim_B.xlsx]Elec_Rates!$D$369</v>
      </c>
      <c r="E2012" s="1066"/>
      <c r="F2012" s="1066"/>
      <c r="G2012" s="1067" t="s">
        <v>1007</v>
      </c>
      <c r="H2012" s="1067"/>
      <c r="I2012" s="1067"/>
      <c r="J2012" s="1067"/>
      <c r="K2012" s="1068"/>
      <c r="L2012" s="1066"/>
      <c r="M2012" s="1066"/>
      <c r="N2012" s="1066"/>
      <c r="O2012" s="1069"/>
      <c r="P2012" s="1066"/>
      <c r="Q2012" s="1070"/>
      <c r="R2012" s="1071"/>
      <c r="S2012" s="1070"/>
      <c r="T2012" s="1072"/>
      <c r="U2012" s="1073"/>
    </row>
    <row r="2013" spans="1:41" s="997" customFormat="1" ht="11.4">
      <c r="A2013" s="1074">
        <v>10</v>
      </c>
      <c r="B2013" s="1075">
        <v>1</v>
      </c>
      <c r="C2013" s="1075">
        <f>$A2013*$B2013</f>
        <v>10</v>
      </c>
      <c r="D2013" s="1076" t="str">
        <f>Elec_Rates!$D$369</f>
        <v>042# Install and connect Only - Type 'LT-01' - 11W Soffit Recessed Light Fitting</v>
      </c>
      <c r="E2013" s="1076"/>
      <c r="F2013" s="1076"/>
      <c r="G2013" s="1077" t="s">
        <v>1008</v>
      </c>
      <c r="H2013" s="1077"/>
      <c r="I2013" s="1077"/>
      <c r="J2013" s="1077"/>
      <c r="K2013" s="1078"/>
      <c r="L2013" s="1073"/>
      <c r="M2013" s="1073"/>
      <c r="N2013" s="1073"/>
      <c r="O2013" s="1079"/>
      <c r="P2013" s="1076"/>
      <c r="Q2013" s="1080">
        <f ca="1">$B2013*Elec_Rates!$R$369</f>
        <v>1.1000000000000001</v>
      </c>
      <c r="R2013" s="1071">
        <f ca="1">$A2013*Q2013</f>
        <v>11</v>
      </c>
      <c r="S2013" s="1080">
        <f ca="1">$B2013*Elec_Rates!$T$369</f>
        <v>0.37</v>
      </c>
      <c r="T2013" s="1072">
        <f ca="1">$A2013*S2013</f>
        <v>3.7</v>
      </c>
      <c r="U2013" s="1081"/>
    </row>
    <row r="2014" spans="1:41" s="504" customFormat="1" ht="12">
      <c r="A2014" s="882"/>
      <c r="B2014" s="882"/>
      <c r="C2014" s="882"/>
      <c r="D2014" s="882"/>
      <c r="E2014" s="882"/>
      <c r="F2014" s="877"/>
      <c r="G2014" s="882"/>
      <c r="H2014" s="882"/>
      <c r="I2014" s="503"/>
      <c r="J2014" s="882"/>
      <c r="K2014" s="882"/>
      <c r="L2014" s="882"/>
      <c r="M2014" s="882"/>
      <c r="N2014" s="882"/>
      <c r="O2014" s="882"/>
      <c r="P2014" s="882"/>
      <c r="Q2014" s="503"/>
      <c r="R2014" s="883">
        <f>$A2014*Q2014</f>
        <v>0</v>
      </c>
      <c r="S2014" s="503"/>
      <c r="T2014" s="884">
        <f>$A2014*S2014*$T$1</f>
        <v>0</v>
      </c>
    </row>
    <row r="2015" spans="1:41" s="504" customFormat="1" ht="12.6" thickBot="1">
      <c r="A2015" s="885" t="s">
        <v>142</v>
      </c>
      <c r="B2015" s="886">
        <f>(R2014+T2014)</f>
        <v>0</v>
      </c>
      <c r="C2015" s="887"/>
      <c r="D2015" s="887"/>
      <c r="E2015" s="887"/>
      <c r="F2015" s="888"/>
      <c r="G2015" s="887" t="s">
        <v>143</v>
      </c>
      <c r="H2015" s="887"/>
      <c r="I2015" s="889"/>
      <c r="J2015" s="887"/>
      <c r="K2015" s="887" t="s">
        <v>3</v>
      </c>
      <c r="L2015" s="890" t="s">
        <v>140</v>
      </c>
      <c r="M2015" s="890"/>
      <c r="N2015" s="890"/>
      <c r="O2015" s="890"/>
      <c r="P2015" s="890"/>
      <c r="Q2015" s="891"/>
      <c r="R2015" s="892">
        <f ca="1">SUM(R2011:R2014)</f>
        <v>11</v>
      </c>
      <c r="S2015" s="887"/>
      <c r="T2015" s="892">
        <f ca="1">SUM(T2011:T2014)</f>
        <v>3.7</v>
      </c>
      <c r="U2015" s="514"/>
      <c r="V2015" s="514"/>
      <c r="W2015" s="514"/>
      <c r="X2015" s="514"/>
      <c r="Y2015" s="514"/>
      <c r="Z2015" s="514"/>
      <c r="AA2015" s="514"/>
      <c r="AB2015" s="514"/>
      <c r="AC2015" s="514"/>
      <c r="AD2015" s="514"/>
      <c r="AE2015" s="514"/>
      <c r="AF2015" s="514"/>
      <c r="AG2015" s="514"/>
      <c r="AH2015" s="514"/>
      <c r="AI2015" s="514"/>
      <c r="AJ2015" s="514"/>
      <c r="AK2015" s="514"/>
      <c r="AL2015" s="514"/>
      <c r="AM2015" s="514"/>
      <c r="AN2015" s="514"/>
      <c r="AO2015" s="514"/>
    </row>
    <row r="2016" spans="1:41" s="504" customFormat="1" ht="12" thickTop="1">
      <c r="A2016" s="50"/>
      <c r="B2016" s="40"/>
      <c r="C2016" s="50"/>
      <c r="E2016" s="41" t="s">
        <v>136</v>
      </c>
      <c r="F2016" s="41" t="s">
        <v>137</v>
      </c>
      <c r="G2016" s="50"/>
      <c r="H2016" s="50"/>
      <c r="I2016" s="50"/>
      <c r="J2016" s="50"/>
      <c r="K2016" s="50" t="s">
        <v>138</v>
      </c>
      <c r="L2016" s="50"/>
      <c r="M2016" s="50"/>
      <c r="N2016" s="50"/>
      <c r="O2016" s="51"/>
      <c r="P2016" s="50"/>
      <c r="Q2016" s="50"/>
      <c r="R2016" s="50"/>
      <c r="S2016" s="50"/>
      <c r="T2016" s="40"/>
      <c r="AG2016" s="867" t="s">
        <v>241</v>
      </c>
      <c r="AH2016" s="867" t="s">
        <v>242</v>
      </c>
      <c r="AI2016" s="867" t="s">
        <v>243</v>
      </c>
      <c r="AJ2016" s="867" t="s">
        <v>244</v>
      </c>
      <c r="AK2016" s="867" t="s">
        <v>245</v>
      </c>
      <c r="AM2016" s="868" t="s">
        <v>254</v>
      </c>
      <c r="AN2016" s="869" t="s">
        <v>255</v>
      </c>
      <c r="AO2016" s="505" t="s">
        <v>251</v>
      </c>
    </row>
    <row r="2017" spans="1:41" s="504" customFormat="1" ht="12" customHeight="1">
      <c r="A2017" s="870">
        <v>4</v>
      </c>
      <c r="B2017" s="871" t="s">
        <v>335</v>
      </c>
      <c r="C2017" s="872"/>
      <c r="D2017" s="873" t="s">
        <v>806</v>
      </c>
      <c r="E2017" s="874">
        <f ca="1">IF(AND($A2017=0,$A$1="DIF"),0, ROUND(ROUND(($R2022*$S$2+($T2022*$T$2))/A2017,2)*$C$2,2))</f>
        <v>14.36</v>
      </c>
      <c r="F2017" s="875">
        <f ca="1">ROUND($A2017*$E2017,2)</f>
        <v>57.44</v>
      </c>
      <c r="G2017" s="876" t="s">
        <v>139</v>
      </c>
      <c r="H2017" s="877"/>
      <c r="I2017" s="878"/>
      <c r="J2017" s="877"/>
      <c r="K2017" s="877" t="s">
        <v>3</v>
      </c>
      <c r="L2017" s="879" t="s">
        <v>140</v>
      </c>
      <c r="M2017" s="879"/>
      <c r="N2017" s="879"/>
      <c r="O2017" s="879"/>
      <c r="P2017" s="879"/>
      <c r="Q2017" s="50"/>
      <c r="T2017" s="880" t="str">
        <f ca="1">IF(AND($R2022=0,$T2022=0),"0.00","mu :" &amp; ROUND($F2017/$C$2/($R2022+$T2022*$D$9),2))</f>
        <v>mu :1.22</v>
      </c>
      <c r="W2017" s="507"/>
      <c r="AG2017" s="465">
        <f ca="1">IF($E2017=0,0,ROUND($R2022*$S$2*$C$2/$A2017,2))</f>
        <v>1.34</v>
      </c>
      <c r="AH2017" s="465">
        <f ca="1">$AG2017*$A2017</f>
        <v>5.36</v>
      </c>
      <c r="AI2017" s="508">
        <f ca="1">$E2017-$AG2017</f>
        <v>13.02</v>
      </c>
      <c r="AJ2017" s="508">
        <f ca="1">$A2017*$AI2017</f>
        <v>52.08</v>
      </c>
      <c r="AK2017" s="509">
        <f ca="1">ROUND(($AG2017+$AI2017)*$A2017,2)</f>
        <v>57.44</v>
      </c>
      <c r="AM2017" s="510">
        <f ca="1">ROUND(R2022,2)</f>
        <v>4.4000000000000004</v>
      </c>
      <c r="AN2017" s="511">
        <f ca="1">ROUND(T2022,2)</f>
        <v>1.48</v>
      </c>
      <c r="AO2017" s="512">
        <f ca="1">ROUND(AM2017+AN2017,2)*A2017</f>
        <v>23.52</v>
      </c>
    </row>
    <row r="2018" spans="1:41" s="504" customFormat="1" ht="13.2">
      <c r="A2018" s="872"/>
      <c r="B2018"/>
      <c r="C2018" s="872"/>
      <c r="D2018" s="873" t="s">
        <v>414</v>
      </c>
      <c r="F2018" s="877"/>
      <c r="G2018" s="3"/>
      <c r="H2018" s="877"/>
      <c r="I2018" s="878"/>
      <c r="J2018" s="877"/>
      <c r="K2018" s="877" t="s">
        <v>141</v>
      </c>
      <c r="L2018" s="877"/>
      <c r="M2018" s="877"/>
      <c r="N2018" s="877"/>
      <c r="O2018" s="877"/>
      <c r="P2018" s="877"/>
      <c r="Q2018" s="50"/>
      <c r="R2018" s="513"/>
      <c r="S2018" s="881"/>
      <c r="T2018" s="877"/>
    </row>
    <row r="2019" spans="1:41" s="997" customFormat="1" ht="13.2">
      <c r="A2019"/>
      <c r="B2019" s="1065"/>
      <c r="C2019" s="1065" t="s">
        <v>1006</v>
      </c>
      <c r="D2019" s="1065" t="str">
        <f ca="1">CELL("Address",Elec_Rates!D$376)</f>
        <v>[EL25_0662B_Brittania_Hotel_Elec_Revised_Estim_B.xlsx]Elec_Rates!$D$376</v>
      </c>
      <c r="E2019" s="1066"/>
      <c r="F2019" s="1066"/>
      <c r="G2019" s="1067" t="s">
        <v>1007</v>
      </c>
      <c r="H2019" s="1067"/>
      <c r="I2019" s="1067"/>
      <c r="J2019" s="1067"/>
      <c r="K2019" s="1068"/>
      <c r="L2019" s="1066"/>
      <c r="M2019" s="1066"/>
      <c r="N2019" s="1066"/>
      <c r="O2019" s="1069"/>
      <c r="P2019" s="1066"/>
      <c r="Q2019" s="1070"/>
      <c r="R2019" s="1071"/>
      <c r="S2019" s="1070"/>
      <c r="T2019" s="1072"/>
      <c r="U2019" s="1073"/>
    </row>
    <row r="2020" spans="1:41" s="997" customFormat="1" ht="11.4">
      <c r="A2020" s="1074">
        <v>4</v>
      </c>
      <c r="B2020" s="1075">
        <v>1</v>
      </c>
      <c r="C2020" s="1075">
        <f>$A2020*$B2020</f>
        <v>4</v>
      </c>
      <c r="D2020" s="1076" t="str">
        <f>Elec_Rates!$D$376</f>
        <v>043# Install and connect Only - Type 'LT-02' - 11W Soffit Recessed Light Fitting</v>
      </c>
      <c r="E2020" s="1076"/>
      <c r="F2020" s="1076"/>
      <c r="G2020" s="1077" t="s">
        <v>1008</v>
      </c>
      <c r="H2020" s="1077"/>
      <c r="I2020" s="1077"/>
      <c r="J2020" s="1077"/>
      <c r="K2020" s="1078"/>
      <c r="L2020" s="1073"/>
      <c r="M2020" s="1073"/>
      <c r="N2020" s="1073"/>
      <c r="O2020" s="1079"/>
      <c r="P2020" s="1076"/>
      <c r="Q2020" s="1080">
        <f ca="1">$B2020*Elec_Rates!$R$376</f>
        <v>1.1000000000000001</v>
      </c>
      <c r="R2020" s="1071">
        <f ca="1">$A2020*Q2020</f>
        <v>4.4000000000000004</v>
      </c>
      <c r="S2020" s="1080">
        <f ca="1">$B2020*Elec_Rates!$T$376</f>
        <v>0.37</v>
      </c>
      <c r="T2020" s="1072">
        <f ca="1">$A2020*S2020</f>
        <v>1.48</v>
      </c>
      <c r="U2020" s="1081"/>
    </row>
    <row r="2021" spans="1:41" s="504" customFormat="1" ht="12">
      <c r="A2021" s="882"/>
      <c r="B2021" s="882"/>
      <c r="C2021" s="882"/>
      <c r="D2021" s="882"/>
      <c r="E2021" s="882"/>
      <c r="F2021" s="877"/>
      <c r="G2021" s="882"/>
      <c r="H2021" s="882"/>
      <c r="I2021" s="503"/>
      <c r="J2021" s="882"/>
      <c r="K2021" s="882"/>
      <c r="L2021" s="882"/>
      <c r="M2021" s="882"/>
      <c r="N2021" s="882"/>
      <c r="O2021" s="882"/>
      <c r="P2021" s="882"/>
      <c r="Q2021" s="503"/>
      <c r="R2021" s="883">
        <f>$A2021*Q2021</f>
        <v>0</v>
      </c>
      <c r="S2021" s="503"/>
      <c r="T2021" s="884">
        <f>$A2021*S2021*$T$1</f>
        <v>0</v>
      </c>
    </row>
    <row r="2022" spans="1:41" s="504" customFormat="1" ht="12.6" thickBot="1">
      <c r="A2022" s="885" t="s">
        <v>142</v>
      </c>
      <c r="B2022" s="886">
        <f>(R2021+T2021)</f>
        <v>0</v>
      </c>
      <c r="C2022" s="887"/>
      <c r="D2022" s="887"/>
      <c r="E2022" s="887"/>
      <c r="F2022" s="888"/>
      <c r="G2022" s="887" t="s">
        <v>143</v>
      </c>
      <c r="H2022" s="887"/>
      <c r="I2022" s="889"/>
      <c r="J2022" s="887"/>
      <c r="K2022" s="887" t="s">
        <v>3</v>
      </c>
      <c r="L2022" s="890" t="s">
        <v>140</v>
      </c>
      <c r="M2022" s="890"/>
      <c r="N2022" s="890"/>
      <c r="O2022" s="890"/>
      <c r="P2022" s="890"/>
      <c r="Q2022" s="891"/>
      <c r="R2022" s="892">
        <f ca="1">SUM(R2018:R2021)</f>
        <v>4.4000000000000004</v>
      </c>
      <c r="S2022" s="887"/>
      <c r="T2022" s="892">
        <f ca="1">SUM(T2018:T2021)</f>
        <v>1.48</v>
      </c>
      <c r="U2022" s="514"/>
      <c r="V2022" s="514"/>
      <c r="W2022" s="514"/>
      <c r="X2022" s="514"/>
      <c r="Y2022" s="514"/>
      <c r="Z2022" s="514"/>
      <c r="AA2022" s="514"/>
      <c r="AB2022" s="514"/>
      <c r="AC2022" s="514"/>
      <c r="AD2022" s="514"/>
      <c r="AE2022" s="514"/>
      <c r="AF2022" s="514"/>
      <c r="AG2022" s="514"/>
      <c r="AH2022" s="514"/>
      <c r="AI2022" s="514"/>
      <c r="AJ2022" s="514"/>
      <c r="AK2022" s="514"/>
      <c r="AL2022" s="514"/>
      <c r="AM2022" s="514"/>
      <c r="AN2022" s="514"/>
      <c r="AO2022" s="514"/>
    </row>
    <row r="2023" spans="1:41" s="504" customFormat="1" ht="12" thickTop="1">
      <c r="A2023" s="50"/>
      <c r="B2023" s="40"/>
      <c r="C2023" s="50"/>
      <c r="E2023" s="41" t="s">
        <v>136</v>
      </c>
      <c r="F2023" s="41" t="s">
        <v>137</v>
      </c>
      <c r="G2023" s="50"/>
      <c r="H2023" s="50"/>
      <c r="I2023" s="50"/>
      <c r="J2023" s="50"/>
      <c r="K2023" s="50" t="s">
        <v>138</v>
      </c>
      <c r="L2023" s="50"/>
      <c r="M2023" s="50"/>
      <c r="N2023" s="50"/>
      <c r="O2023" s="51"/>
      <c r="P2023" s="50"/>
      <c r="Q2023" s="50"/>
      <c r="R2023" s="50"/>
      <c r="S2023" s="50"/>
      <c r="T2023" s="40"/>
      <c r="AG2023" s="867" t="s">
        <v>241</v>
      </c>
      <c r="AH2023" s="867" t="s">
        <v>242</v>
      </c>
      <c r="AI2023" s="867" t="s">
        <v>243</v>
      </c>
      <c r="AJ2023" s="867" t="s">
        <v>244</v>
      </c>
      <c r="AK2023" s="867" t="s">
        <v>245</v>
      </c>
      <c r="AM2023" s="868" t="s">
        <v>254</v>
      </c>
      <c r="AN2023" s="869" t="s">
        <v>255</v>
      </c>
      <c r="AO2023" s="505" t="s">
        <v>251</v>
      </c>
    </row>
    <row r="2024" spans="1:41" s="504" customFormat="1" ht="12" customHeight="1">
      <c r="A2024" s="870">
        <v>20</v>
      </c>
      <c r="B2024" s="871" t="s">
        <v>335</v>
      </c>
      <c r="C2024" s="872"/>
      <c r="D2024" s="873" t="s">
        <v>808</v>
      </c>
      <c r="E2024" s="874">
        <f ca="1">IF(AND($A2024=0,$A$1="DIF"),0, ROUND(ROUND(($R2029*$S$2+($T2029*$T$2))/A2024,2)*$C$2,2))</f>
        <v>11.35</v>
      </c>
      <c r="F2024" s="875">
        <f ca="1">ROUND($A2024*$E2024,2)</f>
        <v>227</v>
      </c>
      <c r="G2024" s="876" t="s">
        <v>139</v>
      </c>
      <c r="H2024" s="877"/>
      <c r="I2024" s="878"/>
      <c r="J2024" s="877"/>
      <c r="K2024" s="877" t="s">
        <v>3</v>
      </c>
      <c r="L2024" s="879" t="s">
        <v>140</v>
      </c>
      <c r="M2024" s="879"/>
      <c r="N2024" s="879"/>
      <c r="O2024" s="879"/>
      <c r="P2024" s="879"/>
      <c r="Q2024" s="50"/>
      <c r="T2024" s="880" t="str">
        <f ca="1">IF(AND($R2029=0,$T2029=0),"0.00","mu :" &amp; ROUND($F2024/$C$2/($R2029+$T2029*$D$9),2))</f>
        <v>mu :1.22</v>
      </c>
      <c r="W2024" s="507"/>
      <c r="AG2024" s="465">
        <f ca="1">IF($E2024=0,0,ROUND($R2029*$S$2*$C$2/$A2024,2))</f>
        <v>0.1</v>
      </c>
      <c r="AH2024" s="465">
        <f ca="1">$AG2024*$A2024</f>
        <v>2</v>
      </c>
      <c r="AI2024" s="508">
        <f ca="1">$E2024-$AG2024</f>
        <v>11.25</v>
      </c>
      <c r="AJ2024" s="508">
        <f ca="1">$A2024*$AI2024</f>
        <v>225</v>
      </c>
      <c r="AK2024" s="509">
        <f ca="1">ROUND(($AG2024+$AI2024)*$A2024,2)</f>
        <v>227</v>
      </c>
      <c r="AM2024" s="510">
        <f ca="1">ROUND(R2029,2)</f>
        <v>1.6</v>
      </c>
      <c r="AN2024" s="511">
        <f ca="1">ROUND(T2029,2)</f>
        <v>6.4</v>
      </c>
      <c r="AO2024" s="512">
        <f ca="1">ROUND(AM2024+AN2024,2)*A2024</f>
        <v>160</v>
      </c>
    </row>
    <row r="2025" spans="1:41" s="504" customFormat="1" ht="13.2">
      <c r="A2025" s="872"/>
      <c r="B2025"/>
      <c r="C2025" s="872"/>
      <c r="D2025" s="873" t="s">
        <v>415</v>
      </c>
      <c r="F2025" s="877"/>
      <c r="G2025" s="3"/>
      <c r="H2025" s="877"/>
      <c r="I2025" s="878"/>
      <c r="J2025" s="877"/>
      <c r="K2025" s="877" t="s">
        <v>141</v>
      </c>
      <c r="L2025" s="877"/>
      <c r="M2025" s="877"/>
      <c r="N2025" s="877"/>
      <c r="O2025" s="877"/>
      <c r="P2025" s="877"/>
      <c r="Q2025" s="50"/>
      <c r="R2025" s="513"/>
      <c r="S2025" s="881"/>
      <c r="T2025" s="877"/>
    </row>
    <row r="2026" spans="1:41" s="997" customFormat="1" ht="13.2">
      <c r="A2026"/>
      <c r="B2026" s="1065"/>
      <c r="C2026" s="1065" t="s">
        <v>1006</v>
      </c>
      <c r="D2026" s="1065" t="str">
        <f ca="1">CELL("Address",Elec_Rates!D$391)</f>
        <v>[EL25_0662B_Brittania_Hotel_Elec_Revised_Estim_B.xlsx]Elec_Rates!$D$391</v>
      </c>
      <c r="E2026" s="1066"/>
      <c r="F2026" s="1066"/>
      <c r="G2026" s="1067" t="s">
        <v>1007</v>
      </c>
      <c r="H2026" s="1067"/>
      <c r="I2026" s="1067"/>
      <c r="J2026" s="1067"/>
      <c r="K2026" s="1068"/>
      <c r="L2026" s="1066"/>
      <c r="M2026" s="1066"/>
      <c r="N2026" s="1066"/>
      <c r="O2026" s="1069"/>
      <c r="P2026" s="1066"/>
      <c r="Q2026" s="1070"/>
      <c r="R2026" s="1071"/>
      <c r="S2026" s="1070"/>
      <c r="T2026" s="1072"/>
      <c r="U2026" s="1073"/>
    </row>
    <row r="2027" spans="1:41" s="997" customFormat="1" ht="11.4">
      <c r="A2027" s="1074">
        <v>20</v>
      </c>
      <c r="B2027" s="1075">
        <v>1</v>
      </c>
      <c r="C2027" s="1075">
        <f>$A2027*$B2027</f>
        <v>20</v>
      </c>
      <c r="D2027" s="1076" t="str">
        <f>Elec_Rates!$D$391</f>
        <v>045# Install and connect Only - Type 'LT-04' - Wall Light</v>
      </c>
      <c r="E2027" s="1076"/>
      <c r="F2027" s="1076"/>
      <c r="G2027" s="1077" t="s">
        <v>1008</v>
      </c>
      <c r="H2027" s="1077"/>
      <c r="I2027" s="1077"/>
      <c r="J2027" s="1077"/>
      <c r="K2027" s="1078"/>
      <c r="L2027" s="1073"/>
      <c r="M2027" s="1073"/>
      <c r="N2027" s="1073"/>
      <c r="O2027" s="1079"/>
      <c r="P2027" s="1076"/>
      <c r="Q2027" s="1080">
        <f ca="1">$B2027*Elec_Rates!$R$391</f>
        <v>0.08</v>
      </c>
      <c r="R2027" s="1071">
        <f ca="1">$A2027*Q2027</f>
        <v>1.6</v>
      </c>
      <c r="S2027" s="1080">
        <f ca="1">$B2027*Elec_Rates!$T$391</f>
        <v>0.32</v>
      </c>
      <c r="T2027" s="1072">
        <f ca="1">$A2027*S2027</f>
        <v>6.4</v>
      </c>
      <c r="U2027" s="1081"/>
    </row>
    <row r="2028" spans="1:41" s="504" customFormat="1" ht="12">
      <c r="A2028" s="882"/>
      <c r="B2028" s="882"/>
      <c r="C2028" s="882"/>
      <c r="D2028" s="882"/>
      <c r="E2028" s="882"/>
      <c r="F2028" s="877"/>
      <c r="G2028" s="882"/>
      <c r="H2028" s="882"/>
      <c r="I2028" s="503"/>
      <c r="J2028" s="882"/>
      <c r="K2028" s="882"/>
      <c r="L2028" s="882"/>
      <c r="M2028" s="882"/>
      <c r="N2028" s="882"/>
      <c r="O2028" s="882"/>
      <c r="P2028" s="882"/>
      <c r="Q2028" s="503"/>
      <c r="R2028" s="883">
        <f>$A2028*Q2028</f>
        <v>0</v>
      </c>
      <c r="S2028" s="503"/>
      <c r="T2028" s="884">
        <f>$A2028*S2028*$T$1</f>
        <v>0</v>
      </c>
    </row>
    <row r="2029" spans="1:41" s="504" customFormat="1" ht="12.6" thickBot="1">
      <c r="A2029" s="885" t="s">
        <v>142</v>
      </c>
      <c r="B2029" s="886">
        <f>(R2028+T2028)</f>
        <v>0</v>
      </c>
      <c r="C2029" s="887"/>
      <c r="D2029" s="887"/>
      <c r="E2029" s="887"/>
      <c r="F2029" s="888"/>
      <c r="G2029" s="887" t="s">
        <v>143</v>
      </c>
      <c r="H2029" s="887"/>
      <c r="I2029" s="889"/>
      <c r="J2029" s="887"/>
      <c r="K2029" s="887" t="s">
        <v>3</v>
      </c>
      <c r="L2029" s="890" t="s">
        <v>140</v>
      </c>
      <c r="M2029" s="890"/>
      <c r="N2029" s="890"/>
      <c r="O2029" s="890"/>
      <c r="P2029" s="890"/>
      <c r="Q2029" s="891"/>
      <c r="R2029" s="892">
        <f ca="1">SUM(R2025:R2028)</f>
        <v>1.6</v>
      </c>
      <c r="S2029" s="887"/>
      <c r="T2029" s="892">
        <f ca="1">SUM(T2025:T2028)</f>
        <v>6.4</v>
      </c>
      <c r="U2029" s="514"/>
      <c r="V2029" s="514"/>
      <c r="W2029" s="514"/>
      <c r="X2029" s="514"/>
      <c r="Y2029" s="514"/>
      <c r="Z2029" s="514"/>
      <c r="AA2029" s="514"/>
      <c r="AB2029" s="514"/>
      <c r="AC2029" s="514"/>
      <c r="AD2029" s="514"/>
      <c r="AE2029" s="514"/>
      <c r="AF2029" s="514"/>
      <c r="AG2029" s="514"/>
      <c r="AH2029" s="514"/>
      <c r="AI2029" s="514"/>
      <c r="AJ2029" s="514"/>
      <c r="AK2029" s="514"/>
      <c r="AL2029" s="514"/>
      <c r="AM2029" s="514"/>
      <c r="AN2029" s="514"/>
      <c r="AO2029" s="514"/>
    </row>
    <row r="2030" spans="1:41" s="504" customFormat="1" ht="12" thickTop="1">
      <c r="A2030" s="50"/>
      <c r="B2030" s="40"/>
      <c r="C2030" s="50"/>
      <c r="E2030" s="41" t="s">
        <v>136</v>
      </c>
      <c r="F2030" s="41" t="s">
        <v>137</v>
      </c>
      <c r="G2030" s="50"/>
      <c r="H2030" s="50"/>
      <c r="I2030" s="50"/>
      <c r="J2030" s="50"/>
      <c r="K2030" s="50" t="s">
        <v>138</v>
      </c>
      <c r="L2030" s="50"/>
      <c r="M2030" s="50"/>
      <c r="N2030" s="50"/>
      <c r="O2030" s="51"/>
      <c r="P2030" s="50"/>
      <c r="Q2030" s="50"/>
      <c r="R2030" s="50"/>
      <c r="S2030" s="50"/>
      <c r="T2030" s="40"/>
      <c r="AG2030" s="867" t="s">
        <v>241</v>
      </c>
      <c r="AH2030" s="867" t="s">
        <v>242</v>
      </c>
      <c r="AI2030" s="867" t="s">
        <v>243</v>
      </c>
      <c r="AJ2030" s="867" t="s">
        <v>244</v>
      </c>
      <c r="AK2030" s="867" t="s">
        <v>245</v>
      </c>
      <c r="AM2030" s="868" t="s">
        <v>254</v>
      </c>
      <c r="AN2030" s="869" t="s">
        <v>255</v>
      </c>
      <c r="AO2030" s="505" t="s">
        <v>251</v>
      </c>
    </row>
    <row r="2031" spans="1:41" s="504" customFormat="1" ht="12" customHeight="1">
      <c r="A2031" s="870">
        <v>24</v>
      </c>
      <c r="B2031" s="871" t="s">
        <v>335</v>
      </c>
      <c r="C2031" s="872"/>
      <c r="D2031" s="873" t="s">
        <v>810</v>
      </c>
      <c r="E2031" s="874">
        <f ca="1">IF(AND($A2031=0,$A$1="DIF"),0, ROUND(ROUND(($R2036*$S$2+($T2036*$T$2))/A2031,2)*$C$2,2))</f>
        <v>11.35</v>
      </c>
      <c r="F2031" s="875">
        <f ca="1">ROUND($A2031*$E2031,2)</f>
        <v>272.39999999999998</v>
      </c>
      <c r="G2031" s="876" t="s">
        <v>139</v>
      </c>
      <c r="H2031" s="877"/>
      <c r="I2031" s="878"/>
      <c r="J2031" s="877"/>
      <c r="K2031" s="877" t="s">
        <v>3</v>
      </c>
      <c r="L2031" s="879" t="s">
        <v>140</v>
      </c>
      <c r="M2031" s="879"/>
      <c r="N2031" s="879"/>
      <c r="O2031" s="879"/>
      <c r="P2031" s="879"/>
      <c r="Q2031" s="50"/>
      <c r="T2031" s="880" t="str">
        <f ca="1">IF(AND($R2036=0,$T2036=0),"0.00","mu :" &amp; ROUND($F2031/$C$2/($R2036+$T2036*$D$9),2))</f>
        <v>mu :1.22</v>
      </c>
      <c r="W2031" s="507"/>
      <c r="AG2031" s="465">
        <f ca="1">IF($E2031=0,0,ROUND($R2036*$S$2*$C$2/$A2031,2))</f>
        <v>0.1</v>
      </c>
      <c r="AH2031" s="465">
        <f ca="1">$AG2031*$A2031</f>
        <v>2.4000000000000004</v>
      </c>
      <c r="AI2031" s="508">
        <f ca="1">$E2031-$AG2031</f>
        <v>11.25</v>
      </c>
      <c r="AJ2031" s="508">
        <f ca="1">$A2031*$AI2031</f>
        <v>270</v>
      </c>
      <c r="AK2031" s="509">
        <f ca="1">ROUND(($AG2031+$AI2031)*$A2031,2)</f>
        <v>272.39999999999998</v>
      </c>
      <c r="AM2031" s="510">
        <f ca="1">ROUND(R2036,2)</f>
        <v>1.92</v>
      </c>
      <c r="AN2031" s="511">
        <f ca="1">ROUND(T2036,2)</f>
        <v>7.68</v>
      </c>
      <c r="AO2031" s="512">
        <f ca="1">ROUND(AM2031+AN2031,2)*A2031</f>
        <v>230.39999999999998</v>
      </c>
    </row>
    <row r="2032" spans="1:41" s="504" customFormat="1" ht="13.2">
      <c r="A2032" s="872"/>
      <c r="B2032"/>
      <c r="C2032" s="872"/>
      <c r="D2032" s="873" t="s">
        <v>416</v>
      </c>
      <c r="F2032" s="877"/>
      <c r="G2032" s="3"/>
      <c r="H2032" s="877"/>
      <c r="I2032" s="878"/>
      <c r="J2032" s="877"/>
      <c r="K2032" s="877" t="s">
        <v>141</v>
      </c>
      <c r="L2032" s="877"/>
      <c r="M2032" s="877"/>
      <c r="N2032" s="877"/>
      <c r="O2032" s="877"/>
      <c r="P2032" s="877"/>
      <c r="Q2032" s="50"/>
      <c r="R2032" s="513"/>
      <c r="S2032" s="881"/>
      <c r="T2032" s="877"/>
    </row>
    <row r="2033" spans="1:41" s="997" customFormat="1" ht="13.2">
      <c r="A2033"/>
      <c r="B2033" s="1065"/>
      <c r="C2033" s="1065" t="s">
        <v>1006</v>
      </c>
      <c r="D2033" s="1065" t="str">
        <f ca="1">CELL("Address",Elec_Rates!D$399)</f>
        <v>[EL25_0662B_Brittania_Hotel_Elec_Revised_Estim_B.xlsx]Elec_Rates!$D$399</v>
      </c>
      <c r="E2033" s="1066"/>
      <c r="F2033" s="1066"/>
      <c r="G2033" s="1067" t="s">
        <v>1007</v>
      </c>
      <c r="H2033" s="1067"/>
      <c r="I2033" s="1067"/>
      <c r="J2033" s="1067"/>
      <c r="K2033" s="1068"/>
      <c r="L2033" s="1066"/>
      <c r="M2033" s="1066"/>
      <c r="N2033" s="1066"/>
      <c r="O2033" s="1069"/>
      <c r="P2033" s="1066"/>
      <c r="Q2033" s="1070"/>
      <c r="R2033" s="1071"/>
      <c r="S2033" s="1070"/>
      <c r="T2033" s="1072"/>
      <c r="U2033" s="1073"/>
    </row>
    <row r="2034" spans="1:41" s="997" customFormat="1" ht="11.4">
      <c r="A2034" s="1074">
        <v>24</v>
      </c>
      <c r="B2034" s="1075">
        <v>1</v>
      </c>
      <c r="C2034" s="1075">
        <f>$A2034*$B2034</f>
        <v>24</v>
      </c>
      <c r="D2034" s="1076" t="str">
        <f>Elec_Rates!$D$399</f>
        <v>046# Install and connect Only - Type 'LT-05' - Wall Light</v>
      </c>
      <c r="E2034" s="1076"/>
      <c r="F2034" s="1076"/>
      <c r="G2034" s="1077" t="s">
        <v>1008</v>
      </c>
      <c r="H2034" s="1077"/>
      <c r="I2034" s="1077"/>
      <c r="J2034" s="1077"/>
      <c r="K2034" s="1078"/>
      <c r="L2034" s="1073"/>
      <c r="M2034" s="1073"/>
      <c r="N2034" s="1073"/>
      <c r="O2034" s="1079"/>
      <c r="P2034" s="1076"/>
      <c r="Q2034" s="1080">
        <f ca="1">$B2034*Elec_Rates!$R$399</f>
        <v>0.08</v>
      </c>
      <c r="R2034" s="1071">
        <f ca="1">$A2034*Q2034</f>
        <v>1.92</v>
      </c>
      <c r="S2034" s="1080">
        <f ca="1">$B2034*Elec_Rates!$T$399</f>
        <v>0.32</v>
      </c>
      <c r="T2034" s="1072">
        <f ca="1">$A2034*S2034</f>
        <v>7.68</v>
      </c>
      <c r="U2034" s="1081"/>
    </row>
    <row r="2035" spans="1:41" s="504" customFormat="1" ht="12">
      <c r="A2035" s="882"/>
      <c r="B2035" s="882"/>
      <c r="C2035" s="882"/>
      <c r="D2035" s="882"/>
      <c r="E2035" s="882"/>
      <c r="F2035" s="877"/>
      <c r="G2035" s="882"/>
      <c r="H2035" s="882"/>
      <c r="I2035" s="503"/>
      <c r="J2035" s="882"/>
      <c r="K2035" s="882"/>
      <c r="L2035" s="882"/>
      <c r="M2035" s="882"/>
      <c r="N2035" s="882"/>
      <c r="O2035" s="882"/>
      <c r="P2035" s="882"/>
      <c r="Q2035" s="503"/>
      <c r="R2035" s="883">
        <f>$A2035*Q2035</f>
        <v>0</v>
      </c>
      <c r="S2035" s="503"/>
      <c r="T2035" s="884">
        <f>$A2035*S2035*$T$1</f>
        <v>0</v>
      </c>
    </row>
    <row r="2036" spans="1:41" s="504" customFormat="1" ht="12.6" thickBot="1">
      <c r="A2036" s="885" t="s">
        <v>142</v>
      </c>
      <c r="B2036" s="886">
        <f>(R2035+T2035)</f>
        <v>0</v>
      </c>
      <c r="C2036" s="887"/>
      <c r="D2036" s="887"/>
      <c r="E2036" s="887"/>
      <c r="F2036" s="888"/>
      <c r="G2036" s="887" t="s">
        <v>143</v>
      </c>
      <c r="H2036" s="887"/>
      <c r="I2036" s="889"/>
      <c r="J2036" s="887"/>
      <c r="K2036" s="887" t="s">
        <v>3</v>
      </c>
      <c r="L2036" s="890" t="s">
        <v>140</v>
      </c>
      <c r="M2036" s="890"/>
      <c r="N2036" s="890"/>
      <c r="O2036" s="890"/>
      <c r="P2036" s="890"/>
      <c r="Q2036" s="891"/>
      <c r="R2036" s="892">
        <f ca="1">SUM(R2032:R2035)</f>
        <v>1.92</v>
      </c>
      <c r="S2036" s="887"/>
      <c r="T2036" s="892">
        <f ca="1">SUM(T2032:T2035)</f>
        <v>7.68</v>
      </c>
      <c r="U2036" s="514"/>
      <c r="V2036" s="514"/>
      <c r="W2036" s="514"/>
      <c r="X2036" s="514"/>
      <c r="Y2036" s="514"/>
      <c r="Z2036" s="514"/>
      <c r="AA2036" s="514"/>
      <c r="AB2036" s="514"/>
      <c r="AC2036" s="514"/>
      <c r="AD2036" s="514"/>
      <c r="AE2036" s="514"/>
      <c r="AF2036" s="514"/>
      <c r="AG2036" s="514"/>
      <c r="AH2036" s="514"/>
      <c r="AI2036" s="514"/>
      <c r="AJ2036" s="514"/>
      <c r="AK2036" s="514"/>
      <c r="AL2036" s="514"/>
      <c r="AM2036" s="514"/>
      <c r="AN2036" s="514"/>
      <c r="AO2036" s="514"/>
    </row>
    <row r="2037" spans="1:41" s="504" customFormat="1" ht="12" thickTop="1">
      <c r="A2037" s="50"/>
      <c r="B2037" s="40"/>
      <c r="C2037" s="50"/>
      <c r="E2037" s="41" t="s">
        <v>136</v>
      </c>
      <c r="F2037" s="41" t="s">
        <v>137</v>
      </c>
      <c r="G2037" s="50"/>
      <c r="H2037" s="50"/>
      <c r="I2037" s="50"/>
      <c r="J2037" s="50"/>
      <c r="K2037" s="50" t="s">
        <v>138</v>
      </c>
      <c r="L2037" s="50"/>
      <c r="M2037" s="50"/>
      <c r="N2037" s="50"/>
      <c r="O2037" s="51"/>
      <c r="P2037" s="50"/>
      <c r="Q2037" s="50"/>
      <c r="R2037" s="50"/>
      <c r="S2037" s="50"/>
      <c r="T2037" s="40"/>
      <c r="AG2037" s="867" t="s">
        <v>241</v>
      </c>
      <c r="AH2037" s="867" t="s">
        <v>242</v>
      </c>
      <c r="AI2037" s="867" t="s">
        <v>243</v>
      </c>
      <c r="AJ2037" s="867" t="s">
        <v>244</v>
      </c>
      <c r="AK2037" s="867" t="s">
        <v>245</v>
      </c>
      <c r="AM2037" s="868" t="s">
        <v>254</v>
      </c>
      <c r="AN2037" s="869" t="s">
        <v>255</v>
      </c>
      <c r="AO2037" s="505" t="s">
        <v>251</v>
      </c>
    </row>
    <row r="2038" spans="1:41" s="504" customFormat="1" ht="12" customHeight="1">
      <c r="A2038" s="870">
        <v>15</v>
      </c>
      <c r="B2038" s="871" t="s">
        <v>335</v>
      </c>
      <c r="C2038" s="872"/>
      <c r="D2038" s="873" t="s">
        <v>812</v>
      </c>
      <c r="E2038" s="874">
        <f ca="1">IF(AND($A2038=0,$A$1="DIF"),0, ROUND(ROUND(($R2043*$S$2+($T2043*$T$2))/A2038,2)*$C$2,2))</f>
        <v>11.35</v>
      </c>
      <c r="F2038" s="875">
        <f ca="1">ROUND($A2038*$E2038,2)</f>
        <v>170.25</v>
      </c>
      <c r="G2038" s="876" t="s">
        <v>139</v>
      </c>
      <c r="H2038" s="877"/>
      <c r="I2038" s="878"/>
      <c r="J2038" s="877"/>
      <c r="K2038" s="877" t="s">
        <v>3</v>
      </c>
      <c r="L2038" s="879" t="s">
        <v>140</v>
      </c>
      <c r="M2038" s="879"/>
      <c r="N2038" s="879"/>
      <c r="O2038" s="879"/>
      <c r="P2038" s="879"/>
      <c r="Q2038" s="50"/>
      <c r="T2038" s="880" t="str">
        <f ca="1">IF(AND($R2043=0,$T2043=0),"0.00","mu :" &amp; ROUND($F2038/$C$2/($R2043+$T2043*$D$9),2))</f>
        <v>mu :1.22</v>
      </c>
      <c r="W2038" s="507"/>
      <c r="AG2038" s="465">
        <f ca="1">IF($E2038=0,0,ROUND($R2043*$S$2*$C$2/$A2038,2))</f>
        <v>0.1</v>
      </c>
      <c r="AH2038" s="465">
        <f ca="1">$AG2038*$A2038</f>
        <v>1.5</v>
      </c>
      <c r="AI2038" s="508">
        <f ca="1">$E2038-$AG2038</f>
        <v>11.25</v>
      </c>
      <c r="AJ2038" s="508">
        <f ca="1">$A2038*$AI2038</f>
        <v>168.75</v>
      </c>
      <c r="AK2038" s="509">
        <f ca="1">ROUND(($AG2038+$AI2038)*$A2038,2)</f>
        <v>170.25</v>
      </c>
      <c r="AM2038" s="510">
        <f ca="1">ROUND(R2043,2)</f>
        <v>1.2</v>
      </c>
      <c r="AN2038" s="511">
        <f ca="1">ROUND(T2043,2)</f>
        <v>4.8</v>
      </c>
      <c r="AO2038" s="512">
        <f ca="1">ROUND(AM2038+AN2038,2)*A2038</f>
        <v>90</v>
      </c>
    </row>
    <row r="2039" spans="1:41" s="504" customFormat="1" ht="13.2">
      <c r="A2039" s="872"/>
      <c r="B2039"/>
      <c r="C2039" s="872"/>
      <c r="D2039" s="873" t="s">
        <v>417</v>
      </c>
      <c r="F2039" s="877"/>
      <c r="G2039" s="3"/>
      <c r="H2039" s="877"/>
      <c r="I2039" s="878"/>
      <c r="J2039" s="877"/>
      <c r="K2039" s="877" t="s">
        <v>141</v>
      </c>
      <c r="L2039" s="877"/>
      <c r="M2039" s="877"/>
      <c r="N2039" s="877"/>
      <c r="O2039" s="877"/>
      <c r="P2039" s="877"/>
      <c r="Q2039" s="50"/>
      <c r="R2039" s="513"/>
      <c r="S2039" s="881"/>
      <c r="T2039" s="877"/>
    </row>
    <row r="2040" spans="1:41" s="997" customFormat="1" ht="13.2">
      <c r="A2040"/>
      <c r="B2040" s="1065"/>
      <c r="C2040" s="1065" t="s">
        <v>1006</v>
      </c>
      <c r="D2040" s="1065" t="str">
        <f ca="1">CELL("Address",Elec_Rates!D$407)</f>
        <v>[EL25_0662B_Brittania_Hotel_Elec_Revised_Estim_B.xlsx]Elec_Rates!$D$407</v>
      </c>
      <c r="E2040" s="1066"/>
      <c r="F2040" s="1066"/>
      <c r="G2040" s="1067" t="s">
        <v>1007</v>
      </c>
      <c r="H2040" s="1067"/>
      <c r="I2040" s="1067"/>
      <c r="J2040" s="1067"/>
      <c r="K2040" s="1068"/>
      <c r="L2040" s="1066"/>
      <c r="M2040" s="1066"/>
      <c r="N2040" s="1066"/>
      <c r="O2040" s="1069"/>
      <c r="P2040" s="1066"/>
      <c r="Q2040" s="1070"/>
      <c r="R2040" s="1071"/>
      <c r="S2040" s="1070"/>
      <c r="T2040" s="1072"/>
      <c r="U2040" s="1073"/>
    </row>
    <row r="2041" spans="1:41" s="997" customFormat="1" ht="11.4">
      <c r="A2041" s="1074">
        <v>15</v>
      </c>
      <c r="B2041" s="1075">
        <v>1</v>
      </c>
      <c r="C2041" s="1075">
        <f>$A2041*$B2041</f>
        <v>15</v>
      </c>
      <c r="D2041" s="1076" t="str">
        <f>Elec_Rates!$D$407</f>
        <v>047# Install and connect Only - Type 'LT-06' - Wall Light</v>
      </c>
      <c r="E2041" s="1076"/>
      <c r="F2041" s="1076"/>
      <c r="G2041" s="1077" t="s">
        <v>1008</v>
      </c>
      <c r="H2041" s="1077"/>
      <c r="I2041" s="1077"/>
      <c r="J2041" s="1077"/>
      <c r="K2041" s="1078"/>
      <c r="L2041" s="1073"/>
      <c r="M2041" s="1073"/>
      <c r="N2041" s="1073"/>
      <c r="O2041" s="1079"/>
      <c r="P2041" s="1076"/>
      <c r="Q2041" s="1080">
        <f ca="1">$B2041*Elec_Rates!$R$407</f>
        <v>0.08</v>
      </c>
      <c r="R2041" s="1071">
        <f ca="1">$A2041*Q2041</f>
        <v>1.2</v>
      </c>
      <c r="S2041" s="1080">
        <f ca="1">$B2041*Elec_Rates!$T$407</f>
        <v>0.32</v>
      </c>
      <c r="T2041" s="1072">
        <f ca="1">$A2041*S2041</f>
        <v>4.8</v>
      </c>
      <c r="U2041" s="1081"/>
    </row>
    <row r="2042" spans="1:41" s="504" customFormat="1" ht="12">
      <c r="A2042" s="882"/>
      <c r="B2042" s="882"/>
      <c r="C2042" s="882"/>
      <c r="D2042" s="882"/>
      <c r="E2042" s="882"/>
      <c r="F2042" s="877"/>
      <c r="G2042" s="882"/>
      <c r="H2042" s="882"/>
      <c r="I2042" s="503"/>
      <c r="J2042" s="882"/>
      <c r="K2042" s="882"/>
      <c r="L2042" s="882"/>
      <c r="M2042" s="882"/>
      <c r="N2042" s="882"/>
      <c r="O2042" s="882"/>
      <c r="P2042" s="882"/>
      <c r="Q2042" s="503"/>
      <c r="R2042" s="883">
        <f>$A2042*Q2042</f>
        <v>0</v>
      </c>
      <c r="S2042" s="503"/>
      <c r="T2042" s="884">
        <f>$A2042*S2042*$T$1</f>
        <v>0</v>
      </c>
    </row>
    <row r="2043" spans="1:41" s="504" customFormat="1" ht="12.6" thickBot="1">
      <c r="A2043" s="885" t="s">
        <v>142</v>
      </c>
      <c r="B2043" s="886">
        <f>(R2042+T2042)</f>
        <v>0</v>
      </c>
      <c r="C2043" s="887"/>
      <c r="D2043" s="887"/>
      <c r="E2043" s="887"/>
      <c r="F2043" s="888"/>
      <c r="G2043" s="887" t="s">
        <v>143</v>
      </c>
      <c r="H2043" s="887"/>
      <c r="I2043" s="889"/>
      <c r="J2043" s="887"/>
      <c r="K2043" s="887" t="s">
        <v>3</v>
      </c>
      <c r="L2043" s="890" t="s">
        <v>140</v>
      </c>
      <c r="M2043" s="890"/>
      <c r="N2043" s="890"/>
      <c r="O2043" s="890"/>
      <c r="P2043" s="890"/>
      <c r="Q2043" s="891"/>
      <c r="R2043" s="892">
        <f ca="1">SUM(R2039:R2042)</f>
        <v>1.2</v>
      </c>
      <c r="S2043" s="887"/>
      <c r="T2043" s="892">
        <f ca="1">SUM(T2039:T2042)</f>
        <v>4.8</v>
      </c>
      <c r="U2043" s="514"/>
      <c r="V2043" s="514"/>
      <c r="W2043" s="514"/>
      <c r="X2043" s="514"/>
      <c r="Y2043" s="514"/>
      <c r="Z2043" s="514"/>
      <c r="AA2043" s="514"/>
      <c r="AB2043" s="514"/>
      <c r="AC2043" s="514"/>
      <c r="AD2043" s="514"/>
      <c r="AE2043" s="514"/>
      <c r="AF2043" s="514"/>
      <c r="AG2043" s="514"/>
      <c r="AH2043" s="514"/>
      <c r="AI2043" s="514"/>
      <c r="AJ2043" s="514"/>
      <c r="AK2043" s="514"/>
      <c r="AL2043" s="514"/>
      <c r="AM2043" s="514"/>
      <c r="AN2043" s="514"/>
      <c r="AO2043" s="514"/>
    </row>
    <row r="2044" spans="1:41" s="504" customFormat="1" ht="12" thickTop="1">
      <c r="A2044" s="50"/>
      <c r="B2044" s="40"/>
      <c r="C2044" s="50"/>
      <c r="E2044" s="41" t="s">
        <v>136</v>
      </c>
      <c r="F2044" s="41" t="s">
        <v>137</v>
      </c>
      <c r="G2044" s="50"/>
      <c r="H2044" s="50"/>
      <c r="I2044" s="50"/>
      <c r="J2044" s="50"/>
      <c r="K2044" s="50" t="s">
        <v>138</v>
      </c>
      <c r="L2044" s="50"/>
      <c r="M2044" s="50"/>
      <c r="N2044" s="50"/>
      <c r="O2044" s="51"/>
      <c r="P2044" s="50"/>
      <c r="Q2044" s="50"/>
      <c r="R2044" s="50"/>
      <c r="S2044" s="50"/>
      <c r="T2044" s="40"/>
      <c r="AG2044" s="867" t="s">
        <v>241</v>
      </c>
      <c r="AH2044" s="867" t="s">
        <v>242</v>
      </c>
      <c r="AI2044" s="867" t="s">
        <v>243</v>
      </c>
      <c r="AJ2044" s="867" t="s">
        <v>244</v>
      </c>
      <c r="AK2044" s="867" t="s">
        <v>245</v>
      </c>
      <c r="AM2044" s="868" t="s">
        <v>254</v>
      </c>
      <c r="AN2044" s="869" t="s">
        <v>255</v>
      </c>
      <c r="AO2044" s="505" t="s">
        <v>251</v>
      </c>
    </row>
    <row r="2045" spans="1:41" s="504" customFormat="1" ht="12" customHeight="1">
      <c r="A2045" s="870">
        <v>2</v>
      </c>
      <c r="B2045" s="871" t="s">
        <v>335</v>
      </c>
      <c r="C2045" s="872"/>
      <c r="D2045" s="873" t="s">
        <v>819</v>
      </c>
      <c r="E2045" s="874">
        <f ca="1">IF(AND($A2045=0,$A$1="DIF"),0, ROUND(ROUND(($R2050*$S$2+($T2050*$T$2))/A2045,2)*$C$2,2))</f>
        <v>9.15</v>
      </c>
      <c r="F2045" s="875">
        <f ca="1">ROUND($A2045*$E2045,2)</f>
        <v>18.3</v>
      </c>
      <c r="G2045" s="876" t="s">
        <v>139</v>
      </c>
      <c r="H2045" s="877"/>
      <c r="I2045" s="878"/>
      <c r="J2045" s="877"/>
      <c r="K2045" s="877" t="s">
        <v>3</v>
      </c>
      <c r="L2045" s="879" t="s">
        <v>140</v>
      </c>
      <c r="M2045" s="879"/>
      <c r="N2045" s="879"/>
      <c r="O2045" s="879"/>
      <c r="P2045" s="879"/>
      <c r="Q2045" s="50"/>
      <c r="T2045" s="880" t="str">
        <f ca="1">IF(AND($R2050=0,$T2050=0),"0.00","mu :" &amp; ROUND($F2045/$C$2/($R2050+$T2050*$D$9),2))</f>
        <v>mu :1.22</v>
      </c>
      <c r="W2045" s="507"/>
      <c r="AG2045" s="465">
        <f ca="1">IF($E2045=0,0,ROUND($R2050*$S$2*$C$2/$A2045,2))</f>
        <v>0</v>
      </c>
      <c r="AH2045" s="465">
        <f ca="1">$AG2045*$A2045</f>
        <v>0</v>
      </c>
      <c r="AI2045" s="508">
        <f ca="1">$E2045-$AG2045</f>
        <v>9.15</v>
      </c>
      <c r="AJ2045" s="508">
        <f ca="1">$A2045*$AI2045</f>
        <v>18.3</v>
      </c>
      <c r="AK2045" s="509">
        <f ca="1">ROUND(($AG2045+$AI2045)*$A2045,2)</f>
        <v>18.3</v>
      </c>
      <c r="AM2045" s="510">
        <f ca="1">ROUND(R2050,2)</f>
        <v>0</v>
      </c>
      <c r="AN2045" s="511">
        <f ca="1">ROUND(T2050,2)</f>
        <v>0.52</v>
      </c>
      <c r="AO2045" s="512">
        <f ca="1">ROUND(AM2045+AN2045,2)*A2045</f>
        <v>1.04</v>
      </c>
    </row>
    <row r="2046" spans="1:41" s="504" customFormat="1" ht="13.2">
      <c r="A2046" s="872"/>
      <c r="B2046"/>
      <c r="C2046" s="872"/>
      <c r="D2046" s="873" t="s">
        <v>418</v>
      </c>
      <c r="F2046" s="877"/>
      <c r="G2046" s="3"/>
      <c r="H2046" s="877"/>
      <c r="I2046" s="878"/>
      <c r="J2046" s="877"/>
      <c r="K2046" s="877" t="s">
        <v>141</v>
      </c>
      <c r="L2046" s="877"/>
      <c r="M2046" s="877"/>
      <c r="N2046" s="877"/>
      <c r="O2046" s="877"/>
      <c r="P2046" s="877"/>
      <c r="Q2046" s="50"/>
      <c r="R2046" s="513"/>
      <c r="S2046" s="881"/>
      <c r="T2046" s="877"/>
    </row>
    <row r="2047" spans="1:41" s="997" customFormat="1" ht="13.2">
      <c r="A2047"/>
      <c r="B2047" s="1065"/>
      <c r="C2047" s="1065" t="s">
        <v>1006</v>
      </c>
      <c r="D2047" s="1065" t="str">
        <f ca="1">CELL("Address",Elec_Rates!D$423)</f>
        <v>[EL25_0662B_Brittania_Hotel_Elec_Revised_Estim_B.xlsx]Elec_Rates!$D$423</v>
      </c>
      <c r="E2047" s="1066"/>
      <c r="F2047" s="1066"/>
      <c r="G2047" s="1067" t="s">
        <v>1007</v>
      </c>
      <c r="H2047" s="1067"/>
      <c r="I2047" s="1067"/>
      <c r="J2047" s="1067"/>
      <c r="K2047" s="1068"/>
      <c r="L2047" s="1066"/>
      <c r="M2047" s="1066"/>
      <c r="N2047" s="1066"/>
      <c r="O2047" s="1069"/>
      <c r="P2047" s="1066"/>
      <c r="Q2047" s="1070"/>
      <c r="R2047" s="1071"/>
      <c r="S2047" s="1070"/>
      <c r="T2047" s="1072"/>
      <c r="U2047" s="1073"/>
    </row>
    <row r="2048" spans="1:41" s="997" customFormat="1" ht="11.4">
      <c r="A2048" s="1074">
        <v>2</v>
      </c>
      <c r="B2048" s="1075">
        <v>1</v>
      </c>
      <c r="C2048" s="1075">
        <f>$A2048*$B2048</f>
        <v>2</v>
      </c>
      <c r="D2048" s="1076" t="str">
        <f>Elec_Rates!$D$423</f>
        <v>049# Install and connect Only - Type 'LT-08' - Mini Soffit Recessed Downlighter</v>
      </c>
      <c r="E2048" s="1076"/>
      <c r="F2048" s="1076"/>
      <c r="G2048" s="1077" t="s">
        <v>1008</v>
      </c>
      <c r="H2048" s="1077"/>
      <c r="I2048" s="1077"/>
      <c r="J2048" s="1077"/>
      <c r="K2048" s="1078"/>
      <c r="L2048" s="1073"/>
      <c r="M2048" s="1073"/>
      <c r="N2048" s="1073"/>
      <c r="O2048" s="1079"/>
      <c r="P2048" s="1076"/>
      <c r="Q2048" s="1080">
        <f ca="1">$B2048*Elec_Rates!$R$423</f>
        <v>0</v>
      </c>
      <c r="R2048" s="1071">
        <f ca="1">$A2048*Q2048</f>
        <v>0</v>
      </c>
      <c r="S2048" s="1080">
        <f ca="1">$B2048*Elec_Rates!$T$423</f>
        <v>0.26</v>
      </c>
      <c r="T2048" s="1072">
        <f ca="1">$A2048*S2048</f>
        <v>0.52</v>
      </c>
      <c r="U2048" s="1081"/>
    </row>
    <row r="2049" spans="1:41" s="504" customFormat="1" ht="12">
      <c r="A2049" s="882"/>
      <c r="B2049" s="882"/>
      <c r="C2049" s="882"/>
      <c r="D2049" s="882"/>
      <c r="E2049" s="882"/>
      <c r="F2049" s="877"/>
      <c r="G2049" s="882"/>
      <c r="H2049" s="882"/>
      <c r="I2049" s="503"/>
      <c r="J2049" s="882"/>
      <c r="K2049" s="882"/>
      <c r="L2049" s="882"/>
      <c r="M2049" s="882"/>
      <c r="N2049" s="882"/>
      <c r="O2049" s="882"/>
      <c r="P2049" s="882"/>
      <c r="Q2049" s="503"/>
      <c r="R2049" s="883">
        <f>$A2049*Q2049</f>
        <v>0</v>
      </c>
      <c r="S2049" s="503"/>
      <c r="T2049" s="884">
        <f>$A2049*S2049*$T$1</f>
        <v>0</v>
      </c>
    </row>
    <row r="2050" spans="1:41" s="504" customFormat="1" ht="12.6" thickBot="1">
      <c r="A2050" s="885" t="s">
        <v>142</v>
      </c>
      <c r="B2050" s="886">
        <f>(R2049+T2049)</f>
        <v>0</v>
      </c>
      <c r="C2050" s="887"/>
      <c r="D2050" s="887"/>
      <c r="E2050" s="887"/>
      <c r="F2050" s="888"/>
      <c r="G2050" s="887" t="s">
        <v>143</v>
      </c>
      <c r="H2050" s="887"/>
      <c r="I2050" s="889"/>
      <c r="J2050" s="887"/>
      <c r="K2050" s="887" t="s">
        <v>3</v>
      </c>
      <c r="L2050" s="890" t="s">
        <v>140</v>
      </c>
      <c r="M2050" s="890"/>
      <c r="N2050" s="890"/>
      <c r="O2050" s="890"/>
      <c r="P2050" s="890"/>
      <c r="Q2050" s="891"/>
      <c r="R2050" s="892">
        <f ca="1">SUM(R2046:R2049)</f>
        <v>0</v>
      </c>
      <c r="S2050" s="887"/>
      <c r="T2050" s="892">
        <f ca="1">SUM(T2046:T2049)</f>
        <v>0.52</v>
      </c>
      <c r="U2050" s="514"/>
      <c r="V2050" s="514"/>
      <c r="W2050" s="514"/>
      <c r="X2050" s="514"/>
      <c r="Y2050" s="514"/>
      <c r="Z2050" s="514"/>
      <c r="AA2050" s="514"/>
      <c r="AB2050" s="514"/>
      <c r="AC2050" s="514"/>
      <c r="AD2050" s="514"/>
      <c r="AE2050" s="514"/>
      <c r="AF2050" s="514"/>
      <c r="AG2050" s="514"/>
      <c r="AH2050" s="514"/>
      <c r="AI2050" s="514"/>
      <c r="AJ2050" s="514"/>
      <c r="AK2050" s="514"/>
      <c r="AL2050" s="514"/>
      <c r="AM2050" s="514"/>
      <c r="AN2050" s="514"/>
      <c r="AO2050" s="514"/>
    </row>
    <row r="2051" spans="1:41" s="504" customFormat="1" ht="12" thickTop="1">
      <c r="A2051" s="50"/>
      <c r="B2051" s="40"/>
      <c r="C2051" s="50"/>
      <c r="E2051" s="41" t="s">
        <v>136</v>
      </c>
      <c r="F2051" s="41" t="s">
        <v>137</v>
      </c>
      <c r="G2051" s="50"/>
      <c r="H2051" s="50"/>
      <c r="I2051" s="50"/>
      <c r="J2051" s="50"/>
      <c r="K2051" s="50" t="s">
        <v>138</v>
      </c>
      <c r="L2051" s="50"/>
      <c r="M2051" s="50"/>
      <c r="N2051" s="50"/>
      <c r="O2051" s="51"/>
      <c r="P2051" s="50"/>
      <c r="Q2051" s="50"/>
      <c r="R2051" s="50"/>
      <c r="S2051" s="50"/>
      <c r="T2051" s="40"/>
      <c r="AG2051" s="867" t="s">
        <v>241</v>
      </c>
      <c r="AH2051" s="867" t="s">
        <v>242</v>
      </c>
      <c r="AI2051" s="867" t="s">
        <v>243</v>
      </c>
      <c r="AJ2051" s="867" t="s">
        <v>244</v>
      </c>
      <c r="AK2051" s="867" t="s">
        <v>245</v>
      </c>
      <c r="AM2051" s="868" t="s">
        <v>254</v>
      </c>
      <c r="AN2051" s="869" t="s">
        <v>255</v>
      </c>
      <c r="AO2051" s="505" t="s">
        <v>251</v>
      </c>
    </row>
    <row r="2052" spans="1:41" s="504" customFormat="1" ht="12" customHeight="1">
      <c r="A2052" s="870">
        <v>3</v>
      </c>
      <c r="B2052" s="871" t="s">
        <v>335</v>
      </c>
      <c r="C2052" s="872"/>
      <c r="D2052" s="873" t="s">
        <v>820</v>
      </c>
      <c r="E2052" s="874">
        <f ca="1">IF(AND($A2052=0,$A$1="DIF"),0, ROUND(ROUND(($R2057*$S$2+($T2057*$T$2))/A2052,2)*$C$2,2))</f>
        <v>14.36</v>
      </c>
      <c r="F2052" s="875">
        <f ca="1">ROUND($A2052*$E2052,2)</f>
        <v>43.08</v>
      </c>
      <c r="G2052" s="876" t="s">
        <v>139</v>
      </c>
      <c r="H2052" s="877"/>
      <c r="I2052" s="878"/>
      <c r="J2052" s="877"/>
      <c r="K2052" s="877" t="s">
        <v>3</v>
      </c>
      <c r="L2052" s="879" t="s">
        <v>140</v>
      </c>
      <c r="M2052" s="879"/>
      <c r="N2052" s="879"/>
      <c r="O2052" s="879"/>
      <c r="P2052" s="879"/>
      <c r="Q2052" s="50"/>
      <c r="T2052" s="880" t="str">
        <f ca="1">IF(AND($R2057=0,$T2057=0),"0.00","mu :" &amp; ROUND($F2052/$C$2/($R2057+$T2057*$D$9),2))</f>
        <v>mu :1.22</v>
      </c>
      <c r="W2052" s="507"/>
      <c r="AG2052" s="465">
        <f ca="1">IF($E2052=0,0,ROUND($R2057*$S$2*$C$2/$A2052,2))</f>
        <v>1.34</v>
      </c>
      <c r="AH2052" s="465">
        <f ca="1">$AG2052*$A2052</f>
        <v>4.0200000000000005</v>
      </c>
      <c r="AI2052" s="508">
        <f ca="1">$E2052-$AG2052</f>
        <v>13.02</v>
      </c>
      <c r="AJ2052" s="508">
        <f ca="1">$A2052*$AI2052</f>
        <v>39.06</v>
      </c>
      <c r="AK2052" s="509">
        <f ca="1">ROUND(($AG2052+$AI2052)*$A2052,2)</f>
        <v>43.08</v>
      </c>
      <c r="AM2052" s="510">
        <f ca="1">ROUND(R2057,2)</f>
        <v>3.3</v>
      </c>
      <c r="AN2052" s="511">
        <f ca="1">ROUND(T2057,2)</f>
        <v>1.1100000000000001</v>
      </c>
      <c r="AO2052" s="512">
        <f ca="1">ROUND(AM2052+AN2052,2)*A2052</f>
        <v>13.23</v>
      </c>
    </row>
    <row r="2053" spans="1:41" s="504" customFormat="1" ht="13.2">
      <c r="A2053" s="872"/>
      <c r="B2053"/>
      <c r="C2053" s="872"/>
      <c r="D2053" s="873" t="s">
        <v>438</v>
      </c>
      <c r="F2053" s="877"/>
      <c r="G2053" s="3"/>
      <c r="H2053" s="877"/>
      <c r="I2053" s="878"/>
      <c r="J2053" s="877"/>
      <c r="K2053" s="877" t="s">
        <v>141</v>
      </c>
      <c r="L2053" s="877"/>
      <c r="M2053" s="877"/>
      <c r="N2053" s="877"/>
      <c r="O2053" s="877"/>
      <c r="P2053" s="877"/>
      <c r="Q2053" s="50"/>
      <c r="R2053" s="513"/>
      <c r="S2053" s="881"/>
      <c r="T2053" s="877"/>
    </row>
    <row r="2054" spans="1:41" s="997" customFormat="1" ht="13.2">
      <c r="A2054"/>
      <c r="B2054" s="1065"/>
      <c r="C2054" s="1065" t="s">
        <v>1006</v>
      </c>
      <c r="D2054" s="1065" t="str">
        <f ca="1">CELL("Address",Elec_Rates!D$429)</f>
        <v>[EL25_0662B_Brittania_Hotel_Elec_Revised_Estim_B.xlsx]Elec_Rates!$D$429</v>
      </c>
      <c r="E2054" s="1066"/>
      <c r="F2054" s="1066"/>
      <c r="G2054" s="1067" t="s">
        <v>1007</v>
      </c>
      <c r="H2054" s="1067"/>
      <c r="I2054" s="1067"/>
      <c r="J2054" s="1067"/>
      <c r="K2054" s="1068"/>
      <c r="L2054" s="1066"/>
      <c r="M2054" s="1066"/>
      <c r="N2054" s="1066"/>
      <c r="O2054" s="1069"/>
      <c r="P2054" s="1066"/>
      <c r="Q2054" s="1070"/>
      <c r="R2054" s="1071"/>
      <c r="S2054" s="1070"/>
      <c r="T2054" s="1072"/>
      <c r="U2054" s="1073"/>
    </row>
    <row r="2055" spans="1:41" s="997" customFormat="1" ht="11.4">
      <c r="A2055" s="1074">
        <v>3</v>
      </c>
      <c r="B2055" s="1075">
        <v>1</v>
      </c>
      <c r="C2055" s="1075">
        <f>$A2055*$B2055</f>
        <v>3</v>
      </c>
      <c r="D2055" s="1076" t="str">
        <f>Elec_Rates!$D$429</f>
        <v>050# Install and connect Only - Type 'LT-09' - 300mm x 300mm LED Panel Soffit Recessed</v>
      </c>
      <c r="E2055" s="1076"/>
      <c r="F2055" s="1076"/>
      <c r="G2055" s="1077" t="s">
        <v>1008</v>
      </c>
      <c r="H2055" s="1077"/>
      <c r="I2055" s="1077"/>
      <c r="J2055" s="1077"/>
      <c r="K2055" s="1078"/>
      <c r="L2055" s="1073"/>
      <c r="M2055" s="1073"/>
      <c r="N2055" s="1073"/>
      <c r="O2055" s="1079"/>
      <c r="P2055" s="1076"/>
      <c r="Q2055" s="1080">
        <f ca="1">$B2055*Elec_Rates!$R$429</f>
        <v>1.1000000000000001</v>
      </c>
      <c r="R2055" s="1071">
        <f ca="1">$A2055*Q2055</f>
        <v>3.3000000000000003</v>
      </c>
      <c r="S2055" s="1080">
        <f ca="1">$B2055*Elec_Rates!$T$429</f>
        <v>0.37</v>
      </c>
      <c r="T2055" s="1072">
        <f ca="1">$A2055*S2055</f>
        <v>1.1099999999999999</v>
      </c>
      <c r="U2055" s="1081"/>
    </row>
    <row r="2056" spans="1:41" s="504" customFormat="1" ht="12">
      <c r="A2056" s="882"/>
      <c r="B2056" s="882"/>
      <c r="C2056" s="882"/>
      <c r="D2056" s="882"/>
      <c r="E2056" s="882"/>
      <c r="F2056" s="877"/>
      <c r="G2056" s="882"/>
      <c r="H2056" s="882"/>
      <c r="I2056" s="503"/>
      <c r="J2056" s="882"/>
      <c r="K2056" s="882"/>
      <c r="L2056" s="882"/>
      <c r="M2056" s="882"/>
      <c r="N2056" s="882"/>
      <c r="O2056" s="882"/>
      <c r="P2056" s="882"/>
      <c r="Q2056" s="503"/>
      <c r="R2056" s="883">
        <f>$A2056*Q2056</f>
        <v>0</v>
      </c>
      <c r="S2056" s="503"/>
      <c r="T2056" s="884">
        <f>$A2056*S2056*$T$1</f>
        <v>0</v>
      </c>
    </row>
    <row r="2057" spans="1:41" s="504" customFormat="1" ht="12.6" thickBot="1">
      <c r="A2057" s="885" t="s">
        <v>142</v>
      </c>
      <c r="B2057" s="886">
        <f>(R2056+T2056)</f>
        <v>0</v>
      </c>
      <c r="C2057" s="887"/>
      <c r="D2057" s="887"/>
      <c r="E2057" s="887"/>
      <c r="F2057" s="888"/>
      <c r="G2057" s="887" t="s">
        <v>143</v>
      </c>
      <c r="H2057" s="887"/>
      <c r="I2057" s="889"/>
      <c r="J2057" s="887"/>
      <c r="K2057" s="887" t="s">
        <v>3</v>
      </c>
      <c r="L2057" s="890" t="s">
        <v>140</v>
      </c>
      <c r="M2057" s="890"/>
      <c r="N2057" s="890"/>
      <c r="O2057" s="890"/>
      <c r="P2057" s="890"/>
      <c r="Q2057" s="891"/>
      <c r="R2057" s="892">
        <f ca="1">SUM(R2053:R2056)</f>
        <v>3.3000000000000003</v>
      </c>
      <c r="S2057" s="887"/>
      <c r="T2057" s="892">
        <f ca="1">SUM(T2053:T2056)</f>
        <v>1.1099999999999999</v>
      </c>
      <c r="U2057" s="514"/>
      <c r="V2057" s="514"/>
      <c r="W2057" s="514"/>
      <c r="X2057" s="514"/>
      <c r="Y2057" s="514"/>
      <c r="Z2057" s="514"/>
      <c r="AA2057" s="514"/>
      <c r="AB2057" s="514"/>
      <c r="AC2057" s="514"/>
      <c r="AD2057" s="514"/>
      <c r="AE2057" s="514"/>
      <c r="AF2057" s="514"/>
      <c r="AG2057" s="514"/>
      <c r="AH2057" s="514"/>
      <c r="AI2057" s="514"/>
      <c r="AJ2057" s="514"/>
      <c r="AK2057" s="514"/>
      <c r="AL2057" s="514"/>
      <c r="AM2057" s="514"/>
      <c r="AN2057" s="514"/>
      <c r="AO2057" s="514"/>
    </row>
    <row r="2058" spans="1:41" s="504" customFormat="1" ht="12" thickTop="1">
      <c r="A2058" s="50"/>
      <c r="B2058" s="40"/>
      <c r="C2058" s="50"/>
      <c r="E2058" s="41" t="s">
        <v>136</v>
      </c>
      <c r="F2058" s="41" t="s">
        <v>137</v>
      </c>
      <c r="G2058" s="50"/>
      <c r="H2058" s="50"/>
      <c r="I2058" s="50"/>
      <c r="J2058" s="50"/>
      <c r="K2058" s="50" t="s">
        <v>138</v>
      </c>
      <c r="L2058" s="50"/>
      <c r="M2058" s="50"/>
      <c r="N2058" s="50"/>
      <c r="O2058" s="51"/>
      <c r="P2058" s="50"/>
      <c r="Q2058" s="50"/>
      <c r="R2058" s="50"/>
      <c r="S2058" s="50"/>
      <c r="T2058" s="40"/>
      <c r="AG2058" s="867" t="s">
        <v>241</v>
      </c>
      <c r="AH2058" s="867" t="s">
        <v>242</v>
      </c>
      <c r="AI2058" s="867" t="s">
        <v>243</v>
      </c>
      <c r="AJ2058" s="867" t="s">
        <v>244</v>
      </c>
      <c r="AK2058" s="867" t="s">
        <v>245</v>
      </c>
      <c r="AM2058" s="868" t="s">
        <v>254</v>
      </c>
      <c r="AN2058" s="869" t="s">
        <v>255</v>
      </c>
      <c r="AO2058" s="505" t="s">
        <v>251</v>
      </c>
    </row>
    <row r="2059" spans="1:41" s="504" customFormat="1" ht="12" customHeight="1">
      <c r="A2059" s="870">
        <v>10</v>
      </c>
      <c r="B2059" s="871" t="s">
        <v>335</v>
      </c>
      <c r="C2059" s="872"/>
      <c r="D2059" s="873" t="s">
        <v>821</v>
      </c>
      <c r="E2059" s="874">
        <f ca="1">IF(AND($A2059=0,$A$1="DIF"),0, ROUND(ROUND(($R2064*$S$2+($T2064*$T$2))/A2059,2)*$C$2,2))</f>
        <v>49.48</v>
      </c>
      <c r="F2059" s="875">
        <f ca="1">ROUND($A2059*$E2059,2)</f>
        <v>494.8</v>
      </c>
      <c r="G2059" s="876" t="s">
        <v>139</v>
      </c>
      <c r="H2059" s="877"/>
      <c r="I2059" s="878"/>
      <c r="J2059" s="877"/>
      <c r="K2059" s="877" t="s">
        <v>3</v>
      </c>
      <c r="L2059" s="879" t="s">
        <v>140</v>
      </c>
      <c r="M2059" s="879"/>
      <c r="N2059" s="879"/>
      <c r="O2059" s="879"/>
      <c r="P2059" s="879"/>
      <c r="Q2059" s="50"/>
      <c r="T2059" s="880" t="str">
        <f ca="1">IF(AND($R2064=0,$T2064=0),"0.00","mu :" &amp; ROUND($F2059/$C$2/($R2064+$T2064*$D$9),2))</f>
        <v>mu :1.22</v>
      </c>
      <c r="W2059" s="507"/>
      <c r="AG2059" s="465">
        <f ca="1">IF($E2059=0,0,ROUND($R2064*$S$2*$C$2/$A2059,2))</f>
        <v>21.69</v>
      </c>
      <c r="AH2059" s="465">
        <f ca="1">$AG2059*$A2059</f>
        <v>216.9</v>
      </c>
      <c r="AI2059" s="508">
        <f ca="1">$E2059-$AG2059</f>
        <v>27.789999999999996</v>
      </c>
      <c r="AJ2059" s="508">
        <f ca="1">$A2059*$AI2059</f>
        <v>277.89999999999998</v>
      </c>
      <c r="AK2059" s="509">
        <f ca="1">ROUND(($AG2059+$AI2059)*$A2059,2)</f>
        <v>494.8</v>
      </c>
      <c r="AM2059" s="510">
        <f ca="1">ROUND(R2064,2)</f>
        <v>177.8</v>
      </c>
      <c r="AN2059" s="511">
        <f ca="1">ROUND(T2064,2)</f>
        <v>7.9</v>
      </c>
      <c r="AO2059" s="512">
        <f ca="1">ROUND(AM2059+AN2059,2)*A2059</f>
        <v>1857</v>
      </c>
    </row>
    <row r="2060" spans="1:41" s="504" customFormat="1" ht="13.2">
      <c r="A2060" s="872"/>
      <c r="B2060"/>
      <c r="C2060" s="872"/>
      <c r="D2060" s="873" t="s">
        <v>419</v>
      </c>
      <c r="F2060" s="877"/>
      <c r="G2060" s="3"/>
      <c r="H2060" s="877"/>
      <c r="I2060" s="878"/>
      <c r="J2060" s="877"/>
      <c r="K2060" s="877" t="s">
        <v>141</v>
      </c>
      <c r="L2060" s="877"/>
      <c r="M2060" s="877"/>
      <c r="N2060" s="877"/>
      <c r="O2060" s="877"/>
      <c r="P2060" s="877"/>
      <c r="Q2060" s="50"/>
      <c r="R2060" s="513"/>
      <c r="S2060" s="881"/>
      <c r="T2060" s="877"/>
    </row>
    <row r="2061" spans="1:41" s="997" customFormat="1" ht="13.2">
      <c r="A2061"/>
      <c r="B2061" s="1065"/>
      <c r="C2061" s="1065" t="s">
        <v>1006</v>
      </c>
      <c r="D2061" s="1065" t="str">
        <f ca="1">CELL("Address",Elec_Rates!D$444)</f>
        <v>[EL25_0662B_Brittania_Hotel_Elec_Revised_Estim_B.xlsx]Elec_Rates!$D$444</v>
      </c>
      <c r="E2061" s="1066"/>
      <c r="F2061" s="1066"/>
      <c r="G2061" s="1067" t="s">
        <v>1007</v>
      </c>
      <c r="H2061" s="1067"/>
      <c r="I2061" s="1067"/>
      <c r="J2061" s="1067"/>
      <c r="K2061" s="1068"/>
      <c r="L2061" s="1066"/>
      <c r="M2061" s="1066"/>
      <c r="N2061" s="1066"/>
      <c r="O2061" s="1069"/>
      <c r="P2061" s="1066"/>
      <c r="Q2061" s="1070"/>
      <c r="R2061" s="1071"/>
      <c r="S2061" s="1070"/>
      <c r="T2061" s="1072"/>
      <c r="U2061" s="1073"/>
    </row>
    <row r="2062" spans="1:41" s="997" customFormat="1" ht="11.4">
      <c r="A2062" s="1074">
        <v>10</v>
      </c>
      <c r="B2062" s="1075">
        <v>1</v>
      </c>
      <c r="C2062" s="1075">
        <f>$A2062*$B2062</f>
        <v>10</v>
      </c>
      <c r="D2062" s="1076" t="str">
        <f>Elec_Rates!$D$444</f>
        <v>052# Install and connect Only - Type 'LT-12' - 6W Recessed Floor Spotlight, Dimmable, IP65</v>
      </c>
      <c r="E2062" s="1076"/>
      <c r="F2062" s="1076"/>
      <c r="G2062" s="1077" t="s">
        <v>1008</v>
      </c>
      <c r="H2062" s="1077"/>
      <c r="I2062" s="1077"/>
      <c r="J2062" s="1077"/>
      <c r="K2062" s="1078"/>
      <c r="L2062" s="1073"/>
      <c r="M2062" s="1073"/>
      <c r="N2062" s="1073"/>
      <c r="O2062" s="1079"/>
      <c r="P2062" s="1076"/>
      <c r="Q2062" s="1080">
        <f ca="1">$B2062*Elec_Rates!$R$444</f>
        <v>17.78</v>
      </c>
      <c r="R2062" s="1071">
        <f ca="1">$A2062*Q2062</f>
        <v>177.8</v>
      </c>
      <c r="S2062" s="1080">
        <f ca="1">$B2062*Elec_Rates!$T$444</f>
        <v>0.79</v>
      </c>
      <c r="T2062" s="1072">
        <f ca="1">$A2062*S2062</f>
        <v>7.9</v>
      </c>
      <c r="U2062" s="1081"/>
    </row>
    <row r="2063" spans="1:41" s="504" customFormat="1" ht="12">
      <c r="A2063" s="882"/>
      <c r="B2063" s="882"/>
      <c r="C2063" s="882"/>
      <c r="D2063" s="882"/>
      <c r="E2063" s="882"/>
      <c r="F2063" s="877"/>
      <c r="G2063" s="882"/>
      <c r="H2063" s="882"/>
      <c r="I2063" s="503"/>
      <c r="J2063" s="882"/>
      <c r="K2063" s="882"/>
      <c r="L2063" s="882"/>
      <c r="M2063" s="882"/>
      <c r="N2063" s="882"/>
      <c r="O2063" s="882"/>
      <c r="P2063" s="882"/>
      <c r="Q2063" s="503"/>
      <c r="R2063" s="883">
        <f>$A2063*Q2063</f>
        <v>0</v>
      </c>
      <c r="S2063" s="503"/>
      <c r="T2063" s="884">
        <f>$A2063*S2063*$T$1</f>
        <v>0</v>
      </c>
    </row>
    <row r="2064" spans="1:41" s="504" customFormat="1" ht="12.6" thickBot="1">
      <c r="A2064" s="885" t="s">
        <v>142</v>
      </c>
      <c r="B2064" s="886">
        <f>(R2063+T2063)</f>
        <v>0</v>
      </c>
      <c r="C2064" s="887"/>
      <c r="D2064" s="887"/>
      <c r="E2064" s="887"/>
      <c r="F2064" s="888"/>
      <c r="G2064" s="887" t="s">
        <v>143</v>
      </c>
      <c r="H2064" s="887"/>
      <c r="I2064" s="889"/>
      <c r="J2064" s="887"/>
      <c r="K2064" s="887" t="s">
        <v>3</v>
      </c>
      <c r="L2064" s="890" t="s">
        <v>140</v>
      </c>
      <c r="M2064" s="890"/>
      <c r="N2064" s="890"/>
      <c r="O2064" s="890"/>
      <c r="P2064" s="890"/>
      <c r="Q2064" s="891"/>
      <c r="R2064" s="892">
        <f ca="1">SUM(R2060:R2063)</f>
        <v>177.8</v>
      </c>
      <c r="S2064" s="887"/>
      <c r="T2064" s="892">
        <f ca="1">SUM(T2060:T2063)</f>
        <v>7.9</v>
      </c>
      <c r="U2064" s="514"/>
      <c r="V2064" s="514"/>
      <c r="W2064" s="514"/>
      <c r="X2064" s="514"/>
      <c r="Y2064" s="514"/>
      <c r="Z2064" s="514"/>
      <c r="AA2064" s="514"/>
      <c r="AB2064" s="514"/>
      <c r="AC2064" s="514"/>
      <c r="AD2064" s="514"/>
      <c r="AE2064" s="514"/>
      <c r="AF2064" s="514"/>
      <c r="AG2064" s="514"/>
      <c r="AH2064" s="514"/>
      <c r="AI2064" s="514"/>
      <c r="AJ2064" s="514"/>
      <c r="AK2064" s="514"/>
      <c r="AL2064" s="514"/>
      <c r="AM2064" s="514"/>
      <c r="AN2064" s="514"/>
      <c r="AO2064" s="514"/>
    </row>
    <row r="2065" spans="1:41" s="504" customFormat="1" ht="12" thickTop="1">
      <c r="A2065" s="50"/>
      <c r="B2065" s="40"/>
      <c r="C2065" s="50"/>
      <c r="E2065" s="41" t="s">
        <v>136</v>
      </c>
      <c r="F2065" s="41" t="s">
        <v>137</v>
      </c>
      <c r="G2065" s="50"/>
      <c r="H2065" s="50"/>
      <c r="I2065" s="50"/>
      <c r="J2065" s="50"/>
      <c r="K2065" s="50" t="s">
        <v>138</v>
      </c>
      <c r="L2065" s="50"/>
      <c r="M2065" s="50"/>
      <c r="N2065" s="50"/>
      <c r="O2065" s="51"/>
      <c r="P2065" s="50"/>
      <c r="Q2065" s="50"/>
      <c r="R2065" s="50"/>
      <c r="S2065" s="50"/>
      <c r="T2065" s="40"/>
      <c r="AG2065" s="867" t="s">
        <v>241</v>
      </c>
      <c r="AH2065" s="867" t="s">
        <v>242</v>
      </c>
      <c r="AI2065" s="867" t="s">
        <v>243</v>
      </c>
      <c r="AJ2065" s="867" t="s">
        <v>244</v>
      </c>
      <c r="AK2065" s="867" t="s">
        <v>245</v>
      </c>
      <c r="AM2065" s="868" t="s">
        <v>254</v>
      </c>
      <c r="AN2065" s="869" t="s">
        <v>255</v>
      </c>
      <c r="AO2065" s="505" t="s">
        <v>251</v>
      </c>
    </row>
    <row r="2066" spans="1:41" s="504" customFormat="1" ht="12" customHeight="1">
      <c r="A2066" s="870">
        <v>6</v>
      </c>
      <c r="B2066" s="871" t="s">
        <v>326</v>
      </c>
      <c r="C2066" s="872"/>
      <c r="D2066" s="873" t="s">
        <v>822</v>
      </c>
      <c r="E2066" s="874">
        <f ca="1">IF(AND($A2066=0,$A$1="DIF"),0, ROUND(ROUND(($R2071*$S$2+($T2071*$T$2))/A2066,2)*$C$2,2))</f>
        <v>5.63</v>
      </c>
      <c r="F2066" s="875">
        <f ca="1">ROUND($A2066*$E2066,2)</f>
        <v>33.78</v>
      </c>
      <c r="G2066" s="876" t="s">
        <v>139</v>
      </c>
      <c r="H2066" s="877"/>
      <c r="I2066" s="878"/>
      <c r="J2066" s="877"/>
      <c r="K2066" s="877" t="s">
        <v>3</v>
      </c>
      <c r="L2066" s="879" t="s">
        <v>140</v>
      </c>
      <c r="M2066" s="879"/>
      <c r="N2066" s="879"/>
      <c r="O2066" s="879"/>
      <c r="P2066" s="879"/>
      <c r="Q2066" s="50"/>
      <c r="T2066" s="880" t="str">
        <f ca="1">IF(AND($R2071=0,$T2071=0),"0.00","mu :" &amp; ROUND($F2066/$C$2/($R2071+$T2071*$D$9),2))</f>
        <v>mu :1.22</v>
      </c>
      <c r="W2066" s="507"/>
      <c r="AG2066" s="465">
        <f ca="1">IF($E2066=0,0,ROUND($R2071*$S$2*$C$2/$A2066,2))</f>
        <v>0</v>
      </c>
      <c r="AH2066" s="465">
        <f ca="1">$AG2066*$A2066</f>
        <v>0</v>
      </c>
      <c r="AI2066" s="508">
        <f ca="1">$E2066-$AG2066</f>
        <v>5.63</v>
      </c>
      <c r="AJ2066" s="508">
        <f ca="1">$A2066*$AI2066</f>
        <v>33.78</v>
      </c>
      <c r="AK2066" s="509">
        <f ca="1">ROUND(($AG2066+$AI2066)*$A2066,2)</f>
        <v>33.78</v>
      </c>
      <c r="AM2066" s="510">
        <f ca="1">ROUND(R2071,2)</f>
        <v>0</v>
      </c>
      <c r="AN2066" s="511">
        <f ca="1">ROUND(T2071,2)</f>
        <v>0.96</v>
      </c>
      <c r="AO2066" s="512">
        <f ca="1">ROUND(AM2066+AN2066,2)*A2066</f>
        <v>5.76</v>
      </c>
    </row>
    <row r="2067" spans="1:41" s="504" customFormat="1" ht="13.2">
      <c r="A2067" s="872"/>
      <c r="B2067"/>
      <c r="C2067" s="872"/>
      <c r="D2067" s="873" t="s">
        <v>420</v>
      </c>
      <c r="F2067" s="877"/>
      <c r="G2067" s="3"/>
      <c r="H2067" s="877"/>
      <c r="I2067" s="878"/>
      <c r="J2067" s="877"/>
      <c r="K2067" s="877" t="s">
        <v>141</v>
      </c>
      <c r="L2067" s="877"/>
      <c r="M2067" s="877"/>
      <c r="N2067" s="877"/>
      <c r="O2067" s="877"/>
      <c r="P2067" s="877"/>
      <c r="Q2067" s="50"/>
      <c r="R2067" s="513"/>
      <c r="S2067" s="881"/>
      <c r="T2067" s="877"/>
    </row>
    <row r="2068" spans="1:41" s="997" customFormat="1" ht="13.2">
      <c r="A2068"/>
      <c r="B2068" s="1065"/>
      <c r="C2068" s="1065" t="s">
        <v>1006</v>
      </c>
      <c r="D2068" s="1065" t="str">
        <f ca="1">CELL("Address",Elec_Rates!D$452)</f>
        <v>[EL25_0662B_Brittania_Hotel_Elec_Revised_Estim_B.xlsx]Elec_Rates!$D$452</v>
      </c>
      <c r="E2068" s="1066"/>
      <c r="F2068" s="1066"/>
      <c r="G2068" s="1067" t="s">
        <v>1007</v>
      </c>
      <c r="H2068" s="1067"/>
      <c r="I2068" s="1067"/>
      <c r="J2068" s="1067"/>
      <c r="K2068" s="1068"/>
      <c r="L2068" s="1066"/>
      <c r="M2068" s="1066"/>
      <c r="N2068" s="1066"/>
      <c r="O2068" s="1069"/>
      <c r="P2068" s="1066"/>
      <c r="Q2068" s="1070"/>
      <c r="R2068" s="1071"/>
      <c r="S2068" s="1070"/>
      <c r="T2068" s="1072"/>
      <c r="U2068" s="1073"/>
    </row>
    <row r="2069" spans="1:41" s="997" customFormat="1" ht="11.4">
      <c r="A2069" s="1074">
        <v>6</v>
      </c>
      <c r="B2069" s="1075">
        <v>1</v>
      </c>
      <c r="C2069" s="1075">
        <f>$A2069*$B2069</f>
        <v>6</v>
      </c>
      <c r="D2069" s="1076" t="str">
        <f>Elec_Rates!$D$452</f>
        <v>053# Install and connect Only - Type 'LT-13 - Dimmable Strip Light</v>
      </c>
      <c r="E2069" s="1076"/>
      <c r="F2069" s="1076"/>
      <c r="G2069" s="1077" t="s">
        <v>1008</v>
      </c>
      <c r="H2069" s="1077"/>
      <c r="I2069" s="1077"/>
      <c r="J2069" s="1077"/>
      <c r="K2069" s="1078"/>
      <c r="L2069" s="1073"/>
      <c r="M2069" s="1073"/>
      <c r="N2069" s="1073"/>
      <c r="O2069" s="1079"/>
      <c r="P2069" s="1076"/>
      <c r="Q2069" s="1080">
        <f ca="1">$B2069*Elec_Rates!$R$452</f>
        <v>0</v>
      </c>
      <c r="R2069" s="1071">
        <f ca="1">$A2069*Q2069</f>
        <v>0</v>
      </c>
      <c r="S2069" s="1080">
        <f ca="1">$B2069*Elec_Rates!$T$452</f>
        <v>0.16</v>
      </c>
      <c r="T2069" s="1072">
        <f ca="1">$A2069*S2069</f>
        <v>0.96</v>
      </c>
      <c r="U2069" s="1081"/>
    </row>
    <row r="2070" spans="1:41" s="504" customFormat="1" ht="12">
      <c r="A2070" s="882"/>
      <c r="B2070" s="882"/>
      <c r="C2070" s="882"/>
      <c r="D2070" s="882"/>
      <c r="E2070" s="882"/>
      <c r="F2070" s="877"/>
      <c r="G2070" s="882"/>
      <c r="H2070" s="882"/>
      <c r="I2070" s="503"/>
      <c r="J2070" s="882"/>
      <c r="K2070" s="882"/>
      <c r="L2070" s="882"/>
      <c r="M2070" s="882"/>
      <c r="N2070" s="882"/>
      <c r="O2070" s="882"/>
      <c r="P2070" s="882"/>
      <c r="Q2070" s="503"/>
      <c r="R2070" s="883">
        <f>$A2070*Q2070</f>
        <v>0</v>
      </c>
      <c r="S2070" s="503"/>
      <c r="T2070" s="884">
        <f>$A2070*S2070*$T$1</f>
        <v>0</v>
      </c>
    </row>
    <row r="2071" spans="1:41" s="504" customFormat="1" ht="12.6" thickBot="1">
      <c r="A2071" s="885" t="s">
        <v>142</v>
      </c>
      <c r="B2071" s="886">
        <f>(R2070+T2070)</f>
        <v>0</v>
      </c>
      <c r="C2071" s="887"/>
      <c r="D2071" s="887"/>
      <c r="E2071" s="887"/>
      <c r="F2071" s="888"/>
      <c r="G2071" s="887" t="s">
        <v>143</v>
      </c>
      <c r="H2071" s="887"/>
      <c r="I2071" s="889"/>
      <c r="J2071" s="887"/>
      <c r="K2071" s="887" t="s">
        <v>3</v>
      </c>
      <c r="L2071" s="890" t="s">
        <v>140</v>
      </c>
      <c r="M2071" s="890"/>
      <c r="N2071" s="890"/>
      <c r="O2071" s="890"/>
      <c r="P2071" s="890"/>
      <c r="Q2071" s="891"/>
      <c r="R2071" s="892">
        <f ca="1">SUM(R2067:R2070)</f>
        <v>0</v>
      </c>
      <c r="S2071" s="887"/>
      <c r="T2071" s="892">
        <f ca="1">SUM(T2067:T2070)</f>
        <v>0.96</v>
      </c>
      <c r="U2071" s="514"/>
      <c r="V2071" s="514"/>
      <c r="W2071" s="514"/>
      <c r="X2071" s="514"/>
      <c r="Y2071" s="514"/>
      <c r="Z2071" s="514"/>
      <c r="AA2071" s="514"/>
      <c r="AB2071" s="514"/>
      <c r="AC2071" s="514"/>
      <c r="AD2071" s="514"/>
      <c r="AE2071" s="514"/>
      <c r="AF2071" s="514"/>
      <c r="AG2071" s="514"/>
      <c r="AH2071" s="514"/>
      <c r="AI2071" s="514"/>
      <c r="AJ2071" s="514"/>
      <c r="AK2071" s="514"/>
      <c r="AL2071" s="514"/>
      <c r="AM2071" s="514"/>
      <c r="AN2071" s="514"/>
      <c r="AO2071" s="514"/>
    </row>
    <row r="2072" spans="1:41" s="504" customFormat="1" ht="12" thickTop="1">
      <c r="A2072" s="50"/>
      <c r="B2072" s="40"/>
      <c r="C2072" s="50"/>
      <c r="E2072" s="41" t="s">
        <v>136</v>
      </c>
      <c r="F2072" s="41" t="s">
        <v>137</v>
      </c>
      <c r="G2072" s="50"/>
      <c r="H2072" s="50"/>
      <c r="I2072" s="50"/>
      <c r="J2072" s="50"/>
      <c r="K2072" s="50" t="s">
        <v>138</v>
      </c>
      <c r="L2072" s="50"/>
      <c r="M2072" s="50"/>
      <c r="N2072" s="50"/>
      <c r="O2072" s="51"/>
      <c r="P2072" s="50"/>
      <c r="Q2072" s="50"/>
      <c r="R2072" s="50"/>
      <c r="S2072" s="50"/>
      <c r="T2072" s="40"/>
      <c r="AG2072" s="867" t="s">
        <v>241</v>
      </c>
      <c r="AH2072" s="867" t="s">
        <v>242</v>
      </c>
      <c r="AI2072" s="867" t="s">
        <v>243</v>
      </c>
      <c r="AJ2072" s="867" t="s">
        <v>244</v>
      </c>
      <c r="AK2072" s="867" t="s">
        <v>245</v>
      </c>
      <c r="AM2072" s="868" t="s">
        <v>254</v>
      </c>
      <c r="AN2072" s="869" t="s">
        <v>255</v>
      </c>
      <c r="AO2072" s="505" t="s">
        <v>251</v>
      </c>
    </row>
    <row r="2073" spans="1:41" s="504" customFormat="1" ht="12" customHeight="1">
      <c r="A2073" s="870">
        <v>1</v>
      </c>
      <c r="B2073" s="871" t="s">
        <v>335</v>
      </c>
      <c r="C2073" s="872"/>
      <c r="D2073" s="873" t="s">
        <v>823</v>
      </c>
      <c r="E2073" s="874">
        <f ca="1">IF(AND($A2073=0,$A$1="DIF"),0, ROUND(ROUND(($R2078*$S$2+($T2078*$T$2))/A2073,2)*$C$2,2))</f>
        <v>14.36</v>
      </c>
      <c r="F2073" s="875">
        <f ca="1">ROUND($A2073*$E2073,2)</f>
        <v>14.36</v>
      </c>
      <c r="G2073" s="876" t="s">
        <v>139</v>
      </c>
      <c r="H2073" s="877"/>
      <c r="I2073" s="878"/>
      <c r="J2073" s="877"/>
      <c r="K2073" s="877" t="s">
        <v>3</v>
      </c>
      <c r="L2073" s="879" t="s">
        <v>140</v>
      </c>
      <c r="M2073" s="879"/>
      <c r="N2073" s="879"/>
      <c r="O2073" s="879"/>
      <c r="P2073" s="879"/>
      <c r="Q2073" s="50"/>
      <c r="T2073" s="880" t="str">
        <f ca="1">IF(AND($R2078=0,$T2078=0),"0.00","mu :" &amp; ROUND($F2073/$C$2/($R2078+$T2078*$D$9),2))</f>
        <v>mu :1.22</v>
      </c>
      <c r="W2073" s="507"/>
      <c r="AG2073" s="465">
        <f ca="1">IF($E2073=0,0,ROUND($R2078*$S$2*$C$2/$A2073,2))</f>
        <v>1.34</v>
      </c>
      <c r="AH2073" s="465">
        <f ca="1">$AG2073*$A2073</f>
        <v>1.34</v>
      </c>
      <c r="AI2073" s="508">
        <f ca="1">$E2073-$AG2073</f>
        <v>13.02</v>
      </c>
      <c r="AJ2073" s="508">
        <f ca="1">$A2073*$AI2073</f>
        <v>13.02</v>
      </c>
      <c r="AK2073" s="509">
        <f ca="1">ROUND(($AG2073+$AI2073)*$A2073,2)</f>
        <v>14.36</v>
      </c>
      <c r="AM2073" s="510">
        <f ca="1">ROUND(R2078,2)</f>
        <v>1.1000000000000001</v>
      </c>
      <c r="AN2073" s="511">
        <f ca="1">ROUND(T2078,2)</f>
        <v>0.37</v>
      </c>
      <c r="AO2073" s="512">
        <f ca="1">ROUND(AM2073+AN2073,2)*A2073</f>
        <v>1.47</v>
      </c>
    </row>
    <row r="2074" spans="1:41" s="504" customFormat="1" ht="13.2">
      <c r="A2074" s="872"/>
      <c r="B2074"/>
      <c r="C2074" s="872"/>
      <c r="D2074" s="873" t="s">
        <v>421</v>
      </c>
      <c r="F2074" s="877"/>
      <c r="G2074" s="3"/>
      <c r="H2074" s="877"/>
      <c r="I2074" s="878"/>
      <c r="J2074" s="877"/>
      <c r="K2074" s="877" t="s">
        <v>141</v>
      </c>
      <c r="L2074" s="877"/>
      <c r="M2074" s="877"/>
      <c r="N2074" s="877"/>
      <c r="O2074" s="877"/>
      <c r="P2074" s="877"/>
      <c r="Q2074" s="50"/>
      <c r="R2074" s="513"/>
      <c r="S2074" s="881"/>
      <c r="T2074" s="877"/>
    </row>
    <row r="2075" spans="1:41" s="997" customFormat="1" ht="13.2">
      <c r="A2075"/>
      <c r="B2075" s="1065"/>
      <c r="C2075" s="1065" t="s">
        <v>1006</v>
      </c>
      <c r="D2075" s="1065" t="str">
        <f ca="1">CELL("Address",Elec_Rates!D$464)</f>
        <v>[EL25_0662B_Brittania_Hotel_Elec_Revised_Estim_B.xlsx]Elec_Rates!$D$464</v>
      </c>
      <c r="E2075" s="1066"/>
      <c r="F2075" s="1066"/>
      <c r="G2075" s="1067" t="s">
        <v>1007</v>
      </c>
      <c r="H2075" s="1067"/>
      <c r="I2075" s="1067"/>
      <c r="J2075" s="1067"/>
      <c r="K2075" s="1068"/>
      <c r="L2075" s="1066"/>
      <c r="M2075" s="1066"/>
      <c r="N2075" s="1066"/>
      <c r="O2075" s="1069"/>
      <c r="P2075" s="1066"/>
      <c r="Q2075" s="1070"/>
      <c r="R2075" s="1071"/>
      <c r="S2075" s="1070"/>
      <c r="T2075" s="1072"/>
      <c r="U2075" s="1073"/>
    </row>
    <row r="2076" spans="1:41" s="997" customFormat="1" ht="11.4">
      <c r="A2076" s="1074">
        <v>1</v>
      </c>
      <c r="B2076" s="1075">
        <v>1</v>
      </c>
      <c r="C2076" s="1075">
        <f>$A2076*$B2076</f>
        <v>1</v>
      </c>
      <c r="D2076" s="1076" t="str">
        <f>Elec_Rates!$D$464</f>
        <v>055# Install and connect Only - Type 'LT-15' - 8.5W Soffit Recessed Downlighter</v>
      </c>
      <c r="E2076" s="1076"/>
      <c r="F2076" s="1076"/>
      <c r="G2076" s="1077" t="s">
        <v>1008</v>
      </c>
      <c r="H2076" s="1077"/>
      <c r="I2076" s="1077"/>
      <c r="J2076" s="1077"/>
      <c r="K2076" s="1078"/>
      <c r="L2076" s="1073"/>
      <c r="M2076" s="1073"/>
      <c r="N2076" s="1073"/>
      <c r="O2076" s="1079"/>
      <c r="P2076" s="1076"/>
      <c r="Q2076" s="1080">
        <f ca="1">$B2076*Elec_Rates!$R$464</f>
        <v>1.1000000000000001</v>
      </c>
      <c r="R2076" s="1071">
        <f ca="1">$A2076*Q2076</f>
        <v>1.1000000000000001</v>
      </c>
      <c r="S2076" s="1080">
        <f ca="1">$B2076*Elec_Rates!$T$464</f>
        <v>0.37</v>
      </c>
      <c r="T2076" s="1072">
        <f ca="1">$A2076*S2076</f>
        <v>0.37</v>
      </c>
      <c r="U2076" s="1081"/>
    </row>
    <row r="2077" spans="1:41" s="504" customFormat="1" ht="12">
      <c r="A2077" s="882"/>
      <c r="B2077" s="882"/>
      <c r="C2077" s="882"/>
      <c r="D2077" s="882"/>
      <c r="E2077" s="882"/>
      <c r="F2077" s="877"/>
      <c r="G2077" s="882"/>
      <c r="H2077" s="882"/>
      <c r="I2077" s="503"/>
      <c r="J2077" s="882"/>
      <c r="K2077" s="882"/>
      <c r="L2077" s="882"/>
      <c r="M2077" s="882"/>
      <c r="N2077" s="882"/>
      <c r="O2077" s="882"/>
      <c r="P2077" s="882"/>
      <c r="Q2077" s="503"/>
      <c r="R2077" s="883">
        <f>$A2077*Q2077</f>
        <v>0</v>
      </c>
      <c r="S2077" s="503"/>
      <c r="T2077" s="884">
        <f>$A2077*S2077*$T$1</f>
        <v>0</v>
      </c>
    </row>
    <row r="2078" spans="1:41" s="504" customFormat="1" ht="12.6" thickBot="1">
      <c r="A2078" s="885" t="s">
        <v>142</v>
      </c>
      <c r="B2078" s="886">
        <f>(R2077+T2077)</f>
        <v>0</v>
      </c>
      <c r="C2078" s="887"/>
      <c r="D2078" s="887"/>
      <c r="E2078" s="887"/>
      <c r="F2078" s="888"/>
      <c r="G2078" s="887" t="s">
        <v>143</v>
      </c>
      <c r="H2078" s="887"/>
      <c r="I2078" s="889"/>
      <c r="J2078" s="887"/>
      <c r="K2078" s="887" t="s">
        <v>3</v>
      </c>
      <c r="L2078" s="890" t="s">
        <v>140</v>
      </c>
      <c r="M2078" s="890"/>
      <c r="N2078" s="890"/>
      <c r="O2078" s="890"/>
      <c r="P2078" s="890"/>
      <c r="Q2078" s="891"/>
      <c r="R2078" s="892">
        <f ca="1">SUM(R2074:R2077)</f>
        <v>1.1000000000000001</v>
      </c>
      <c r="S2078" s="887"/>
      <c r="T2078" s="892">
        <f ca="1">SUM(T2074:T2077)</f>
        <v>0.37</v>
      </c>
      <c r="U2078" s="514"/>
      <c r="V2078" s="514"/>
      <c r="W2078" s="514"/>
      <c r="X2078" s="514"/>
      <c r="Y2078" s="514"/>
      <c r="Z2078" s="514"/>
      <c r="AA2078" s="514"/>
      <c r="AB2078" s="514"/>
      <c r="AC2078" s="514"/>
      <c r="AD2078" s="514"/>
      <c r="AE2078" s="514"/>
      <c r="AF2078" s="514"/>
      <c r="AG2078" s="514"/>
      <c r="AH2078" s="514"/>
      <c r="AI2078" s="514"/>
      <c r="AJ2078" s="514"/>
      <c r="AK2078" s="514"/>
      <c r="AL2078" s="514"/>
      <c r="AM2078" s="514"/>
      <c r="AN2078" s="514"/>
      <c r="AO2078" s="514"/>
    </row>
    <row r="2079" spans="1:41" s="504" customFormat="1" ht="12" thickTop="1">
      <c r="A2079" s="50"/>
      <c r="B2079" s="40"/>
      <c r="C2079" s="50"/>
      <c r="E2079" s="41" t="s">
        <v>136</v>
      </c>
      <c r="F2079" s="41" t="s">
        <v>137</v>
      </c>
      <c r="G2079" s="50"/>
      <c r="H2079" s="50"/>
      <c r="I2079" s="50"/>
      <c r="J2079" s="50"/>
      <c r="K2079" s="50" t="s">
        <v>138</v>
      </c>
      <c r="L2079" s="50"/>
      <c r="M2079" s="50"/>
      <c r="N2079" s="50"/>
      <c r="O2079" s="51"/>
      <c r="P2079" s="50"/>
      <c r="Q2079" s="50"/>
      <c r="R2079" s="50"/>
      <c r="S2079" s="50"/>
      <c r="T2079" s="40"/>
      <c r="AG2079" s="867" t="s">
        <v>241</v>
      </c>
      <c r="AH2079" s="867" t="s">
        <v>242</v>
      </c>
      <c r="AI2079" s="867" t="s">
        <v>243</v>
      </c>
      <c r="AJ2079" s="867" t="s">
        <v>244</v>
      </c>
      <c r="AK2079" s="867" t="s">
        <v>245</v>
      </c>
      <c r="AM2079" s="868" t="s">
        <v>254</v>
      </c>
      <c r="AN2079" s="869" t="s">
        <v>255</v>
      </c>
      <c r="AO2079" s="505" t="s">
        <v>251</v>
      </c>
    </row>
    <row r="2080" spans="1:41" s="504" customFormat="1" ht="12" customHeight="1">
      <c r="A2080" s="870">
        <v>1</v>
      </c>
      <c r="B2080" s="871" t="s">
        <v>335</v>
      </c>
      <c r="C2080" s="872"/>
      <c r="D2080" s="873" t="s">
        <v>824</v>
      </c>
      <c r="E2080" s="874">
        <f ca="1">IF(AND($A2080=0,$A$1="DIF"),0, ROUND(ROUND(($R2085*$S$2+($T2085*$T$2))/A2080,2)*$C$2,2))</f>
        <v>37.51</v>
      </c>
      <c r="F2080" s="875">
        <f ca="1">ROUND($A2080*$E2080,2)</f>
        <v>37.51</v>
      </c>
      <c r="G2080" s="876" t="s">
        <v>139</v>
      </c>
      <c r="H2080" s="877"/>
      <c r="I2080" s="878"/>
      <c r="J2080" s="877"/>
      <c r="K2080" s="877" t="s">
        <v>3</v>
      </c>
      <c r="L2080" s="879" t="s">
        <v>140</v>
      </c>
      <c r="M2080" s="879"/>
      <c r="N2080" s="879"/>
      <c r="O2080" s="879"/>
      <c r="P2080" s="879"/>
      <c r="Q2080" s="50"/>
      <c r="T2080" s="880" t="str">
        <f ca="1">IF(AND($R2085=0,$T2085=0),"0.00","mu :" &amp; ROUND($F2080/$C$2/($R2085+$T2085*$D$9),2))</f>
        <v>mu :1.22</v>
      </c>
      <c r="W2080" s="507"/>
      <c r="AG2080" s="465">
        <f ca="1">IF($E2080=0,0,ROUND($R2085*$S$2*$C$2/$A2080,2))</f>
        <v>0.56999999999999995</v>
      </c>
      <c r="AH2080" s="465">
        <f ca="1">$AG2080*$A2080</f>
        <v>0.56999999999999995</v>
      </c>
      <c r="AI2080" s="508">
        <f ca="1">$E2080-$AG2080</f>
        <v>36.94</v>
      </c>
      <c r="AJ2080" s="508">
        <f ca="1">$A2080*$AI2080</f>
        <v>36.94</v>
      </c>
      <c r="AK2080" s="509">
        <f ca="1">ROUND(($AG2080+$AI2080)*$A2080,2)</f>
        <v>37.51</v>
      </c>
      <c r="AM2080" s="510">
        <f ca="1">ROUND(R2085,2)</f>
        <v>0.47</v>
      </c>
      <c r="AN2080" s="511">
        <f ca="1">ROUND(T2085,2)</f>
        <v>1.05</v>
      </c>
      <c r="AO2080" s="512">
        <f ca="1">ROUND(AM2080+AN2080,2)*A2080</f>
        <v>1.52</v>
      </c>
    </row>
    <row r="2081" spans="1:41" s="504" customFormat="1" ht="13.2">
      <c r="A2081" s="872"/>
      <c r="B2081"/>
      <c r="C2081" s="872"/>
      <c r="D2081" s="873" t="s">
        <v>439</v>
      </c>
      <c r="F2081" s="877"/>
      <c r="G2081" s="3"/>
      <c r="H2081" s="877"/>
      <c r="I2081" s="878"/>
      <c r="J2081" s="877"/>
      <c r="K2081" s="877" t="s">
        <v>141</v>
      </c>
      <c r="L2081" s="877"/>
      <c r="M2081" s="877"/>
      <c r="N2081" s="877"/>
      <c r="O2081" s="877"/>
      <c r="P2081" s="877"/>
      <c r="Q2081" s="50"/>
      <c r="R2081" s="513"/>
      <c r="S2081" s="881"/>
      <c r="T2081" s="877"/>
    </row>
    <row r="2082" spans="1:41" s="997" customFormat="1" ht="13.2">
      <c r="A2082"/>
      <c r="B2082" s="1065"/>
      <c r="C2082" s="1065" t="s">
        <v>1006</v>
      </c>
      <c r="D2082" s="1065" t="str">
        <f ca="1">CELL("Address",Elec_Rates!D$301)</f>
        <v>[EL25_0662B_Brittania_Hotel_Elec_Revised_Estim_B.xlsx]Elec_Rates!$D$301</v>
      </c>
      <c r="E2082" s="1066"/>
      <c r="F2082" s="1066"/>
      <c r="G2082" s="1067" t="s">
        <v>1007</v>
      </c>
      <c r="H2082" s="1067"/>
      <c r="I2082" s="1067"/>
      <c r="J2082" s="1067"/>
      <c r="K2082" s="1068"/>
      <c r="L2082" s="1066"/>
      <c r="M2082" s="1066"/>
      <c r="N2082" s="1066"/>
      <c r="O2082" s="1069"/>
      <c r="P2082" s="1066"/>
      <c r="Q2082" s="1070"/>
      <c r="R2082" s="1071"/>
      <c r="S2082" s="1070"/>
      <c r="T2082" s="1072"/>
      <c r="U2082" s="1073"/>
    </row>
    <row r="2083" spans="1:41" s="997" customFormat="1" ht="11.4">
      <c r="A2083" s="1074">
        <v>1</v>
      </c>
      <c r="B2083" s="1075">
        <v>1</v>
      </c>
      <c r="C2083" s="1075">
        <f>$A2083*$B2083</f>
        <v>1</v>
      </c>
      <c r="D2083" s="1076" t="str">
        <f>Elec_Rates!$D$301</f>
        <v>033# Install and connect Only - Type 'LD-5' - Lantern</v>
      </c>
      <c r="E2083" s="1076"/>
      <c r="F2083" s="1076"/>
      <c r="G2083" s="1077" t="s">
        <v>1008</v>
      </c>
      <c r="H2083" s="1077"/>
      <c r="I2083" s="1077"/>
      <c r="J2083" s="1077"/>
      <c r="K2083" s="1078"/>
      <c r="L2083" s="1073"/>
      <c r="M2083" s="1073"/>
      <c r="N2083" s="1073"/>
      <c r="O2083" s="1079"/>
      <c r="P2083" s="1076"/>
      <c r="Q2083" s="1080">
        <f ca="1">$B2083*Elec_Rates!$R$301</f>
        <v>0.47</v>
      </c>
      <c r="R2083" s="1071">
        <f ca="1">$A2083*Q2083</f>
        <v>0.47</v>
      </c>
      <c r="S2083" s="1080">
        <f ca="1">$B2083*Elec_Rates!$T$301</f>
        <v>1.05</v>
      </c>
      <c r="T2083" s="1072">
        <f ca="1">$A2083*S2083</f>
        <v>1.05</v>
      </c>
      <c r="U2083" s="1081"/>
    </row>
    <row r="2084" spans="1:41" s="504" customFormat="1" ht="12">
      <c r="A2084" s="882"/>
      <c r="B2084" s="882"/>
      <c r="C2084" s="882"/>
      <c r="D2084" s="882"/>
      <c r="E2084" s="882"/>
      <c r="F2084" s="877"/>
      <c r="G2084" s="882"/>
      <c r="H2084" s="882"/>
      <c r="I2084" s="503"/>
      <c r="J2084" s="882"/>
      <c r="K2084" s="882"/>
      <c r="L2084" s="882"/>
      <c r="M2084" s="882"/>
      <c r="N2084" s="882"/>
      <c r="O2084" s="882"/>
      <c r="P2084" s="882"/>
      <c r="Q2084" s="503"/>
      <c r="R2084" s="883">
        <f>$A2084*Q2084</f>
        <v>0</v>
      </c>
      <c r="S2084" s="503"/>
      <c r="T2084" s="884">
        <f>$A2084*S2084*$T$1</f>
        <v>0</v>
      </c>
    </row>
    <row r="2085" spans="1:41" s="504" customFormat="1" ht="12.6" thickBot="1">
      <c r="A2085" s="885" t="s">
        <v>142</v>
      </c>
      <c r="B2085" s="886">
        <f>(R2084+T2084)</f>
        <v>0</v>
      </c>
      <c r="C2085" s="887"/>
      <c r="D2085" s="887"/>
      <c r="E2085" s="887"/>
      <c r="F2085" s="888"/>
      <c r="G2085" s="887" t="s">
        <v>143</v>
      </c>
      <c r="H2085" s="887"/>
      <c r="I2085" s="889"/>
      <c r="J2085" s="887"/>
      <c r="K2085" s="887" t="s">
        <v>3</v>
      </c>
      <c r="L2085" s="890" t="s">
        <v>140</v>
      </c>
      <c r="M2085" s="890"/>
      <c r="N2085" s="890"/>
      <c r="O2085" s="890"/>
      <c r="P2085" s="890"/>
      <c r="Q2085" s="891"/>
      <c r="R2085" s="892">
        <f ca="1">SUM(R2081:R2084)</f>
        <v>0.47</v>
      </c>
      <c r="S2085" s="887"/>
      <c r="T2085" s="892">
        <f ca="1">SUM(T2081:T2084)</f>
        <v>1.05</v>
      </c>
      <c r="U2085" s="514"/>
      <c r="V2085" s="514"/>
      <c r="W2085" s="514"/>
      <c r="X2085" s="514"/>
      <c r="Y2085" s="514"/>
      <c r="Z2085" s="514"/>
      <c r="AA2085" s="514"/>
      <c r="AB2085" s="514"/>
      <c r="AC2085" s="514"/>
      <c r="AD2085" s="514"/>
      <c r="AE2085" s="514"/>
      <c r="AF2085" s="514"/>
      <c r="AG2085" s="514"/>
      <c r="AH2085" s="514"/>
      <c r="AI2085" s="514"/>
      <c r="AJ2085" s="514"/>
      <c r="AK2085" s="514"/>
      <c r="AL2085" s="514"/>
      <c r="AM2085" s="514"/>
      <c r="AN2085" s="514"/>
      <c r="AO2085" s="514"/>
    </row>
    <row r="2086" spans="1:41" s="504" customFormat="1" ht="12" thickTop="1">
      <c r="A2086" s="50"/>
      <c r="B2086" s="40"/>
      <c r="C2086" s="50"/>
      <c r="E2086" s="41" t="s">
        <v>136</v>
      </c>
      <c r="F2086" s="41" t="s">
        <v>137</v>
      </c>
      <c r="G2086" s="50"/>
      <c r="H2086" s="50"/>
      <c r="I2086" s="50"/>
      <c r="J2086" s="50"/>
      <c r="K2086" s="50" t="s">
        <v>138</v>
      </c>
      <c r="L2086" s="50"/>
      <c r="M2086" s="50"/>
      <c r="N2086" s="50"/>
      <c r="O2086" s="51"/>
      <c r="P2086" s="50"/>
      <c r="Q2086" s="50"/>
      <c r="R2086" s="50"/>
      <c r="S2086" s="50"/>
      <c r="T2086" s="40"/>
      <c r="AG2086" s="867" t="s">
        <v>241</v>
      </c>
      <c r="AH2086" s="867" t="s">
        <v>242</v>
      </c>
      <c r="AI2086" s="867" t="s">
        <v>243</v>
      </c>
      <c r="AJ2086" s="867" t="s">
        <v>244</v>
      </c>
      <c r="AK2086" s="867" t="s">
        <v>245</v>
      </c>
      <c r="AM2086" s="868" t="s">
        <v>254</v>
      </c>
      <c r="AN2086" s="869" t="s">
        <v>255</v>
      </c>
      <c r="AO2086" s="505" t="s">
        <v>251</v>
      </c>
    </row>
    <row r="2087" spans="1:41" s="504" customFormat="1" ht="12" customHeight="1">
      <c r="A2087" s="870">
        <v>1</v>
      </c>
      <c r="B2087" s="871" t="s">
        <v>335</v>
      </c>
      <c r="C2087" s="872"/>
      <c r="D2087" s="873" t="s">
        <v>825</v>
      </c>
      <c r="E2087" s="874">
        <f ca="1">IF(AND($A2087=0,$A$1="DIF"),0, ROUND(ROUND(($R2092*$S$2+($T2092*$T$2))/A2087,2)*$C$2,2))</f>
        <v>37.51</v>
      </c>
      <c r="F2087" s="875">
        <f ca="1">ROUND($A2087*$E2087,2)</f>
        <v>37.51</v>
      </c>
      <c r="G2087" s="876" t="s">
        <v>139</v>
      </c>
      <c r="H2087" s="877"/>
      <c r="I2087" s="878"/>
      <c r="J2087" s="877"/>
      <c r="K2087" s="877" t="s">
        <v>3</v>
      </c>
      <c r="L2087" s="879" t="s">
        <v>140</v>
      </c>
      <c r="M2087" s="879"/>
      <c r="N2087" s="879"/>
      <c r="O2087" s="879"/>
      <c r="P2087" s="879"/>
      <c r="Q2087" s="50"/>
      <c r="T2087" s="880" t="str">
        <f ca="1">IF(AND($R2092=0,$T2092=0),"0.00","mu :" &amp; ROUND($F2087/$C$2/($R2092+$T2092*$D$9),2))</f>
        <v>mu :1.22</v>
      </c>
      <c r="W2087" s="507"/>
      <c r="AG2087" s="465">
        <f ca="1">IF($E2087=0,0,ROUND($R2092*$S$2*$C$2/$A2087,2))</f>
        <v>0.56999999999999995</v>
      </c>
      <c r="AH2087" s="465">
        <f ca="1">$AG2087*$A2087</f>
        <v>0.56999999999999995</v>
      </c>
      <c r="AI2087" s="508">
        <f ca="1">$E2087-$AG2087</f>
        <v>36.94</v>
      </c>
      <c r="AJ2087" s="508">
        <f ca="1">$A2087*$AI2087</f>
        <v>36.94</v>
      </c>
      <c r="AK2087" s="509">
        <f ca="1">ROUND(($AG2087+$AI2087)*$A2087,2)</f>
        <v>37.51</v>
      </c>
      <c r="AM2087" s="510">
        <f ca="1">ROUND(R2092,2)</f>
        <v>0.47</v>
      </c>
      <c r="AN2087" s="511">
        <f ca="1">ROUND(T2092,2)</f>
        <v>1.05</v>
      </c>
      <c r="AO2087" s="512">
        <f ca="1">ROUND(AM2087+AN2087,2)*A2087</f>
        <v>1.52</v>
      </c>
    </row>
    <row r="2088" spans="1:41" s="504" customFormat="1" ht="13.2">
      <c r="A2088" s="872"/>
      <c r="B2088"/>
      <c r="C2088" s="872"/>
      <c r="D2088" s="873" t="s">
        <v>440</v>
      </c>
      <c r="F2088" s="877"/>
      <c r="G2088" s="3"/>
      <c r="H2088" s="877"/>
      <c r="I2088" s="878"/>
      <c r="J2088" s="877"/>
      <c r="K2088" s="877" t="s">
        <v>141</v>
      </c>
      <c r="L2088" s="877"/>
      <c r="M2088" s="877"/>
      <c r="N2088" s="877"/>
      <c r="O2088" s="877"/>
      <c r="P2088" s="877"/>
      <c r="Q2088" s="50"/>
      <c r="R2088" s="513"/>
      <c r="S2088" s="881"/>
      <c r="T2088" s="877"/>
    </row>
    <row r="2089" spans="1:41" s="997" customFormat="1" ht="13.2">
      <c r="A2089"/>
      <c r="B2089" s="1065"/>
      <c r="C2089" s="1065" t="s">
        <v>1006</v>
      </c>
      <c r="D2089" s="1065" t="str">
        <f ca="1">CELL("Address",Elec_Rates!D$338)</f>
        <v>[EL25_0662B_Brittania_Hotel_Elec_Revised_Estim_B.xlsx]Elec_Rates!$D$338</v>
      </c>
      <c r="E2089" s="1066"/>
      <c r="F2089" s="1066"/>
      <c r="G2089" s="1067" t="s">
        <v>1007</v>
      </c>
      <c r="H2089" s="1067"/>
      <c r="I2089" s="1067"/>
      <c r="J2089" s="1067"/>
      <c r="K2089" s="1068"/>
      <c r="L2089" s="1066"/>
      <c r="M2089" s="1066"/>
      <c r="N2089" s="1066"/>
      <c r="O2089" s="1069"/>
      <c r="P2089" s="1066"/>
      <c r="Q2089" s="1070"/>
      <c r="R2089" s="1071"/>
      <c r="S2089" s="1070"/>
      <c r="T2089" s="1072"/>
      <c r="U2089" s="1073"/>
    </row>
    <row r="2090" spans="1:41" s="997" customFormat="1" ht="11.4">
      <c r="A2090" s="1074">
        <v>1</v>
      </c>
      <c r="B2090" s="1075">
        <v>1</v>
      </c>
      <c r="C2090" s="1075">
        <f>$A2090*$B2090</f>
        <v>1</v>
      </c>
      <c r="D2090" s="1076" t="str">
        <f>Elec_Rates!$D$338</f>
        <v>038# Install and connect Only - Type 'LD-12' - Chandelier</v>
      </c>
      <c r="E2090" s="1076"/>
      <c r="F2090" s="1076"/>
      <c r="G2090" s="1077" t="s">
        <v>1008</v>
      </c>
      <c r="H2090" s="1077"/>
      <c r="I2090" s="1077"/>
      <c r="J2090" s="1077"/>
      <c r="K2090" s="1078"/>
      <c r="L2090" s="1073"/>
      <c r="M2090" s="1073"/>
      <c r="N2090" s="1073"/>
      <c r="O2090" s="1079"/>
      <c r="P2090" s="1076"/>
      <c r="Q2090" s="1080">
        <f ca="1">$B2090*Elec_Rates!$R$338</f>
        <v>0.47</v>
      </c>
      <c r="R2090" s="1071">
        <f ca="1">$A2090*Q2090</f>
        <v>0.47</v>
      </c>
      <c r="S2090" s="1080">
        <f ca="1">$B2090*Elec_Rates!$T$338</f>
        <v>1.05</v>
      </c>
      <c r="T2090" s="1072">
        <f ca="1">$A2090*S2090</f>
        <v>1.05</v>
      </c>
      <c r="U2090" s="1081"/>
    </row>
    <row r="2091" spans="1:41" s="504" customFormat="1" ht="12">
      <c r="A2091" s="882"/>
      <c r="B2091" s="882"/>
      <c r="C2091" s="882"/>
      <c r="D2091" s="882"/>
      <c r="E2091" s="882"/>
      <c r="F2091" s="877"/>
      <c r="G2091" s="882"/>
      <c r="H2091" s="882"/>
      <c r="I2091" s="503"/>
      <c r="J2091" s="882"/>
      <c r="K2091" s="882"/>
      <c r="L2091" s="882"/>
      <c r="M2091" s="882"/>
      <c r="N2091" s="882"/>
      <c r="O2091" s="882"/>
      <c r="P2091" s="882"/>
      <c r="Q2091" s="503"/>
      <c r="R2091" s="883">
        <f>$A2091*Q2091</f>
        <v>0</v>
      </c>
      <c r="S2091" s="503"/>
      <c r="T2091" s="884">
        <f>$A2091*S2091*$T$1</f>
        <v>0</v>
      </c>
    </row>
    <row r="2092" spans="1:41" s="504" customFormat="1" ht="12.6" thickBot="1">
      <c r="A2092" s="885" t="s">
        <v>142</v>
      </c>
      <c r="B2092" s="886">
        <f>(R2091+T2091)</f>
        <v>0</v>
      </c>
      <c r="C2092" s="887"/>
      <c r="D2092" s="887"/>
      <c r="E2092" s="887"/>
      <c r="F2092" s="888"/>
      <c r="G2092" s="887" t="s">
        <v>143</v>
      </c>
      <c r="H2092" s="887"/>
      <c r="I2092" s="889"/>
      <c r="J2092" s="887"/>
      <c r="K2092" s="887" t="s">
        <v>3</v>
      </c>
      <c r="L2092" s="890" t="s">
        <v>140</v>
      </c>
      <c r="M2092" s="890"/>
      <c r="N2092" s="890"/>
      <c r="O2092" s="890"/>
      <c r="P2092" s="890"/>
      <c r="Q2092" s="891"/>
      <c r="R2092" s="892">
        <f ca="1">SUM(R2088:R2091)</f>
        <v>0.47</v>
      </c>
      <c r="S2092" s="887"/>
      <c r="T2092" s="892">
        <f ca="1">SUM(T2088:T2091)</f>
        <v>1.05</v>
      </c>
      <c r="U2092" s="514"/>
      <c r="V2092" s="514"/>
      <c r="W2092" s="514"/>
      <c r="X2092" s="514"/>
      <c r="Y2092" s="514"/>
      <c r="Z2092" s="514"/>
      <c r="AA2092" s="514"/>
      <c r="AB2092" s="514"/>
      <c r="AC2092" s="514"/>
      <c r="AD2092" s="514"/>
      <c r="AE2092" s="514"/>
      <c r="AF2092" s="514"/>
      <c r="AG2092" s="514"/>
      <c r="AH2092" s="514"/>
      <c r="AI2092" s="514"/>
      <c r="AJ2092" s="514"/>
      <c r="AK2092" s="514"/>
      <c r="AL2092" s="514"/>
      <c r="AM2092" s="514"/>
      <c r="AN2092" s="514"/>
      <c r="AO2092" s="514"/>
    </row>
    <row r="2093" spans="1:41" s="504" customFormat="1" ht="12" thickTop="1">
      <c r="A2093" s="50"/>
      <c r="B2093" s="40"/>
      <c r="C2093" s="50"/>
      <c r="E2093" s="41" t="s">
        <v>136</v>
      </c>
      <c r="F2093" s="41" t="s">
        <v>137</v>
      </c>
      <c r="G2093" s="50"/>
      <c r="H2093" s="50"/>
      <c r="I2093" s="50"/>
      <c r="J2093" s="50"/>
      <c r="K2093" s="50" t="s">
        <v>138</v>
      </c>
      <c r="L2093" s="50"/>
      <c r="M2093" s="50"/>
      <c r="N2093" s="50"/>
      <c r="O2093" s="51"/>
      <c r="P2093" s="50"/>
      <c r="Q2093" s="50"/>
      <c r="R2093" s="50"/>
      <c r="S2093" s="50"/>
      <c r="T2093" s="40"/>
      <c r="AG2093" s="867" t="s">
        <v>241</v>
      </c>
      <c r="AH2093" s="867" t="s">
        <v>242</v>
      </c>
      <c r="AI2093" s="867" t="s">
        <v>243</v>
      </c>
      <c r="AJ2093" s="867" t="s">
        <v>244</v>
      </c>
      <c r="AK2093" s="867" t="s">
        <v>245</v>
      </c>
      <c r="AM2093" s="868" t="s">
        <v>254</v>
      </c>
      <c r="AN2093" s="869" t="s">
        <v>255</v>
      </c>
      <c r="AO2093" s="505" t="s">
        <v>251</v>
      </c>
    </row>
    <row r="2094" spans="1:41" s="504" customFormat="1" ht="12" customHeight="1">
      <c r="A2094" s="870">
        <v>3</v>
      </c>
      <c r="B2094" s="871" t="s">
        <v>335</v>
      </c>
      <c r="C2094" s="872"/>
      <c r="D2094" s="873" t="s">
        <v>826</v>
      </c>
      <c r="E2094" s="874">
        <f ca="1">IF(AND($A2094=0,$A$1="DIF"),0, ROUND(ROUND(($R2099*$S$2+($T2099*$T$2))/A2094,2)*$C$2,2))</f>
        <v>11.35</v>
      </c>
      <c r="F2094" s="875">
        <f ca="1">ROUND($A2094*$E2094,2)</f>
        <v>34.049999999999997</v>
      </c>
      <c r="G2094" s="876" t="s">
        <v>139</v>
      </c>
      <c r="H2094" s="877"/>
      <c r="I2094" s="878"/>
      <c r="J2094" s="877"/>
      <c r="K2094" s="877" t="s">
        <v>3</v>
      </c>
      <c r="L2094" s="879" t="s">
        <v>140</v>
      </c>
      <c r="M2094" s="879"/>
      <c r="N2094" s="879"/>
      <c r="O2094" s="879"/>
      <c r="P2094" s="879"/>
      <c r="Q2094" s="50"/>
      <c r="T2094" s="880" t="str">
        <f ca="1">IF(AND($R2099=0,$T2099=0),"0.00","mu :" &amp; ROUND($F2094/$C$2/($R2099+$T2099*$D$9),2))</f>
        <v>mu :1.22</v>
      </c>
      <c r="W2094" s="507"/>
      <c r="AG2094" s="465">
        <f ca="1">IF($E2094=0,0,ROUND($R2099*$S$2*$C$2/$A2094,2))</f>
        <v>0.1</v>
      </c>
      <c r="AH2094" s="465">
        <f ca="1">$AG2094*$A2094</f>
        <v>0.30000000000000004</v>
      </c>
      <c r="AI2094" s="508">
        <f ca="1">$E2094-$AG2094</f>
        <v>11.25</v>
      </c>
      <c r="AJ2094" s="508">
        <f ca="1">$A2094*$AI2094</f>
        <v>33.75</v>
      </c>
      <c r="AK2094" s="509">
        <f ca="1">ROUND(($AG2094+$AI2094)*$A2094,2)</f>
        <v>34.049999999999997</v>
      </c>
      <c r="AM2094" s="510">
        <f ca="1">ROUND(R2099,2)</f>
        <v>0.24</v>
      </c>
      <c r="AN2094" s="511">
        <f ca="1">ROUND(T2099,2)</f>
        <v>0.96</v>
      </c>
      <c r="AO2094" s="512">
        <f ca="1">ROUND(AM2094+AN2094,2)*A2094</f>
        <v>3.5999999999999996</v>
      </c>
    </row>
    <row r="2095" spans="1:41" s="504" customFormat="1" ht="13.2">
      <c r="A2095" s="872"/>
      <c r="B2095"/>
      <c r="C2095" s="872"/>
      <c r="D2095" s="873" t="s">
        <v>356</v>
      </c>
      <c r="F2095" s="877"/>
      <c r="G2095" s="3"/>
      <c r="H2095" s="877"/>
      <c r="I2095" s="878"/>
      <c r="J2095" s="877"/>
      <c r="K2095" s="877" t="s">
        <v>141</v>
      </c>
      <c r="L2095" s="877"/>
      <c r="M2095" s="877"/>
      <c r="N2095" s="877"/>
      <c r="O2095" s="877"/>
      <c r="P2095" s="877"/>
      <c r="Q2095" s="50"/>
      <c r="R2095" s="513"/>
      <c r="S2095" s="881"/>
      <c r="T2095" s="877"/>
    </row>
    <row r="2096" spans="1:41" s="997" customFormat="1" ht="13.2">
      <c r="A2096"/>
      <c r="B2096" s="1065"/>
      <c r="C2096" s="1065" t="s">
        <v>1006</v>
      </c>
      <c r="D2096" s="1065" t="str">
        <f ca="1">CELL("Address",Elec_Rates!D$322)</f>
        <v>[EL25_0662B_Brittania_Hotel_Elec_Revised_Estim_B.xlsx]Elec_Rates!$D$322</v>
      </c>
      <c r="E2096" s="1066"/>
      <c r="F2096" s="1066"/>
      <c r="G2096" s="1067" t="s">
        <v>1007</v>
      </c>
      <c r="H2096" s="1067"/>
      <c r="I2096" s="1067"/>
      <c r="J2096" s="1067"/>
      <c r="K2096" s="1068"/>
      <c r="L2096" s="1066"/>
      <c r="M2096" s="1066"/>
      <c r="N2096" s="1066"/>
      <c r="O2096" s="1069"/>
      <c r="P2096" s="1066"/>
      <c r="Q2096" s="1070"/>
      <c r="R2096" s="1071"/>
      <c r="S2096" s="1070"/>
      <c r="T2096" s="1072"/>
      <c r="U2096" s="1073"/>
    </row>
    <row r="2097" spans="1:41" s="997" customFormat="1" ht="11.4">
      <c r="A2097" s="1074">
        <v>3</v>
      </c>
      <c r="B2097" s="1075">
        <v>1</v>
      </c>
      <c r="C2097" s="1075">
        <f>$A2097*$B2097</f>
        <v>3</v>
      </c>
      <c r="D2097" s="1076" t="str">
        <f>Elec_Rates!$D$322</f>
        <v>036# Install and connect Only - Type 'LD-11' - Hallway Wall Light</v>
      </c>
      <c r="E2097" s="1076"/>
      <c r="F2097" s="1076"/>
      <c r="G2097" s="1077" t="s">
        <v>1008</v>
      </c>
      <c r="H2097" s="1077"/>
      <c r="I2097" s="1077"/>
      <c r="J2097" s="1077"/>
      <c r="K2097" s="1078"/>
      <c r="L2097" s="1073"/>
      <c r="M2097" s="1073"/>
      <c r="N2097" s="1073"/>
      <c r="O2097" s="1079"/>
      <c r="P2097" s="1076"/>
      <c r="Q2097" s="1080">
        <f ca="1">$B2097*Elec_Rates!$R$322</f>
        <v>0.08</v>
      </c>
      <c r="R2097" s="1071">
        <f ca="1">$A2097*Q2097</f>
        <v>0.24</v>
      </c>
      <c r="S2097" s="1080">
        <f ca="1">$B2097*Elec_Rates!$T$322</f>
        <v>0.32</v>
      </c>
      <c r="T2097" s="1072">
        <f ca="1">$A2097*S2097</f>
        <v>0.96</v>
      </c>
      <c r="U2097" s="1081"/>
    </row>
    <row r="2098" spans="1:41" s="504" customFormat="1" ht="12">
      <c r="A2098" s="882"/>
      <c r="B2098" s="882"/>
      <c r="C2098" s="882"/>
      <c r="D2098" s="882"/>
      <c r="E2098" s="882"/>
      <c r="F2098" s="877"/>
      <c r="G2098" s="882"/>
      <c r="H2098" s="882"/>
      <c r="I2098" s="503"/>
      <c r="J2098" s="882"/>
      <c r="K2098" s="882"/>
      <c r="L2098" s="882"/>
      <c r="M2098" s="882"/>
      <c r="N2098" s="882"/>
      <c r="O2098" s="882"/>
      <c r="P2098" s="882"/>
      <c r="Q2098" s="503"/>
      <c r="R2098" s="883">
        <f>$A2098*Q2098</f>
        <v>0</v>
      </c>
      <c r="S2098" s="503"/>
      <c r="T2098" s="884">
        <f>$A2098*S2098*$T$1</f>
        <v>0</v>
      </c>
    </row>
    <row r="2099" spans="1:41" s="504" customFormat="1" ht="12.6" thickBot="1">
      <c r="A2099" s="885" t="s">
        <v>142</v>
      </c>
      <c r="B2099" s="886">
        <f>(R2098+T2098)</f>
        <v>0</v>
      </c>
      <c r="C2099" s="887"/>
      <c r="D2099" s="887"/>
      <c r="E2099" s="887"/>
      <c r="F2099" s="888"/>
      <c r="G2099" s="887" t="s">
        <v>143</v>
      </c>
      <c r="H2099" s="887"/>
      <c r="I2099" s="889"/>
      <c r="J2099" s="887"/>
      <c r="K2099" s="887" t="s">
        <v>3</v>
      </c>
      <c r="L2099" s="890" t="s">
        <v>140</v>
      </c>
      <c r="M2099" s="890"/>
      <c r="N2099" s="890"/>
      <c r="O2099" s="890"/>
      <c r="P2099" s="890"/>
      <c r="Q2099" s="891"/>
      <c r="R2099" s="892">
        <f ca="1">SUM(R2095:R2098)</f>
        <v>0.24</v>
      </c>
      <c r="S2099" s="887"/>
      <c r="T2099" s="892">
        <f ca="1">SUM(T2095:T2098)</f>
        <v>0.96</v>
      </c>
      <c r="U2099" s="514"/>
      <c r="V2099" s="514"/>
      <c r="W2099" s="514"/>
      <c r="X2099" s="514"/>
      <c r="Y2099" s="514"/>
      <c r="Z2099" s="514"/>
      <c r="AA2099" s="514"/>
      <c r="AB2099" s="514"/>
      <c r="AC2099" s="514"/>
      <c r="AD2099" s="514"/>
      <c r="AE2099" s="514"/>
      <c r="AF2099" s="514"/>
      <c r="AG2099" s="514"/>
      <c r="AH2099" s="514"/>
      <c r="AI2099" s="514"/>
      <c r="AJ2099" s="514"/>
      <c r="AK2099" s="514"/>
      <c r="AL2099" s="514"/>
      <c r="AM2099" s="514"/>
      <c r="AN2099" s="514"/>
      <c r="AO2099" s="514"/>
    </row>
    <row r="2100" spans="1:41" s="504" customFormat="1" ht="12" thickTop="1">
      <c r="A2100" s="47" t="s">
        <v>145</v>
      </c>
      <c r="D2100" s="13"/>
      <c r="E2100" s="41"/>
      <c r="O2100" s="893"/>
    </row>
    <row r="2101" spans="1:41" s="504" customFormat="1" ht="13.2">
      <c r="B2101" s="3"/>
      <c r="O2101" s="893"/>
    </row>
    <row r="2102" spans="1:41" s="504" customFormat="1" ht="12">
      <c r="B2102" s="894">
        <f ca="1">$F2102/$C$2-($R2102*$S$2+$T2102*$T$2)</f>
        <v>215.98090837000109</v>
      </c>
      <c r="D2102" s="895" t="s">
        <v>817</v>
      </c>
      <c r="E2102" s="896"/>
      <c r="F2102" s="897">
        <f ca="1">SUMIF($L1941:$L2100,"ITEM",F1941:F2100)</f>
        <v>2796.170000000001</v>
      </c>
      <c r="G2102" s="882"/>
      <c r="H2102" s="882"/>
      <c r="I2102" s="503"/>
      <c r="J2102" s="882"/>
      <c r="K2102" s="882"/>
      <c r="L2102" s="879" t="s">
        <v>154</v>
      </c>
      <c r="M2102" s="879"/>
      <c r="N2102" s="879"/>
      <c r="O2102" s="879"/>
      <c r="P2102" s="879"/>
      <c r="R2102" s="897">
        <f ca="1">SUMIF($L1941:$L2100,"ITEM",R1941:R2100)</f>
        <v>861.38</v>
      </c>
      <c r="S2102" s="898"/>
      <c r="T2102" s="897">
        <f ca="1">SUMIF($L1941:$L2100,"ITEM",T1941:T2100)</f>
        <v>43.475499999999997</v>
      </c>
    </row>
    <row r="2103" spans="1:41" s="504" customFormat="1" ht="13.2">
      <c r="A2103" s="50"/>
      <c r="B2103" s="48" t="s">
        <v>816</v>
      </c>
      <c r="C2103" s="50"/>
      <c r="D2103" s="3"/>
      <c r="F2103" s="899" t="s">
        <v>155</v>
      </c>
      <c r="G2103" s="882"/>
      <c r="H2103" s="882"/>
      <c r="I2103" s="503"/>
      <c r="J2103" s="882"/>
      <c r="K2103" s="882"/>
      <c r="L2103" s="882"/>
      <c r="M2103" s="882"/>
      <c r="N2103" s="882"/>
      <c r="O2103" s="882"/>
      <c r="P2103" s="882"/>
      <c r="Q2103" s="900"/>
      <c r="R2103" s="899" t="s">
        <v>156</v>
      </c>
      <c r="S2103" s="38"/>
      <c r="T2103" s="899" t="s">
        <v>157</v>
      </c>
    </row>
    <row r="2104" spans="1:41" s="504" customFormat="1" ht="13.2">
      <c r="A2104" s="882"/>
      <c r="B2104" s="3"/>
      <c r="C2104" s="882"/>
      <c r="D2104" s="3"/>
      <c r="E2104" s="3"/>
      <c r="G2104" s="3"/>
      <c r="H2104" s="3"/>
      <c r="I2104" s="3"/>
      <c r="J2104" s="3"/>
      <c r="K2104" s="3"/>
      <c r="L2104" s="3"/>
      <c r="M2104" s="3"/>
      <c r="N2104" s="3"/>
      <c r="O2104" s="103"/>
      <c r="P2104" s="3"/>
      <c r="Q2104" s="3"/>
      <c r="R2104" s="3"/>
      <c r="S2104" s="3"/>
      <c r="T2104" s="3"/>
    </row>
    <row r="2105" spans="1:41" s="504" customFormat="1" ht="12" thickBot="1">
      <c r="A2105" s="514"/>
      <c r="B2105" s="887"/>
      <c r="C2105" s="887"/>
      <c r="D2105" s="514"/>
      <c r="E2105" s="39"/>
      <c r="F2105" s="901"/>
      <c r="G2105" s="887"/>
      <c r="H2105" s="887"/>
      <c r="I2105" s="889"/>
      <c r="J2105" s="887"/>
      <c r="K2105" s="887"/>
      <c r="L2105" s="890"/>
      <c r="M2105" s="890"/>
      <c r="N2105" s="890"/>
      <c r="O2105" s="890"/>
      <c r="P2105" s="890"/>
      <c r="Q2105" s="891"/>
      <c r="R2105" s="901"/>
      <c r="S2105" s="902"/>
      <c r="T2105" s="901"/>
      <c r="U2105" s="514"/>
      <c r="V2105" s="514"/>
      <c r="W2105" s="514"/>
      <c r="X2105" s="514"/>
      <c r="Y2105" s="514"/>
      <c r="Z2105" s="514"/>
      <c r="AA2105" s="514"/>
      <c r="AB2105" s="514"/>
      <c r="AC2105" s="514"/>
      <c r="AD2105" s="514"/>
      <c r="AE2105" s="514"/>
      <c r="AF2105" s="514"/>
      <c r="AG2105" s="514"/>
      <c r="AH2105" s="514"/>
      <c r="AI2105" s="514"/>
      <c r="AJ2105" s="514"/>
      <c r="AK2105" s="514"/>
    </row>
    <row r="2106" spans="1:41" s="504" customFormat="1" ht="12" thickTop="1">
      <c r="A2106" s="50"/>
      <c r="B2106" s="40"/>
      <c r="C2106" s="50"/>
      <c r="E2106" s="41" t="s">
        <v>136</v>
      </c>
      <c r="F2106" s="41" t="s">
        <v>137</v>
      </c>
      <c r="G2106" s="50"/>
      <c r="H2106" s="50"/>
      <c r="I2106" s="50"/>
      <c r="J2106" s="50"/>
      <c r="K2106" s="50" t="s">
        <v>138</v>
      </c>
      <c r="L2106" s="50"/>
      <c r="M2106" s="50"/>
      <c r="N2106" s="50"/>
      <c r="O2106" s="51"/>
      <c r="P2106" s="50"/>
      <c r="Q2106" s="50"/>
      <c r="R2106" s="50"/>
      <c r="S2106" s="50"/>
      <c r="T2106" s="40"/>
      <c r="AG2106" s="867" t="s">
        <v>241</v>
      </c>
      <c r="AH2106" s="867" t="s">
        <v>242</v>
      </c>
      <c r="AI2106" s="867" t="s">
        <v>243</v>
      </c>
      <c r="AJ2106" s="867" t="s">
        <v>244</v>
      </c>
      <c r="AK2106" s="867" t="s">
        <v>245</v>
      </c>
      <c r="AM2106" s="868" t="s">
        <v>254</v>
      </c>
      <c r="AN2106" s="869" t="s">
        <v>255</v>
      </c>
      <c r="AO2106" s="505" t="s">
        <v>251</v>
      </c>
    </row>
    <row r="2107" spans="1:41" s="504" customFormat="1" ht="12" customHeight="1">
      <c r="A2107" s="870">
        <v>6</v>
      </c>
      <c r="B2107" s="871" t="s">
        <v>335</v>
      </c>
      <c r="C2107" s="872"/>
      <c r="D2107" s="873" t="s">
        <v>827</v>
      </c>
      <c r="E2107" s="874">
        <f ca="1">IF(AND($A2107=0,$A$1="DIF"),0, ROUND(ROUND(($R2112*$S$2+($T2112*$T$2))/A2107,2)*$C$2,2))</f>
        <v>11.35</v>
      </c>
      <c r="F2107" s="875">
        <f ca="1">ROUND($A2107*$E2107,2)</f>
        <v>68.099999999999994</v>
      </c>
      <c r="G2107" s="876" t="s">
        <v>139</v>
      </c>
      <c r="H2107" s="877"/>
      <c r="I2107" s="878"/>
      <c r="J2107" s="877"/>
      <c r="K2107" s="877" t="s">
        <v>3</v>
      </c>
      <c r="L2107" s="879" t="s">
        <v>140</v>
      </c>
      <c r="M2107" s="879"/>
      <c r="N2107" s="879"/>
      <c r="O2107" s="879"/>
      <c r="P2107" s="879"/>
      <c r="Q2107" s="50"/>
      <c r="T2107" s="880" t="str">
        <f ca="1">IF(AND($R2112=0,$T2112=0),"0.00","mu :" &amp; ROUND($F2107/$C$2/($R2112+$T2112*$D$9),2))</f>
        <v>mu :1.22</v>
      </c>
      <c r="W2107" s="507"/>
      <c r="AG2107" s="465">
        <f ca="1">IF($E2107=0,0,ROUND($R2112*$S$2*$C$2/$A2107,2))</f>
        <v>0.1</v>
      </c>
      <c r="AH2107" s="465">
        <f ca="1">$AG2107*$A2107</f>
        <v>0.60000000000000009</v>
      </c>
      <c r="AI2107" s="508">
        <f ca="1">$E2107-$AG2107</f>
        <v>11.25</v>
      </c>
      <c r="AJ2107" s="508">
        <f ca="1">$A2107*$AI2107</f>
        <v>67.5</v>
      </c>
      <c r="AK2107" s="509">
        <f ca="1">ROUND(($AG2107+$AI2107)*$A2107,2)</f>
        <v>68.099999999999994</v>
      </c>
      <c r="AM2107" s="510">
        <f ca="1">ROUND(R2112,2)</f>
        <v>0.48</v>
      </c>
      <c r="AN2107" s="511">
        <f ca="1">ROUND(T2112,2)</f>
        <v>1.92</v>
      </c>
      <c r="AO2107" s="512">
        <f ca="1">ROUND(AM2107+AN2107,2)*A2107</f>
        <v>14.399999999999999</v>
      </c>
    </row>
    <row r="2108" spans="1:41" s="504" customFormat="1" ht="13.2">
      <c r="A2108" s="872"/>
      <c r="B2108"/>
      <c r="C2108" s="872"/>
      <c r="D2108" s="873" t="s">
        <v>422</v>
      </c>
      <c r="F2108" s="877"/>
      <c r="G2108" s="3"/>
      <c r="H2108" s="877"/>
      <c r="I2108" s="878"/>
      <c r="J2108" s="877"/>
      <c r="K2108" s="877" t="s">
        <v>141</v>
      </c>
      <c r="L2108" s="877"/>
      <c r="M2108" s="877"/>
      <c r="N2108" s="877"/>
      <c r="O2108" s="877"/>
      <c r="P2108" s="877"/>
      <c r="Q2108" s="50"/>
      <c r="R2108" s="513"/>
      <c r="S2108" s="881"/>
      <c r="T2108" s="877"/>
    </row>
    <row r="2109" spans="1:41" s="997" customFormat="1" ht="13.2">
      <c r="A2109"/>
      <c r="B2109" s="1065"/>
      <c r="C2109" s="1065" t="s">
        <v>1006</v>
      </c>
      <c r="D2109" s="1065" t="str">
        <f ca="1">CELL("Address",Elec_Rates!D$330)</f>
        <v>[EL25_0662B_Brittania_Hotel_Elec_Revised_Estim_B.xlsx]Elec_Rates!$D$330</v>
      </c>
      <c r="E2109" s="1066"/>
      <c r="F2109" s="1066"/>
      <c r="G2109" s="1067" t="s">
        <v>1007</v>
      </c>
      <c r="H2109" s="1067"/>
      <c r="I2109" s="1067"/>
      <c r="J2109" s="1067"/>
      <c r="K2109" s="1068"/>
      <c r="L2109" s="1066"/>
      <c r="M2109" s="1066"/>
      <c r="N2109" s="1066"/>
      <c r="O2109" s="1069"/>
      <c r="P2109" s="1066"/>
      <c r="Q2109" s="1070"/>
      <c r="R2109" s="1071"/>
      <c r="S2109" s="1070"/>
      <c r="T2109" s="1072"/>
      <c r="U2109" s="1073"/>
    </row>
    <row r="2110" spans="1:41" s="997" customFormat="1" ht="11.4">
      <c r="A2110" s="1074">
        <v>6</v>
      </c>
      <c r="B2110" s="1075">
        <v>1</v>
      </c>
      <c r="C2110" s="1075">
        <f>$A2110*$B2110</f>
        <v>6</v>
      </c>
      <c r="D2110" s="1076" t="str">
        <f>Elec_Rates!$D$330</f>
        <v>037# Install and connect Only - Type 'LD-12' - Reading Lights</v>
      </c>
      <c r="E2110" s="1076"/>
      <c r="F2110" s="1076"/>
      <c r="G2110" s="1077" t="s">
        <v>1008</v>
      </c>
      <c r="H2110" s="1077"/>
      <c r="I2110" s="1077"/>
      <c r="J2110" s="1077"/>
      <c r="K2110" s="1078"/>
      <c r="L2110" s="1073"/>
      <c r="M2110" s="1073"/>
      <c r="N2110" s="1073"/>
      <c r="O2110" s="1079"/>
      <c r="P2110" s="1076"/>
      <c r="Q2110" s="1080">
        <f ca="1">$B2110*Elec_Rates!$R$330</f>
        <v>0.08</v>
      </c>
      <c r="R2110" s="1071">
        <f ca="1">$A2110*Q2110</f>
        <v>0.48</v>
      </c>
      <c r="S2110" s="1080">
        <f ca="1">$B2110*Elec_Rates!$T$330</f>
        <v>0.32</v>
      </c>
      <c r="T2110" s="1072">
        <f ca="1">$A2110*S2110</f>
        <v>1.92</v>
      </c>
      <c r="U2110" s="1081"/>
    </row>
    <row r="2111" spans="1:41" s="504" customFormat="1" ht="12">
      <c r="A2111" s="882"/>
      <c r="B2111" s="882"/>
      <c r="C2111" s="882"/>
      <c r="D2111" s="882"/>
      <c r="E2111" s="882"/>
      <c r="F2111" s="877"/>
      <c r="G2111" s="882"/>
      <c r="H2111" s="882"/>
      <c r="I2111" s="503"/>
      <c r="J2111" s="882"/>
      <c r="K2111" s="882"/>
      <c r="L2111" s="882"/>
      <c r="M2111" s="882"/>
      <c r="N2111" s="882"/>
      <c r="O2111" s="882"/>
      <c r="P2111" s="882"/>
      <c r="Q2111" s="503"/>
      <c r="R2111" s="883">
        <f>$A2111*Q2111</f>
        <v>0</v>
      </c>
      <c r="S2111" s="503"/>
      <c r="T2111" s="884">
        <f>$A2111*S2111*$T$1</f>
        <v>0</v>
      </c>
    </row>
    <row r="2112" spans="1:41" s="504" customFormat="1" ht="12.6" thickBot="1">
      <c r="A2112" s="885" t="s">
        <v>142</v>
      </c>
      <c r="B2112" s="886">
        <f>(R2111+T2111)</f>
        <v>0</v>
      </c>
      <c r="C2112" s="887"/>
      <c r="D2112" s="887"/>
      <c r="E2112" s="887"/>
      <c r="F2112" s="888"/>
      <c r="G2112" s="887" t="s">
        <v>143</v>
      </c>
      <c r="H2112" s="887"/>
      <c r="I2112" s="889"/>
      <c r="J2112" s="887"/>
      <c r="K2112" s="887" t="s">
        <v>3</v>
      </c>
      <c r="L2112" s="890" t="s">
        <v>140</v>
      </c>
      <c r="M2112" s="890"/>
      <c r="N2112" s="890"/>
      <c r="O2112" s="890"/>
      <c r="P2112" s="890"/>
      <c r="Q2112" s="891"/>
      <c r="R2112" s="892">
        <f ca="1">SUM(R2108:R2111)</f>
        <v>0.48</v>
      </c>
      <c r="S2112" s="887"/>
      <c r="T2112" s="892">
        <f ca="1">SUM(T2108:T2111)</f>
        <v>1.92</v>
      </c>
      <c r="U2112" s="514"/>
      <c r="V2112" s="514"/>
      <c r="W2112" s="514"/>
      <c r="X2112" s="514"/>
      <c r="Y2112" s="514"/>
      <c r="Z2112" s="514"/>
      <c r="AA2112" s="514"/>
      <c r="AB2112" s="514"/>
      <c r="AC2112" s="514"/>
      <c r="AD2112" s="514"/>
      <c r="AE2112" s="514"/>
      <c r="AF2112" s="514"/>
      <c r="AG2112" s="514"/>
      <c r="AH2112" s="514"/>
      <c r="AI2112" s="514"/>
      <c r="AJ2112" s="514"/>
      <c r="AK2112" s="514"/>
      <c r="AL2112" s="514"/>
      <c r="AM2112" s="514"/>
      <c r="AN2112" s="514"/>
      <c r="AO2112" s="514"/>
    </row>
    <row r="2113" spans="1:41" s="504" customFormat="1" ht="12" thickTop="1">
      <c r="A2113" s="50"/>
      <c r="B2113" s="40"/>
      <c r="C2113" s="50"/>
      <c r="E2113" s="41" t="s">
        <v>136</v>
      </c>
      <c r="F2113" s="41" t="s">
        <v>137</v>
      </c>
      <c r="G2113" s="50"/>
      <c r="H2113" s="50"/>
      <c r="I2113" s="50"/>
      <c r="J2113" s="50"/>
      <c r="K2113" s="50" t="s">
        <v>138</v>
      </c>
      <c r="L2113" s="50"/>
      <c r="M2113" s="50"/>
      <c r="N2113" s="50"/>
      <c r="O2113" s="51"/>
      <c r="P2113" s="50"/>
      <c r="Q2113" s="50"/>
      <c r="R2113" s="50"/>
      <c r="S2113" s="50"/>
      <c r="T2113" s="40"/>
      <c r="AG2113" s="867" t="s">
        <v>241</v>
      </c>
      <c r="AH2113" s="867" t="s">
        <v>242</v>
      </c>
      <c r="AI2113" s="867" t="s">
        <v>243</v>
      </c>
      <c r="AJ2113" s="867" t="s">
        <v>244</v>
      </c>
      <c r="AK2113" s="867" t="s">
        <v>245</v>
      </c>
      <c r="AM2113" s="868" t="s">
        <v>254</v>
      </c>
      <c r="AN2113" s="869" t="s">
        <v>255</v>
      </c>
      <c r="AO2113" s="505" t="s">
        <v>251</v>
      </c>
    </row>
    <row r="2114" spans="1:41" s="504" customFormat="1" ht="12" customHeight="1">
      <c r="A2114" s="870">
        <v>5</v>
      </c>
      <c r="B2114" s="871" t="s">
        <v>335</v>
      </c>
      <c r="C2114" s="872"/>
      <c r="D2114" s="873" t="s">
        <v>828</v>
      </c>
      <c r="E2114" s="874">
        <f ca="1">IF(AND($A2114=0,$A$1="DIF"),0, ROUND(ROUND(($R2119*$S$2+($T2119*$T$2))/A2114,2)*$C$2,2))</f>
        <v>11.35</v>
      </c>
      <c r="F2114" s="875">
        <f ca="1">ROUND($A2114*$E2114,2)</f>
        <v>56.75</v>
      </c>
      <c r="G2114" s="876" t="s">
        <v>139</v>
      </c>
      <c r="H2114" s="877"/>
      <c r="I2114" s="878"/>
      <c r="J2114" s="877"/>
      <c r="K2114" s="877" t="s">
        <v>3</v>
      </c>
      <c r="L2114" s="879" t="s">
        <v>140</v>
      </c>
      <c r="M2114" s="879"/>
      <c r="N2114" s="879"/>
      <c r="O2114" s="879"/>
      <c r="P2114" s="879"/>
      <c r="Q2114" s="50"/>
      <c r="T2114" s="880" t="str">
        <f ca="1">IF(AND($R2119=0,$T2119=0),"0.00","mu :" &amp; ROUND($F2114/$C$2/($R2119+$T2119*$D$9),2))</f>
        <v>mu :1.22</v>
      </c>
      <c r="W2114" s="507"/>
      <c r="AG2114" s="465">
        <f ca="1">IF($E2114=0,0,ROUND($R2119*$S$2*$C$2/$A2114,2))</f>
        <v>0.1</v>
      </c>
      <c r="AH2114" s="465">
        <f ca="1">$AG2114*$A2114</f>
        <v>0.5</v>
      </c>
      <c r="AI2114" s="508">
        <f ca="1">$E2114-$AG2114</f>
        <v>11.25</v>
      </c>
      <c r="AJ2114" s="508">
        <f ca="1">$A2114*$AI2114</f>
        <v>56.25</v>
      </c>
      <c r="AK2114" s="509">
        <f ca="1">ROUND(($AG2114+$AI2114)*$A2114,2)</f>
        <v>56.75</v>
      </c>
      <c r="AM2114" s="510">
        <f ca="1">ROUND(R2119,2)</f>
        <v>0.4</v>
      </c>
      <c r="AN2114" s="511">
        <f ca="1">ROUND(T2119,2)</f>
        <v>1.6</v>
      </c>
      <c r="AO2114" s="512">
        <f ca="1">ROUND(AM2114+AN2114,2)*A2114</f>
        <v>10</v>
      </c>
    </row>
    <row r="2115" spans="1:41" s="504" customFormat="1" ht="13.2">
      <c r="A2115" s="872"/>
      <c r="B2115"/>
      <c r="C2115" s="872"/>
      <c r="D2115" s="873" t="s">
        <v>423</v>
      </c>
      <c r="F2115" s="877"/>
      <c r="G2115" s="3"/>
      <c r="H2115" s="877"/>
      <c r="I2115" s="878"/>
      <c r="J2115" s="877"/>
      <c r="K2115" s="877" t="s">
        <v>141</v>
      </c>
      <c r="L2115" s="877"/>
      <c r="M2115" s="877"/>
      <c r="N2115" s="877"/>
      <c r="O2115" s="877"/>
      <c r="P2115" s="877"/>
      <c r="Q2115" s="50"/>
      <c r="R2115" s="513"/>
      <c r="S2115" s="881"/>
      <c r="T2115" s="877"/>
    </row>
    <row r="2116" spans="1:41" s="997" customFormat="1" ht="13.2">
      <c r="A2116"/>
      <c r="B2116" s="1065"/>
      <c r="C2116" s="1065" t="s">
        <v>1006</v>
      </c>
      <c r="D2116" s="1065" t="str">
        <f ca="1">CELL("Address",Elec_Rates!D$353)</f>
        <v>[EL25_0662B_Brittania_Hotel_Elec_Revised_Estim_B.xlsx]Elec_Rates!$D$353</v>
      </c>
      <c r="E2116" s="1066"/>
      <c r="F2116" s="1066"/>
      <c r="G2116" s="1067" t="s">
        <v>1007</v>
      </c>
      <c r="H2116" s="1067"/>
      <c r="I2116" s="1067"/>
      <c r="J2116" s="1067"/>
      <c r="K2116" s="1068"/>
      <c r="L2116" s="1066"/>
      <c r="M2116" s="1066"/>
      <c r="N2116" s="1066"/>
      <c r="O2116" s="1069"/>
      <c r="P2116" s="1066"/>
      <c r="Q2116" s="1070"/>
      <c r="R2116" s="1071"/>
      <c r="S2116" s="1070"/>
      <c r="T2116" s="1072"/>
      <c r="U2116" s="1073"/>
    </row>
    <row r="2117" spans="1:41" s="997" customFormat="1" ht="11.4">
      <c r="A2117" s="1074">
        <v>5</v>
      </c>
      <c r="B2117" s="1075">
        <v>1</v>
      </c>
      <c r="C2117" s="1075">
        <f>$A2117*$B2117</f>
        <v>5</v>
      </c>
      <c r="D2117" s="1076" t="str">
        <f>Elec_Rates!$D$353</f>
        <v>040# Install and connect Only - Type 'LD-15' - Bathrooms Wall Light</v>
      </c>
      <c r="E2117" s="1076"/>
      <c r="F2117" s="1076"/>
      <c r="G2117" s="1077" t="s">
        <v>1008</v>
      </c>
      <c r="H2117" s="1077"/>
      <c r="I2117" s="1077"/>
      <c r="J2117" s="1077"/>
      <c r="K2117" s="1078"/>
      <c r="L2117" s="1073"/>
      <c r="M2117" s="1073"/>
      <c r="N2117" s="1073"/>
      <c r="O2117" s="1079"/>
      <c r="P2117" s="1076"/>
      <c r="Q2117" s="1080">
        <f ca="1">$B2117*Elec_Rates!$R$353</f>
        <v>0.08</v>
      </c>
      <c r="R2117" s="1071">
        <f ca="1">$A2117*Q2117</f>
        <v>0.4</v>
      </c>
      <c r="S2117" s="1080">
        <f ca="1">$B2117*Elec_Rates!$T$353</f>
        <v>0.32</v>
      </c>
      <c r="T2117" s="1072">
        <f ca="1">$A2117*S2117</f>
        <v>1.6</v>
      </c>
      <c r="U2117" s="1081"/>
    </row>
    <row r="2118" spans="1:41" s="504" customFormat="1" ht="12">
      <c r="A2118" s="882"/>
      <c r="B2118" s="882"/>
      <c r="C2118" s="882"/>
      <c r="D2118" s="882"/>
      <c r="E2118" s="882"/>
      <c r="F2118" s="877"/>
      <c r="G2118" s="882"/>
      <c r="H2118" s="882"/>
      <c r="I2118" s="503"/>
      <c r="J2118" s="882"/>
      <c r="K2118" s="882"/>
      <c r="L2118" s="882"/>
      <c r="M2118" s="882"/>
      <c r="N2118" s="882"/>
      <c r="O2118" s="882"/>
      <c r="P2118" s="882"/>
      <c r="Q2118" s="503"/>
      <c r="R2118" s="883">
        <f>$A2118*Q2118</f>
        <v>0</v>
      </c>
      <c r="S2118" s="503"/>
      <c r="T2118" s="884">
        <f>$A2118*S2118*$T$1</f>
        <v>0</v>
      </c>
    </row>
    <row r="2119" spans="1:41" s="504" customFormat="1" ht="12.6" thickBot="1">
      <c r="A2119" s="885" t="s">
        <v>142</v>
      </c>
      <c r="B2119" s="886">
        <f>(R2118+T2118)</f>
        <v>0</v>
      </c>
      <c r="C2119" s="887"/>
      <c r="D2119" s="887"/>
      <c r="E2119" s="887"/>
      <c r="F2119" s="888"/>
      <c r="G2119" s="887" t="s">
        <v>143</v>
      </c>
      <c r="H2119" s="887"/>
      <c r="I2119" s="889"/>
      <c r="J2119" s="887"/>
      <c r="K2119" s="887" t="s">
        <v>3</v>
      </c>
      <c r="L2119" s="890" t="s">
        <v>140</v>
      </c>
      <c r="M2119" s="890"/>
      <c r="N2119" s="890"/>
      <c r="O2119" s="890"/>
      <c r="P2119" s="890"/>
      <c r="Q2119" s="891"/>
      <c r="R2119" s="892">
        <f ca="1">SUM(R2115:R2118)</f>
        <v>0.4</v>
      </c>
      <c r="S2119" s="887"/>
      <c r="T2119" s="892">
        <f ca="1">SUM(T2115:T2118)</f>
        <v>1.6</v>
      </c>
      <c r="U2119" s="514"/>
      <c r="V2119" s="514"/>
      <c r="W2119" s="514"/>
      <c r="X2119" s="514"/>
      <c r="Y2119" s="514"/>
      <c r="Z2119" s="514"/>
      <c r="AA2119" s="514"/>
      <c r="AB2119" s="514"/>
      <c r="AC2119" s="514"/>
      <c r="AD2119" s="514"/>
      <c r="AE2119" s="514"/>
      <c r="AF2119" s="514"/>
      <c r="AG2119" s="514"/>
      <c r="AH2119" s="514"/>
      <c r="AI2119" s="514"/>
      <c r="AJ2119" s="514"/>
      <c r="AK2119" s="514"/>
      <c r="AL2119" s="514"/>
      <c r="AM2119" s="514"/>
      <c r="AN2119" s="514"/>
      <c r="AO2119" s="514"/>
    </row>
    <row r="2120" spans="1:41" s="504" customFormat="1" ht="12" thickTop="1">
      <c r="A2120" s="50"/>
      <c r="B2120" s="40"/>
      <c r="C2120" s="50"/>
      <c r="E2120" s="41" t="s">
        <v>136</v>
      </c>
      <c r="F2120" s="41" t="s">
        <v>137</v>
      </c>
      <c r="G2120" s="50"/>
      <c r="H2120" s="50"/>
      <c r="I2120" s="50"/>
      <c r="J2120" s="50"/>
      <c r="K2120" s="50" t="s">
        <v>138</v>
      </c>
      <c r="L2120" s="50"/>
      <c r="M2120" s="50"/>
      <c r="N2120" s="50"/>
      <c r="O2120" s="51"/>
      <c r="P2120" s="50"/>
      <c r="Q2120" s="50"/>
      <c r="R2120" s="50"/>
      <c r="S2120" s="50"/>
      <c r="T2120" s="40"/>
      <c r="AG2120" s="867" t="s">
        <v>241</v>
      </c>
      <c r="AH2120" s="867" t="s">
        <v>242</v>
      </c>
      <c r="AI2120" s="867" t="s">
        <v>243</v>
      </c>
      <c r="AJ2120" s="867" t="s">
        <v>244</v>
      </c>
      <c r="AK2120" s="867" t="s">
        <v>245</v>
      </c>
      <c r="AM2120" s="868" t="s">
        <v>254</v>
      </c>
      <c r="AN2120" s="869" t="s">
        <v>255</v>
      </c>
      <c r="AO2120" s="505" t="s">
        <v>251</v>
      </c>
    </row>
    <row r="2121" spans="1:41" s="504" customFormat="1" ht="12" customHeight="1">
      <c r="A2121" s="870">
        <v>1</v>
      </c>
      <c r="B2121" s="871" t="s">
        <v>335</v>
      </c>
      <c r="C2121" s="872"/>
      <c r="D2121" s="873" t="s">
        <v>829</v>
      </c>
      <c r="E2121" s="874">
        <f ca="1">IF(AND($A2121=0,$A$1="DIF"),0, ROUND(ROUND(($R2126*$S$2+($T2126*$T$2))/A2121,2)*$C$2,2))</f>
        <v>11.35</v>
      </c>
      <c r="F2121" s="875">
        <f ca="1">ROUND($A2121*$E2121,2)</f>
        <v>11.35</v>
      </c>
      <c r="G2121" s="876" t="s">
        <v>139</v>
      </c>
      <c r="H2121" s="877"/>
      <c r="I2121" s="878"/>
      <c r="J2121" s="877"/>
      <c r="K2121" s="877" t="s">
        <v>3</v>
      </c>
      <c r="L2121" s="879" t="s">
        <v>140</v>
      </c>
      <c r="M2121" s="879"/>
      <c r="N2121" s="879"/>
      <c r="O2121" s="879"/>
      <c r="P2121" s="879"/>
      <c r="Q2121" s="50"/>
      <c r="T2121" s="880" t="str">
        <f ca="1">IF(AND($R2126=0,$T2126=0),"0.00","mu :" &amp; ROUND($F2121/$C$2/($R2126+$T2126*$D$9),2))</f>
        <v>mu :1.22</v>
      </c>
      <c r="W2121" s="507"/>
      <c r="AG2121" s="465">
        <f ca="1">IF($E2121=0,0,ROUND($R2126*$S$2*$C$2/$A2121,2))</f>
        <v>0.1</v>
      </c>
      <c r="AH2121" s="465">
        <f ca="1">$AG2121*$A2121</f>
        <v>0.1</v>
      </c>
      <c r="AI2121" s="508">
        <f ca="1">$E2121-$AG2121</f>
        <v>11.25</v>
      </c>
      <c r="AJ2121" s="508">
        <f ca="1">$A2121*$AI2121</f>
        <v>11.25</v>
      </c>
      <c r="AK2121" s="509">
        <f ca="1">ROUND(($AG2121+$AI2121)*$A2121,2)</f>
        <v>11.35</v>
      </c>
      <c r="AM2121" s="510">
        <f ca="1">ROUND(R2126,2)</f>
        <v>0.08</v>
      </c>
      <c r="AN2121" s="511">
        <f ca="1">ROUND(T2126,2)</f>
        <v>0.32</v>
      </c>
      <c r="AO2121" s="512">
        <f ca="1">ROUND(AM2121+AN2121,2)*A2121</f>
        <v>0.4</v>
      </c>
    </row>
    <row r="2122" spans="1:41" s="504" customFormat="1" ht="13.2">
      <c r="A2122" s="872"/>
      <c r="B2122"/>
      <c r="C2122" s="872"/>
      <c r="D2122" s="873" t="s">
        <v>357</v>
      </c>
      <c r="F2122" s="877"/>
      <c r="G2122" s="3"/>
      <c r="H2122" s="877"/>
      <c r="I2122" s="878"/>
      <c r="J2122" s="877"/>
      <c r="K2122" s="877" t="s">
        <v>141</v>
      </c>
      <c r="L2122" s="877"/>
      <c r="M2122" s="877"/>
      <c r="N2122" s="877"/>
      <c r="O2122" s="877"/>
      <c r="P2122" s="877"/>
      <c r="Q2122" s="50"/>
      <c r="R2122" s="513"/>
      <c r="S2122" s="881"/>
      <c r="T2122" s="877"/>
    </row>
    <row r="2123" spans="1:41" s="997" customFormat="1" ht="13.2">
      <c r="A2123"/>
      <c r="B2123" s="1065"/>
      <c r="C2123" s="1065" t="s">
        <v>1006</v>
      </c>
      <c r="D2123" s="1065" t="str">
        <f ca="1">CELL("Address",Elec_Rates!D$361)</f>
        <v>[EL25_0662B_Brittania_Hotel_Elec_Revised_Estim_B.xlsx]Elec_Rates!$D$361</v>
      </c>
      <c r="E2123" s="1066"/>
      <c r="F2123" s="1066"/>
      <c r="G2123" s="1067" t="s">
        <v>1007</v>
      </c>
      <c r="H2123" s="1067"/>
      <c r="I2123" s="1067"/>
      <c r="J2123" s="1067"/>
      <c r="K2123" s="1068"/>
      <c r="L2123" s="1066"/>
      <c r="M2123" s="1066"/>
      <c r="N2123" s="1066"/>
      <c r="O2123" s="1069"/>
      <c r="P2123" s="1066"/>
      <c r="Q2123" s="1070"/>
      <c r="R2123" s="1071"/>
      <c r="S2123" s="1070"/>
      <c r="T2123" s="1072"/>
      <c r="U2123" s="1073"/>
    </row>
    <row r="2124" spans="1:41" s="997" customFormat="1" ht="11.4">
      <c r="A2124" s="1074">
        <v>1</v>
      </c>
      <c r="B2124" s="1075">
        <v>1</v>
      </c>
      <c r="C2124" s="1075">
        <f>$A2124*$B2124</f>
        <v>1</v>
      </c>
      <c r="D2124" s="1076" t="str">
        <f>Elec_Rates!$D$361</f>
        <v>041# Install and connect Only - Type 'LD-16' - Toilets Wall Light</v>
      </c>
      <c r="E2124" s="1076"/>
      <c r="F2124" s="1076"/>
      <c r="G2124" s="1077" t="s">
        <v>1008</v>
      </c>
      <c r="H2124" s="1077"/>
      <c r="I2124" s="1077"/>
      <c r="J2124" s="1077"/>
      <c r="K2124" s="1078"/>
      <c r="L2124" s="1073"/>
      <c r="M2124" s="1073"/>
      <c r="N2124" s="1073"/>
      <c r="O2124" s="1079"/>
      <c r="P2124" s="1076"/>
      <c r="Q2124" s="1080">
        <f ca="1">$B2124*Elec_Rates!$R$361</f>
        <v>0.08</v>
      </c>
      <c r="R2124" s="1071">
        <f ca="1">$A2124*Q2124</f>
        <v>0.08</v>
      </c>
      <c r="S2124" s="1080">
        <f ca="1">$B2124*Elec_Rates!$T$361</f>
        <v>0.32</v>
      </c>
      <c r="T2124" s="1072">
        <f ca="1">$A2124*S2124</f>
        <v>0.32</v>
      </c>
      <c r="U2124" s="1081"/>
    </row>
    <row r="2125" spans="1:41" s="504" customFormat="1" ht="12">
      <c r="A2125" s="882"/>
      <c r="B2125" s="882"/>
      <c r="C2125" s="882"/>
      <c r="D2125" s="882"/>
      <c r="E2125" s="882"/>
      <c r="F2125" s="877"/>
      <c r="G2125" s="882"/>
      <c r="H2125" s="882"/>
      <c r="I2125" s="503"/>
      <c r="J2125" s="882"/>
      <c r="K2125" s="882"/>
      <c r="L2125" s="882"/>
      <c r="M2125" s="882"/>
      <c r="N2125" s="882"/>
      <c r="O2125" s="882"/>
      <c r="P2125" s="882"/>
      <c r="Q2125" s="503"/>
      <c r="R2125" s="883">
        <f>$A2125*Q2125</f>
        <v>0</v>
      </c>
      <c r="S2125" s="503"/>
      <c r="T2125" s="884">
        <f>$A2125*S2125*$T$1</f>
        <v>0</v>
      </c>
    </row>
    <row r="2126" spans="1:41" s="504" customFormat="1" ht="12.6" thickBot="1">
      <c r="A2126" s="885" t="s">
        <v>142</v>
      </c>
      <c r="B2126" s="886">
        <f>(R2125+T2125)</f>
        <v>0</v>
      </c>
      <c r="C2126" s="887"/>
      <c r="D2126" s="887"/>
      <c r="E2126" s="887"/>
      <c r="F2126" s="888"/>
      <c r="G2126" s="887" t="s">
        <v>143</v>
      </c>
      <c r="H2126" s="887"/>
      <c r="I2126" s="889"/>
      <c r="J2126" s="887"/>
      <c r="K2126" s="887" t="s">
        <v>3</v>
      </c>
      <c r="L2126" s="890" t="s">
        <v>140</v>
      </c>
      <c r="M2126" s="890"/>
      <c r="N2126" s="890"/>
      <c r="O2126" s="890"/>
      <c r="P2126" s="890"/>
      <c r="Q2126" s="891"/>
      <c r="R2126" s="892">
        <f ca="1">SUM(R2122:R2125)</f>
        <v>0.08</v>
      </c>
      <c r="S2126" s="887"/>
      <c r="T2126" s="892">
        <f ca="1">SUM(T2122:T2125)</f>
        <v>0.32</v>
      </c>
      <c r="U2126" s="514"/>
      <c r="V2126" s="514"/>
      <c r="W2126" s="514"/>
      <c r="X2126" s="514"/>
      <c r="Y2126" s="514"/>
      <c r="Z2126" s="514"/>
      <c r="AA2126" s="514"/>
      <c r="AB2126" s="514"/>
      <c r="AC2126" s="514"/>
      <c r="AD2126" s="514"/>
      <c r="AE2126" s="514"/>
      <c r="AF2126" s="514"/>
      <c r="AG2126" s="514"/>
      <c r="AH2126" s="514"/>
      <c r="AI2126" s="514"/>
      <c r="AJ2126" s="514"/>
      <c r="AK2126" s="514"/>
      <c r="AL2126" s="514"/>
      <c r="AM2126" s="514"/>
      <c r="AN2126" s="514"/>
      <c r="AO2126" s="514"/>
    </row>
    <row r="2127" spans="1:41" s="504" customFormat="1" ht="12" thickTop="1">
      <c r="A2127" s="50"/>
      <c r="B2127" s="40"/>
      <c r="C2127" s="50"/>
      <c r="E2127" s="41" t="s">
        <v>136</v>
      </c>
      <c r="F2127" s="41" t="s">
        <v>137</v>
      </c>
      <c r="G2127" s="50"/>
      <c r="H2127" s="50"/>
      <c r="I2127" s="50"/>
      <c r="J2127" s="50"/>
      <c r="K2127" s="50" t="s">
        <v>138</v>
      </c>
      <c r="L2127" s="50"/>
      <c r="M2127" s="50"/>
      <c r="N2127" s="50"/>
      <c r="O2127" s="51"/>
      <c r="P2127" s="50"/>
      <c r="Q2127" s="50"/>
      <c r="R2127" s="50"/>
      <c r="S2127" s="50"/>
      <c r="T2127" s="40"/>
      <c r="AG2127" s="867" t="s">
        <v>241</v>
      </c>
      <c r="AH2127" s="867" t="s">
        <v>242</v>
      </c>
      <c r="AI2127" s="867" t="s">
        <v>243</v>
      </c>
      <c r="AJ2127" s="867" t="s">
        <v>244</v>
      </c>
      <c r="AK2127" s="867" t="s">
        <v>245</v>
      </c>
      <c r="AM2127" s="868" t="s">
        <v>254</v>
      </c>
      <c r="AN2127" s="869" t="s">
        <v>255</v>
      </c>
      <c r="AO2127" s="505" t="s">
        <v>251</v>
      </c>
    </row>
    <row r="2128" spans="1:41" s="504" customFormat="1" ht="12" customHeight="1">
      <c r="A2128" s="870">
        <v>9</v>
      </c>
      <c r="B2128" s="871" t="s">
        <v>335</v>
      </c>
      <c r="C2128" s="872"/>
      <c r="D2128" s="873" t="s">
        <v>830</v>
      </c>
      <c r="E2128" s="874">
        <f>IF(AND($A2128=0,$A$1="DIF"),0, ROUND(ROUND(($R2132*$S$2+($T2132*$T$2))/A2128,2)*$C$2,2))</f>
        <v>0</v>
      </c>
      <c r="F2128" s="875">
        <f>ROUND($A2128*$E2128,2)</f>
        <v>0</v>
      </c>
      <c r="G2128" s="876" t="s">
        <v>139</v>
      </c>
      <c r="H2128" s="877"/>
      <c r="I2128" s="878"/>
      <c r="J2128" s="877"/>
      <c r="K2128" s="877" t="s">
        <v>3</v>
      </c>
      <c r="L2128" s="879" t="s">
        <v>140</v>
      </c>
      <c r="M2128" s="879"/>
      <c r="N2128" s="879"/>
      <c r="O2128" s="879"/>
      <c r="P2128" s="879"/>
      <c r="Q2128" s="50" t="s">
        <v>1334</v>
      </c>
      <c r="T2128" s="880" t="str">
        <f>IF(AND($R2132=0,$T2132=0),"0.00","mu :" &amp; ROUND($F2128/$C$2/($R2132+$T2132*$D$9),2))</f>
        <v>0.00</v>
      </c>
      <c r="W2128" s="507"/>
      <c r="AG2128" s="465">
        <f>IF($E2128=0,0,ROUND($R2132*$S$2*$C$2/$A2128,2))</f>
        <v>0</v>
      </c>
      <c r="AH2128" s="465">
        <f>$AG2128*$A2128</f>
        <v>0</v>
      </c>
      <c r="AI2128" s="508">
        <f>$E2128-$AG2128</f>
        <v>0</v>
      </c>
      <c r="AJ2128" s="508">
        <f>$A2128*$AI2128</f>
        <v>0</v>
      </c>
      <c r="AK2128" s="509">
        <f>ROUND(($AG2128+$AI2128)*$A2128,2)</f>
        <v>0</v>
      </c>
      <c r="AM2128" s="510">
        <f>ROUND(R2132,2)</f>
        <v>0</v>
      </c>
      <c r="AN2128" s="511">
        <f>ROUND(T2132,2)</f>
        <v>0</v>
      </c>
      <c r="AO2128" s="512">
        <f>ROUND(AM2128+AN2128,2)*A2128</f>
        <v>0</v>
      </c>
    </row>
    <row r="2129" spans="1:41" s="504" customFormat="1" ht="13.2">
      <c r="A2129" s="872"/>
      <c r="B2129"/>
      <c r="C2129" s="872"/>
      <c r="D2129" s="873" t="s">
        <v>381</v>
      </c>
      <c r="F2129" s="877"/>
      <c r="G2129" s="3"/>
      <c r="H2129" s="877"/>
      <c r="I2129" s="878"/>
      <c r="J2129" s="877"/>
      <c r="K2129" s="877" t="s">
        <v>141</v>
      </c>
      <c r="L2129" s="877"/>
      <c r="M2129" s="877"/>
      <c r="N2129" s="877"/>
      <c r="O2129" s="877"/>
      <c r="P2129" s="877"/>
      <c r="Q2129" s="50"/>
      <c r="R2129" s="513"/>
      <c r="S2129" s="881"/>
      <c r="T2129" s="877"/>
    </row>
    <row r="2130" spans="1:41" s="1039" customFormat="1" ht="11.4">
      <c r="A2130" s="50">
        <v>9</v>
      </c>
      <c r="B2130" s="1039" t="s">
        <v>949</v>
      </c>
      <c r="D2130" s="1039" t="s">
        <v>1286</v>
      </c>
      <c r="G2130" s="1040" t="s">
        <v>1182</v>
      </c>
      <c r="H2130" s="1041">
        <v>705</v>
      </c>
      <c r="I2130" s="1039" t="s">
        <v>1183</v>
      </c>
      <c r="J2130" s="1039" t="s">
        <v>1184</v>
      </c>
      <c r="O2130" s="1042">
        <v>3</v>
      </c>
      <c r="P2130" s="1043">
        <v>34669</v>
      </c>
      <c r="Q2130" s="1044">
        <v>0</v>
      </c>
      <c r="R2130" s="1045">
        <f>$A2130*Q2130</f>
        <v>0</v>
      </c>
      <c r="S2130" s="1044"/>
      <c r="T2130" s="1046">
        <f>$A2130*S2130*$T$1</f>
        <v>0</v>
      </c>
    </row>
    <row r="2131" spans="1:41" s="504" customFormat="1" ht="12">
      <c r="A2131" s="882"/>
      <c r="B2131" s="882"/>
      <c r="C2131" s="882"/>
      <c r="D2131" s="882"/>
      <c r="E2131" s="882"/>
      <c r="F2131" s="877"/>
      <c r="G2131" s="882"/>
      <c r="H2131" s="882"/>
      <c r="I2131" s="503"/>
      <c r="J2131" s="882"/>
      <c r="K2131" s="882"/>
      <c r="L2131" s="882"/>
      <c r="M2131" s="882"/>
      <c r="N2131" s="882"/>
      <c r="O2131" s="882"/>
      <c r="P2131" s="882"/>
      <c r="Q2131" s="503"/>
      <c r="R2131" s="883">
        <f>$A2131*Q2131</f>
        <v>0</v>
      </c>
      <c r="S2131" s="503"/>
      <c r="T2131" s="884">
        <f>$A2131*S2131*$T$1</f>
        <v>0</v>
      </c>
    </row>
    <row r="2132" spans="1:41" s="504" customFormat="1" ht="12.6" thickBot="1">
      <c r="A2132" s="885" t="s">
        <v>142</v>
      </c>
      <c r="B2132" s="886">
        <f>(R2131+T2131)</f>
        <v>0</v>
      </c>
      <c r="C2132" s="887"/>
      <c r="D2132" s="887"/>
      <c r="E2132" s="887"/>
      <c r="F2132" s="888"/>
      <c r="G2132" s="887" t="s">
        <v>143</v>
      </c>
      <c r="H2132" s="887"/>
      <c r="I2132" s="889"/>
      <c r="J2132" s="887"/>
      <c r="K2132" s="887" t="s">
        <v>3</v>
      </c>
      <c r="L2132" s="890" t="s">
        <v>140</v>
      </c>
      <c r="M2132" s="890"/>
      <c r="N2132" s="890"/>
      <c r="O2132" s="890"/>
      <c r="P2132" s="890"/>
      <c r="Q2132" s="891"/>
      <c r="R2132" s="892">
        <f>SUM(R2129:R2131)</f>
        <v>0</v>
      </c>
      <c r="S2132" s="887"/>
      <c r="T2132" s="892">
        <f>SUM(T2129:T2131)</f>
        <v>0</v>
      </c>
      <c r="U2132" s="514"/>
      <c r="V2132" s="514"/>
      <c r="W2132" s="514"/>
      <c r="X2132" s="514"/>
      <c r="Y2132" s="514"/>
      <c r="Z2132" s="514"/>
      <c r="AA2132" s="514"/>
      <c r="AB2132" s="514"/>
      <c r="AC2132" s="514"/>
      <c r="AD2132" s="514"/>
      <c r="AE2132" s="514"/>
      <c r="AF2132" s="514"/>
      <c r="AG2132" s="514"/>
      <c r="AH2132" s="514"/>
      <c r="AI2132" s="514"/>
      <c r="AJ2132" s="514"/>
      <c r="AK2132" s="514"/>
      <c r="AL2132" s="514"/>
      <c r="AM2132" s="514"/>
      <c r="AN2132" s="514"/>
      <c r="AO2132" s="514"/>
    </row>
    <row r="2133" spans="1:41" s="504" customFormat="1" ht="12" thickTop="1">
      <c r="A2133" s="50"/>
      <c r="B2133" s="40"/>
      <c r="C2133" s="50"/>
      <c r="E2133" s="41" t="s">
        <v>136</v>
      </c>
      <c r="F2133" s="41" t="s">
        <v>137</v>
      </c>
      <c r="G2133" s="50"/>
      <c r="H2133" s="50"/>
      <c r="I2133" s="50"/>
      <c r="J2133" s="50"/>
      <c r="K2133" s="50" t="s">
        <v>138</v>
      </c>
      <c r="L2133" s="50"/>
      <c r="M2133" s="50"/>
      <c r="N2133" s="50"/>
      <c r="O2133" s="51"/>
      <c r="P2133" s="50"/>
      <c r="Q2133" s="50"/>
      <c r="R2133" s="50"/>
      <c r="S2133" s="50"/>
      <c r="T2133" s="40"/>
      <c r="AG2133" s="867" t="s">
        <v>241</v>
      </c>
      <c r="AH2133" s="867" t="s">
        <v>242</v>
      </c>
      <c r="AI2133" s="867" t="s">
        <v>243</v>
      </c>
      <c r="AJ2133" s="867" t="s">
        <v>244</v>
      </c>
      <c r="AK2133" s="867" t="s">
        <v>245</v>
      </c>
      <c r="AM2133" s="868" t="s">
        <v>254</v>
      </c>
      <c r="AN2133" s="869" t="s">
        <v>255</v>
      </c>
      <c r="AO2133" s="505" t="s">
        <v>251</v>
      </c>
    </row>
    <row r="2134" spans="1:41" s="504" customFormat="1" ht="12" customHeight="1">
      <c r="A2134" s="870">
        <v>1</v>
      </c>
      <c r="B2134" s="871" t="s">
        <v>335</v>
      </c>
      <c r="C2134" s="872"/>
      <c r="D2134" s="873" t="s">
        <v>831</v>
      </c>
      <c r="E2134" s="874">
        <f ca="1">IF(AND($A2134=0,$A$1="DIF"),0, ROUND(ROUND(($R2139*$S$2+($T2139*$T$2))/A2134,2)*$C$2,2))</f>
        <v>13.21</v>
      </c>
      <c r="F2134" s="875">
        <f ca="1">ROUND($A2134*$E2134,2)</f>
        <v>13.21</v>
      </c>
      <c r="G2134" s="876" t="s">
        <v>139</v>
      </c>
      <c r="H2134" s="877"/>
      <c r="I2134" s="878"/>
      <c r="J2134" s="877"/>
      <c r="K2134" s="877" t="s">
        <v>3</v>
      </c>
      <c r="L2134" s="879" t="s">
        <v>140</v>
      </c>
      <c r="M2134" s="879"/>
      <c r="N2134" s="879"/>
      <c r="O2134" s="879"/>
      <c r="P2134" s="879"/>
      <c r="Q2134" s="50"/>
      <c r="T2134" s="880" t="str">
        <f ca="1">IF(AND($R2139=0,$T2139=0),"0.00","mu :" &amp; ROUND($F2134/$C$2/($R2139+$T2139*$D$9),2))</f>
        <v>mu :1.22</v>
      </c>
      <c r="W2134" s="507"/>
      <c r="AG2134" s="465">
        <f ca="1">IF($E2134=0,0,ROUND($R2139*$S$2*$C$2/$A2134,2))</f>
        <v>0.2</v>
      </c>
      <c r="AH2134" s="465">
        <f ca="1">$AG2134*$A2134</f>
        <v>0.2</v>
      </c>
      <c r="AI2134" s="508">
        <f ca="1">$E2134-$AG2134</f>
        <v>13.010000000000002</v>
      </c>
      <c r="AJ2134" s="508">
        <f ca="1">$A2134*$AI2134</f>
        <v>13.010000000000002</v>
      </c>
      <c r="AK2134" s="509">
        <f ca="1">ROUND(($AG2134+$AI2134)*$A2134,2)</f>
        <v>13.21</v>
      </c>
      <c r="AM2134" s="510">
        <f ca="1">ROUND(R2139,2)</f>
        <v>0.16</v>
      </c>
      <c r="AN2134" s="511">
        <f ca="1">ROUND(T2139,2)</f>
        <v>0.37</v>
      </c>
      <c r="AO2134" s="512">
        <f ca="1">ROUND(AM2134+AN2134,2)*A2134</f>
        <v>0.53</v>
      </c>
    </row>
    <row r="2135" spans="1:41" s="504" customFormat="1" ht="13.2">
      <c r="A2135" s="872"/>
      <c r="B2135"/>
      <c r="C2135" s="872"/>
      <c r="D2135" s="873" t="s">
        <v>348</v>
      </c>
      <c r="F2135" s="877"/>
      <c r="G2135" s="3"/>
      <c r="H2135" s="877"/>
      <c r="I2135" s="878"/>
      <c r="J2135" s="877"/>
      <c r="K2135" s="877" t="s">
        <v>141</v>
      </c>
      <c r="L2135" s="877"/>
      <c r="M2135" s="877"/>
      <c r="N2135" s="877"/>
      <c r="O2135" s="877"/>
      <c r="P2135" s="877"/>
      <c r="Q2135" s="50"/>
      <c r="R2135" s="513"/>
      <c r="S2135" s="881"/>
      <c r="T2135" s="877"/>
    </row>
    <row r="2136" spans="1:41" s="997" customFormat="1" ht="13.2">
      <c r="A2136"/>
      <c r="B2136" s="1065"/>
      <c r="C2136" s="1065" t="s">
        <v>1006</v>
      </c>
      <c r="D2136" s="1065" t="str">
        <f ca="1">CELL("Address",Elec_Rates!D$247)</f>
        <v>[EL25_0662B_Brittania_Hotel_Elec_Revised_Estim_B.xlsx]Elec_Rates!$D$247</v>
      </c>
      <c r="E2136" s="1066"/>
      <c r="F2136" s="1066"/>
      <c r="G2136" s="1067" t="s">
        <v>1007</v>
      </c>
      <c r="H2136" s="1067"/>
      <c r="I2136" s="1067"/>
      <c r="J2136" s="1067"/>
      <c r="K2136" s="1068"/>
      <c r="L2136" s="1066"/>
      <c r="M2136" s="1066"/>
      <c r="N2136" s="1066"/>
      <c r="O2136" s="1069"/>
      <c r="P2136" s="1066"/>
      <c r="Q2136" s="1070"/>
      <c r="R2136" s="1071"/>
      <c r="S2136" s="1070"/>
      <c r="T2136" s="1072"/>
      <c r="U2136" s="1073"/>
    </row>
    <row r="2137" spans="1:41" s="997" customFormat="1" ht="11.4">
      <c r="A2137" s="1074">
        <v>1</v>
      </c>
      <c r="B2137" s="1075">
        <v>1</v>
      </c>
      <c r="C2137" s="1075">
        <f>$A2137*$B2137</f>
        <v>1</v>
      </c>
      <c r="D2137" s="1076" t="str">
        <f>Elec_Rates!$D$247</f>
        <v>026# Install and connect Only - Type 'E1' - Single Sided, Wall Mounted, Directional Exit Signage</v>
      </c>
      <c r="E2137" s="1076"/>
      <c r="F2137" s="1076"/>
      <c r="G2137" s="1077" t="s">
        <v>1008</v>
      </c>
      <c r="H2137" s="1077"/>
      <c r="I2137" s="1077"/>
      <c r="J2137" s="1077"/>
      <c r="K2137" s="1078"/>
      <c r="L2137" s="1073"/>
      <c r="M2137" s="1073"/>
      <c r="N2137" s="1073"/>
      <c r="O2137" s="1079"/>
      <c r="P2137" s="1076"/>
      <c r="Q2137" s="1080">
        <f ca="1">$B2137*Elec_Rates!$R$247</f>
        <v>0.16</v>
      </c>
      <c r="R2137" s="1071">
        <f ca="1">$A2137*Q2137</f>
        <v>0.16</v>
      </c>
      <c r="S2137" s="1080">
        <f ca="1">$B2137*Elec_Rates!$T$247</f>
        <v>0.37</v>
      </c>
      <c r="T2137" s="1072">
        <f ca="1">$A2137*S2137</f>
        <v>0.37</v>
      </c>
      <c r="U2137" s="1081"/>
    </row>
    <row r="2138" spans="1:41" s="504" customFormat="1" ht="12">
      <c r="A2138" s="882"/>
      <c r="B2138" s="882"/>
      <c r="C2138" s="882"/>
      <c r="D2138" s="882"/>
      <c r="E2138" s="882"/>
      <c r="F2138" s="877"/>
      <c r="G2138" s="882"/>
      <c r="H2138" s="882"/>
      <c r="I2138" s="503"/>
      <c r="J2138" s="882"/>
      <c r="K2138" s="882"/>
      <c r="L2138" s="882"/>
      <c r="M2138" s="882"/>
      <c r="N2138" s="882"/>
      <c r="O2138" s="882"/>
      <c r="P2138" s="882"/>
      <c r="Q2138" s="503"/>
      <c r="R2138" s="883">
        <f>$A2138*Q2138</f>
        <v>0</v>
      </c>
      <c r="S2138" s="503"/>
      <c r="T2138" s="884">
        <f>$A2138*S2138*$T$1</f>
        <v>0</v>
      </c>
    </row>
    <row r="2139" spans="1:41" s="504" customFormat="1" ht="12.6" thickBot="1">
      <c r="A2139" s="885" t="s">
        <v>142</v>
      </c>
      <c r="B2139" s="886">
        <f>(R2138+T2138)</f>
        <v>0</v>
      </c>
      <c r="C2139" s="887"/>
      <c r="D2139" s="887"/>
      <c r="E2139" s="887"/>
      <c r="F2139" s="888"/>
      <c r="G2139" s="887" t="s">
        <v>143</v>
      </c>
      <c r="H2139" s="887"/>
      <c r="I2139" s="889"/>
      <c r="J2139" s="887"/>
      <c r="K2139" s="887" t="s">
        <v>3</v>
      </c>
      <c r="L2139" s="890" t="s">
        <v>140</v>
      </c>
      <c r="M2139" s="890"/>
      <c r="N2139" s="890"/>
      <c r="O2139" s="890"/>
      <c r="P2139" s="890"/>
      <c r="Q2139" s="891"/>
      <c r="R2139" s="892">
        <f ca="1">SUM(R2135:R2138)</f>
        <v>0.16</v>
      </c>
      <c r="S2139" s="887"/>
      <c r="T2139" s="892">
        <f ca="1">SUM(T2135:T2138)</f>
        <v>0.37</v>
      </c>
      <c r="U2139" s="514"/>
      <c r="V2139" s="514"/>
      <c r="W2139" s="514"/>
      <c r="X2139" s="514"/>
      <c r="Y2139" s="514"/>
      <c r="Z2139" s="514"/>
      <c r="AA2139" s="514"/>
      <c r="AB2139" s="514"/>
      <c r="AC2139" s="514"/>
      <c r="AD2139" s="514"/>
      <c r="AE2139" s="514"/>
      <c r="AF2139" s="514"/>
      <c r="AG2139" s="514"/>
      <c r="AH2139" s="514"/>
      <c r="AI2139" s="514"/>
      <c r="AJ2139" s="514"/>
      <c r="AK2139" s="514"/>
      <c r="AL2139" s="514"/>
      <c r="AM2139" s="514"/>
      <c r="AN2139" s="514"/>
      <c r="AO2139" s="514"/>
    </row>
    <row r="2140" spans="1:41" s="504" customFormat="1" ht="12" thickTop="1">
      <c r="A2140" s="50"/>
      <c r="B2140" s="40"/>
      <c r="C2140" s="50"/>
      <c r="E2140" s="41" t="s">
        <v>136</v>
      </c>
      <c r="F2140" s="41" t="s">
        <v>137</v>
      </c>
      <c r="G2140" s="50"/>
      <c r="H2140" s="50"/>
      <c r="I2140" s="50"/>
      <c r="J2140" s="50"/>
      <c r="K2140" s="50" t="s">
        <v>138</v>
      </c>
      <c r="L2140" s="50"/>
      <c r="M2140" s="50"/>
      <c r="N2140" s="50"/>
      <c r="O2140" s="51"/>
      <c r="P2140" s="50"/>
      <c r="Q2140" s="50"/>
      <c r="R2140" s="50"/>
      <c r="S2140" s="50"/>
      <c r="T2140" s="40"/>
      <c r="AG2140" s="867" t="s">
        <v>241</v>
      </c>
      <c r="AH2140" s="867" t="s">
        <v>242</v>
      </c>
      <c r="AI2140" s="867" t="s">
        <v>243</v>
      </c>
      <c r="AJ2140" s="867" t="s">
        <v>244</v>
      </c>
      <c r="AK2140" s="867" t="s">
        <v>245</v>
      </c>
      <c r="AM2140" s="868" t="s">
        <v>254</v>
      </c>
      <c r="AN2140" s="869" t="s">
        <v>255</v>
      </c>
      <c r="AO2140" s="505" t="s">
        <v>251</v>
      </c>
    </row>
    <row r="2141" spans="1:41" s="504" customFormat="1" ht="12" customHeight="1">
      <c r="A2141" s="870">
        <v>1</v>
      </c>
      <c r="B2141" s="871" t="s">
        <v>335</v>
      </c>
      <c r="C2141" s="872"/>
      <c r="D2141" s="873" t="s">
        <v>832</v>
      </c>
      <c r="E2141" s="874">
        <f ca="1">IF(AND($A2141=0,$A$1="DIF"),0, ROUND(ROUND(($R2146*$S$2+($T2146*$T$2))/A2141,2)*$C$2,2))</f>
        <v>17.87</v>
      </c>
      <c r="F2141" s="875">
        <f ca="1">ROUND($A2141*$E2141,2)</f>
        <v>17.87</v>
      </c>
      <c r="G2141" s="876" t="s">
        <v>139</v>
      </c>
      <c r="H2141" s="877"/>
      <c r="I2141" s="878"/>
      <c r="J2141" s="877"/>
      <c r="K2141" s="877" t="s">
        <v>3</v>
      </c>
      <c r="L2141" s="879" t="s">
        <v>140</v>
      </c>
      <c r="M2141" s="879"/>
      <c r="N2141" s="879"/>
      <c r="O2141" s="879"/>
      <c r="P2141" s="879"/>
      <c r="Q2141" s="50"/>
      <c r="T2141" s="880" t="str">
        <f ca="1">IF(AND($R2146=0,$T2146=0),"0.00","mu :" &amp; ROUND($F2141/$C$2/($R2146+$T2146*$D$9),2))</f>
        <v>mu :1.22</v>
      </c>
      <c r="W2141" s="507"/>
      <c r="AG2141" s="465">
        <f ca="1">IF($E2141=0,0,ROUND($R2146*$S$2*$C$2/$A2141,2))</f>
        <v>1.34</v>
      </c>
      <c r="AH2141" s="465">
        <f ca="1">$AG2141*$A2141</f>
        <v>1.34</v>
      </c>
      <c r="AI2141" s="508">
        <f ca="1">$E2141-$AG2141</f>
        <v>16.53</v>
      </c>
      <c r="AJ2141" s="508">
        <f ca="1">$A2141*$AI2141</f>
        <v>16.53</v>
      </c>
      <c r="AK2141" s="509">
        <f ca="1">ROUND(($AG2141+$AI2141)*$A2141,2)</f>
        <v>17.87</v>
      </c>
      <c r="AM2141" s="510">
        <f ca="1">ROUND(R2146,2)</f>
        <v>1.1000000000000001</v>
      </c>
      <c r="AN2141" s="511">
        <f ca="1">ROUND(T2146,2)</f>
        <v>0.47</v>
      </c>
      <c r="AO2141" s="512">
        <f ca="1">ROUND(AM2141+AN2141,2)*A2141</f>
        <v>1.57</v>
      </c>
    </row>
    <row r="2142" spans="1:41" s="504" customFormat="1" ht="13.2">
      <c r="A2142" s="872"/>
      <c r="B2142"/>
      <c r="C2142" s="872"/>
      <c r="D2142" s="873" t="s">
        <v>382</v>
      </c>
      <c r="F2142" s="877"/>
      <c r="G2142" s="3"/>
      <c r="H2142" s="877"/>
      <c r="I2142" s="878"/>
      <c r="J2142" s="877"/>
      <c r="K2142" s="877" t="s">
        <v>141</v>
      </c>
      <c r="L2142" s="877"/>
      <c r="M2142" s="877"/>
      <c r="N2142" s="877"/>
      <c r="O2142" s="877"/>
      <c r="P2142" s="877"/>
      <c r="Q2142" s="50"/>
      <c r="R2142" s="513"/>
      <c r="S2142" s="881"/>
      <c r="T2142" s="877"/>
    </row>
    <row r="2143" spans="1:41" s="997" customFormat="1" ht="13.2">
      <c r="A2143"/>
      <c r="B2143" s="1065"/>
      <c r="C2143" s="1065" t="s">
        <v>1006</v>
      </c>
      <c r="D2143" s="1065" t="str">
        <f ca="1">CELL("Address",Elec_Rates!D$255)</f>
        <v>[EL25_0662B_Brittania_Hotel_Elec_Revised_Estim_B.xlsx]Elec_Rates!$D$255</v>
      </c>
      <c r="E2143" s="1066"/>
      <c r="F2143" s="1066"/>
      <c r="G2143" s="1067" t="s">
        <v>1007</v>
      </c>
      <c r="H2143" s="1067"/>
      <c r="I2143" s="1067"/>
      <c r="J2143" s="1067"/>
      <c r="K2143" s="1068"/>
      <c r="L2143" s="1066"/>
      <c r="M2143" s="1066"/>
      <c r="N2143" s="1066"/>
      <c r="O2143" s="1069"/>
      <c r="P2143" s="1066"/>
      <c r="Q2143" s="1070"/>
      <c r="R2143" s="1071"/>
      <c r="S2143" s="1070"/>
      <c r="T2143" s="1072"/>
      <c r="U2143" s="1073"/>
    </row>
    <row r="2144" spans="1:41" s="997" customFormat="1" ht="11.4">
      <c r="A2144" s="1074">
        <v>1</v>
      </c>
      <c r="B2144" s="1075">
        <v>1</v>
      </c>
      <c r="C2144" s="1075">
        <f>$A2144*$B2144</f>
        <v>1</v>
      </c>
      <c r="D2144" s="1076" t="str">
        <f>Elec_Rates!$D$255</f>
        <v>027# Install and connect Only - Type 'E2' - Double Sided, Ceiling Mounted/ Soffit Recessed, Directional Exit Signage.</v>
      </c>
      <c r="E2144" s="1076"/>
      <c r="F2144" s="1076"/>
      <c r="G2144" s="1077" t="s">
        <v>1008</v>
      </c>
      <c r="H2144" s="1077"/>
      <c r="I2144" s="1077"/>
      <c r="J2144" s="1077"/>
      <c r="K2144" s="1078"/>
      <c r="L2144" s="1073"/>
      <c r="M2144" s="1073"/>
      <c r="N2144" s="1073"/>
      <c r="O2144" s="1079"/>
      <c r="P2144" s="1076"/>
      <c r="Q2144" s="1080">
        <f ca="1">$B2144*Elec_Rates!$R$255</f>
        <v>1.1000000000000001</v>
      </c>
      <c r="R2144" s="1071">
        <f ca="1">$A2144*Q2144</f>
        <v>1.1000000000000001</v>
      </c>
      <c r="S2144" s="1080">
        <f ca="1">$B2144*Elec_Rates!$T$255</f>
        <v>0.47</v>
      </c>
      <c r="T2144" s="1072">
        <f ca="1">$A2144*S2144</f>
        <v>0.47</v>
      </c>
      <c r="U2144" s="1081"/>
    </row>
    <row r="2145" spans="1:41" s="504" customFormat="1" ht="12">
      <c r="A2145" s="882"/>
      <c r="B2145" s="882"/>
      <c r="C2145" s="882"/>
      <c r="D2145" s="882"/>
      <c r="E2145" s="882"/>
      <c r="F2145" s="877"/>
      <c r="G2145" s="882"/>
      <c r="H2145" s="882"/>
      <c r="I2145" s="503"/>
      <c r="J2145" s="882"/>
      <c r="K2145" s="882"/>
      <c r="L2145" s="882"/>
      <c r="M2145" s="882"/>
      <c r="N2145" s="882"/>
      <c r="O2145" s="882"/>
      <c r="P2145" s="882"/>
      <c r="Q2145" s="503"/>
      <c r="R2145" s="883">
        <f>$A2145*Q2145</f>
        <v>0</v>
      </c>
      <c r="S2145" s="503"/>
      <c r="T2145" s="884">
        <f>$A2145*S2145*$T$1</f>
        <v>0</v>
      </c>
    </row>
    <row r="2146" spans="1:41" s="504" customFormat="1" ht="12.6" thickBot="1">
      <c r="A2146" s="885" t="s">
        <v>142</v>
      </c>
      <c r="B2146" s="886">
        <f>(R2145+T2145)</f>
        <v>0</v>
      </c>
      <c r="C2146" s="887"/>
      <c r="D2146" s="887"/>
      <c r="E2146" s="887"/>
      <c r="F2146" s="888"/>
      <c r="G2146" s="887" t="s">
        <v>143</v>
      </c>
      <c r="H2146" s="887"/>
      <c r="I2146" s="889"/>
      <c r="J2146" s="887"/>
      <c r="K2146" s="887" t="s">
        <v>3</v>
      </c>
      <c r="L2146" s="890" t="s">
        <v>140</v>
      </c>
      <c r="M2146" s="890"/>
      <c r="N2146" s="890"/>
      <c r="O2146" s="890"/>
      <c r="P2146" s="890"/>
      <c r="Q2146" s="891"/>
      <c r="R2146" s="892">
        <f ca="1">SUM(R2142:R2145)</f>
        <v>1.1000000000000001</v>
      </c>
      <c r="S2146" s="887"/>
      <c r="T2146" s="892">
        <f ca="1">SUM(T2142:T2145)</f>
        <v>0.47</v>
      </c>
      <c r="U2146" s="514"/>
      <c r="V2146" s="514"/>
      <c r="W2146" s="514"/>
      <c r="X2146" s="514"/>
      <c r="Y2146" s="514"/>
      <c r="Z2146" s="514"/>
      <c r="AA2146" s="514"/>
      <c r="AB2146" s="514"/>
      <c r="AC2146" s="514"/>
      <c r="AD2146" s="514"/>
      <c r="AE2146" s="514"/>
      <c r="AF2146" s="514"/>
      <c r="AG2146" s="514"/>
      <c r="AH2146" s="514"/>
      <c r="AI2146" s="514"/>
      <c r="AJ2146" s="514"/>
      <c r="AK2146" s="514"/>
      <c r="AL2146" s="514"/>
      <c r="AM2146" s="514"/>
      <c r="AN2146" s="514"/>
      <c r="AO2146" s="514"/>
    </row>
    <row r="2147" spans="1:41" s="504" customFormat="1" ht="12" thickTop="1">
      <c r="A2147" s="50"/>
      <c r="B2147" s="40"/>
      <c r="C2147" s="50"/>
      <c r="E2147" s="41" t="s">
        <v>136</v>
      </c>
      <c r="F2147" s="41" t="s">
        <v>137</v>
      </c>
      <c r="G2147" s="50"/>
      <c r="H2147" s="50"/>
      <c r="I2147" s="50"/>
      <c r="J2147" s="50"/>
      <c r="K2147" s="50" t="s">
        <v>138</v>
      </c>
      <c r="L2147" s="50"/>
      <c r="M2147" s="50"/>
      <c r="N2147" s="50"/>
      <c r="O2147" s="51"/>
      <c r="P2147" s="50"/>
      <c r="Q2147" s="50"/>
      <c r="R2147" s="50"/>
      <c r="S2147" s="50"/>
      <c r="T2147" s="40"/>
      <c r="AG2147" s="867" t="s">
        <v>241</v>
      </c>
      <c r="AH2147" s="867" t="s">
        <v>242</v>
      </c>
      <c r="AI2147" s="867" t="s">
        <v>243</v>
      </c>
      <c r="AJ2147" s="867" t="s">
        <v>244</v>
      </c>
      <c r="AK2147" s="867" t="s">
        <v>245</v>
      </c>
      <c r="AM2147" s="868" t="s">
        <v>254</v>
      </c>
      <c r="AN2147" s="869" t="s">
        <v>255</v>
      </c>
      <c r="AO2147" s="505" t="s">
        <v>251</v>
      </c>
    </row>
    <row r="2148" spans="1:41" s="504" customFormat="1" ht="12" customHeight="1">
      <c r="A2148" s="870">
        <v>7</v>
      </c>
      <c r="B2148" s="871" t="s">
        <v>335</v>
      </c>
      <c r="C2148" s="872"/>
      <c r="D2148" s="873" t="s">
        <v>833</v>
      </c>
      <c r="E2148" s="874">
        <f ca="1">IF(AND($A2148=0,$A$1="DIF"),0, ROUND(ROUND(($R2153*$S$2+($T2153*$T$2))/A2148,2)*$C$2,2))</f>
        <v>16.12</v>
      </c>
      <c r="F2148" s="875">
        <f ca="1">ROUND($A2148*$E2148,2)</f>
        <v>112.84</v>
      </c>
      <c r="G2148" s="876" t="s">
        <v>139</v>
      </c>
      <c r="H2148" s="877"/>
      <c r="I2148" s="878"/>
      <c r="J2148" s="877"/>
      <c r="K2148" s="877" t="s">
        <v>3</v>
      </c>
      <c r="L2148" s="879" t="s">
        <v>140</v>
      </c>
      <c r="M2148" s="879"/>
      <c r="N2148" s="879"/>
      <c r="O2148" s="879"/>
      <c r="P2148" s="879"/>
      <c r="Q2148" s="50"/>
      <c r="T2148" s="880" t="str">
        <f ca="1">IF(AND($R2153=0,$T2153=0),"0.00","mu :" &amp; ROUND($F2148/$C$2/($R2153+$T2153*$D$9),2))</f>
        <v>mu :1.22</v>
      </c>
      <c r="W2148" s="507"/>
      <c r="AG2148" s="465">
        <f ca="1">IF($E2148=0,0,ROUND($R2153*$S$2*$C$2/$A2148,2))</f>
        <v>1.34</v>
      </c>
      <c r="AH2148" s="465">
        <f ca="1">$AG2148*$A2148</f>
        <v>9.3800000000000008</v>
      </c>
      <c r="AI2148" s="508">
        <f ca="1">$E2148-$AG2148</f>
        <v>14.780000000000001</v>
      </c>
      <c r="AJ2148" s="508">
        <f ca="1">$A2148*$AI2148</f>
        <v>103.46000000000001</v>
      </c>
      <c r="AK2148" s="509">
        <f ca="1">ROUND(($AG2148+$AI2148)*$A2148,2)</f>
        <v>112.84</v>
      </c>
      <c r="AM2148" s="510">
        <f ca="1">ROUND(R2153,2)</f>
        <v>7.7</v>
      </c>
      <c r="AN2148" s="511">
        <f ca="1">ROUND(T2153,2)</f>
        <v>2.94</v>
      </c>
      <c r="AO2148" s="512">
        <f ca="1">ROUND(AM2148+AN2148,2)*A2148</f>
        <v>74.48</v>
      </c>
    </row>
    <row r="2149" spans="1:41" s="504" customFormat="1" ht="13.2">
      <c r="A2149" s="872"/>
      <c r="B2149"/>
      <c r="C2149" s="872"/>
      <c r="D2149" s="916" t="s">
        <v>441</v>
      </c>
      <c r="E2149" s="917"/>
      <c r="F2149" s="918"/>
      <c r="G2149" s="919"/>
      <c r="H2149" s="918"/>
      <c r="I2149" s="920"/>
      <c r="J2149" s="918"/>
      <c r="K2149" s="918" t="s">
        <v>141</v>
      </c>
      <c r="L2149" s="918"/>
      <c r="M2149" s="918"/>
      <c r="N2149" s="918"/>
      <c r="O2149" s="918"/>
      <c r="P2149" s="918"/>
      <c r="Q2149" s="921"/>
      <c r="R2149" s="513"/>
      <c r="S2149" s="881"/>
      <c r="T2149" s="877"/>
    </row>
    <row r="2150" spans="1:41" s="997" customFormat="1" ht="13.2">
      <c r="A2150"/>
      <c r="B2150" s="1065"/>
      <c r="C2150" s="1065" t="s">
        <v>1006</v>
      </c>
      <c r="D2150" s="1065" t="str">
        <f ca="1">CELL("Address",Elec_Rates!D$270)</f>
        <v>[EL25_0662B_Brittania_Hotel_Elec_Revised_Estim_B.xlsx]Elec_Rates!$D$270</v>
      </c>
      <c r="E2150" s="1066"/>
      <c r="F2150" s="1066"/>
      <c r="G2150" s="1067" t="s">
        <v>1007</v>
      </c>
      <c r="H2150" s="1067"/>
      <c r="I2150" s="1067"/>
      <c r="J2150" s="1067"/>
      <c r="K2150" s="1068"/>
      <c r="L2150" s="1066"/>
      <c r="M2150" s="1066"/>
      <c r="N2150" s="1066"/>
      <c r="O2150" s="1069"/>
      <c r="P2150" s="1066"/>
      <c r="Q2150" s="1070"/>
      <c r="R2150" s="1071"/>
      <c r="S2150" s="1070"/>
      <c r="T2150" s="1072"/>
      <c r="U2150" s="1073"/>
    </row>
    <row r="2151" spans="1:41" s="997" customFormat="1" ht="11.4">
      <c r="A2151" s="1074">
        <v>7</v>
      </c>
      <c r="B2151" s="1075">
        <v>1</v>
      </c>
      <c r="C2151" s="1075">
        <f>$A2151*$B2151</f>
        <v>7</v>
      </c>
      <c r="D2151" s="1076" t="str">
        <f>Elec_Rates!$D$270</f>
        <v>029# Install and connect Only - Battery Backup Kit for the light fittings supplied by others</v>
      </c>
      <c r="E2151" s="1076"/>
      <c r="F2151" s="1076"/>
      <c r="G2151" s="1077" t="s">
        <v>1008</v>
      </c>
      <c r="H2151" s="1077"/>
      <c r="I2151" s="1077"/>
      <c r="J2151" s="1077"/>
      <c r="K2151" s="1078"/>
      <c r="L2151" s="1073"/>
      <c r="M2151" s="1073"/>
      <c r="N2151" s="1073"/>
      <c r="O2151" s="1079"/>
      <c r="P2151" s="1076"/>
      <c r="Q2151" s="1080">
        <f ca="1">$B2151*Elec_Rates!$R$270</f>
        <v>1.1000000000000001</v>
      </c>
      <c r="R2151" s="1071">
        <f ca="1">$A2151*Q2151</f>
        <v>7.7000000000000011</v>
      </c>
      <c r="S2151" s="1080">
        <f ca="1">$B2151*Elec_Rates!$T$270</f>
        <v>0.42</v>
      </c>
      <c r="T2151" s="1072">
        <f ca="1">$A2151*S2151</f>
        <v>2.94</v>
      </c>
      <c r="U2151" s="1081"/>
    </row>
    <row r="2152" spans="1:41" s="504" customFormat="1" ht="12">
      <c r="A2152" s="882"/>
      <c r="B2152" s="882"/>
      <c r="C2152" s="882"/>
      <c r="D2152" s="882"/>
      <c r="E2152" s="882"/>
      <c r="F2152" s="877"/>
      <c r="G2152" s="882"/>
      <c r="H2152" s="882"/>
      <c r="I2152" s="503"/>
      <c r="J2152" s="882"/>
      <c r="K2152" s="882"/>
      <c r="L2152" s="882"/>
      <c r="M2152" s="882"/>
      <c r="N2152" s="882"/>
      <c r="O2152" s="882"/>
      <c r="P2152" s="882"/>
      <c r="Q2152" s="503"/>
      <c r="R2152" s="883">
        <f>$A2152*Q2152</f>
        <v>0</v>
      </c>
      <c r="S2152" s="503"/>
      <c r="T2152" s="884">
        <f>$A2152*S2152*$T$1</f>
        <v>0</v>
      </c>
    </row>
    <row r="2153" spans="1:41" s="504" customFormat="1" ht="12.6" thickBot="1">
      <c r="A2153" s="885" t="s">
        <v>142</v>
      </c>
      <c r="B2153" s="886">
        <f>(R2152+T2152)</f>
        <v>0</v>
      </c>
      <c r="C2153" s="887"/>
      <c r="D2153" s="887"/>
      <c r="E2153" s="887"/>
      <c r="F2153" s="888"/>
      <c r="G2153" s="887" t="s">
        <v>143</v>
      </c>
      <c r="H2153" s="887"/>
      <c r="I2153" s="889"/>
      <c r="J2153" s="887"/>
      <c r="K2153" s="887" t="s">
        <v>3</v>
      </c>
      <c r="L2153" s="890" t="s">
        <v>140</v>
      </c>
      <c r="M2153" s="890"/>
      <c r="N2153" s="890"/>
      <c r="O2153" s="890"/>
      <c r="P2153" s="890"/>
      <c r="Q2153" s="891"/>
      <c r="R2153" s="892">
        <f ca="1">SUM(R2149:R2152)</f>
        <v>7.7000000000000011</v>
      </c>
      <c r="S2153" s="887"/>
      <c r="T2153" s="892">
        <f ca="1">SUM(T2149:T2152)</f>
        <v>2.94</v>
      </c>
      <c r="U2153" s="514"/>
      <c r="V2153" s="514"/>
      <c r="W2153" s="514"/>
      <c r="X2153" s="514"/>
      <c r="Y2153" s="514"/>
      <c r="Z2153" s="514"/>
      <c r="AA2153" s="514"/>
      <c r="AB2153" s="514"/>
      <c r="AC2153" s="514"/>
      <c r="AD2153" s="514"/>
      <c r="AE2153" s="514"/>
      <c r="AF2153" s="514"/>
      <c r="AG2153" s="514"/>
      <c r="AH2153" s="514"/>
      <c r="AI2153" s="514"/>
      <c r="AJ2153" s="514"/>
      <c r="AK2153" s="514"/>
      <c r="AL2153" s="514"/>
      <c r="AM2153" s="514"/>
      <c r="AN2153" s="514"/>
      <c r="AO2153" s="514"/>
    </row>
    <row r="2154" spans="1:41" s="504" customFormat="1" ht="12" thickTop="1">
      <c r="A2154" s="50"/>
      <c r="B2154" s="40"/>
      <c r="C2154" s="50"/>
      <c r="E2154" s="41" t="s">
        <v>136</v>
      </c>
      <c r="F2154" s="41" t="s">
        <v>137</v>
      </c>
      <c r="G2154" s="50"/>
      <c r="H2154" s="50"/>
      <c r="I2154" s="50"/>
      <c r="J2154" s="50"/>
      <c r="K2154" s="50" t="s">
        <v>138</v>
      </c>
      <c r="L2154" s="50"/>
      <c r="M2154" s="50"/>
      <c r="N2154" s="50"/>
      <c r="O2154" s="51"/>
      <c r="P2154" s="50"/>
      <c r="Q2154" s="50"/>
      <c r="R2154" s="50"/>
      <c r="S2154" s="50"/>
      <c r="T2154" s="40"/>
      <c r="AG2154" s="867" t="s">
        <v>241</v>
      </c>
      <c r="AH2154" s="867" t="s">
        <v>242</v>
      </c>
      <c r="AI2154" s="867" t="s">
        <v>243</v>
      </c>
      <c r="AJ2154" s="867" t="s">
        <v>244</v>
      </c>
      <c r="AK2154" s="867" t="s">
        <v>245</v>
      </c>
      <c r="AM2154" s="868" t="s">
        <v>254</v>
      </c>
      <c r="AN2154" s="869" t="s">
        <v>255</v>
      </c>
      <c r="AO2154" s="505" t="s">
        <v>251</v>
      </c>
    </row>
    <row r="2155" spans="1:41" s="504" customFormat="1" ht="12" customHeight="1">
      <c r="A2155" s="870">
        <v>3</v>
      </c>
      <c r="B2155" s="871" t="s">
        <v>335</v>
      </c>
      <c r="C2155" s="872"/>
      <c r="D2155" s="873" t="s">
        <v>834</v>
      </c>
      <c r="E2155" s="874">
        <f ca="1">IF(AND($A2155=0,$A$1="DIF"),0, ROUND(ROUND(($R2160*$S$2+($T2160*$T$2))/A2155,2)*$C$2,2))</f>
        <v>11.35</v>
      </c>
      <c r="F2155" s="875">
        <f ca="1">ROUND($A2155*$E2155,2)</f>
        <v>34.049999999999997</v>
      </c>
      <c r="G2155" s="876" t="s">
        <v>139</v>
      </c>
      <c r="H2155" s="877"/>
      <c r="I2155" s="878"/>
      <c r="J2155" s="877"/>
      <c r="K2155" s="877" t="s">
        <v>3</v>
      </c>
      <c r="L2155" s="879" t="s">
        <v>140</v>
      </c>
      <c r="M2155" s="879"/>
      <c r="N2155" s="879"/>
      <c r="O2155" s="879"/>
      <c r="P2155" s="879"/>
      <c r="Q2155" s="50"/>
      <c r="T2155" s="880" t="str">
        <f ca="1">IF(AND($R2160=0,$T2160=0),"0.00","mu :" &amp; ROUND($F2155/$C$2/($R2160+$T2160*$D$9),2))</f>
        <v>mu :1.22</v>
      </c>
      <c r="W2155" s="507"/>
      <c r="AG2155" s="465">
        <f ca="1">IF($E2155=0,0,ROUND($R2160*$S$2*$C$2/$A2155,2))</f>
        <v>0.1</v>
      </c>
      <c r="AH2155" s="465">
        <f ca="1">$AG2155*$A2155</f>
        <v>0.30000000000000004</v>
      </c>
      <c r="AI2155" s="508">
        <f ca="1">$E2155-$AG2155</f>
        <v>11.25</v>
      </c>
      <c r="AJ2155" s="508">
        <f ca="1">$A2155*$AI2155</f>
        <v>33.75</v>
      </c>
      <c r="AK2155" s="509">
        <f ca="1">ROUND(($AG2155+$AI2155)*$A2155,2)</f>
        <v>34.049999999999997</v>
      </c>
      <c r="AM2155" s="510">
        <f ca="1">ROUND(R2160,2)</f>
        <v>0.24</v>
      </c>
      <c r="AN2155" s="511">
        <f ca="1">ROUND(T2160,2)</f>
        <v>0.96</v>
      </c>
      <c r="AO2155" s="512">
        <f ca="1">ROUND(AM2155+AN2155,2)*A2155</f>
        <v>3.5999999999999996</v>
      </c>
    </row>
    <row r="2156" spans="1:41" s="504" customFormat="1" ht="13.2">
      <c r="A2156" s="872"/>
      <c r="B2156"/>
      <c r="C2156" s="872"/>
      <c r="D2156" s="873" t="s">
        <v>425</v>
      </c>
      <c r="F2156" s="877"/>
      <c r="G2156" s="3"/>
      <c r="H2156" s="877"/>
      <c r="I2156" s="878"/>
      <c r="J2156" s="877"/>
      <c r="K2156" s="877" t="s">
        <v>141</v>
      </c>
      <c r="L2156" s="877"/>
      <c r="M2156" s="877"/>
      <c r="N2156" s="877"/>
      <c r="O2156" s="877"/>
      <c r="P2156" s="877"/>
      <c r="Q2156" s="50"/>
      <c r="R2156" s="513"/>
      <c r="S2156" s="881"/>
      <c r="T2156" s="877"/>
    </row>
    <row r="2157" spans="1:41" s="997" customFormat="1" ht="13.2">
      <c r="A2157"/>
      <c r="B2157" s="1065"/>
      <c r="C2157" s="1065" t="s">
        <v>1006</v>
      </c>
      <c r="D2157" s="1065" t="str">
        <f ca="1">CELL("Address",Elec_Rates!D$478)</f>
        <v>[EL25_0662B_Brittania_Hotel_Elec_Revised_Estim_B.xlsx]Elec_Rates!$D$478</v>
      </c>
      <c r="E2157" s="1066"/>
      <c r="F2157" s="1066"/>
      <c r="G2157" s="1067" t="s">
        <v>1007</v>
      </c>
      <c r="H2157" s="1067"/>
      <c r="I2157" s="1067"/>
      <c r="J2157" s="1067"/>
      <c r="K2157" s="1068"/>
      <c r="L2157" s="1066"/>
      <c r="M2157" s="1066"/>
      <c r="N2157" s="1066"/>
      <c r="O2157" s="1069"/>
      <c r="P2157" s="1066"/>
      <c r="Q2157" s="1070"/>
      <c r="R2157" s="1071"/>
      <c r="S2157" s="1070"/>
      <c r="T2157" s="1072"/>
      <c r="U2157" s="1073"/>
    </row>
    <row r="2158" spans="1:41" s="997" customFormat="1" ht="11.4">
      <c r="A2158" s="1074">
        <v>3</v>
      </c>
      <c r="B2158" s="1075">
        <v>1</v>
      </c>
      <c r="C2158" s="1075">
        <f>$A2158*$B2158</f>
        <v>3</v>
      </c>
      <c r="D2158" s="1076" t="str">
        <f>Elec_Rates!$D$478</f>
        <v>057# Install and connect Only - Magnifying Mirror in Bathroom</v>
      </c>
      <c r="E2158" s="1076"/>
      <c r="F2158" s="1076"/>
      <c r="G2158" s="1077" t="s">
        <v>1008</v>
      </c>
      <c r="H2158" s="1077"/>
      <c r="I2158" s="1077"/>
      <c r="J2158" s="1077"/>
      <c r="K2158" s="1078"/>
      <c r="L2158" s="1073"/>
      <c r="M2158" s="1073"/>
      <c r="N2158" s="1073"/>
      <c r="O2158" s="1079"/>
      <c r="P2158" s="1076"/>
      <c r="Q2158" s="1080">
        <f ca="1">$B2158*Elec_Rates!$R$478</f>
        <v>0.08</v>
      </c>
      <c r="R2158" s="1071">
        <f ca="1">$A2158*Q2158</f>
        <v>0.24</v>
      </c>
      <c r="S2158" s="1080">
        <f ca="1">$B2158*Elec_Rates!$T$478</f>
        <v>0.32</v>
      </c>
      <c r="T2158" s="1072">
        <f ca="1">$A2158*S2158</f>
        <v>0.96</v>
      </c>
      <c r="U2158" s="1081"/>
    </row>
    <row r="2159" spans="1:41" s="504" customFormat="1" ht="12">
      <c r="A2159" s="882"/>
      <c r="B2159" s="882"/>
      <c r="C2159" s="882"/>
      <c r="D2159" s="882"/>
      <c r="E2159" s="882"/>
      <c r="F2159" s="877"/>
      <c r="G2159" s="882"/>
      <c r="H2159" s="882"/>
      <c r="I2159" s="503"/>
      <c r="J2159" s="882"/>
      <c r="K2159" s="882"/>
      <c r="L2159" s="882"/>
      <c r="M2159" s="882"/>
      <c r="N2159" s="882"/>
      <c r="O2159" s="882"/>
      <c r="P2159" s="882"/>
      <c r="Q2159" s="503"/>
      <c r="R2159" s="883">
        <f>$A2159*Q2159</f>
        <v>0</v>
      </c>
      <c r="S2159" s="503"/>
      <c r="T2159" s="884">
        <f>$A2159*S2159*$T$1</f>
        <v>0</v>
      </c>
    </row>
    <row r="2160" spans="1:41" s="504" customFormat="1" ht="12.6" thickBot="1">
      <c r="A2160" s="885" t="s">
        <v>142</v>
      </c>
      <c r="B2160" s="886">
        <f>(R2159+T2159)</f>
        <v>0</v>
      </c>
      <c r="C2160" s="887"/>
      <c r="D2160" s="887"/>
      <c r="E2160" s="887"/>
      <c r="F2160" s="888"/>
      <c r="G2160" s="887" t="s">
        <v>143</v>
      </c>
      <c r="H2160" s="887"/>
      <c r="I2160" s="889"/>
      <c r="J2160" s="887"/>
      <c r="K2160" s="887" t="s">
        <v>3</v>
      </c>
      <c r="L2160" s="890" t="s">
        <v>140</v>
      </c>
      <c r="M2160" s="890"/>
      <c r="N2160" s="890"/>
      <c r="O2160" s="890"/>
      <c r="P2160" s="890"/>
      <c r="Q2160" s="891"/>
      <c r="R2160" s="892">
        <f ca="1">SUM(R2156:R2159)</f>
        <v>0.24</v>
      </c>
      <c r="S2160" s="887"/>
      <c r="T2160" s="892">
        <f ca="1">SUM(T2156:T2159)</f>
        <v>0.96</v>
      </c>
      <c r="U2160" s="514"/>
      <c r="V2160" s="514"/>
      <c r="W2160" s="514"/>
      <c r="X2160" s="514"/>
      <c r="Y2160" s="514"/>
      <c r="Z2160" s="514"/>
      <c r="AA2160" s="514"/>
      <c r="AB2160" s="514"/>
      <c r="AC2160" s="514"/>
      <c r="AD2160" s="514"/>
      <c r="AE2160" s="514"/>
      <c r="AF2160" s="514"/>
      <c r="AG2160" s="514"/>
      <c r="AH2160" s="514"/>
      <c r="AI2160" s="514"/>
      <c r="AJ2160" s="514"/>
      <c r="AK2160" s="514"/>
      <c r="AL2160" s="514"/>
      <c r="AM2160" s="514"/>
      <c r="AN2160" s="514"/>
      <c r="AO2160" s="514"/>
    </row>
    <row r="2161" spans="1:41" s="504" customFormat="1" thickTop="1">
      <c r="A2161" s="50"/>
      <c r="B2161" s="50"/>
      <c r="C2161" s="3"/>
      <c r="D2161" s="3"/>
      <c r="E2161" s="50"/>
      <c r="F2161" s="50"/>
      <c r="G2161" s="50"/>
      <c r="H2161" s="50"/>
      <c r="I2161" s="50"/>
      <c r="J2161" s="50"/>
      <c r="K2161" s="50" t="s">
        <v>133</v>
      </c>
      <c r="L2161" s="50"/>
      <c r="M2161" s="50"/>
      <c r="N2161" s="50"/>
      <c r="O2161" s="51"/>
      <c r="P2161" s="50"/>
      <c r="Q2161" s="50"/>
      <c r="R2161" s="50"/>
      <c r="S2161" s="50"/>
      <c r="T2161" s="50"/>
    </row>
    <row r="2162" spans="1:41" s="504" customFormat="1" ht="12">
      <c r="A2162" s="50"/>
      <c r="B2162" s="50"/>
      <c r="C2162" s="50" t="s">
        <v>134</v>
      </c>
      <c r="D2162" s="37"/>
      <c r="E2162" s="50"/>
      <c r="F2162" s="50"/>
      <c r="G2162" s="50"/>
      <c r="H2162" s="50"/>
      <c r="I2162" s="50"/>
      <c r="J2162" s="50"/>
      <c r="K2162" s="50"/>
      <c r="L2162" s="50"/>
      <c r="M2162" s="50"/>
      <c r="N2162" s="50"/>
      <c r="O2162" s="51"/>
      <c r="P2162" s="50"/>
      <c r="Q2162" s="50"/>
      <c r="R2162" s="50"/>
      <c r="S2162" s="50"/>
      <c r="T2162" s="50"/>
    </row>
    <row r="2163" spans="1:41" s="504" customFormat="1" ht="12">
      <c r="A2163" s="50"/>
      <c r="B2163" s="50"/>
      <c r="C2163" s="50"/>
      <c r="D2163" s="37" t="s">
        <v>358</v>
      </c>
      <c r="E2163" s="50"/>
      <c r="F2163" s="50"/>
      <c r="G2163" s="50"/>
      <c r="H2163" s="50"/>
      <c r="I2163" s="50"/>
      <c r="J2163" s="50"/>
      <c r="K2163" s="50"/>
      <c r="L2163" s="50"/>
      <c r="M2163" s="50"/>
      <c r="N2163" s="50"/>
      <c r="O2163" s="51"/>
      <c r="P2163" s="50"/>
      <c r="Q2163" s="50"/>
      <c r="R2163" s="50"/>
      <c r="S2163" s="38"/>
      <c r="T2163" s="38"/>
    </row>
    <row r="2164" spans="1:41" s="3" customFormat="1" thickBot="1">
      <c r="A2164" s="514"/>
      <c r="O2164" s="103"/>
    </row>
    <row r="2165" spans="1:41" s="504" customFormat="1" thickTop="1">
      <c r="A2165" s="50"/>
      <c r="B2165" s="50"/>
      <c r="C2165" s="3"/>
      <c r="D2165" s="3"/>
      <c r="E2165" s="50"/>
      <c r="F2165" s="50"/>
      <c r="G2165" s="50"/>
      <c r="H2165" s="50"/>
      <c r="I2165" s="50"/>
      <c r="J2165" s="50"/>
      <c r="K2165" s="50" t="s">
        <v>133</v>
      </c>
      <c r="L2165" s="50"/>
      <c r="M2165" s="50"/>
      <c r="N2165" s="50"/>
      <c r="O2165" s="51"/>
      <c r="P2165" s="50"/>
      <c r="Q2165" s="50"/>
      <c r="R2165" s="50"/>
      <c r="S2165" s="50"/>
      <c r="T2165" s="50"/>
    </row>
    <row r="2166" spans="1:41" s="504" customFormat="1" ht="12">
      <c r="A2166" s="50"/>
      <c r="B2166" s="50"/>
      <c r="C2166" s="50" t="s">
        <v>134</v>
      </c>
      <c r="D2166" s="37" t="s">
        <v>873</v>
      </c>
      <c r="E2166" s="50"/>
      <c r="F2166" s="50"/>
      <c r="G2166" s="50"/>
      <c r="H2166" s="50"/>
      <c r="I2166" s="50"/>
      <c r="J2166" s="50"/>
      <c r="K2166" s="50"/>
      <c r="L2166" s="50"/>
      <c r="M2166" s="50"/>
      <c r="N2166" s="50"/>
      <c r="O2166" s="51"/>
      <c r="P2166" s="50"/>
      <c r="Q2166" s="50"/>
      <c r="R2166" s="50"/>
      <c r="S2166" s="50"/>
      <c r="T2166" s="50"/>
    </row>
    <row r="2167" spans="1:41" s="504" customFormat="1" ht="12">
      <c r="A2167" s="50"/>
      <c r="B2167" s="50"/>
      <c r="C2167" s="50"/>
      <c r="D2167" s="37" t="s">
        <v>393</v>
      </c>
      <c r="E2167" s="50"/>
      <c r="F2167" s="50"/>
      <c r="G2167" s="50"/>
      <c r="H2167" s="50"/>
      <c r="I2167" s="50"/>
      <c r="J2167" s="50"/>
      <c r="K2167" s="50"/>
      <c r="L2167" s="50"/>
      <c r="M2167" s="50"/>
      <c r="N2167" s="50"/>
      <c r="O2167" s="51"/>
      <c r="P2167" s="50"/>
      <c r="Q2167" s="50"/>
      <c r="R2167" s="50"/>
      <c r="S2167" s="38"/>
      <c r="T2167" s="38"/>
    </row>
    <row r="2168" spans="1:41" s="3" customFormat="1" thickBot="1">
      <c r="A2168" s="514"/>
      <c r="O2168" s="103"/>
    </row>
    <row r="2169" spans="1:41" s="504" customFormat="1" ht="12" thickTop="1">
      <c r="A2169" s="50"/>
      <c r="B2169" s="40"/>
      <c r="C2169" s="50"/>
      <c r="E2169" s="41" t="s">
        <v>136</v>
      </c>
      <c r="F2169" s="41" t="s">
        <v>137</v>
      </c>
      <c r="G2169" s="50"/>
      <c r="H2169" s="50"/>
      <c r="I2169" s="50"/>
      <c r="J2169" s="50"/>
      <c r="K2169" s="50" t="s">
        <v>138</v>
      </c>
      <c r="L2169" s="50"/>
      <c r="M2169" s="50"/>
      <c r="N2169" s="50"/>
      <c r="O2169" s="51"/>
      <c r="P2169" s="50"/>
      <c r="Q2169" s="50"/>
      <c r="R2169" s="50"/>
      <c r="S2169" s="50"/>
      <c r="T2169" s="40"/>
      <c r="AG2169" s="867" t="s">
        <v>241</v>
      </c>
      <c r="AH2169" s="867" t="s">
        <v>242</v>
      </c>
      <c r="AI2169" s="867" t="s">
        <v>243</v>
      </c>
      <c r="AJ2169" s="867" t="s">
        <v>244</v>
      </c>
      <c r="AK2169" s="867" t="s">
        <v>245</v>
      </c>
      <c r="AM2169" s="868" t="s">
        <v>254</v>
      </c>
      <c r="AN2169" s="869" t="s">
        <v>255</v>
      </c>
      <c r="AO2169" s="505" t="s">
        <v>251</v>
      </c>
    </row>
    <row r="2170" spans="1:41" s="504" customFormat="1" ht="12" customHeight="1">
      <c r="A2170" s="870">
        <v>8</v>
      </c>
      <c r="B2170" s="871" t="s">
        <v>335</v>
      </c>
      <c r="C2170" s="872"/>
      <c r="D2170" s="873" t="s">
        <v>804</v>
      </c>
      <c r="E2170" s="874">
        <f ca="1">IF(AND($A2170=0,$A$1="DIF"),0, ROUND(ROUND(($R2176*$S$2+($T2176*$T$2))/A2170,2)*$C$2,2))</f>
        <v>77.31</v>
      </c>
      <c r="F2170" s="875">
        <f ca="1">ROUND($A2170*$E2170,2)</f>
        <v>618.48</v>
      </c>
      <c r="G2170" s="876" t="s">
        <v>139</v>
      </c>
      <c r="H2170" s="877"/>
      <c r="I2170" s="878"/>
      <c r="J2170" s="877"/>
      <c r="K2170" s="877" t="s">
        <v>3</v>
      </c>
      <c r="L2170" s="879" t="s">
        <v>140</v>
      </c>
      <c r="M2170" s="879"/>
      <c r="N2170" s="879"/>
      <c r="O2170" s="879"/>
      <c r="P2170" s="879"/>
      <c r="Q2170" s="50"/>
      <c r="T2170" s="880" t="str">
        <f ca="1">IF(AND($R2176=0,$T2176=0),"0.00","mu :" &amp; ROUND($F2170/$C$2/($R2176+$T2176*$D$9),2))</f>
        <v>mu :1.22</v>
      </c>
      <c r="W2170" s="507"/>
      <c r="AG2170" s="465">
        <f ca="1">IF($E2170=0,0,ROUND($R2176*$S$2*$C$2/$A2170,2))</f>
        <v>20.73</v>
      </c>
      <c r="AH2170" s="465">
        <f ca="1">$AG2170*$A2170</f>
        <v>165.84</v>
      </c>
      <c r="AI2170" s="508">
        <f ca="1">$E2170-$AG2170</f>
        <v>56.58</v>
      </c>
      <c r="AJ2170" s="508">
        <f ca="1">$A2170*$AI2170</f>
        <v>452.64</v>
      </c>
      <c r="AK2170" s="509">
        <f ca="1">ROUND(($AG2170+$AI2170)*$A2170,2)</f>
        <v>618.48</v>
      </c>
      <c r="AM2170" s="510">
        <f ca="1">ROUND(R2176,2)</f>
        <v>135.91999999999999</v>
      </c>
      <c r="AN2170" s="511">
        <f ca="1">ROUND(T2176,2)</f>
        <v>12.87</v>
      </c>
      <c r="AO2170" s="512">
        <f ca="1">ROUND(AM2170+AN2170,2)*A2170</f>
        <v>1190.32</v>
      </c>
    </row>
    <row r="2171" spans="1:41" s="504" customFormat="1" ht="13.2">
      <c r="A2171" s="872"/>
      <c r="B2171"/>
      <c r="C2171" s="872"/>
      <c r="D2171" s="873" t="s">
        <v>359</v>
      </c>
      <c r="F2171" s="877"/>
      <c r="G2171" s="3"/>
      <c r="H2171" s="877"/>
      <c r="I2171" s="878"/>
      <c r="J2171" s="877"/>
      <c r="K2171" s="877" t="s">
        <v>141</v>
      </c>
      <c r="L2171" s="877"/>
      <c r="M2171" s="877"/>
      <c r="N2171" s="877"/>
      <c r="O2171" s="877"/>
      <c r="P2171" s="877"/>
      <c r="Q2171" s="50"/>
      <c r="R2171" s="513"/>
      <c r="S2171" s="881"/>
      <c r="T2171" s="877"/>
    </row>
    <row r="2172" spans="1:41" s="997" customFormat="1" ht="13.2">
      <c r="A2172"/>
      <c r="B2172" s="1065"/>
      <c r="C2172" s="1065" t="s">
        <v>1006</v>
      </c>
      <c r="D2172" s="1065" t="str">
        <f ca="1">CELL("Address",Elec_Rates!D$486)</f>
        <v>[EL25_0662B_Brittania_Hotel_Elec_Revised_Estim_B.xlsx]Elec_Rates!$D$486</v>
      </c>
      <c r="E2172" s="1066"/>
      <c r="F2172" s="1066"/>
      <c r="G2172" s="1067" t="s">
        <v>1007</v>
      </c>
      <c r="H2172" s="1067"/>
      <c r="I2172" s="1067"/>
      <c r="J2172" s="1067"/>
      <c r="K2172" s="1068"/>
      <c r="L2172" s="1066"/>
      <c r="M2172" s="1066"/>
      <c r="N2172" s="1066"/>
      <c r="O2172" s="1069"/>
      <c r="P2172" s="1066"/>
      <c r="Q2172" s="1070"/>
      <c r="R2172" s="1071"/>
      <c r="S2172" s="1070"/>
      <c r="T2172" s="1072"/>
      <c r="U2172" s="1073"/>
    </row>
    <row r="2173" spans="1:41" s="997" customFormat="1" ht="11.4">
      <c r="A2173" s="1074">
        <v>8</v>
      </c>
      <c r="B2173" s="1075">
        <v>1</v>
      </c>
      <c r="C2173" s="1075">
        <f>$A2173*$B2173</f>
        <v>8</v>
      </c>
      <c r="D2173" s="1076" t="str">
        <f>Elec_Rates!$D$486</f>
        <v>058# General Power Point in LSZH Conduit</v>
      </c>
      <c r="E2173" s="1076"/>
      <c r="F2173" s="1076"/>
      <c r="G2173" s="1077" t="s">
        <v>1008</v>
      </c>
      <c r="H2173" s="1077"/>
      <c r="I2173" s="1077"/>
      <c r="J2173" s="1077"/>
      <c r="K2173" s="1078"/>
      <c r="L2173" s="1073"/>
      <c r="M2173" s="1073"/>
      <c r="N2173" s="1073"/>
      <c r="O2173" s="1079"/>
      <c r="P2173" s="1076"/>
      <c r="Q2173" s="1080">
        <f ca="1">$B2173*Elec_Rates!$R$486</f>
        <v>13.92</v>
      </c>
      <c r="R2173" s="1071">
        <f ca="1">$A2173*Q2173</f>
        <v>111.36</v>
      </c>
      <c r="S2173" s="1080">
        <f ca="1">$B2173*Elec_Rates!$T$486</f>
        <v>1.43</v>
      </c>
      <c r="T2173" s="1072">
        <f ca="1">$A2173*S2173</f>
        <v>11.44</v>
      </c>
      <c r="U2173" s="1081"/>
    </row>
    <row r="2174" spans="1:41" s="1039" customFormat="1" ht="13.2">
      <c r="A2174" s="112">
        <v>8</v>
      </c>
      <c r="B2174" s="1039" t="s">
        <v>949</v>
      </c>
      <c r="D2174" s="1039" t="s">
        <v>1233</v>
      </c>
      <c r="F2174" s="1039" t="s">
        <v>1506</v>
      </c>
      <c r="G2174" s="1040" t="s">
        <v>1231</v>
      </c>
      <c r="H2174" s="1041">
        <v>705</v>
      </c>
      <c r="I2174" s="1039" t="s">
        <v>1183</v>
      </c>
      <c r="J2174" s="1039" t="s">
        <v>1232</v>
      </c>
      <c r="O2174" s="1042">
        <v>3</v>
      </c>
      <c r="P2174" s="1043">
        <v>34669</v>
      </c>
      <c r="Q2174" s="1044">
        <v>3.07</v>
      </c>
      <c r="R2174" s="1045">
        <f>$A2174*Q2174</f>
        <v>24.56</v>
      </c>
      <c r="S2174" s="1044">
        <v>0.17</v>
      </c>
      <c r="T2174" s="1046">
        <f>$A2174*S2174*$T$1</f>
        <v>1.4280000000000002</v>
      </c>
    </row>
    <row r="2175" spans="1:41" s="504" customFormat="1" ht="12">
      <c r="A2175" s="882"/>
      <c r="B2175" s="882"/>
      <c r="C2175" s="882"/>
      <c r="D2175" s="882"/>
      <c r="E2175" s="882"/>
      <c r="F2175" s="877"/>
      <c r="G2175" s="882"/>
      <c r="H2175" s="882"/>
      <c r="I2175" s="503"/>
      <c r="J2175" s="882"/>
      <c r="K2175" s="882"/>
      <c r="L2175" s="882"/>
      <c r="M2175" s="882"/>
      <c r="N2175" s="882"/>
      <c r="O2175" s="882"/>
      <c r="P2175" s="882"/>
      <c r="Q2175" s="503"/>
      <c r="R2175" s="883">
        <f>$A2175*Q2175</f>
        <v>0</v>
      </c>
      <c r="S2175" s="503"/>
      <c r="T2175" s="884">
        <f>$A2175*S2175*$T$1</f>
        <v>0</v>
      </c>
    </row>
    <row r="2176" spans="1:41" s="504" customFormat="1" ht="12.6" thickBot="1">
      <c r="A2176" s="885" t="s">
        <v>142</v>
      </c>
      <c r="B2176" s="886">
        <f>(R2175+T2175)</f>
        <v>0</v>
      </c>
      <c r="C2176" s="887"/>
      <c r="D2176" s="887"/>
      <c r="E2176" s="887"/>
      <c r="F2176" s="888"/>
      <c r="G2176" s="887" t="s">
        <v>143</v>
      </c>
      <c r="H2176" s="887"/>
      <c r="I2176" s="889"/>
      <c r="J2176" s="887"/>
      <c r="K2176" s="887" t="s">
        <v>3</v>
      </c>
      <c r="L2176" s="890" t="s">
        <v>140</v>
      </c>
      <c r="M2176" s="890"/>
      <c r="N2176" s="890"/>
      <c r="O2176" s="890"/>
      <c r="P2176" s="890"/>
      <c r="Q2176" s="891"/>
      <c r="R2176" s="892">
        <f ca="1">SUM(R2171:R2175)</f>
        <v>135.91999999999999</v>
      </c>
      <c r="S2176" s="887"/>
      <c r="T2176" s="892">
        <f ca="1">SUM(T2171:T2175)</f>
        <v>12.868</v>
      </c>
      <c r="U2176" s="514"/>
      <c r="V2176" s="514"/>
      <c r="W2176" s="514"/>
      <c r="X2176" s="514"/>
      <c r="Y2176" s="514"/>
      <c r="Z2176" s="514"/>
      <c r="AA2176" s="514"/>
      <c r="AB2176" s="514"/>
      <c r="AC2176" s="514"/>
      <c r="AD2176" s="514"/>
      <c r="AE2176" s="514"/>
      <c r="AF2176" s="514"/>
      <c r="AG2176" s="514"/>
      <c r="AH2176" s="514"/>
      <c r="AI2176" s="514"/>
      <c r="AJ2176" s="514"/>
      <c r="AK2176" s="514"/>
      <c r="AL2176" s="514"/>
      <c r="AM2176" s="514"/>
      <c r="AN2176" s="514"/>
      <c r="AO2176" s="514"/>
    </row>
    <row r="2177" spans="1:41" s="504" customFormat="1" ht="12" thickTop="1">
      <c r="A2177" s="50"/>
      <c r="B2177" s="40"/>
      <c r="C2177" s="50"/>
      <c r="E2177" s="41" t="s">
        <v>136</v>
      </c>
      <c r="F2177" s="41" t="s">
        <v>137</v>
      </c>
      <c r="G2177" s="50"/>
      <c r="H2177" s="50"/>
      <c r="I2177" s="50"/>
      <c r="J2177" s="50"/>
      <c r="K2177" s="50" t="s">
        <v>138</v>
      </c>
      <c r="L2177" s="50"/>
      <c r="M2177" s="50"/>
      <c r="N2177" s="50"/>
      <c r="O2177" s="51"/>
      <c r="P2177" s="50"/>
      <c r="Q2177" s="50"/>
      <c r="R2177" s="50"/>
      <c r="S2177" s="50"/>
      <c r="T2177" s="40"/>
      <c r="AG2177" s="867" t="s">
        <v>241</v>
      </c>
      <c r="AH2177" s="867" t="s">
        <v>242</v>
      </c>
      <c r="AI2177" s="867" t="s">
        <v>243</v>
      </c>
      <c r="AJ2177" s="867" t="s">
        <v>244</v>
      </c>
      <c r="AK2177" s="867" t="s">
        <v>245</v>
      </c>
      <c r="AM2177" s="868" t="s">
        <v>254</v>
      </c>
      <c r="AN2177" s="869" t="s">
        <v>255</v>
      </c>
      <c r="AO2177" s="505" t="s">
        <v>251</v>
      </c>
    </row>
    <row r="2178" spans="1:41" s="504" customFormat="1" ht="12" customHeight="1">
      <c r="A2178" s="870">
        <v>8</v>
      </c>
      <c r="B2178" s="871" t="s">
        <v>335</v>
      </c>
      <c r="C2178" s="872"/>
      <c r="D2178" s="873" t="s">
        <v>806</v>
      </c>
      <c r="E2178" s="874">
        <f ca="1">IF(AND($A2178=0,$A$1="DIF"),0, ROUND(ROUND(($R2184*$S$2+($T2184*$T$2))/A2178,2)*$C$2,2))</f>
        <v>79.36</v>
      </c>
      <c r="F2178" s="875">
        <f ca="1">ROUND($A2178*$E2178,2)</f>
        <v>634.88</v>
      </c>
      <c r="G2178" s="876" t="s">
        <v>139</v>
      </c>
      <c r="H2178" s="877"/>
      <c r="I2178" s="878"/>
      <c r="J2178" s="877"/>
      <c r="K2178" s="877" t="s">
        <v>3</v>
      </c>
      <c r="L2178" s="879" t="s">
        <v>140</v>
      </c>
      <c r="M2178" s="879"/>
      <c r="N2178" s="879"/>
      <c r="O2178" s="879"/>
      <c r="P2178" s="879"/>
      <c r="Q2178" s="50"/>
      <c r="T2178" s="880" t="str">
        <f ca="1">IF(AND($R2184=0,$T2184=0),"0.00","mu :" &amp; ROUND($F2178/$C$2/($R2184+$T2184*$D$9),2))</f>
        <v>mu :1.22</v>
      </c>
      <c r="W2178" s="507"/>
      <c r="AG2178" s="465">
        <f ca="1">IF($E2178=0,0,ROUND($R2184*$S$2*$C$2/$A2178,2))</f>
        <v>22.78</v>
      </c>
      <c r="AH2178" s="465">
        <f ca="1">$AG2178*$A2178</f>
        <v>182.24</v>
      </c>
      <c r="AI2178" s="508">
        <f ca="1">$E2178-$AG2178</f>
        <v>56.58</v>
      </c>
      <c r="AJ2178" s="508">
        <f ca="1">$A2178*$AI2178</f>
        <v>452.64</v>
      </c>
      <c r="AK2178" s="509">
        <f ca="1">ROUND(($AG2178+$AI2178)*$A2178,2)</f>
        <v>634.88</v>
      </c>
      <c r="AM2178" s="510">
        <f ca="1">ROUND(R2184,2)</f>
        <v>149.36000000000001</v>
      </c>
      <c r="AN2178" s="511">
        <f ca="1">ROUND(T2184,2)</f>
        <v>12.87</v>
      </c>
      <c r="AO2178" s="512">
        <f ca="1">ROUND(AM2178+AN2178,2)*A2178</f>
        <v>1297.8399999999999</v>
      </c>
    </row>
    <row r="2179" spans="1:41" s="504" customFormat="1" ht="13.2">
      <c r="A2179" s="872"/>
      <c r="B2179"/>
      <c r="C2179" s="872"/>
      <c r="D2179" s="873" t="s">
        <v>360</v>
      </c>
      <c r="F2179" s="877"/>
      <c r="G2179" s="3"/>
      <c r="H2179" s="877"/>
      <c r="I2179" s="878"/>
      <c r="J2179" s="877"/>
      <c r="K2179" s="877" t="s">
        <v>141</v>
      </c>
      <c r="L2179" s="877"/>
      <c r="M2179" s="877"/>
      <c r="N2179" s="877"/>
      <c r="O2179" s="877"/>
      <c r="P2179" s="877"/>
      <c r="Q2179" s="50"/>
      <c r="R2179" s="513"/>
      <c r="S2179" s="881"/>
      <c r="T2179" s="877"/>
    </row>
    <row r="2180" spans="1:41" s="997" customFormat="1" ht="13.2">
      <c r="A2180"/>
      <c r="B2180" s="1065"/>
      <c r="C2180" s="1065" t="s">
        <v>1006</v>
      </c>
      <c r="D2180" s="1065" t="str">
        <f ca="1">CELL("Address",Elec_Rates!D$486)</f>
        <v>[EL25_0662B_Brittania_Hotel_Elec_Revised_Estim_B.xlsx]Elec_Rates!$D$486</v>
      </c>
      <c r="E2180" s="1066"/>
      <c r="F2180" s="1066"/>
      <c r="G2180" s="1067" t="s">
        <v>1007</v>
      </c>
      <c r="H2180" s="1067"/>
      <c r="I2180" s="1067"/>
      <c r="J2180" s="1067"/>
      <c r="K2180" s="1068"/>
      <c r="L2180" s="1066"/>
      <c r="M2180" s="1066"/>
      <c r="N2180" s="1066"/>
      <c r="O2180" s="1069"/>
      <c r="P2180" s="1066"/>
      <c r="Q2180" s="1070"/>
      <c r="R2180" s="1071"/>
      <c r="S2180" s="1070"/>
      <c r="T2180" s="1072"/>
      <c r="U2180" s="1073"/>
    </row>
    <row r="2181" spans="1:41" s="997" customFormat="1" ht="11.4">
      <c r="A2181" s="1074">
        <v>8</v>
      </c>
      <c r="B2181" s="1075">
        <v>1</v>
      </c>
      <c r="C2181" s="1075">
        <f>$A2181*$B2181</f>
        <v>8</v>
      </c>
      <c r="D2181" s="1076" t="str">
        <f>Elec_Rates!$D$486</f>
        <v>058# General Power Point in LSZH Conduit</v>
      </c>
      <c r="E2181" s="1076"/>
      <c r="F2181" s="1076"/>
      <c r="G2181" s="1077" t="s">
        <v>1008</v>
      </c>
      <c r="H2181" s="1077"/>
      <c r="I2181" s="1077"/>
      <c r="J2181" s="1077"/>
      <c r="K2181" s="1078"/>
      <c r="L2181" s="1073"/>
      <c r="M2181" s="1073"/>
      <c r="N2181" s="1073"/>
      <c r="O2181" s="1079"/>
      <c r="P2181" s="1076"/>
      <c r="Q2181" s="1080">
        <f ca="1">$B2181*Elec_Rates!$R$486</f>
        <v>13.92</v>
      </c>
      <c r="R2181" s="1071">
        <f ca="1">$A2181*Q2181</f>
        <v>111.36</v>
      </c>
      <c r="S2181" s="1080">
        <f ca="1">$B2181*Elec_Rates!$T$486</f>
        <v>1.43</v>
      </c>
      <c r="T2181" s="1072">
        <f ca="1">$A2181*S2181</f>
        <v>11.44</v>
      </c>
      <c r="U2181" s="1081"/>
    </row>
    <row r="2182" spans="1:41" s="1039" customFormat="1" ht="13.2">
      <c r="A2182" s="112">
        <v>8</v>
      </c>
      <c r="B2182" s="1039" t="s">
        <v>949</v>
      </c>
      <c r="D2182" s="1039" t="s">
        <v>1234</v>
      </c>
      <c r="G2182" s="1040" t="s">
        <v>1231</v>
      </c>
      <c r="H2182" s="1041">
        <v>705</v>
      </c>
      <c r="I2182" s="1039" t="s">
        <v>1183</v>
      </c>
      <c r="J2182" s="1039" t="s">
        <v>1232</v>
      </c>
      <c r="O2182" s="1042">
        <v>3</v>
      </c>
      <c r="P2182" s="1043">
        <v>34669</v>
      </c>
      <c r="Q2182" s="1044">
        <v>4.75</v>
      </c>
      <c r="R2182" s="1045">
        <f>$A2182*Q2182</f>
        <v>38</v>
      </c>
      <c r="S2182" s="1044">
        <v>0.17</v>
      </c>
      <c r="T2182" s="1046">
        <f>$A2182*S2182*$T$1</f>
        <v>1.4280000000000002</v>
      </c>
    </row>
    <row r="2183" spans="1:41" s="504" customFormat="1" ht="12">
      <c r="A2183" s="882"/>
      <c r="B2183" s="882"/>
      <c r="C2183" s="882"/>
      <c r="D2183" s="882"/>
      <c r="E2183" s="882"/>
      <c r="F2183" s="877"/>
      <c r="G2183" s="882"/>
      <c r="H2183" s="882"/>
      <c r="I2183" s="503"/>
      <c r="J2183" s="882"/>
      <c r="K2183" s="882"/>
      <c r="L2183" s="882"/>
      <c r="M2183" s="882"/>
      <c r="N2183" s="882"/>
      <c r="O2183" s="882"/>
      <c r="P2183" s="882"/>
      <c r="Q2183" s="503"/>
      <c r="R2183" s="883">
        <f>$A2183*Q2183</f>
        <v>0</v>
      </c>
      <c r="S2183" s="503"/>
      <c r="T2183" s="884">
        <f>$A2183*S2183*$T$1</f>
        <v>0</v>
      </c>
    </row>
    <row r="2184" spans="1:41" s="504" customFormat="1" ht="12.6" thickBot="1">
      <c r="A2184" s="885" t="s">
        <v>142</v>
      </c>
      <c r="B2184" s="886">
        <f>(R2183+T2183)</f>
        <v>0</v>
      </c>
      <c r="C2184" s="887"/>
      <c r="D2184" s="887"/>
      <c r="E2184" s="887"/>
      <c r="F2184" s="888"/>
      <c r="G2184" s="887" t="s">
        <v>143</v>
      </c>
      <c r="H2184" s="887"/>
      <c r="I2184" s="889"/>
      <c r="J2184" s="887"/>
      <c r="K2184" s="887" t="s">
        <v>3</v>
      </c>
      <c r="L2184" s="890" t="s">
        <v>140</v>
      </c>
      <c r="M2184" s="890"/>
      <c r="N2184" s="890"/>
      <c r="O2184" s="890"/>
      <c r="P2184" s="890"/>
      <c r="Q2184" s="891"/>
      <c r="R2184" s="892">
        <f ca="1">SUM(R2179:R2183)</f>
        <v>149.36000000000001</v>
      </c>
      <c r="S2184" s="887"/>
      <c r="T2184" s="892">
        <f ca="1">SUM(T2179:T2183)</f>
        <v>12.868</v>
      </c>
      <c r="U2184" s="514"/>
      <c r="V2184" s="514"/>
      <c r="W2184" s="514"/>
      <c r="X2184" s="514"/>
      <c r="Y2184" s="514"/>
      <c r="Z2184" s="514"/>
      <c r="AA2184" s="514"/>
      <c r="AB2184" s="514"/>
      <c r="AC2184" s="514"/>
      <c r="AD2184" s="514"/>
      <c r="AE2184" s="514"/>
      <c r="AF2184" s="514"/>
      <c r="AG2184" s="514"/>
      <c r="AH2184" s="514"/>
      <c r="AI2184" s="514"/>
      <c r="AJ2184" s="514"/>
      <c r="AK2184" s="514"/>
      <c r="AL2184" s="514"/>
      <c r="AM2184" s="514"/>
      <c r="AN2184" s="514"/>
      <c r="AO2184" s="514"/>
    </row>
    <row r="2185" spans="1:41" s="504" customFormat="1" ht="12" thickTop="1">
      <c r="A2185" s="50"/>
      <c r="B2185" s="40"/>
      <c r="C2185" s="50"/>
      <c r="E2185" s="41" t="s">
        <v>136</v>
      </c>
      <c r="F2185" s="41" t="s">
        <v>137</v>
      </c>
      <c r="G2185" s="50"/>
      <c r="H2185" s="50"/>
      <c r="I2185" s="50"/>
      <c r="J2185" s="50"/>
      <c r="K2185" s="50" t="s">
        <v>138</v>
      </c>
      <c r="L2185" s="50"/>
      <c r="M2185" s="50"/>
      <c r="N2185" s="50"/>
      <c r="O2185" s="51"/>
      <c r="P2185" s="50"/>
      <c r="Q2185" s="50"/>
      <c r="R2185" s="50"/>
      <c r="S2185" s="50"/>
      <c r="T2185" s="40"/>
      <c r="AG2185" s="867" t="s">
        <v>241</v>
      </c>
      <c r="AH2185" s="867" t="s">
        <v>242</v>
      </c>
      <c r="AI2185" s="867" t="s">
        <v>243</v>
      </c>
      <c r="AJ2185" s="867" t="s">
        <v>244</v>
      </c>
      <c r="AK2185" s="867" t="s">
        <v>245</v>
      </c>
      <c r="AM2185" s="868" t="s">
        <v>254</v>
      </c>
      <c r="AN2185" s="869" t="s">
        <v>255</v>
      </c>
      <c r="AO2185" s="505" t="s">
        <v>251</v>
      </c>
    </row>
    <row r="2186" spans="1:41" s="504" customFormat="1" ht="12" customHeight="1">
      <c r="A2186" s="870">
        <v>3</v>
      </c>
      <c r="B2186" s="871" t="s">
        <v>335</v>
      </c>
      <c r="C2186" s="872"/>
      <c r="D2186" s="873" t="s">
        <v>808</v>
      </c>
      <c r="E2186" s="874">
        <f ca="1">IF(AND($A2186=0,$A$1="DIF"),0, ROUND(ROUND(($R2192*$S$2+($T2192*$T$2))/A2186,2)*$C$2,2))</f>
        <v>119.8</v>
      </c>
      <c r="F2186" s="875">
        <f ca="1">ROUND($A2186*$E2186,2)</f>
        <v>359.4</v>
      </c>
      <c r="G2186" s="876" t="s">
        <v>139</v>
      </c>
      <c r="H2186" s="877"/>
      <c r="I2186" s="878"/>
      <c r="J2186" s="877"/>
      <c r="K2186" s="877" t="s">
        <v>3</v>
      </c>
      <c r="L2186" s="879" t="s">
        <v>140</v>
      </c>
      <c r="M2186" s="879"/>
      <c r="N2186" s="879"/>
      <c r="O2186" s="879"/>
      <c r="P2186" s="879"/>
      <c r="Q2186" s="50"/>
      <c r="T2186" s="880" t="str">
        <f ca="1">IF(AND($R2192=0,$T2192=0),"0.00","mu :" &amp; ROUND($F2186/$C$2/($R2192+$T2192*$D$9),2))</f>
        <v>mu :1.22</v>
      </c>
      <c r="W2186" s="507"/>
      <c r="AG2186" s="465">
        <f ca="1">IF($E2186=0,0,ROUND($R2192*$S$2*$C$2/$A2186,2))</f>
        <v>63.22</v>
      </c>
      <c r="AH2186" s="465">
        <f ca="1">$AG2186*$A2186</f>
        <v>189.66</v>
      </c>
      <c r="AI2186" s="508">
        <f ca="1">$E2186-$AG2186</f>
        <v>56.58</v>
      </c>
      <c r="AJ2186" s="508">
        <f ca="1">$A2186*$AI2186</f>
        <v>169.74</v>
      </c>
      <c r="AK2186" s="509">
        <f ca="1">ROUND(($AG2186+$AI2186)*$A2186,2)</f>
        <v>359.4</v>
      </c>
      <c r="AM2186" s="510">
        <f ca="1">ROUND(R2192,2)</f>
        <v>155.46</v>
      </c>
      <c r="AN2186" s="511">
        <f ca="1">ROUND(T2192,2)</f>
        <v>4.83</v>
      </c>
      <c r="AO2186" s="512">
        <f ca="1">ROUND(AM2186+AN2186,2)*A2186</f>
        <v>480.87</v>
      </c>
    </row>
    <row r="2187" spans="1:41" s="504" customFormat="1" ht="13.2">
      <c r="A2187" s="872"/>
      <c r="B2187"/>
      <c r="C2187" s="872"/>
      <c r="D2187" s="916" t="s">
        <v>442</v>
      </c>
      <c r="E2187" s="917"/>
      <c r="F2187" s="918"/>
      <c r="G2187" s="919"/>
      <c r="H2187" s="918"/>
      <c r="I2187" s="920"/>
      <c r="J2187" s="918"/>
      <c r="K2187" s="918" t="s">
        <v>141</v>
      </c>
      <c r="L2187" s="918"/>
      <c r="M2187" s="918"/>
      <c r="N2187" s="918"/>
      <c r="O2187" s="918"/>
      <c r="P2187" s="918"/>
      <c r="Q2187" s="921"/>
      <c r="R2187" s="513"/>
      <c r="S2187" s="881"/>
      <c r="T2187" s="877"/>
    </row>
    <row r="2188" spans="1:41" s="997" customFormat="1" ht="13.2">
      <c r="A2188"/>
      <c r="B2188" s="1065"/>
      <c r="C2188" s="1065" t="s">
        <v>1006</v>
      </c>
      <c r="D2188" s="1065" t="str">
        <f ca="1">CELL("Address",Elec_Rates!D$486)</f>
        <v>[EL25_0662B_Brittania_Hotel_Elec_Revised_Estim_B.xlsx]Elec_Rates!$D$486</v>
      </c>
      <c r="E2188" s="1066"/>
      <c r="F2188" s="1066"/>
      <c r="G2188" s="1067" t="s">
        <v>1007</v>
      </c>
      <c r="H2188" s="1067"/>
      <c r="I2188" s="1067"/>
      <c r="J2188" s="1067"/>
      <c r="K2188" s="1068"/>
      <c r="L2188" s="1066"/>
      <c r="M2188" s="1066"/>
      <c r="N2188" s="1066"/>
      <c r="O2188" s="1069"/>
      <c r="P2188" s="1066"/>
      <c r="Q2188" s="1070"/>
      <c r="R2188" s="1071"/>
      <c r="S2188" s="1070"/>
      <c r="T2188" s="1072"/>
      <c r="U2188" s="1073"/>
    </row>
    <row r="2189" spans="1:41" s="997" customFormat="1" ht="11.4">
      <c r="A2189" s="1074">
        <v>3</v>
      </c>
      <c r="B2189" s="1075">
        <v>1</v>
      </c>
      <c r="C2189" s="1075">
        <f>$A2189*$B2189</f>
        <v>3</v>
      </c>
      <c r="D2189" s="1076" t="str">
        <f>Elec_Rates!$D$486</f>
        <v>058# General Power Point in LSZH Conduit</v>
      </c>
      <c r="E2189" s="1076"/>
      <c r="F2189" s="1076"/>
      <c r="G2189" s="1077" t="s">
        <v>1008</v>
      </c>
      <c r="H2189" s="1077"/>
      <c r="I2189" s="1077"/>
      <c r="J2189" s="1077"/>
      <c r="K2189" s="1078"/>
      <c r="L2189" s="1073"/>
      <c r="M2189" s="1073"/>
      <c r="N2189" s="1073"/>
      <c r="O2189" s="1079"/>
      <c r="P2189" s="1076"/>
      <c r="Q2189" s="1080">
        <f ca="1">$B2189*Elec_Rates!$R$486</f>
        <v>13.92</v>
      </c>
      <c r="R2189" s="1071">
        <f ca="1">$A2189*Q2189</f>
        <v>41.76</v>
      </c>
      <c r="S2189" s="1080">
        <f ca="1">$B2189*Elec_Rates!$T$486</f>
        <v>1.43</v>
      </c>
      <c r="T2189" s="1072">
        <f ca="1">$A2189*S2189</f>
        <v>4.29</v>
      </c>
      <c r="U2189" s="1081"/>
    </row>
    <row r="2190" spans="1:41" s="1039" customFormat="1" ht="13.2">
      <c r="A2190" s="112">
        <v>3</v>
      </c>
      <c r="B2190" s="1039" t="s">
        <v>949</v>
      </c>
      <c r="D2190" s="1039" t="s">
        <v>442</v>
      </c>
      <c r="G2190" s="1040" t="s">
        <v>1231</v>
      </c>
      <c r="H2190" s="1041">
        <v>705</v>
      </c>
      <c r="I2190" s="1039" t="s">
        <v>1183</v>
      </c>
      <c r="J2190" s="1039" t="s">
        <v>1232</v>
      </c>
      <c r="O2190" s="1042">
        <v>3</v>
      </c>
      <c r="P2190" s="1043">
        <v>34669</v>
      </c>
      <c r="Q2190" s="1044">
        <v>37.9</v>
      </c>
      <c r="R2190" s="1045">
        <f>$A2190*Q2190</f>
        <v>113.69999999999999</v>
      </c>
      <c r="S2190" s="1044">
        <v>0.17</v>
      </c>
      <c r="T2190" s="1046">
        <f>$A2190*S2190*$T$1</f>
        <v>0.53550000000000009</v>
      </c>
    </row>
    <row r="2191" spans="1:41" s="504" customFormat="1" ht="12">
      <c r="A2191" s="882"/>
      <c r="B2191" s="882"/>
      <c r="C2191" s="882"/>
      <c r="D2191" s="882"/>
      <c r="E2191" s="882"/>
      <c r="F2191" s="877"/>
      <c r="G2191" s="882"/>
      <c r="H2191" s="882"/>
      <c r="I2191" s="503"/>
      <c r="J2191" s="882"/>
      <c r="K2191" s="882"/>
      <c r="L2191" s="882"/>
      <c r="M2191" s="882"/>
      <c r="N2191" s="882"/>
      <c r="O2191" s="882"/>
      <c r="P2191" s="882"/>
      <c r="Q2191" s="503"/>
      <c r="R2191" s="883">
        <f>$A2191*Q2191</f>
        <v>0</v>
      </c>
      <c r="S2191" s="503"/>
      <c r="T2191" s="884">
        <f>$A2191*S2191*$T$1</f>
        <v>0</v>
      </c>
    </row>
    <row r="2192" spans="1:41" s="504" customFormat="1" ht="12.6" thickBot="1">
      <c r="A2192" s="885" t="s">
        <v>142</v>
      </c>
      <c r="B2192" s="886">
        <f>(R2191+T2191)</f>
        <v>0</v>
      </c>
      <c r="C2192" s="887"/>
      <c r="D2192" s="887"/>
      <c r="E2192" s="887"/>
      <c r="F2192" s="888"/>
      <c r="G2192" s="887" t="s">
        <v>143</v>
      </c>
      <c r="H2192" s="887"/>
      <c r="I2192" s="889"/>
      <c r="J2192" s="887"/>
      <c r="K2192" s="887" t="s">
        <v>3</v>
      </c>
      <c r="L2192" s="890" t="s">
        <v>140</v>
      </c>
      <c r="M2192" s="890"/>
      <c r="N2192" s="890"/>
      <c r="O2192" s="890"/>
      <c r="P2192" s="890"/>
      <c r="Q2192" s="891"/>
      <c r="R2192" s="892">
        <f ca="1">SUM(R2187:R2191)</f>
        <v>155.45999999999998</v>
      </c>
      <c r="S2192" s="887"/>
      <c r="T2192" s="892">
        <f ca="1">SUM(T2187:T2191)</f>
        <v>4.8254999999999999</v>
      </c>
      <c r="U2192" s="514"/>
      <c r="V2192" s="514"/>
      <c r="W2192" s="514"/>
      <c r="X2192" s="514"/>
      <c r="Y2192" s="514"/>
      <c r="Z2192" s="514"/>
      <c r="AA2192" s="514"/>
      <c r="AB2192" s="514"/>
      <c r="AC2192" s="514"/>
      <c r="AD2192" s="514"/>
      <c r="AE2192" s="514"/>
      <c r="AF2192" s="514"/>
      <c r="AG2192" s="514"/>
      <c r="AH2192" s="514"/>
      <c r="AI2192" s="514"/>
      <c r="AJ2192" s="514"/>
      <c r="AK2192" s="514"/>
      <c r="AL2192" s="514"/>
      <c r="AM2192" s="514"/>
      <c r="AN2192" s="514"/>
      <c r="AO2192" s="514"/>
    </row>
    <row r="2193" spans="1:41" s="504" customFormat="1" ht="12" thickTop="1">
      <c r="A2193" s="50"/>
      <c r="B2193" s="40"/>
      <c r="C2193" s="50"/>
      <c r="E2193" s="41" t="s">
        <v>136</v>
      </c>
      <c r="F2193" s="41" t="s">
        <v>137</v>
      </c>
      <c r="G2193" s="50"/>
      <c r="H2193" s="50"/>
      <c r="I2193" s="50"/>
      <c r="J2193" s="50"/>
      <c r="K2193" s="50" t="s">
        <v>138</v>
      </c>
      <c r="L2193" s="50"/>
      <c r="M2193" s="50"/>
      <c r="N2193" s="50"/>
      <c r="O2193" s="51"/>
      <c r="P2193" s="50"/>
      <c r="Q2193" s="50"/>
      <c r="R2193" s="50"/>
      <c r="S2193" s="50"/>
      <c r="T2193" s="40"/>
      <c r="AG2193" s="867" t="s">
        <v>241</v>
      </c>
      <c r="AH2193" s="867" t="s">
        <v>242</v>
      </c>
      <c r="AI2193" s="867" t="s">
        <v>243</v>
      </c>
      <c r="AJ2193" s="867" t="s">
        <v>244</v>
      </c>
      <c r="AK2193" s="867" t="s">
        <v>245</v>
      </c>
      <c r="AM2193" s="868" t="s">
        <v>254</v>
      </c>
      <c r="AN2193" s="869" t="s">
        <v>255</v>
      </c>
      <c r="AO2193" s="505" t="s">
        <v>251</v>
      </c>
    </row>
    <row r="2194" spans="1:41" s="504" customFormat="1" ht="12" customHeight="1">
      <c r="A2194" s="870">
        <v>8</v>
      </c>
      <c r="B2194" s="871" t="s">
        <v>335</v>
      </c>
      <c r="C2194" s="872"/>
      <c r="D2194" s="873" t="s">
        <v>810</v>
      </c>
      <c r="E2194" s="874">
        <f ca="1">IF(AND($A2194=0,$A$1="DIF"),0, ROUND(ROUND(($R2200*$S$2+($T2200*$T$2))/A2194,2)*$C$2,2))</f>
        <v>119.8</v>
      </c>
      <c r="F2194" s="875">
        <f ca="1">ROUND($A2194*$E2194,2)</f>
        <v>958.4</v>
      </c>
      <c r="G2194" s="876" t="s">
        <v>139</v>
      </c>
      <c r="H2194" s="877"/>
      <c r="I2194" s="878"/>
      <c r="J2194" s="877"/>
      <c r="K2194" s="877" t="s">
        <v>3</v>
      </c>
      <c r="L2194" s="879" t="s">
        <v>140</v>
      </c>
      <c r="M2194" s="879"/>
      <c r="N2194" s="879"/>
      <c r="O2194" s="879"/>
      <c r="P2194" s="879"/>
      <c r="Q2194" s="50"/>
      <c r="T2194" s="880" t="str">
        <f ca="1">IF(AND($R2200=0,$T2200=0),"0.00","mu :" &amp; ROUND($F2194/$C$2/($R2200+$T2200*$D$9),2))</f>
        <v>mu :1.22</v>
      </c>
      <c r="W2194" s="507"/>
      <c r="AG2194" s="465">
        <f ca="1">IF($E2194=0,0,ROUND($R2200*$S$2*$C$2/$A2194,2))</f>
        <v>63.22</v>
      </c>
      <c r="AH2194" s="465">
        <f ca="1">$AG2194*$A2194</f>
        <v>505.76</v>
      </c>
      <c r="AI2194" s="508">
        <f ca="1">$E2194-$AG2194</f>
        <v>56.58</v>
      </c>
      <c r="AJ2194" s="508">
        <f ca="1">$A2194*$AI2194</f>
        <v>452.64</v>
      </c>
      <c r="AK2194" s="509">
        <f ca="1">ROUND(($AG2194+$AI2194)*$A2194,2)</f>
        <v>958.4</v>
      </c>
      <c r="AM2194" s="510">
        <f ca="1">ROUND(R2200,2)</f>
        <v>414.56</v>
      </c>
      <c r="AN2194" s="511">
        <f ca="1">ROUND(T2200,2)</f>
        <v>12.87</v>
      </c>
      <c r="AO2194" s="512">
        <f ca="1">ROUND(AM2194+AN2194,2)*A2194</f>
        <v>3419.44</v>
      </c>
    </row>
    <row r="2195" spans="1:41" s="504" customFormat="1" ht="13.2">
      <c r="A2195" s="872"/>
      <c r="B2195"/>
      <c r="C2195" s="872"/>
      <c r="D2195" s="873" t="s">
        <v>426</v>
      </c>
      <c r="F2195" s="877"/>
      <c r="G2195" s="3"/>
      <c r="H2195" s="877"/>
      <c r="I2195" s="878"/>
      <c r="J2195" s="877"/>
      <c r="K2195" s="877" t="s">
        <v>141</v>
      </c>
      <c r="L2195" s="877"/>
      <c r="M2195" s="877"/>
      <c r="N2195" s="877"/>
      <c r="O2195" s="877"/>
      <c r="P2195" s="877"/>
      <c r="Q2195" s="50"/>
      <c r="R2195" s="513"/>
      <c r="S2195" s="881"/>
      <c r="T2195" s="877"/>
    </row>
    <row r="2196" spans="1:41" s="997" customFormat="1" ht="13.2">
      <c r="A2196"/>
      <c r="B2196" s="1065"/>
      <c r="C2196" s="1065" t="s">
        <v>1006</v>
      </c>
      <c r="D2196" s="1065" t="str">
        <f ca="1">CELL("Address",Elec_Rates!D$486)</f>
        <v>[EL25_0662B_Brittania_Hotel_Elec_Revised_Estim_B.xlsx]Elec_Rates!$D$486</v>
      </c>
      <c r="E2196" s="1066"/>
      <c r="F2196" s="1066"/>
      <c r="G2196" s="1067" t="s">
        <v>1007</v>
      </c>
      <c r="H2196" s="1067"/>
      <c r="I2196" s="1067"/>
      <c r="J2196" s="1067"/>
      <c r="K2196" s="1068"/>
      <c r="L2196" s="1066"/>
      <c r="M2196" s="1066"/>
      <c r="N2196" s="1066"/>
      <c r="O2196" s="1069"/>
      <c r="P2196" s="1066"/>
      <c r="Q2196" s="1070"/>
      <c r="R2196" s="1071"/>
      <c r="S2196" s="1070"/>
      <c r="T2196" s="1072"/>
      <c r="U2196" s="1073"/>
    </row>
    <row r="2197" spans="1:41" s="997" customFormat="1" ht="11.4">
      <c r="A2197" s="1074">
        <v>8</v>
      </c>
      <c r="B2197" s="1075">
        <v>1</v>
      </c>
      <c r="C2197" s="1075">
        <f>$A2197*$B2197</f>
        <v>8</v>
      </c>
      <c r="D2197" s="1076" t="str">
        <f>Elec_Rates!$D$486</f>
        <v>058# General Power Point in LSZH Conduit</v>
      </c>
      <c r="E2197" s="1076"/>
      <c r="F2197" s="1076"/>
      <c r="G2197" s="1077" t="s">
        <v>1008</v>
      </c>
      <c r="H2197" s="1077"/>
      <c r="I2197" s="1077"/>
      <c r="J2197" s="1077"/>
      <c r="K2197" s="1078"/>
      <c r="L2197" s="1073"/>
      <c r="M2197" s="1073"/>
      <c r="N2197" s="1073"/>
      <c r="O2197" s="1079"/>
      <c r="P2197" s="1076"/>
      <c r="Q2197" s="1080">
        <f ca="1">$B2197*Elec_Rates!$R$486</f>
        <v>13.92</v>
      </c>
      <c r="R2197" s="1071">
        <f ca="1">$A2197*Q2197</f>
        <v>111.36</v>
      </c>
      <c r="S2197" s="1080">
        <f ca="1">$B2197*Elec_Rates!$T$486</f>
        <v>1.43</v>
      </c>
      <c r="T2197" s="1072">
        <f ca="1">$A2197*S2197</f>
        <v>11.44</v>
      </c>
      <c r="U2197" s="1081"/>
    </row>
    <row r="2198" spans="1:41" s="1039" customFormat="1" ht="13.2">
      <c r="A2198" s="112">
        <v>8</v>
      </c>
      <c r="B2198" s="1039" t="s">
        <v>949</v>
      </c>
      <c r="D2198" s="1039" t="s">
        <v>426</v>
      </c>
      <c r="G2198" s="1040" t="s">
        <v>1231</v>
      </c>
      <c r="H2198" s="1041">
        <v>705</v>
      </c>
      <c r="I2198" s="1039" t="s">
        <v>1183</v>
      </c>
      <c r="J2198" s="1039" t="s">
        <v>1232</v>
      </c>
      <c r="O2198" s="1042">
        <v>3</v>
      </c>
      <c r="P2198" s="1043">
        <v>34669</v>
      </c>
      <c r="Q2198" s="1044">
        <v>37.9</v>
      </c>
      <c r="R2198" s="1045">
        <f>$A2198*Q2198</f>
        <v>303.2</v>
      </c>
      <c r="S2198" s="1044">
        <v>0.17</v>
      </c>
      <c r="T2198" s="1046">
        <f>$A2198*S2198*$T$1</f>
        <v>1.4280000000000002</v>
      </c>
    </row>
    <row r="2199" spans="1:41" s="504" customFormat="1" ht="12">
      <c r="A2199" s="882"/>
      <c r="B2199" s="882"/>
      <c r="C2199" s="882"/>
      <c r="D2199" s="882"/>
      <c r="E2199" s="882"/>
      <c r="F2199" s="877"/>
      <c r="G2199" s="882"/>
      <c r="H2199" s="882"/>
      <c r="I2199" s="503"/>
      <c r="J2199" s="882"/>
      <c r="K2199" s="882"/>
      <c r="L2199" s="882"/>
      <c r="M2199" s="882"/>
      <c r="N2199" s="882"/>
      <c r="O2199" s="882"/>
      <c r="P2199" s="882"/>
      <c r="Q2199" s="503"/>
      <c r="R2199" s="883">
        <f>$A2199*Q2199</f>
        <v>0</v>
      </c>
      <c r="S2199" s="503"/>
      <c r="T2199" s="884">
        <f>$A2199*S2199*$T$1</f>
        <v>0</v>
      </c>
    </row>
    <row r="2200" spans="1:41" s="504" customFormat="1" ht="12.6" thickBot="1">
      <c r="A2200" s="885" t="s">
        <v>142</v>
      </c>
      <c r="B2200" s="886">
        <f>(R2199+T2199)</f>
        <v>0</v>
      </c>
      <c r="C2200" s="887"/>
      <c r="D2200" s="887"/>
      <c r="E2200" s="887"/>
      <c r="F2200" s="888"/>
      <c r="G2200" s="887" t="s">
        <v>143</v>
      </c>
      <c r="H2200" s="887"/>
      <c r="I2200" s="889"/>
      <c r="J2200" s="887"/>
      <c r="K2200" s="887" t="s">
        <v>3</v>
      </c>
      <c r="L2200" s="890" t="s">
        <v>140</v>
      </c>
      <c r="M2200" s="890"/>
      <c r="N2200" s="890"/>
      <c r="O2200" s="890"/>
      <c r="P2200" s="890"/>
      <c r="Q2200" s="891"/>
      <c r="R2200" s="892">
        <f ca="1">SUM(R2195:R2199)</f>
        <v>414.56</v>
      </c>
      <c r="S2200" s="887"/>
      <c r="T2200" s="892">
        <f ca="1">SUM(T2195:T2199)</f>
        <v>12.868</v>
      </c>
      <c r="U2200" s="514"/>
      <c r="V2200" s="514"/>
      <c r="W2200" s="514"/>
      <c r="X2200" s="514"/>
      <c r="Y2200" s="514"/>
      <c r="Z2200" s="514"/>
      <c r="AA2200" s="514"/>
      <c r="AB2200" s="514"/>
      <c r="AC2200" s="514"/>
      <c r="AD2200" s="514"/>
      <c r="AE2200" s="514"/>
      <c r="AF2200" s="514"/>
      <c r="AG2200" s="514"/>
      <c r="AH2200" s="514"/>
      <c r="AI2200" s="514"/>
      <c r="AJ2200" s="514"/>
      <c r="AK2200" s="514"/>
      <c r="AL2200" s="514"/>
      <c r="AM2200" s="514"/>
      <c r="AN2200" s="514"/>
      <c r="AO2200" s="514"/>
    </row>
    <row r="2201" spans="1:41" s="504" customFormat="1" ht="12" thickTop="1">
      <c r="A2201" s="50"/>
      <c r="B2201" s="40"/>
      <c r="C2201" s="50"/>
      <c r="E2201" s="41" t="s">
        <v>136</v>
      </c>
      <c r="F2201" s="41" t="s">
        <v>137</v>
      </c>
      <c r="G2201" s="50"/>
      <c r="H2201" s="50"/>
      <c r="I2201" s="50"/>
      <c r="J2201" s="50"/>
      <c r="K2201" s="50" t="s">
        <v>138</v>
      </c>
      <c r="L2201" s="50"/>
      <c r="M2201" s="50"/>
      <c r="N2201" s="50"/>
      <c r="O2201" s="51"/>
      <c r="P2201" s="50"/>
      <c r="Q2201" s="50"/>
      <c r="R2201" s="50"/>
      <c r="S2201" s="50"/>
      <c r="T2201" s="40"/>
      <c r="AG2201" s="867" t="s">
        <v>241</v>
      </c>
      <c r="AH2201" s="867" t="s">
        <v>242</v>
      </c>
      <c r="AI2201" s="867" t="s">
        <v>243</v>
      </c>
      <c r="AJ2201" s="867" t="s">
        <v>244</v>
      </c>
      <c r="AK2201" s="867" t="s">
        <v>245</v>
      </c>
      <c r="AM2201" s="868" t="s">
        <v>254</v>
      </c>
      <c r="AN2201" s="869" t="s">
        <v>255</v>
      </c>
      <c r="AO2201" s="505" t="s">
        <v>251</v>
      </c>
    </row>
    <row r="2202" spans="1:41" s="504" customFormat="1" ht="12" customHeight="1">
      <c r="A2202" s="870">
        <v>9</v>
      </c>
      <c r="B2202" s="871" t="s">
        <v>335</v>
      </c>
      <c r="C2202" s="872"/>
      <c r="D2202" s="873" t="s">
        <v>812</v>
      </c>
      <c r="E2202" s="874">
        <f ca="1">IF(AND($A2202=0,$A$1="DIF"),0, ROUND(ROUND(($R2208*$S$2+($T2208*$T$2))/A2202,2)*$C$2,2))</f>
        <v>119.8</v>
      </c>
      <c r="F2202" s="875">
        <f ca="1">ROUND($A2202*$E2202,2)</f>
        <v>1078.2</v>
      </c>
      <c r="G2202" s="876" t="s">
        <v>139</v>
      </c>
      <c r="H2202" s="877"/>
      <c r="I2202" s="878"/>
      <c r="J2202" s="877"/>
      <c r="K2202" s="877" t="s">
        <v>3</v>
      </c>
      <c r="L2202" s="879" t="s">
        <v>140</v>
      </c>
      <c r="M2202" s="879"/>
      <c r="N2202" s="879"/>
      <c r="O2202" s="879"/>
      <c r="P2202" s="879"/>
      <c r="Q2202" s="50"/>
      <c r="T2202" s="880" t="str">
        <f ca="1">IF(AND($R2208=0,$T2208=0),"0.00","mu :" &amp; ROUND($F2202/$C$2/($R2208+$T2208*$D$9),2))</f>
        <v>mu :1.22</v>
      </c>
      <c r="W2202" s="507"/>
      <c r="AG2202" s="465">
        <f ca="1">IF($E2202=0,0,ROUND($R2208*$S$2*$C$2/$A2202,2))</f>
        <v>63.22</v>
      </c>
      <c r="AH2202" s="465">
        <f ca="1">$AG2202*$A2202</f>
        <v>568.98</v>
      </c>
      <c r="AI2202" s="508">
        <f ca="1">$E2202-$AG2202</f>
        <v>56.58</v>
      </c>
      <c r="AJ2202" s="508">
        <f ca="1">$A2202*$AI2202</f>
        <v>509.21999999999997</v>
      </c>
      <c r="AK2202" s="509">
        <f ca="1">ROUND(($AG2202+$AI2202)*$A2202,2)</f>
        <v>1078.2</v>
      </c>
      <c r="AM2202" s="510">
        <f ca="1">ROUND(R2208,2)</f>
        <v>466.38</v>
      </c>
      <c r="AN2202" s="511">
        <f ca="1">ROUND(T2208,2)</f>
        <v>14.48</v>
      </c>
      <c r="AO2202" s="512">
        <f ca="1">ROUND(AM2202+AN2202,2)*A2202</f>
        <v>4327.74</v>
      </c>
    </row>
    <row r="2203" spans="1:41" s="504" customFormat="1" ht="13.2">
      <c r="A2203" s="872"/>
      <c r="B2203"/>
      <c r="C2203" s="872"/>
      <c r="D2203" s="916" t="s">
        <v>427</v>
      </c>
      <c r="E2203" s="917"/>
      <c r="F2203" s="918"/>
      <c r="G2203" s="919"/>
      <c r="H2203" s="918"/>
      <c r="I2203" s="920"/>
      <c r="J2203" s="918"/>
      <c r="K2203" s="918" t="s">
        <v>141</v>
      </c>
      <c r="L2203" s="918"/>
      <c r="M2203" s="918"/>
      <c r="N2203" s="918"/>
      <c r="O2203" s="918"/>
      <c r="P2203" s="918"/>
      <c r="Q2203" s="921"/>
      <c r="R2203" s="513"/>
      <c r="S2203" s="881"/>
      <c r="T2203" s="877"/>
    </row>
    <row r="2204" spans="1:41" s="997" customFormat="1" ht="13.2">
      <c r="A2204"/>
      <c r="B2204" s="1065"/>
      <c r="C2204" s="1065" t="s">
        <v>1006</v>
      </c>
      <c r="D2204" s="1065" t="str">
        <f ca="1">CELL("Address",Elec_Rates!D$486)</f>
        <v>[EL25_0662B_Brittania_Hotel_Elec_Revised_Estim_B.xlsx]Elec_Rates!$D$486</v>
      </c>
      <c r="E2204" s="1066"/>
      <c r="F2204" s="1066"/>
      <c r="G2204" s="1067" t="s">
        <v>1007</v>
      </c>
      <c r="H2204" s="1067"/>
      <c r="I2204" s="1067"/>
      <c r="J2204" s="1067"/>
      <c r="K2204" s="1068"/>
      <c r="L2204" s="1066"/>
      <c r="M2204" s="1066"/>
      <c r="N2204" s="1066"/>
      <c r="O2204" s="1069"/>
      <c r="P2204" s="1066"/>
      <c r="Q2204" s="1070"/>
      <c r="R2204" s="1071"/>
      <c r="S2204" s="1070"/>
      <c r="T2204" s="1072"/>
      <c r="U2204" s="1073"/>
    </row>
    <row r="2205" spans="1:41" s="997" customFormat="1" ht="11.4">
      <c r="A2205" s="1074">
        <v>9</v>
      </c>
      <c r="B2205" s="1075">
        <v>1</v>
      </c>
      <c r="C2205" s="1075">
        <f>$A2205*$B2205</f>
        <v>9</v>
      </c>
      <c r="D2205" s="1076" t="str">
        <f>Elec_Rates!$D$486</f>
        <v>058# General Power Point in LSZH Conduit</v>
      </c>
      <c r="E2205" s="1076"/>
      <c r="F2205" s="1076"/>
      <c r="G2205" s="1077" t="s">
        <v>1008</v>
      </c>
      <c r="H2205" s="1077"/>
      <c r="I2205" s="1077"/>
      <c r="J2205" s="1077"/>
      <c r="K2205" s="1078"/>
      <c r="L2205" s="1073"/>
      <c r="M2205" s="1073"/>
      <c r="N2205" s="1073"/>
      <c r="O2205" s="1079"/>
      <c r="P2205" s="1076"/>
      <c r="Q2205" s="1080">
        <f ca="1">$B2205*Elec_Rates!$R$486</f>
        <v>13.92</v>
      </c>
      <c r="R2205" s="1071">
        <f ca="1">$A2205*Q2205</f>
        <v>125.28</v>
      </c>
      <c r="S2205" s="1080">
        <f ca="1">$B2205*Elec_Rates!$T$486</f>
        <v>1.43</v>
      </c>
      <c r="T2205" s="1072">
        <f ca="1">$A2205*S2205</f>
        <v>12.87</v>
      </c>
      <c r="U2205" s="1081"/>
    </row>
    <row r="2206" spans="1:41" s="1039" customFormat="1" ht="13.2">
      <c r="A2206" s="112">
        <v>9</v>
      </c>
      <c r="B2206" s="1039" t="s">
        <v>949</v>
      </c>
      <c r="D2206" s="1039" t="s">
        <v>427</v>
      </c>
      <c r="G2206" s="1040" t="s">
        <v>1231</v>
      </c>
      <c r="H2206" s="1041">
        <v>705</v>
      </c>
      <c r="I2206" s="1039" t="s">
        <v>1183</v>
      </c>
      <c r="J2206" s="1039" t="s">
        <v>1232</v>
      </c>
      <c r="O2206" s="1042">
        <v>3</v>
      </c>
      <c r="P2206" s="1043">
        <v>34669</v>
      </c>
      <c r="Q2206" s="1044">
        <v>37.9</v>
      </c>
      <c r="R2206" s="1045">
        <f>$A2206*Q2206</f>
        <v>341.09999999999997</v>
      </c>
      <c r="S2206" s="1044">
        <v>0.17</v>
      </c>
      <c r="T2206" s="1046">
        <f>$A2206*S2206*$T$1</f>
        <v>1.6065</v>
      </c>
    </row>
    <row r="2207" spans="1:41" s="504" customFormat="1" ht="12">
      <c r="A2207" s="882"/>
      <c r="B2207" s="882"/>
      <c r="C2207" s="882"/>
      <c r="D2207" s="882"/>
      <c r="E2207" s="882"/>
      <c r="F2207" s="877"/>
      <c r="G2207" s="882"/>
      <c r="H2207" s="882"/>
      <c r="I2207" s="503"/>
      <c r="J2207" s="882"/>
      <c r="K2207" s="882"/>
      <c r="L2207" s="882"/>
      <c r="M2207" s="882"/>
      <c r="N2207" s="882"/>
      <c r="O2207" s="882"/>
      <c r="P2207" s="882"/>
      <c r="Q2207" s="503"/>
      <c r="R2207" s="883">
        <f>$A2207*Q2207</f>
        <v>0</v>
      </c>
      <c r="S2207" s="503"/>
      <c r="T2207" s="884">
        <f>$A2207*S2207*$T$1</f>
        <v>0</v>
      </c>
    </row>
    <row r="2208" spans="1:41" s="504" customFormat="1" ht="12.6" thickBot="1">
      <c r="A2208" s="885" t="s">
        <v>142</v>
      </c>
      <c r="B2208" s="886">
        <f>(R2207+T2207)</f>
        <v>0</v>
      </c>
      <c r="C2208" s="887"/>
      <c r="D2208" s="887"/>
      <c r="E2208" s="887"/>
      <c r="F2208" s="888"/>
      <c r="G2208" s="887" t="s">
        <v>143</v>
      </c>
      <c r="H2208" s="887"/>
      <c r="I2208" s="889"/>
      <c r="J2208" s="887"/>
      <c r="K2208" s="887" t="s">
        <v>3</v>
      </c>
      <c r="L2208" s="890" t="s">
        <v>140</v>
      </c>
      <c r="M2208" s="890"/>
      <c r="N2208" s="890"/>
      <c r="O2208" s="890"/>
      <c r="P2208" s="890"/>
      <c r="Q2208" s="891"/>
      <c r="R2208" s="892">
        <f ca="1">SUM(R2203:R2207)</f>
        <v>466.38</v>
      </c>
      <c r="S2208" s="887"/>
      <c r="T2208" s="892">
        <f ca="1">SUM(T2203:T2207)</f>
        <v>14.4765</v>
      </c>
      <c r="U2208" s="514"/>
      <c r="V2208" s="514"/>
      <c r="W2208" s="514"/>
      <c r="X2208" s="514"/>
      <c r="Y2208" s="514"/>
      <c r="Z2208" s="514"/>
      <c r="AA2208" s="514"/>
      <c r="AB2208" s="514"/>
      <c r="AC2208" s="514"/>
      <c r="AD2208" s="514"/>
      <c r="AE2208" s="514"/>
      <c r="AF2208" s="514"/>
      <c r="AG2208" s="514"/>
      <c r="AH2208" s="514"/>
      <c r="AI2208" s="514"/>
      <c r="AJ2208" s="514"/>
      <c r="AK2208" s="514"/>
      <c r="AL2208" s="514"/>
      <c r="AM2208" s="514"/>
      <c r="AN2208" s="514"/>
      <c r="AO2208" s="514"/>
    </row>
    <row r="2209" spans="1:41" s="504" customFormat="1" ht="12" thickTop="1">
      <c r="A2209" s="50"/>
      <c r="B2209" s="40"/>
      <c r="C2209" s="50"/>
      <c r="E2209" s="41" t="s">
        <v>136</v>
      </c>
      <c r="F2209" s="41" t="s">
        <v>137</v>
      </c>
      <c r="G2209" s="50"/>
      <c r="H2209" s="50"/>
      <c r="I2209" s="50"/>
      <c r="J2209" s="50"/>
      <c r="K2209" s="50" t="s">
        <v>138</v>
      </c>
      <c r="L2209" s="50"/>
      <c r="M2209" s="50"/>
      <c r="N2209" s="50"/>
      <c r="O2209" s="51"/>
      <c r="P2209" s="50"/>
      <c r="Q2209" s="50"/>
      <c r="R2209" s="50"/>
      <c r="S2209" s="50"/>
      <c r="T2209" s="40"/>
      <c r="AG2209" s="867" t="s">
        <v>241</v>
      </c>
      <c r="AH2209" s="867" t="s">
        <v>242</v>
      </c>
      <c r="AI2209" s="867" t="s">
        <v>243</v>
      </c>
      <c r="AJ2209" s="867" t="s">
        <v>244</v>
      </c>
      <c r="AK2209" s="867" t="s">
        <v>245</v>
      </c>
      <c r="AM2209" s="868" t="s">
        <v>254</v>
      </c>
      <c r="AN2209" s="869" t="s">
        <v>255</v>
      </c>
      <c r="AO2209" s="505" t="s">
        <v>251</v>
      </c>
    </row>
    <row r="2210" spans="1:41" s="504" customFormat="1" ht="12" customHeight="1">
      <c r="A2210" s="870">
        <v>6</v>
      </c>
      <c r="B2210" s="871" t="s">
        <v>335</v>
      </c>
      <c r="C2210" s="872"/>
      <c r="D2210" s="873" t="s">
        <v>819</v>
      </c>
      <c r="E2210" s="874">
        <f ca="1">IF(AND($A2210=0,$A$1="DIF"),0, ROUND(ROUND(($R2216*$S$2+($T2216*$T$2))/A2210,2)*$C$2,2))</f>
        <v>79.88</v>
      </c>
      <c r="F2210" s="875">
        <f ca="1">ROUND($A2210*$E2210,2)</f>
        <v>479.28</v>
      </c>
      <c r="G2210" s="876" t="s">
        <v>139</v>
      </c>
      <c r="H2210" s="877"/>
      <c r="I2210" s="878"/>
      <c r="J2210" s="877"/>
      <c r="K2210" s="877" t="s">
        <v>3</v>
      </c>
      <c r="L2210" s="879" t="s">
        <v>140</v>
      </c>
      <c r="M2210" s="879"/>
      <c r="N2210" s="879"/>
      <c r="O2210" s="879"/>
      <c r="P2210" s="879"/>
      <c r="Q2210" s="50"/>
      <c r="T2210" s="880" t="str">
        <f ca="1">IF(AND($R2216=0,$T2216=0),"0.00","mu :" &amp; ROUND($F2210/$C$2/($R2216+$T2216*$D$9),2))</f>
        <v>mu :1.22</v>
      </c>
      <c r="W2210" s="507"/>
      <c r="AG2210" s="465">
        <f ca="1">IF($E2210=0,0,ROUND($R2216*$S$2*$C$2/$A2210,2))</f>
        <v>23.3</v>
      </c>
      <c r="AH2210" s="465">
        <f ca="1">$AG2210*$A2210</f>
        <v>139.80000000000001</v>
      </c>
      <c r="AI2210" s="508">
        <f ca="1">$E2210-$AG2210</f>
        <v>56.58</v>
      </c>
      <c r="AJ2210" s="508">
        <f ca="1">$A2210*$AI2210</f>
        <v>339.48</v>
      </c>
      <c r="AK2210" s="509">
        <f ca="1">ROUND(($AG2210+$AI2210)*$A2210,2)</f>
        <v>479.28</v>
      </c>
      <c r="AM2210" s="510">
        <f ca="1">ROUND(R2216,2)</f>
        <v>114.6</v>
      </c>
      <c r="AN2210" s="511">
        <f ca="1">ROUND(T2216,2)</f>
        <v>9.65</v>
      </c>
      <c r="AO2210" s="512">
        <f ca="1">ROUND(AM2210+AN2210,2)*A2210</f>
        <v>745.5</v>
      </c>
    </row>
    <row r="2211" spans="1:41" s="504" customFormat="1" ht="13.2">
      <c r="A2211" s="872"/>
      <c r="B2211"/>
      <c r="C2211" s="872"/>
      <c r="D2211" s="873" t="s">
        <v>363</v>
      </c>
      <c r="F2211" s="877"/>
      <c r="G2211" s="3"/>
      <c r="H2211" s="877"/>
      <c r="I2211" s="878"/>
      <c r="J2211" s="877"/>
      <c r="K2211" s="877" t="s">
        <v>141</v>
      </c>
      <c r="L2211" s="877"/>
      <c r="M2211" s="877"/>
      <c r="N2211" s="877"/>
      <c r="O2211" s="877"/>
      <c r="P2211" s="877"/>
      <c r="Q2211" s="50"/>
      <c r="R2211" s="513"/>
      <c r="S2211" s="881"/>
      <c r="T2211" s="877"/>
    </row>
    <row r="2212" spans="1:41" s="997" customFormat="1" ht="13.2">
      <c r="A2212"/>
      <c r="B2212" s="1065"/>
      <c r="C2212" s="1065" t="s">
        <v>1006</v>
      </c>
      <c r="D2212" s="1065" t="str">
        <f ca="1">CELL("Address",Elec_Rates!D$486)</f>
        <v>[EL25_0662B_Brittania_Hotel_Elec_Revised_Estim_B.xlsx]Elec_Rates!$D$486</v>
      </c>
      <c r="E2212" s="1066"/>
      <c r="F2212" s="1066"/>
      <c r="G2212" s="1067" t="s">
        <v>1007</v>
      </c>
      <c r="H2212" s="1067"/>
      <c r="I2212" s="1067"/>
      <c r="J2212" s="1067"/>
      <c r="K2212" s="1068"/>
      <c r="L2212" s="1066"/>
      <c r="M2212" s="1066"/>
      <c r="N2212" s="1066"/>
      <c r="O2212" s="1069"/>
      <c r="P2212" s="1066"/>
      <c r="Q2212" s="1070"/>
      <c r="R2212" s="1071"/>
      <c r="S2212" s="1070"/>
      <c r="T2212" s="1072"/>
      <c r="U2212" s="1073"/>
    </row>
    <row r="2213" spans="1:41" s="997" customFormat="1" ht="11.4">
      <c r="A2213" s="1074">
        <v>6</v>
      </c>
      <c r="B2213" s="1075">
        <v>1</v>
      </c>
      <c r="C2213" s="1075">
        <f>$A2213*$B2213</f>
        <v>6</v>
      </c>
      <c r="D2213" s="1076" t="str">
        <f>Elec_Rates!$D$486</f>
        <v>058# General Power Point in LSZH Conduit</v>
      </c>
      <c r="E2213" s="1076"/>
      <c r="F2213" s="1076"/>
      <c r="G2213" s="1077" t="s">
        <v>1008</v>
      </c>
      <c r="H2213" s="1077"/>
      <c r="I2213" s="1077"/>
      <c r="J2213" s="1077"/>
      <c r="K2213" s="1078"/>
      <c r="L2213" s="1073"/>
      <c r="M2213" s="1073"/>
      <c r="N2213" s="1073"/>
      <c r="O2213" s="1079"/>
      <c r="P2213" s="1076"/>
      <c r="Q2213" s="1080">
        <f ca="1">$B2213*Elec_Rates!$R$486</f>
        <v>13.92</v>
      </c>
      <c r="R2213" s="1071">
        <f ca="1">$A2213*Q2213</f>
        <v>83.52</v>
      </c>
      <c r="S2213" s="1080">
        <f ca="1">$B2213*Elec_Rates!$T$486</f>
        <v>1.43</v>
      </c>
      <c r="T2213" s="1072">
        <f ca="1">$A2213*S2213</f>
        <v>8.58</v>
      </c>
      <c r="U2213" s="1081"/>
    </row>
    <row r="2214" spans="1:41" s="1039" customFormat="1" ht="13.2">
      <c r="A2214" s="112">
        <v>6</v>
      </c>
      <c r="B2214" s="1039" t="s">
        <v>949</v>
      </c>
      <c r="D2214" s="1039" t="s">
        <v>1237</v>
      </c>
      <c r="G2214" s="1040" t="s">
        <v>1231</v>
      </c>
      <c r="H2214" s="1041">
        <v>705</v>
      </c>
      <c r="I2214" s="1039" t="s">
        <v>1183</v>
      </c>
      <c r="J2214" s="1039" t="s">
        <v>1232</v>
      </c>
      <c r="O2214" s="1042">
        <v>3</v>
      </c>
      <c r="P2214" s="1043">
        <v>34669</v>
      </c>
      <c r="Q2214" s="1044">
        <v>5.18</v>
      </c>
      <c r="R2214" s="1045">
        <f>$A2214*Q2214</f>
        <v>31.08</v>
      </c>
      <c r="S2214" s="1044">
        <v>0.17</v>
      </c>
      <c r="T2214" s="1046">
        <f>$A2214*S2214*$T$1</f>
        <v>1.0710000000000002</v>
      </c>
    </row>
    <row r="2215" spans="1:41" s="504" customFormat="1" ht="12">
      <c r="A2215" s="882"/>
      <c r="B2215" s="882"/>
      <c r="C2215" s="882"/>
      <c r="D2215" s="882"/>
      <c r="E2215" s="882"/>
      <c r="F2215" s="877"/>
      <c r="G2215" s="882"/>
      <c r="H2215" s="882"/>
      <c r="I2215" s="503"/>
      <c r="J2215" s="882"/>
      <c r="K2215" s="882"/>
      <c r="L2215" s="882"/>
      <c r="M2215" s="882"/>
      <c r="N2215" s="882"/>
      <c r="O2215" s="882"/>
      <c r="P2215" s="882"/>
      <c r="Q2215" s="503"/>
      <c r="R2215" s="883">
        <f>$A2215*Q2215</f>
        <v>0</v>
      </c>
      <c r="S2215" s="503"/>
      <c r="T2215" s="884">
        <f>$A2215*S2215*$T$1</f>
        <v>0</v>
      </c>
    </row>
    <row r="2216" spans="1:41" s="504" customFormat="1" ht="12.6" thickBot="1">
      <c r="A2216" s="885" t="s">
        <v>142</v>
      </c>
      <c r="B2216" s="886">
        <f>(R2215+T2215)</f>
        <v>0</v>
      </c>
      <c r="C2216" s="887"/>
      <c r="D2216" s="887"/>
      <c r="E2216" s="887"/>
      <c r="F2216" s="888"/>
      <c r="G2216" s="887" t="s">
        <v>143</v>
      </c>
      <c r="H2216" s="887"/>
      <c r="I2216" s="889"/>
      <c r="J2216" s="887"/>
      <c r="K2216" s="887" t="s">
        <v>3</v>
      </c>
      <c r="L2216" s="890" t="s">
        <v>140</v>
      </c>
      <c r="M2216" s="890"/>
      <c r="N2216" s="890"/>
      <c r="O2216" s="890"/>
      <c r="P2216" s="890"/>
      <c r="Q2216" s="891"/>
      <c r="R2216" s="892">
        <f ca="1">SUM(R2211:R2215)</f>
        <v>114.6</v>
      </c>
      <c r="S2216" s="887"/>
      <c r="T2216" s="892">
        <f ca="1">SUM(T2211:T2215)</f>
        <v>9.6509999999999998</v>
      </c>
      <c r="U2216" s="514"/>
      <c r="V2216" s="514"/>
      <c r="W2216" s="514"/>
      <c r="X2216" s="514"/>
      <c r="Y2216" s="514"/>
      <c r="Z2216" s="514"/>
      <c r="AA2216" s="514"/>
      <c r="AB2216" s="514"/>
      <c r="AC2216" s="514"/>
      <c r="AD2216" s="514"/>
      <c r="AE2216" s="514"/>
      <c r="AF2216" s="514"/>
      <c r="AG2216" s="514"/>
      <c r="AH2216" s="514"/>
      <c r="AI2216" s="514"/>
      <c r="AJ2216" s="514"/>
      <c r="AK2216" s="514"/>
      <c r="AL2216" s="514"/>
      <c r="AM2216" s="514"/>
      <c r="AN2216" s="514"/>
      <c r="AO2216" s="514"/>
    </row>
    <row r="2217" spans="1:41" s="504" customFormat="1" ht="12" thickTop="1">
      <c r="A2217" s="50"/>
      <c r="B2217" s="40"/>
      <c r="C2217" s="50"/>
      <c r="E2217" s="41" t="s">
        <v>136</v>
      </c>
      <c r="F2217" s="41" t="s">
        <v>137</v>
      </c>
      <c r="G2217" s="50"/>
      <c r="H2217" s="50"/>
      <c r="I2217" s="50"/>
      <c r="J2217" s="50"/>
      <c r="K2217" s="50" t="s">
        <v>138</v>
      </c>
      <c r="L2217" s="50"/>
      <c r="M2217" s="50"/>
      <c r="N2217" s="50"/>
      <c r="O2217" s="51"/>
      <c r="P2217" s="50"/>
      <c r="Q2217" s="50"/>
      <c r="R2217" s="50"/>
      <c r="S2217" s="50"/>
      <c r="T2217" s="40"/>
      <c r="AG2217" s="867" t="s">
        <v>241</v>
      </c>
      <c r="AH2217" s="867" t="s">
        <v>242</v>
      </c>
      <c r="AI2217" s="867" t="s">
        <v>243</v>
      </c>
      <c r="AJ2217" s="867" t="s">
        <v>244</v>
      </c>
      <c r="AK2217" s="867" t="s">
        <v>245</v>
      </c>
      <c r="AM2217" s="868" t="s">
        <v>254</v>
      </c>
      <c r="AN2217" s="869" t="s">
        <v>255</v>
      </c>
      <c r="AO2217" s="505" t="s">
        <v>251</v>
      </c>
    </row>
    <row r="2218" spans="1:41" s="504" customFormat="1" ht="12" customHeight="1">
      <c r="A2218" s="870">
        <v>5</v>
      </c>
      <c r="B2218" s="871" t="s">
        <v>335</v>
      </c>
      <c r="C2218" s="872"/>
      <c r="D2218" s="873" t="s">
        <v>820</v>
      </c>
      <c r="E2218" s="874">
        <f ca="1">IF(AND($A2218=0,$A$1="DIF"),0, ROUND(ROUND(($R2224*$S$2+($T2224*$T$2))/A2218,2)*$C$2,2))</f>
        <v>79.88</v>
      </c>
      <c r="F2218" s="875">
        <f ca="1">ROUND($A2218*$E2218,2)</f>
        <v>399.4</v>
      </c>
      <c r="G2218" s="876" t="s">
        <v>139</v>
      </c>
      <c r="H2218" s="877"/>
      <c r="I2218" s="878"/>
      <c r="J2218" s="877"/>
      <c r="K2218" s="877" t="s">
        <v>3</v>
      </c>
      <c r="L2218" s="879" t="s">
        <v>140</v>
      </c>
      <c r="M2218" s="879"/>
      <c r="N2218" s="879"/>
      <c r="O2218" s="879"/>
      <c r="P2218" s="879"/>
      <c r="Q2218" s="50"/>
      <c r="T2218" s="880" t="str">
        <f ca="1">IF(AND($R2224=0,$T2224=0),"0.00","mu :" &amp; ROUND($F2218/$C$2/($R2224+$T2224*$D$9),2))</f>
        <v>mu :1.22</v>
      </c>
      <c r="W2218" s="507"/>
      <c r="AG2218" s="465">
        <f ca="1">IF($E2218=0,0,ROUND($R2224*$S$2*$C$2/$A2218,2))</f>
        <v>23.3</v>
      </c>
      <c r="AH2218" s="465">
        <f ca="1">$AG2218*$A2218</f>
        <v>116.5</v>
      </c>
      <c r="AI2218" s="508">
        <f ca="1">$E2218-$AG2218</f>
        <v>56.58</v>
      </c>
      <c r="AJ2218" s="508">
        <f ca="1">$A2218*$AI2218</f>
        <v>282.89999999999998</v>
      </c>
      <c r="AK2218" s="509">
        <f ca="1">ROUND(($AG2218+$AI2218)*$A2218,2)</f>
        <v>399.4</v>
      </c>
      <c r="AM2218" s="510">
        <f ca="1">ROUND(R2224,2)</f>
        <v>95.5</v>
      </c>
      <c r="AN2218" s="511">
        <f ca="1">ROUND(T2224,2)</f>
        <v>8.0399999999999991</v>
      </c>
      <c r="AO2218" s="512">
        <f ca="1">ROUND(AM2218+AN2218,2)*A2218</f>
        <v>517.70000000000005</v>
      </c>
    </row>
    <row r="2219" spans="1:41" s="504" customFormat="1" ht="13.2">
      <c r="A2219" s="872"/>
      <c r="B2219"/>
      <c r="C2219" s="872"/>
      <c r="D2219" s="873" t="s">
        <v>364</v>
      </c>
      <c r="F2219" s="877"/>
      <c r="G2219" s="3"/>
      <c r="H2219" s="877"/>
      <c r="I2219" s="878"/>
      <c r="J2219" s="877"/>
      <c r="K2219" s="877" t="s">
        <v>141</v>
      </c>
      <c r="L2219" s="877"/>
      <c r="M2219" s="877"/>
      <c r="N2219" s="877"/>
      <c r="O2219" s="877"/>
      <c r="P2219" s="877"/>
      <c r="Q2219" s="50"/>
      <c r="R2219" s="513"/>
      <c r="S2219" s="881"/>
      <c r="T2219" s="877"/>
    </row>
    <row r="2220" spans="1:41" s="997" customFormat="1" ht="13.2">
      <c r="A2220"/>
      <c r="B2220" s="1065"/>
      <c r="C2220" s="1065" t="s">
        <v>1006</v>
      </c>
      <c r="D2220" s="1065" t="str">
        <f ca="1">CELL("Address",Elec_Rates!D$486)</f>
        <v>[EL25_0662B_Brittania_Hotel_Elec_Revised_Estim_B.xlsx]Elec_Rates!$D$486</v>
      </c>
      <c r="E2220" s="1066"/>
      <c r="F2220" s="1066"/>
      <c r="G2220" s="1067" t="s">
        <v>1007</v>
      </c>
      <c r="H2220" s="1067"/>
      <c r="I2220" s="1067"/>
      <c r="J2220" s="1067"/>
      <c r="K2220" s="1068"/>
      <c r="L2220" s="1066"/>
      <c r="M2220" s="1066"/>
      <c r="N2220" s="1066"/>
      <c r="O2220" s="1069"/>
      <c r="P2220" s="1066"/>
      <c r="Q2220" s="1070"/>
      <c r="R2220" s="1071"/>
      <c r="S2220" s="1070"/>
      <c r="T2220" s="1072"/>
      <c r="U2220" s="1073"/>
    </row>
    <row r="2221" spans="1:41" s="997" customFormat="1" ht="11.4">
      <c r="A2221" s="1074">
        <v>5</v>
      </c>
      <c r="B2221" s="1075">
        <v>1</v>
      </c>
      <c r="C2221" s="1075">
        <f>$A2221*$B2221</f>
        <v>5</v>
      </c>
      <c r="D2221" s="1076" t="str">
        <f>Elec_Rates!$D$486</f>
        <v>058# General Power Point in LSZH Conduit</v>
      </c>
      <c r="E2221" s="1076"/>
      <c r="F2221" s="1076"/>
      <c r="G2221" s="1077" t="s">
        <v>1008</v>
      </c>
      <c r="H2221" s="1077"/>
      <c r="I2221" s="1077"/>
      <c r="J2221" s="1077"/>
      <c r="K2221" s="1078"/>
      <c r="L2221" s="1073"/>
      <c r="M2221" s="1073"/>
      <c r="N2221" s="1073"/>
      <c r="O2221" s="1079"/>
      <c r="P2221" s="1076"/>
      <c r="Q2221" s="1080">
        <f ca="1">$B2221*Elec_Rates!$R$486</f>
        <v>13.92</v>
      </c>
      <c r="R2221" s="1071">
        <f ca="1">$A2221*Q2221</f>
        <v>69.599999999999994</v>
      </c>
      <c r="S2221" s="1080">
        <f ca="1">$B2221*Elec_Rates!$T$486</f>
        <v>1.43</v>
      </c>
      <c r="T2221" s="1072">
        <f ca="1">$A2221*S2221</f>
        <v>7.1499999999999995</v>
      </c>
      <c r="U2221" s="1081"/>
    </row>
    <row r="2222" spans="1:41" s="1039" customFormat="1" ht="13.2">
      <c r="A2222" s="112">
        <v>5</v>
      </c>
      <c r="B2222" s="1039" t="s">
        <v>949</v>
      </c>
      <c r="D2222" s="1039" t="s">
        <v>1238</v>
      </c>
      <c r="G2222" s="1040" t="s">
        <v>1231</v>
      </c>
      <c r="H2222" s="1041">
        <v>705</v>
      </c>
      <c r="I2222" s="1039" t="s">
        <v>1183</v>
      </c>
      <c r="J2222" s="1039" t="s">
        <v>1232</v>
      </c>
      <c r="O2222" s="1042">
        <v>3</v>
      </c>
      <c r="P2222" s="1043">
        <v>34669</v>
      </c>
      <c r="Q2222" s="1044">
        <v>5.18</v>
      </c>
      <c r="R2222" s="1045">
        <f>$A2222*Q2222</f>
        <v>25.9</v>
      </c>
      <c r="S2222" s="1044">
        <v>0.17</v>
      </c>
      <c r="T2222" s="1046">
        <f>$A2222*S2222*$T$1</f>
        <v>0.89250000000000018</v>
      </c>
    </row>
    <row r="2223" spans="1:41" s="504" customFormat="1" ht="12">
      <c r="A2223" s="882"/>
      <c r="B2223" s="882"/>
      <c r="C2223" s="882"/>
      <c r="D2223" s="882"/>
      <c r="E2223" s="882"/>
      <c r="F2223" s="877"/>
      <c r="G2223" s="882"/>
      <c r="H2223" s="882"/>
      <c r="I2223" s="503"/>
      <c r="J2223" s="882"/>
      <c r="K2223" s="882"/>
      <c r="L2223" s="882"/>
      <c r="M2223" s="882"/>
      <c r="N2223" s="882"/>
      <c r="O2223" s="882"/>
      <c r="P2223" s="882"/>
      <c r="Q2223" s="503"/>
      <c r="R2223" s="883">
        <f>$A2223*Q2223</f>
        <v>0</v>
      </c>
      <c r="S2223" s="503"/>
      <c r="T2223" s="884">
        <f>$A2223*S2223*$T$1</f>
        <v>0</v>
      </c>
    </row>
    <row r="2224" spans="1:41" s="504" customFormat="1" ht="12.6" thickBot="1">
      <c r="A2224" s="885" t="s">
        <v>142</v>
      </c>
      <c r="B2224" s="886">
        <f>(R2223+T2223)</f>
        <v>0</v>
      </c>
      <c r="C2224" s="887"/>
      <c r="D2224" s="887"/>
      <c r="E2224" s="887"/>
      <c r="F2224" s="888"/>
      <c r="G2224" s="887" t="s">
        <v>143</v>
      </c>
      <c r="H2224" s="887"/>
      <c r="I2224" s="889"/>
      <c r="J2224" s="887"/>
      <c r="K2224" s="887" t="s">
        <v>3</v>
      </c>
      <c r="L2224" s="890" t="s">
        <v>140</v>
      </c>
      <c r="M2224" s="890"/>
      <c r="N2224" s="890"/>
      <c r="O2224" s="890"/>
      <c r="P2224" s="890"/>
      <c r="Q2224" s="891"/>
      <c r="R2224" s="892">
        <f ca="1">SUM(R2219:R2223)</f>
        <v>95.5</v>
      </c>
      <c r="S2224" s="887"/>
      <c r="T2224" s="892">
        <f ca="1">SUM(T2219:T2223)</f>
        <v>8.0425000000000004</v>
      </c>
      <c r="U2224" s="514"/>
      <c r="V2224" s="514"/>
      <c r="W2224" s="514"/>
      <c r="X2224" s="514"/>
      <c r="Y2224" s="514"/>
      <c r="Z2224" s="514"/>
      <c r="AA2224" s="514"/>
      <c r="AB2224" s="514"/>
      <c r="AC2224" s="514"/>
      <c r="AD2224" s="514"/>
      <c r="AE2224" s="514"/>
      <c r="AF2224" s="514"/>
      <c r="AG2224" s="514"/>
      <c r="AH2224" s="514"/>
      <c r="AI2224" s="514"/>
      <c r="AJ2224" s="514"/>
      <c r="AK2224" s="514"/>
      <c r="AL2224" s="514"/>
      <c r="AM2224" s="514"/>
      <c r="AN2224" s="514"/>
      <c r="AO2224" s="514"/>
    </row>
    <row r="2225" spans="1:41" s="504" customFormat="1" ht="12" thickTop="1">
      <c r="A2225" s="50"/>
      <c r="B2225" s="40"/>
      <c r="C2225" s="50"/>
      <c r="E2225" s="41" t="s">
        <v>136</v>
      </c>
      <c r="F2225" s="41" t="s">
        <v>137</v>
      </c>
      <c r="G2225" s="50"/>
      <c r="H2225" s="50"/>
      <c r="I2225" s="50"/>
      <c r="J2225" s="50"/>
      <c r="K2225" s="50" t="s">
        <v>138</v>
      </c>
      <c r="L2225" s="50"/>
      <c r="M2225" s="50"/>
      <c r="N2225" s="50"/>
      <c r="O2225" s="51"/>
      <c r="P2225" s="50"/>
      <c r="Q2225" s="50"/>
      <c r="R2225" s="50"/>
      <c r="S2225" s="50"/>
      <c r="T2225" s="40"/>
      <c r="AG2225" s="867" t="s">
        <v>241</v>
      </c>
      <c r="AH2225" s="867" t="s">
        <v>242</v>
      </c>
      <c r="AI2225" s="867" t="s">
        <v>243</v>
      </c>
      <c r="AJ2225" s="867" t="s">
        <v>244</v>
      </c>
      <c r="AK2225" s="867" t="s">
        <v>245</v>
      </c>
      <c r="AM2225" s="868" t="s">
        <v>254</v>
      </c>
      <c r="AN2225" s="869" t="s">
        <v>255</v>
      </c>
      <c r="AO2225" s="505" t="s">
        <v>251</v>
      </c>
    </row>
    <row r="2226" spans="1:41" s="504" customFormat="1" ht="12" customHeight="1">
      <c r="A2226" s="870">
        <v>3</v>
      </c>
      <c r="B2226" s="871" t="s">
        <v>335</v>
      </c>
      <c r="C2226" s="872"/>
      <c r="D2226" s="873" t="s">
        <v>821</v>
      </c>
      <c r="E2226" s="874">
        <f ca="1">IF(AND($A2226=0,$A$1="DIF"),0, ROUND(ROUND(($R2232*$S$2+($T2232*$T$2))/A2226,2)*$C$2,2))</f>
        <v>107.8</v>
      </c>
      <c r="F2226" s="875">
        <f ca="1">ROUND($A2226*$E2226,2)</f>
        <v>323.39999999999998</v>
      </c>
      <c r="G2226" s="876" t="s">
        <v>139</v>
      </c>
      <c r="H2226" s="877"/>
      <c r="I2226" s="878"/>
      <c r="J2226" s="877"/>
      <c r="K2226" s="877" t="s">
        <v>3</v>
      </c>
      <c r="L2226" s="879" t="s">
        <v>140</v>
      </c>
      <c r="M2226" s="879"/>
      <c r="N2226" s="879"/>
      <c r="O2226" s="879"/>
      <c r="P2226" s="879"/>
      <c r="Q2226" s="50"/>
      <c r="T2226" s="880" t="str">
        <f ca="1">IF(AND($R2232=0,$T2232=0),"0.00","mu :" &amp; ROUND($F2226/$C$2/($R2232+$T2232*$D$9),2))</f>
        <v>mu :1.22</v>
      </c>
      <c r="W2226" s="507"/>
      <c r="AG2226" s="465">
        <f ca="1">IF($E2226=0,0,ROUND($R2232*$S$2*$C$2/$A2226,2))</f>
        <v>55.44</v>
      </c>
      <c r="AH2226" s="465">
        <f ca="1">$AG2226*$A2226</f>
        <v>166.32</v>
      </c>
      <c r="AI2226" s="508">
        <f ca="1">$E2226-$AG2226</f>
        <v>52.36</v>
      </c>
      <c r="AJ2226" s="508">
        <f ca="1">$A2226*$AI2226</f>
        <v>157.07999999999998</v>
      </c>
      <c r="AK2226" s="509">
        <f ca="1">ROUND(($AG2226+$AI2226)*$A2226,2)</f>
        <v>323.39999999999998</v>
      </c>
      <c r="AM2226" s="510">
        <f ca="1">ROUND(R2232,2)</f>
        <v>136.32</v>
      </c>
      <c r="AN2226" s="511">
        <f ca="1">ROUND(T2232,2)</f>
        <v>4.47</v>
      </c>
      <c r="AO2226" s="512">
        <f ca="1">ROUND(AM2226+AN2226,2)*A2226</f>
        <v>422.37</v>
      </c>
    </row>
    <row r="2227" spans="1:41" s="504" customFormat="1" ht="13.2">
      <c r="A2227" s="872"/>
      <c r="B2227"/>
      <c r="C2227" s="872"/>
      <c r="D2227" s="873" t="s">
        <v>428</v>
      </c>
      <c r="F2227" s="877"/>
      <c r="G2227" s="3"/>
      <c r="H2227" s="877"/>
      <c r="I2227" s="878"/>
      <c r="J2227" s="877"/>
      <c r="K2227" s="877" t="s">
        <v>141</v>
      </c>
      <c r="L2227" s="877"/>
      <c r="M2227" s="877"/>
      <c r="N2227" s="877"/>
      <c r="O2227" s="877"/>
      <c r="P2227" s="877"/>
      <c r="Q2227" s="50"/>
      <c r="R2227" s="513"/>
      <c r="S2227" s="881"/>
      <c r="T2227" s="877"/>
    </row>
    <row r="2228" spans="1:41" s="997" customFormat="1" ht="13.2">
      <c r="A2228"/>
      <c r="B2228" s="1065"/>
      <c r="C2228" s="1065" t="s">
        <v>1006</v>
      </c>
      <c r="D2228" s="1065" t="str">
        <f ca="1">CELL("Address",Elec_Rates!D$200)</f>
        <v>[EL25_0662B_Brittania_Hotel_Elec_Revised_Estim_B.xlsx]Elec_Rates!$D$200</v>
      </c>
      <c r="E2228" s="1066"/>
      <c r="F2228" s="1066"/>
      <c r="G2228" s="1067" t="s">
        <v>1007</v>
      </c>
      <c r="H2228" s="1067"/>
      <c r="I2228" s="1067"/>
      <c r="J2228" s="1067"/>
      <c r="K2228" s="1068"/>
      <c r="L2228" s="1066"/>
      <c r="M2228" s="1066"/>
      <c r="N2228" s="1066"/>
      <c r="O2228" s="1069"/>
      <c r="P2228" s="1066"/>
      <c r="Q2228" s="1070"/>
      <c r="R2228" s="1071"/>
      <c r="S2228" s="1070"/>
      <c r="T2228" s="1072"/>
      <c r="U2228" s="1073"/>
    </row>
    <row r="2229" spans="1:41" s="997" customFormat="1" ht="11.4">
      <c r="A2229" s="1074">
        <v>3</v>
      </c>
      <c r="B2229" s="1075">
        <v>1</v>
      </c>
      <c r="C2229" s="1075">
        <f>$A2229*$B2229</f>
        <v>3</v>
      </c>
      <c r="D2229" s="1076" t="str">
        <f>Elec_Rates!$D$200</f>
        <v>019# Lighting point in LSZH Conduit</v>
      </c>
      <c r="E2229" s="1076"/>
      <c r="F2229" s="1076"/>
      <c r="G2229" s="1077" t="s">
        <v>1008</v>
      </c>
      <c r="H2229" s="1077"/>
      <c r="I2229" s="1077"/>
      <c r="J2229" s="1077"/>
      <c r="K2229" s="1078"/>
      <c r="L2229" s="1073"/>
      <c r="M2229" s="1073"/>
      <c r="N2229" s="1073"/>
      <c r="O2229" s="1079"/>
      <c r="P2229" s="1076"/>
      <c r="Q2229" s="1080">
        <f ca="1">$B2229*Elec_Rates!$R$200</f>
        <v>9.65</v>
      </c>
      <c r="R2229" s="1071">
        <f ca="1">$A2229*Q2229</f>
        <v>28.950000000000003</v>
      </c>
      <c r="S2229" s="1080">
        <f ca="1">$B2229*Elec_Rates!$T$200</f>
        <v>1.31</v>
      </c>
      <c r="T2229" s="1072">
        <f ca="1">$A2229*S2229</f>
        <v>3.93</v>
      </c>
      <c r="U2229" s="1081"/>
    </row>
    <row r="2230" spans="1:41" s="1039" customFormat="1" ht="13.2">
      <c r="A2230" s="112">
        <v>3</v>
      </c>
      <c r="B2230" s="1039" t="s">
        <v>949</v>
      </c>
      <c r="D2230" s="1039" t="s">
        <v>428</v>
      </c>
      <c r="G2230" s="1040" t="s">
        <v>1231</v>
      </c>
      <c r="H2230" s="1041">
        <v>705</v>
      </c>
      <c r="I2230" s="1039" t="s">
        <v>1183</v>
      </c>
      <c r="J2230" s="1039" t="s">
        <v>1232</v>
      </c>
      <c r="O2230" s="1042">
        <v>3</v>
      </c>
      <c r="P2230" s="1043">
        <v>34669</v>
      </c>
      <c r="Q2230" s="1044">
        <v>35.79</v>
      </c>
      <c r="R2230" s="1045">
        <f>$A2230*Q2230</f>
        <v>107.37</v>
      </c>
      <c r="S2230" s="1044">
        <v>0.17</v>
      </c>
      <c r="T2230" s="1046">
        <f>$A2230*S2230*$T$1</f>
        <v>0.53550000000000009</v>
      </c>
    </row>
    <row r="2231" spans="1:41" s="504" customFormat="1" ht="12">
      <c r="A2231" s="882"/>
      <c r="B2231" s="882"/>
      <c r="C2231" s="882"/>
      <c r="D2231" s="882"/>
      <c r="E2231" s="882"/>
      <c r="F2231" s="877"/>
      <c r="G2231" s="882"/>
      <c r="H2231" s="882"/>
      <c r="I2231" s="503"/>
      <c r="J2231" s="882"/>
      <c r="K2231" s="882"/>
      <c r="L2231" s="882"/>
      <c r="M2231" s="882"/>
      <c r="N2231" s="882"/>
      <c r="O2231" s="882"/>
      <c r="P2231" s="882"/>
      <c r="Q2231" s="503"/>
      <c r="R2231" s="883">
        <f>$A2231*Q2231</f>
        <v>0</v>
      </c>
      <c r="S2231" s="503"/>
      <c r="T2231" s="884">
        <f>$A2231*S2231*$T$1</f>
        <v>0</v>
      </c>
    </row>
    <row r="2232" spans="1:41" s="504" customFormat="1" ht="12.6" thickBot="1">
      <c r="A2232" s="885" t="s">
        <v>142</v>
      </c>
      <c r="B2232" s="886">
        <f>(R2231+T2231)</f>
        <v>0</v>
      </c>
      <c r="C2232" s="887"/>
      <c r="D2232" s="887"/>
      <c r="E2232" s="887"/>
      <c r="F2232" s="888"/>
      <c r="G2232" s="887" t="s">
        <v>143</v>
      </c>
      <c r="H2232" s="887"/>
      <c r="I2232" s="889"/>
      <c r="J2232" s="887"/>
      <c r="K2232" s="887" t="s">
        <v>3</v>
      </c>
      <c r="L2232" s="890" t="s">
        <v>140</v>
      </c>
      <c r="M2232" s="890"/>
      <c r="N2232" s="890"/>
      <c r="O2232" s="890"/>
      <c r="P2232" s="890"/>
      <c r="Q2232" s="891"/>
      <c r="R2232" s="892">
        <f ca="1">SUM(R2227:R2231)</f>
        <v>136.32</v>
      </c>
      <c r="S2232" s="887"/>
      <c r="T2232" s="892">
        <f ca="1">SUM(T2227:T2231)</f>
        <v>4.4655000000000005</v>
      </c>
      <c r="U2232" s="514"/>
      <c r="V2232" s="514"/>
      <c r="W2232" s="514"/>
      <c r="X2232" s="514"/>
      <c r="Y2232" s="514"/>
      <c r="Z2232" s="514"/>
      <c r="AA2232" s="514"/>
      <c r="AB2232" s="514"/>
      <c r="AC2232" s="514"/>
      <c r="AD2232" s="514"/>
      <c r="AE2232" s="514"/>
      <c r="AF2232" s="514"/>
      <c r="AG2232" s="514"/>
      <c r="AH2232" s="514"/>
      <c r="AI2232" s="514"/>
      <c r="AJ2232" s="514"/>
      <c r="AK2232" s="514"/>
      <c r="AL2232" s="514"/>
      <c r="AM2232" s="514"/>
      <c r="AN2232" s="514"/>
      <c r="AO2232" s="514"/>
    </row>
    <row r="2233" spans="1:41" s="504" customFormat="1" ht="12" thickTop="1">
      <c r="A2233" s="47" t="s">
        <v>145</v>
      </c>
      <c r="D2233" s="13"/>
      <c r="E2233" s="41"/>
      <c r="O2233" s="893"/>
    </row>
    <row r="2234" spans="1:41" s="504" customFormat="1" ht="13.2">
      <c r="B2234" s="3"/>
      <c r="O2234" s="893"/>
    </row>
    <row r="2235" spans="1:41" s="504" customFormat="1" ht="12">
      <c r="B2235" s="894">
        <f ca="1">$F2235/$C$2-($R2235*$S$2+$T2235*$T$2)</f>
        <v>-6.6767700001037156E-2</v>
      </c>
      <c r="D2235" s="895" t="s">
        <v>817</v>
      </c>
      <c r="E2235" s="896"/>
      <c r="F2235" s="897">
        <f ca="1">SUMIF($L2106:$L2233,"ITEM",F2106:F2233)</f>
        <v>5165.6099999999997</v>
      </c>
      <c r="G2235" s="882"/>
      <c r="H2235" s="882"/>
      <c r="I2235" s="503"/>
      <c r="J2235" s="882"/>
      <c r="K2235" s="882"/>
      <c r="L2235" s="879" t="s">
        <v>154</v>
      </c>
      <c r="M2235" s="879"/>
      <c r="N2235" s="879"/>
      <c r="O2235" s="879"/>
      <c r="P2235" s="879"/>
      <c r="R2235" s="897">
        <f ca="1">SUMIF($L2106:$L2233,"ITEM",R2106:R2233)</f>
        <v>1678.26</v>
      </c>
      <c r="S2235" s="898"/>
      <c r="T2235" s="897">
        <f ca="1">SUMIF($L2106:$L2233,"ITEM",T2106:T2233)</f>
        <v>88.64500000000001</v>
      </c>
    </row>
    <row r="2236" spans="1:41" s="504" customFormat="1" ht="13.2">
      <c r="A2236" s="50"/>
      <c r="B2236" s="48" t="s">
        <v>816</v>
      </c>
      <c r="C2236" s="50"/>
      <c r="D2236" s="3"/>
      <c r="F2236" s="899" t="s">
        <v>155</v>
      </c>
      <c r="G2236" s="882"/>
      <c r="H2236" s="882"/>
      <c r="I2236" s="503"/>
      <c r="J2236" s="882"/>
      <c r="K2236" s="882"/>
      <c r="L2236" s="882"/>
      <c r="M2236" s="882"/>
      <c r="N2236" s="882"/>
      <c r="O2236" s="882"/>
      <c r="P2236" s="882"/>
      <c r="Q2236" s="900"/>
      <c r="R2236" s="899" t="s">
        <v>156</v>
      </c>
      <c r="S2236" s="38"/>
      <c r="T2236" s="899" t="s">
        <v>157</v>
      </c>
    </row>
    <row r="2237" spans="1:41" s="504" customFormat="1" ht="13.2">
      <c r="A2237" s="882"/>
      <c r="B2237" s="3"/>
      <c r="C2237" s="882"/>
      <c r="D2237" s="3"/>
      <c r="E2237" s="3"/>
      <c r="G2237" s="3"/>
      <c r="H2237" s="3"/>
      <c r="I2237" s="3"/>
      <c r="J2237" s="3"/>
      <c r="K2237" s="3"/>
      <c r="L2237" s="3"/>
      <c r="M2237" s="3"/>
      <c r="N2237" s="3"/>
      <c r="O2237" s="103"/>
      <c r="P2237" s="3"/>
      <c r="Q2237" s="3"/>
      <c r="R2237" s="3"/>
      <c r="S2237" s="3"/>
      <c r="T2237" s="3"/>
    </row>
    <row r="2238" spans="1:41" s="504" customFormat="1" ht="12" thickBot="1">
      <c r="A2238" s="514"/>
      <c r="B2238" s="887"/>
      <c r="C2238" s="887"/>
      <c r="D2238" s="514"/>
      <c r="E2238" s="39"/>
      <c r="F2238" s="901"/>
      <c r="G2238" s="887"/>
      <c r="H2238" s="887"/>
      <c r="I2238" s="889"/>
      <c r="J2238" s="887"/>
      <c r="K2238" s="887"/>
      <c r="L2238" s="890"/>
      <c r="M2238" s="890"/>
      <c r="N2238" s="890"/>
      <c r="O2238" s="890"/>
      <c r="P2238" s="890"/>
      <c r="Q2238" s="891"/>
      <c r="R2238" s="901"/>
      <c r="S2238" s="902"/>
      <c r="T2238" s="901"/>
      <c r="U2238" s="514"/>
      <c r="V2238" s="514"/>
      <c r="W2238" s="514"/>
      <c r="X2238" s="514"/>
      <c r="Y2238" s="514"/>
      <c r="Z2238" s="514"/>
      <c r="AA2238" s="514"/>
      <c r="AB2238" s="514"/>
      <c r="AC2238" s="514"/>
      <c r="AD2238" s="514"/>
      <c r="AE2238" s="514"/>
      <c r="AF2238" s="514"/>
      <c r="AG2238" s="514"/>
      <c r="AH2238" s="514"/>
      <c r="AI2238" s="514"/>
      <c r="AJ2238" s="514"/>
      <c r="AK2238" s="514"/>
    </row>
    <row r="2239" spans="1:41" s="504" customFormat="1" thickTop="1">
      <c r="A2239" s="50"/>
      <c r="B2239" s="50"/>
      <c r="C2239" s="3"/>
      <c r="D2239" s="3"/>
      <c r="E2239" s="50"/>
      <c r="F2239" s="50"/>
      <c r="G2239" s="50"/>
      <c r="H2239" s="50"/>
      <c r="I2239" s="50"/>
      <c r="J2239" s="50"/>
      <c r="K2239" s="50" t="s">
        <v>133</v>
      </c>
      <c r="L2239" s="50"/>
      <c r="M2239" s="50"/>
      <c r="N2239" s="50"/>
      <c r="O2239" s="51"/>
      <c r="P2239" s="50"/>
      <c r="Q2239" s="50"/>
      <c r="R2239" s="50"/>
      <c r="S2239" s="50"/>
      <c r="T2239" s="50"/>
    </row>
    <row r="2240" spans="1:41" s="504" customFormat="1" ht="12">
      <c r="A2240" s="50"/>
      <c r="B2240" s="50"/>
      <c r="C2240" s="50" t="s">
        <v>134</v>
      </c>
      <c r="D2240" s="37"/>
      <c r="E2240" s="50"/>
      <c r="F2240" s="50"/>
      <c r="G2240" s="50"/>
      <c r="H2240" s="50"/>
      <c r="I2240" s="50"/>
      <c r="J2240" s="50"/>
      <c r="K2240" s="50"/>
      <c r="L2240" s="50"/>
      <c r="M2240" s="50"/>
      <c r="N2240" s="50"/>
      <c r="O2240" s="51"/>
      <c r="P2240" s="50"/>
      <c r="Q2240" s="50"/>
      <c r="R2240" s="50"/>
      <c r="S2240" s="50"/>
      <c r="T2240" s="50"/>
    </row>
    <row r="2241" spans="1:41" s="504" customFormat="1" ht="12">
      <c r="A2241" s="50"/>
      <c r="B2241" s="50"/>
      <c r="C2241" s="50"/>
      <c r="D2241" s="37" t="s">
        <v>802</v>
      </c>
      <c r="E2241" s="50"/>
      <c r="F2241" s="50"/>
      <c r="G2241" s="50"/>
      <c r="H2241" s="50"/>
      <c r="I2241" s="50"/>
      <c r="J2241" s="50"/>
      <c r="K2241" s="50"/>
      <c r="L2241" s="50"/>
      <c r="M2241" s="50"/>
      <c r="N2241" s="50"/>
      <c r="O2241" s="51"/>
      <c r="P2241" s="50"/>
      <c r="Q2241" s="50"/>
      <c r="R2241" s="50"/>
      <c r="S2241" s="38"/>
      <c r="T2241" s="38"/>
    </row>
    <row r="2242" spans="1:41" s="3" customFormat="1" thickBot="1">
      <c r="A2242" s="514"/>
      <c r="O2242" s="103"/>
    </row>
    <row r="2243" spans="1:41" s="504" customFormat="1" thickTop="1">
      <c r="A2243" s="50"/>
      <c r="B2243" s="50"/>
      <c r="C2243" s="3"/>
      <c r="D2243" s="3"/>
      <c r="E2243" s="50"/>
      <c r="F2243" s="50"/>
      <c r="G2243" s="50"/>
      <c r="H2243" s="50"/>
      <c r="I2243" s="50"/>
      <c r="J2243" s="50"/>
      <c r="K2243" s="50" t="s">
        <v>133</v>
      </c>
      <c r="L2243" s="50"/>
      <c r="M2243" s="50"/>
      <c r="N2243" s="50"/>
      <c r="O2243" s="51"/>
      <c r="P2243" s="50"/>
      <c r="Q2243" s="50"/>
      <c r="R2243" s="50"/>
      <c r="S2243" s="50"/>
      <c r="T2243" s="50"/>
    </row>
    <row r="2244" spans="1:41" s="504" customFormat="1" ht="12">
      <c r="A2244" s="50"/>
      <c r="B2244" s="50"/>
      <c r="C2244" s="50" t="s">
        <v>134</v>
      </c>
      <c r="D2244" s="37" t="s">
        <v>874</v>
      </c>
      <c r="E2244" s="50"/>
      <c r="F2244" s="50"/>
      <c r="G2244" s="50"/>
      <c r="H2244" s="50"/>
      <c r="I2244" s="50"/>
      <c r="J2244" s="50"/>
      <c r="K2244" s="50"/>
      <c r="L2244" s="50"/>
      <c r="M2244" s="50"/>
      <c r="N2244" s="50"/>
      <c r="O2244" s="51"/>
      <c r="P2244" s="50"/>
      <c r="Q2244" s="50"/>
      <c r="R2244" s="50"/>
      <c r="S2244" s="50"/>
      <c r="T2244" s="50"/>
    </row>
    <row r="2245" spans="1:41" s="504" customFormat="1" ht="12">
      <c r="A2245" s="50"/>
      <c r="B2245" s="50"/>
      <c r="C2245" s="50"/>
      <c r="D2245" s="37" t="s">
        <v>293</v>
      </c>
      <c r="E2245" s="50"/>
      <c r="F2245" s="50"/>
      <c r="G2245" s="50"/>
      <c r="H2245" s="50"/>
      <c r="I2245" s="50"/>
      <c r="J2245" s="50"/>
      <c r="K2245" s="50"/>
      <c r="L2245" s="50"/>
      <c r="M2245" s="50"/>
      <c r="N2245" s="50"/>
      <c r="O2245" s="51"/>
      <c r="P2245" s="50"/>
      <c r="Q2245" s="50"/>
      <c r="R2245" s="50"/>
      <c r="S2245" s="38"/>
      <c r="T2245" s="38"/>
    </row>
    <row r="2246" spans="1:41" s="3" customFormat="1" thickBot="1">
      <c r="A2246" s="514"/>
      <c r="O2246" s="103"/>
    </row>
    <row r="2247" spans="1:41" s="504" customFormat="1" ht="12" thickTop="1">
      <c r="A2247" s="50"/>
      <c r="B2247" s="40"/>
      <c r="C2247" s="50"/>
      <c r="E2247" s="41" t="s">
        <v>136</v>
      </c>
      <c r="F2247" s="41" t="s">
        <v>137</v>
      </c>
      <c r="G2247" s="50"/>
      <c r="H2247" s="50"/>
      <c r="I2247" s="50"/>
      <c r="J2247" s="50"/>
      <c r="K2247" s="50" t="s">
        <v>138</v>
      </c>
      <c r="L2247" s="50"/>
      <c r="M2247" s="50"/>
      <c r="N2247" s="50"/>
      <c r="O2247" s="51"/>
      <c r="P2247" s="50"/>
      <c r="Q2247" s="50"/>
      <c r="R2247" s="50"/>
      <c r="S2247" s="50"/>
      <c r="T2247" s="40"/>
      <c r="AG2247" s="867" t="s">
        <v>241</v>
      </c>
      <c r="AH2247" s="867" t="s">
        <v>242</v>
      </c>
      <c r="AI2247" s="867" t="s">
        <v>243</v>
      </c>
      <c r="AJ2247" s="867" t="s">
        <v>244</v>
      </c>
      <c r="AK2247" s="867" t="s">
        <v>245</v>
      </c>
      <c r="AM2247" s="868" t="s">
        <v>254</v>
      </c>
      <c r="AN2247" s="869" t="s">
        <v>255</v>
      </c>
      <c r="AO2247" s="505" t="s">
        <v>251</v>
      </c>
    </row>
    <row r="2248" spans="1:41" s="504" customFormat="1" ht="12" customHeight="1">
      <c r="A2248" s="870">
        <v>1</v>
      </c>
      <c r="B2248" s="871" t="s">
        <v>335</v>
      </c>
      <c r="C2248" s="872"/>
      <c r="D2248" s="873" t="s">
        <v>804</v>
      </c>
      <c r="E2248" s="874">
        <f>IF(AND($A2248=0,$A$1="DIF"),0, ROUND(ROUND(($R2252*$S$2+($T2252*$T$2))/A2248,2)*$C$2,2))</f>
        <v>618.74</v>
      </c>
      <c r="F2248" s="875">
        <f>ROUND($A2248*$E2248,2)</f>
        <v>618.74</v>
      </c>
      <c r="G2248" s="876" t="s">
        <v>139</v>
      </c>
      <c r="H2248" s="877"/>
      <c r="I2248" s="878"/>
      <c r="J2248" s="877"/>
      <c r="K2248" s="877" t="s">
        <v>3</v>
      </c>
      <c r="L2248" s="879" t="s">
        <v>140</v>
      </c>
      <c r="M2248" s="879"/>
      <c r="N2248" s="879"/>
      <c r="O2248" s="879"/>
      <c r="P2248" s="879"/>
      <c r="Q2248" s="50"/>
      <c r="T2248" s="880" t="str">
        <f>IF(AND($R2252=0,$T2252=0),"0.00","mu :" &amp; ROUND($F2248/$C$2/($R2252+$T2252*$D$9),2))</f>
        <v>mu :1.22</v>
      </c>
      <c r="W2248" s="507"/>
      <c r="AG2248" s="465">
        <f>IF($E2248=0,0,ROUND($R2252*$S$2*$C$2/$A2248,2))</f>
        <v>618.74</v>
      </c>
      <c r="AH2248" s="465">
        <f>$AG2248*$A2248</f>
        <v>618.74</v>
      </c>
      <c r="AI2248" s="508">
        <f>$E2248-$AG2248</f>
        <v>0</v>
      </c>
      <c r="AJ2248" s="508">
        <f>$A2248*$AI2248</f>
        <v>0</v>
      </c>
      <c r="AK2248" s="509">
        <f>ROUND(($AG2248+$AI2248)*$A2248,2)</f>
        <v>618.74</v>
      </c>
      <c r="AM2248" s="510">
        <f>ROUND(R2252,2)</f>
        <v>507.16</v>
      </c>
      <c r="AN2248" s="511">
        <f>ROUND(T2252,2)</f>
        <v>0</v>
      </c>
      <c r="AO2248" s="512">
        <f>ROUND(AM2248+AN2248,2)*A2248</f>
        <v>507.16</v>
      </c>
    </row>
    <row r="2249" spans="1:41" s="504" customFormat="1" ht="13.2">
      <c r="A2249" s="872"/>
      <c r="B2249"/>
      <c r="C2249" s="872"/>
      <c r="D2249" s="873" t="s">
        <v>443</v>
      </c>
      <c r="F2249" s="877"/>
      <c r="G2249" s="3"/>
      <c r="H2249" s="877"/>
      <c r="I2249" s="878"/>
      <c r="J2249" s="877"/>
      <c r="K2249" s="877" t="s">
        <v>141</v>
      </c>
      <c r="L2249" s="877"/>
      <c r="M2249" s="877"/>
      <c r="N2249" s="877"/>
      <c r="O2249" s="877"/>
      <c r="P2249" s="877"/>
      <c r="Q2249" s="50"/>
      <c r="R2249" s="513"/>
      <c r="S2249" s="881"/>
      <c r="T2249" s="877"/>
    </row>
    <row r="2250" spans="1:41" s="504" customFormat="1" ht="13.2">
      <c r="A2250">
        <v>1</v>
      </c>
      <c r="B2250" s="1039" t="s">
        <v>949</v>
      </c>
      <c r="C2250" s="1039"/>
      <c r="D2250" s="1039" t="s">
        <v>1324</v>
      </c>
      <c r="E2250" s="1039"/>
      <c r="F2250" s="1039"/>
      <c r="G2250" s="1040" t="s">
        <v>950</v>
      </c>
      <c r="H2250" s="1041">
        <v>510</v>
      </c>
      <c r="I2250" s="1039" t="s">
        <v>951</v>
      </c>
      <c r="J2250" s="1039"/>
      <c r="K2250" s="882"/>
      <c r="L2250" s="1039"/>
      <c r="M2250" s="1039"/>
      <c r="N2250" s="1039"/>
      <c r="O2250" s="1042">
        <v>2</v>
      </c>
      <c r="P2250" s="1043"/>
      <c r="Q2250" s="1044">
        <v>507.16</v>
      </c>
      <c r="R2250" s="883">
        <f>$A2250*Q2250</f>
        <v>507.16</v>
      </c>
      <c r="S2250" s="1044"/>
      <c r="T2250" s="1046">
        <f>$A2250*S2250*$T$1</f>
        <v>0</v>
      </c>
    </row>
    <row r="2251" spans="1:41" s="504" customFormat="1" ht="12">
      <c r="A2251" s="882"/>
      <c r="B2251" s="882"/>
      <c r="C2251" s="882"/>
      <c r="D2251" s="882"/>
      <c r="E2251" s="882"/>
      <c r="F2251" s="877"/>
      <c r="G2251" s="882"/>
      <c r="H2251" s="882"/>
      <c r="I2251" s="503"/>
      <c r="J2251" s="882"/>
      <c r="K2251" s="882"/>
      <c r="L2251" s="882"/>
      <c r="M2251" s="882"/>
      <c r="N2251" s="882"/>
      <c r="O2251" s="882"/>
      <c r="P2251" s="882"/>
      <c r="Q2251" s="503"/>
      <c r="R2251" s="883">
        <f>$A2251*Q2251</f>
        <v>0</v>
      </c>
      <c r="S2251" s="503"/>
      <c r="T2251" s="884">
        <f>$A2251*S2251*$T$1</f>
        <v>0</v>
      </c>
    </row>
    <row r="2252" spans="1:41" s="504" customFormat="1" ht="12.6" thickBot="1">
      <c r="A2252" s="885" t="s">
        <v>142</v>
      </c>
      <c r="B2252" s="886">
        <f>(R2251+T2251)</f>
        <v>0</v>
      </c>
      <c r="C2252" s="887"/>
      <c r="D2252" s="887"/>
      <c r="E2252" s="887"/>
      <c r="F2252" s="888"/>
      <c r="G2252" s="887" t="s">
        <v>143</v>
      </c>
      <c r="H2252" s="887"/>
      <c r="I2252" s="889"/>
      <c r="J2252" s="887"/>
      <c r="K2252" s="887" t="s">
        <v>3</v>
      </c>
      <c r="L2252" s="890" t="s">
        <v>140</v>
      </c>
      <c r="M2252" s="890"/>
      <c r="N2252" s="890"/>
      <c r="O2252" s="890"/>
      <c r="P2252" s="890"/>
      <c r="Q2252" s="891"/>
      <c r="R2252" s="892">
        <f>SUM(R2249:R2251)</f>
        <v>507.16</v>
      </c>
      <c r="S2252" s="887"/>
      <c r="T2252" s="892">
        <f>SUM(T2249:T2251)</f>
        <v>0</v>
      </c>
      <c r="U2252" s="514"/>
      <c r="V2252" s="514"/>
      <c r="W2252" s="514"/>
      <c r="X2252" s="514"/>
      <c r="Y2252" s="514"/>
      <c r="Z2252" s="514"/>
      <c r="AA2252" s="514"/>
      <c r="AB2252" s="514"/>
      <c r="AC2252" s="514"/>
      <c r="AD2252" s="514"/>
      <c r="AE2252" s="514"/>
      <c r="AF2252" s="514"/>
      <c r="AG2252" s="514"/>
      <c r="AH2252" s="514"/>
      <c r="AI2252" s="514"/>
      <c r="AJ2252" s="514"/>
      <c r="AK2252" s="514"/>
      <c r="AL2252" s="514"/>
      <c r="AM2252" s="514"/>
      <c r="AN2252" s="514"/>
      <c r="AO2252" s="514"/>
    </row>
    <row r="2253" spans="1:41" s="504" customFormat="1" ht="12" thickTop="1">
      <c r="A2253" s="50"/>
      <c r="B2253" s="40"/>
      <c r="C2253" s="50"/>
      <c r="E2253" s="41" t="s">
        <v>136</v>
      </c>
      <c r="F2253" s="41" t="s">
        <v>137</v>
      </c>
      <c r="G2253" s="50"/>
      <c r="H2253" s="50"/>
      <c r="I2253" s="50"/>
      <c r="J2253" s="50"/>
      <c r="K2253" s="50" t="s">
        <v>138</v>
      </c>
      <c r="L2253" s="50"/>
      <c r="M2253" s="50"/>
      <c r="N2253" s="50"/>
      <c r="O2253" s="51"/>
      <c r="P2253" s="50"/>
      <c r="Q2253" s="50"/>
      <c r="R2253" s="50"/>
      <c r="S2253" s="50"/>
      <c r="T2253" s="40"/>
      <c r="AG2253" s="867" t="s">
        <v>241</v>
      </c>
      <c r="AH2253" s="867" t="s">
        <v>242</v>
      </c>
      <c r="AI2253" s="867" t="s">
        <v>243</v>
      </c>
      <c r="AJ2253" s="867" t="s">
        <v>244</v>
      </c>
      <c r="AK2253" s="867" t="s">
        <v>245</v>
      </c>
      <c r="AM2253" s="868" t="s">
        <v>254</v>
      </c>
      <c r="AN2253" s="869" t="s">
        <v>255</v>
      </c>
      <c r="AO2253" s="505" t="s">
        <v>251</v>
      </c>
    </row>
    <row r="2254" spans="1:41" s="504" customFormat="1" ht="12" customHeight="1">
      <c r="A2254" s="870">
        <v>1</v>
      </c>
      <c r="B2254" s="871" t="s">
        <v>335</v>
      </c>
      <c r="C2254" s="872"/>
      <c r="D2254" s="873" t="s">
        <v>806</v>
      </c>
      <c r="E2254" s="874">
        <f>IF(AND($A2254=0,$A$1="DIF"),0, ROUND(ROUND(($R2258*$S$2+($T2258*$T$2))/A2254,2)*$C$2,2))</f>
        <v>124.4</v>
      </c>
      <c r="F2254" s="875">
        <f>ROUND($A2254*$E2254,2)</f>
        <v>124.4</v>
      </c>
      <c r="G2254" s="876" t="s">
        <v>139</v>
      </c>
      <c r="H2254" s="877"/>
      <c r="I2254" s="878"/>
      <c r="J2254" s="877"/>
      <c r="K2254" s="877" t="s">
        <v>3</v>
      </c>
      <c r="L2254" s="879" t="s">
        <v>140</v>
      </c>
      <c r="M2254" s="879"/>
      <c r="N2254" s="879"/>
      <c r="O2254" s="879"/>
      <c r="P2254" s="879"/>
      <c r="Q2254" s="50"/>
      <c r="T2254" s="880" t="str">
        <f>IF(AND($R2258=0,$T2258=0),"0.00","mu :" &amp; ROUND($F2254/$C$2/($R2258+$T2258*$D$9),2))</f>
        <v>mu :1.22</v>
      </c>
      <c r="W2254" s="507"/>
      <c r="AG2254" s="465">
        <f>IF($E2254=0,0,ROUND($R2258*$S$2*$C$2/$A2254,2))</f>
        <v>124.4</v>
      </c>
      <c r="AH2254" s="465">
        <f>$AG2254*$A2254</f>
        <v>124.4</v>
      </c>
      <c r="AI2254" s="508">
        <f>$E2254-$AG2254</f>
        <v>0</v>
      </c>
      <c r="AJ2254" s="508">
        <f>$A2254*$AI2254</f>
        <v>0</v>
      </c>
      <c r="AK2254" s="509">
        <f>ROUND(($AG2254+$AI2254)*$A2254,2)</f>
        <v>124.4</v>
      </c>
      <c r="AM2254" s="510">
        <f>ROUND(R2258,2)</f>
        <v>101.97</v>
      </c>
      <c r="AN2254" s="511">
        <f>ROUND(T2258,2)</f>
        <v>0</v>
      </c>
      <c r="AO2254" s="512">
        <f>ROUND(AM2254+AN2254,2)*A2254</f>
        <v>101.97</v>
      </c>
    </row>
    <row r="2255" spans="1:41" s="504" customFormat="1" ht="13.2">
      <c r="A2255" s="872"/>
      <c r="B2255"/>
      <c r="C2255" s="872"/>
      <c r="D2255" s="873" t="s">
        <v>444</v>
      </c>
      <c r="F2255" s="877"/>
      <c r="G2255" s="3"/>
      <c r="H2255" s="877"/>
      <c r="I2255" s="878"/>
      <c r="J2255" s="877"/>
      <c r="K2255" s="877" t="s">
        <v>141</v>
      </c>
      <c r="L2255" s="877"/>
      <c r="M2255" s="877"/>
      <c r="N2255" s="877"/>
      <c r="O2255" s="877"/>
      <c r="P2255" s="877"/>
      <c r="Q2255" s="50"/>
      <c r="R2255" s="513"/>
      <c r="S2255" s="881"/>
      <c r="T2255" s="877"/>
    </row>
    <row r="2256" spans="1:41" s="504" customFormat="1" ht="13.2">
      <c r="A2256">
        <v>1</v>
      </c>
      <c r="B2256" s="1039" t="s">
        <v>949</v>
      </c>
      <c r="C2256" s="1039"/>
      <c r="D2256" s="1039" t="s">
        <v>1339</v>
      </c>
      <c r="E2256" s="1039"/>
      <c r="F2256" s="1039"/>
      <c r="G2256" s="1040" t="s">
        <v>950</v>
      </c>
      <c r="H2256" s="1041">
        <v>510</v>
      </c>
      <c r="I2256" s="1039" t="s">
        <v>951</v>
      </c>
      <c r="J2256" s="1039"/>
      <c r="K2256" s="882"/>
      <c r="L2256" s="1039"/>
      <c r="M2256" s="1039"/>
      <c r="N2256" s="1039"/>
      <c r="O2256" s="1042">
        <v>2</v>
      </c>
      <c r="P2256" s="1043"/>
      <c r="Q2256" s="1044">
        <f>95.2+6.77</f>
        <v>101.97</v>
      </c>
      <c r="R2256" s="883">
        <f>$A2256*Q2256</f>
        <v>101.97</v>
      </c>
      <c r="S2256" s="1044"/>
      <c r="T2256" s="1046">
        <f>$A2256*S2256*$T$1</f>
        <v>0</v>
      </c>
    </row>
    <row r="2257" spans="1:41" s="504" customFormat="1" ht="12">
      <c r="A2257" s="882"/>
      <c r="B2257" s="882"/>
      <c r="C2257" s="882"/>
      <c r="D2257" s="882"/>
      <c r="E2257" s="882"/>
      <c r="F2257" s="877"/>
      <c r="G2257" s="882"/>
      <c r="H2257" s="882"/>
      <c r="I2257" s="503"/>
      <c r="J2257" s="882"/>
      <c r="K2257" s="882"/>
      <c r="L2257" s="882"/>
      <c r="M2257" s="882"/>
      <c r="N2257" s="882"/>
      <c r="O2257" s="882"/>
      <c r="P2257" s="882"/>
      <c r="Q2257" s="503"/>
      <c r="R2257" s="883">
        <f>$A2257*Q2257</f>
        <v>0</v>
      </c>
      <c r="S2257" s="503"/>
      <c r="T2257" s="884">
        <f>$A2257*S2257*$T$1</f>
        <v>0</v>
      </c>
    </row>
    <row r="2258" spans="1:41" s="504" customFormat="1" ht="12.6" thickBot="1">
      <c r="A2258" s="885" t="s">
        <v>142</v>
      </c>
      <c r="B2258" s="886">
        <f>(R2257+T2257)</f>
        <v>0</v>
      </c>
      <c r="C2258" s="887"/>
      <c r="D2258" s="887"/>
      <c r="E2258" s="887"/>
      <c r="F2258" s="888"/>
      <c r="G2258" s="887" t="s">
        <v>143</v>
      </c>
      <c r="H2258" s="887"/>
      <c r="I2258" s="889"/>
      <c r="J2258" s="887"/>
      <c r="K2258" s="887" t="s">
        <v>3</v>
      </c>
      <c r="L2258" s="890" t="s">
        <v>140</v>
      </c>
      <c r="M2258" s="890"/>
      <c r="N2258" s="890"/>
      <c r="O2258" s="890"/>
      <c r="P2258" s="890"/>
      <c r="Q2258" s="891"/>
      <c r="R2258" s="892">
        <f>SUM(R2255:R2257)</f>
        <v>101.97</v>
      </c>
      <c r="S2258" s="887"/>
      <c r="T2258" s="892">
        <f>SUM(T2255:T2257)</f>
        <v>0</v>
      </c>
      <c r="U2258" s="514"/>
      <c r="V2258" s="514"/>
      <c r="W2258" s="514"/>
      <c r="X2258" s="514"/>
      <c r="Y2258" s="514"/>
      <c r="Z2258" s="514"/>
      <c r="AA2258" s="514"/>
      <c r="AB2258" s="514"/>
      <c r="AC2258" s="514"/>
      <c r="AD2258" s="514"/>
      <c r="AE2258" s="514"/>
      <c r="AF2258" s="514"/>
      <c r="AG2258" s="514"/>
      <c r="AH2258" s="514"/>
      <c r="AI2258" s="514"/>
      <c r="AJ2258" s="514"/>
      <c r="AK2258" s="514"/>
      <c r="AL2258" s="514"/>
      <c r="AM2258" s="514"/>
      <c r="AN2258" s="514"/>
      <c r="AO2258" s="514"/>
    </row>
    <row r="2259" spans="1:41" s="504" customFormat="1" ht="12" thickTop="1">
      <c r="A2259" s="50"/>
      <c r="B2259" s="40"/>
      <c r="C2259" s="50"/>
      <c r="E2259" s="41" t="s">
        <v>136</v>
      </c>
      <c r="F2259" s="41" t="s">
        <v>137</v>
      </c>
      <c r="G2259" s="50"/>
      <c r="H2259" s="50"/>
      <c r="I2259" s="50"/>
      <c r="J2259" s="50"/>
      <c r="K2259" s="50" t="s">
        <v>138</v>
      </c>
      <c r="L2259" s="50"/>
      <c r="M2259" s="50"/>
      <c r="N2259" s="50"/>
      <c r="O2259" s="51"/>
      <c r="P2259" s="50"/>
      <c r="Q2259" s="50"/>
      <c r="R2259" s="50"/>
      <c r="S2259" s="50"/>
      <c r="T2259" s="40"/>
      <c r="AG2259" s="867" t="s">
        <v>241</v>
      </c>
      <c r="AH2259" s="867" t="s">
        <v>242</v>
      </c>
      <c r="AI2259" s="867" t="s">
        <v>243</v>
      </c>
      <c r="AJ2259" s="867" t="s">
        <v>244</v>
      </c>
      <c r="AK2259" s="867" t="s">
        <v>245</v>
      </c>
      <c r="AM2259" s="868" t="s">
        <v>254</v>
      </c>
      <c r="AN2259" s="869" t="s">
        <v>255</v>
      </c>
      <c r="AO2259" s="505" t="s">
        <v>251</v>
      </c>
    </row>
    <row r="2260" spans="1:41" s="504" customFormat="1" ht="12" customHeight="1">
      <c r="A2260" s="870">
        <v>1</v>
      </c>
      <c r="B2260" s="871" t="s">
        <v>335</v>
      </c>
      <c r="C2260" s="872"/>
      <c r="D2260" s="873" t="s">
        <v>808</v>
      </c>
      <c r="E2260" s="874">
        <f>IF(AND($A2260=0,$A$1="DIF"),0, ROUND(ROUND(($R2264*$S$2+($T2264*$T$2))/A2260,2)*$C$2,2))</f>
        <v>124.4</v>
      </c>
      <c r="F2260" s="875">
        <f>ROUND($A2260*$E2260,2)</f>
        <v>124.4</v>
      </c>
      <c r="G2260" s="876" t="s">
        <v>139</v>
      </c>
      <c r="H2260" s="877"/>
      <c r="I2260" s="878"/>
      <c r="J2260" s="877"/>
      <c r="K2260" s="877" t="s">
        <v>3</v>
      </c>
      <c r="L2260" s="879" t="s">
        <v>140</v>
      </c>
      <c r="M2260" s="879"/>
      <c r="N2260" s="879"/>
      <c r="O2260" s="879"/>
      <c r="P2260" s="879"/>
      <c r="Q2260" s="50"/>
      <c r="T2260" s="880" t="str">
        <f>IF(AND($R2264=0,$T2264=0),"0.00","mu :" &amp; ROUND($F2260/$C$2/($R2264+$T2264*$D$9),2))</f>
        <v>mu :1.22</v>
      </c>
      <c r="W2260" s="507"/>
      <c r="AG2260" s="465">
        <f>IF($E2260=0,0,ROUND($R2264*$S$2*$C$2/$A2260,2))</f>
        <v>124.4</v>
      </c>
      <c r="AH2260" s="465">
        <f>$AG2260*$A2260</f>
        <v>124.4</v>
      </c>
      <c r="AI2260" s="508">
        <f>$E2260-$AG2260</f>
        <v>0</v>
      </c>
      <c r="AJ2260" s="508">
        <f>$A2260*$AI2260</f>
        <v>0</v>
      </c>
      <c r="AK2260" s="509">
        <f>ROUND(($AG2260+$AI2260)*$A2260,2)</f>
        <v>124.4</v>
      </c>
      <c r="AM2260" s="510">
        <f>ROUND(R2264,2)</f>
        <v>101.97</v>
      </c>
      <c r="AN2260" s="511">
        <f>ROUND(T2264,2)</f>
        <v>0</v>
      </c>
      <c r="AO2260" s="512">
        <f>ROUND(AM2260+AN2260,2)*A2260</f>
        <v>101.97</v>
      </c>
    </row>
    <row r="2261" spans="1:41" s="504" customFormat="1" ht="13.2">
      <c r="A2261" s="872"/>
      <c r="B2261"/>
      <c r="C2261" s="872"/>
      <c r="D2261" s="873" t="s">
        <v>445</v>
      </c>
      <c r="F2261" s="877"/>
      <c r="G2261" s="3"/>
      <c r="H2261" s="877"/>
      <c r="I2261" s="878"/>
      <c r="J2261" s="877"/>
      <c r="K2261" s="877" t="s">
        <v>141</v>
      </c>
      <c r="L2261" s="877"/>
      <c r="M2261" s="877"/>
      <c r="N2261" s="877"/>
      <c r="O2261" s="877"/>
      <c r="P2261" s="877"/>
      <c r="Q2261" s="50"/>
      <c r="R2261" s="513"/>
      <c r="S2261" s="881"/>
      <c r="T2261" s="877"/>
    </row>
    <row r="2262" spans="1:41" s="504" customFormat="1" ht="13.2">
      <c r="A2262">
        <v>1</v>
      </c>
      <c r="B2262" s="1039" t="s">
        <v>949</v>
      </c>
      <c r="C2262" s="1039"/>
      <c r="D2262" s="1039" t="s">
        <v>1439</v>
      </c>
      <c r="E2262" s="1039"/>
      <c r="F2262" s="1039"/>
      <c r="G2262" s="1040" t="s">
        <v>950</v>
      </c>
      <c r="H2262" s="1041">
        <v>510</v>
      </c>
      <c r="I2262" s="1039" t="s">
        <v>951</v>
      </c>
      <c r="J2262" s="1039"/>
      <c r="K2262" s="882"/>
      <c r="L2262" s="1039"/>
      <c r="M2262" s="1039"/>
      <c r="N2262" s="1039"/>
      <c r="O2262" s="1042">
        <v>2</v>
      </c>
      <c r="P2262" s="1043"/>
      <c r="Q2262" s="1044">
        <f>95.2+6.77</f>
        <v>101.97</v>
      </c>
      <c r="R2262" s="883">
        <f>$A2262*Q2262</f>
        <v>101.97</v>
      </c>
      <c r="S2262" s="1044"/>
      <c r="T2262" s="1046">
        <f>$A2262*S2262*$T$1</f>
        <v>0</v>
      </c>
    </row>
    <row r="2263" spans="1:41" s="504" customFormat="1" ht="12">
      <c r="A2263" s="882"/>
      <c r="B2263" s="882"/>
      <c r="C2263" s="882"/>
      <c r="D2263" s="882"/>
      <c r="E2263" s="882"/>
      <c r="F2263" s="877"/>
      <c r="G2263" s="882"/>
      <c r="H2263" s="882"/>
      <c r="I2263" s="503"/>
      <c r="J2263" s="882"/>
      <c r="K2263" s="882"/>
      <c r="L2263" s="882"/>
      <c r="M2263" s="882"/>
      <c r="N2263" s="882"/>
      <c r="O2263" s="882"/>
      <c r="P2263" s="882"/>
      <c r="Q2263" s="503"/>
      <c r="R2263" s="883">
        <f>$A2263*Q2263</f>
        <v>0</v>
      </c>
      <c r="S2263" s="503"/>
      <c r="T2263" s="884">
        <f>$A2263*S2263*$T$1</f>
        <v>0</v>
      </c>
    </row>
    <row r="2264" spans="1:41" s="504" customFormat="1" ht="12.6" thickBot="1">
      <c r="A2264" s="885" t="s">
        <v>142</v>
      </c>
      <c r="B2264" s="886">
        <f>(R2263+T2263)</f>
        <v>0</v>
      </c>
      <c r="C2264" s="887"/>
      <c r="D2264" s="887"/>
      <c r="E2264" s="887"/>
      <c r="F2264" s="888"/>
      <c r="G2264" s="887" t="s">
        <v>143</v>
      </c>
      <c r="H2264" s="887"/>
      <c r="I2264" s="889"/>
      <c r="J2264" s="887"/>
      <c r="K2264" s="887" t="s">
        <v>3</v>
      </c>
      <c r="L2264" s="890" t="s">
        <v>140</v>
      </c>
      <c r="M2264" s="890"/>
      <c r="N2264" s="890"/>
      <c r="O2264" s="890"/>
      <c r="P2264" s="890"/>
      <c r="Q2264" s="891"/>
      <c r="R2264" s="892">
        <f>SUM(R2261:R2263)</f>
        <v>101.97</v>
      </c>
      <c r="S2264" s="887"/>
      <c r="T2264" s="892">
        <f>SUM(T2261:T2263)</f>
        <v>0</v>
      </c>
      <c r="U2264" s="514"/>
      <c r="V2264" s="514"/>
      <c r="W2264" s="514"/>
      <c r="X2264" s="514"/>
      <c r="Y2264" s="514"/>
      <c r="Z2264" s="514"/>
      <c r="AA2264" s="514"/>
      <c r="AB2264" s="514"/>
      <c r="AC2264" s="514"/>
      <c r="AD2264" s="514"/>
      <c r="AE2264" s="514"/>
      <c r="AF2264" s="514"/>
      <c r="AG2264" s="514"/>
      <c r="AH2264" s="514"/>
      <c r="AI2264" s="514"/>
      <c r="AJ2264" s="514"/>
      <c r="AK2264" s="514"/>
      <c r="AL2264" s="514"/>
      <c r="AM2264" s="514"/>
      <c r="AN2264" s="514"/>
      <c r="AO2264" s="514"/>
    </row>
    <row r="2265" spans="1:41" s="504" customFormat="1" ht="12" thickTop="1">
      <c r="A2265" s="50"/>
      <c r="B2265" s="40"/>
      <c r="C2265" s="50"/>
      <c r="E2265" s="41" t="s">
        <v>136</v>
      </c>
      <c r="F2265" s="41" t="s">
        <v>137</v>
      </c>
      <c r="G2265" s="50"/>
      <c r="H2265" s="50"/>
      <c r="I2265" s="50"/>
      <c r="J2265" s="50"/>
      <c r="K2265" s="50" t="s">
        <v>138</v>
      </c>
      <c r="L2265" s="50"/>
      <c r="M2265" s="50"/>
      <c r="N2265" s="50"/>
      <c r="O2265" s="51"/>
      <c r="P2265" s="50"/>
      <c r="Q2265" s="50"/>
      <c r="R2265" s="50"/>
      <c r="S2265" s="50"/>
      <c r="T2265" s="40"/>
      <c r="AG2265" s="867" t="s">
        <v>241</v>
      </c>
      <c r="AH2265" s="867" t="s">
        <v>242</v>
      </c>
      <c r="AI2265" s="867" t="s">
        <v>243</v>
      </c>
      <c r="AJ2265" s="867" t="s">
        <v>244</v>
      </c>
      <c r="AK2265" s="867" t="s">
        <v>245</v>
      </c>
      <c r="AM2265" s="868" t="s">
        <v>254</v>
      </c>
      <c r="AN2265" s="869" t="s">
        <v>255</v>
      </c>
      <c r="AO2265" s="505" t="s">
        <v>251</v>
      </c>
    </row>
    <row r="2266" spans="1:41" s="504" customFormat="1" ht="12" customHeight="1">
      <c r="A2266" s="870">
        <v>1</v>
      </c>
      <c r="B2266" s="871" t="s">
        <v>335</v>
      </c>
      <c r="C2266" s="872"/>
      <c r="D2266" s="873" t="s">
        <v>810</v>
      </c>
      <c r="E2266" s="874">
        <f>IF(AND($A2266=0,$A$1="DIF"),0, ROUND(ROUND(($R2270*$S$2+($T2270*$T$2))/A2266,2)*$C$2,2))</f>
        <v>124.4</v>
      </c>
      <c r="F2266" s="875">
        <f>ROUND($A2266*$E2266,2)</f>
        <v>124.4</v>
      </c>
      <c r="G2266" s="876" t="s">
        <v>139</v>
      </c>
      <c r="H2266" s="877"/>
      <c r="I2266" s="878"/>
      <c r="J2266" s="877"/>
      <c r="K2266" s="877" t="s">
        <v>3</v>
      </c>
      <c r="L2266" s="879" t="s">
        <v>140</v>
      </c>
      <c r="M2266" s="879"/>
      <c r="N2266" s="879"/>
      <c r="O2266" s="879"/>
      <c r="P2266" s="879"/>
      <c r="Q2266" s="50"/>
      <c r="T2266" s="880" t="str">
        <f>IF(AND($R2270=0,$T2270=0),"0.00","mu :" &amp; ROUND($F2266/$C$2/($R2270+$T2270*$D$9),2))</f>
        <v>mu :1.22</v>
      </c>
      <c r="W2266" s="507"/>
      <c r="AG2266" s="465">
        <f>IF($E2266=0,0,ROUND($R2270*$S$2*$C$2/$A2266,2))</f>
        <v>124.4</v>
      </c>
      <c r="AH2266" s="465">
        <f>$AG2266*$A2266</f>
        <v>124.4</v>
      </c>
      <c r="AI2266" s="508">
        <f>$E2266-$AG2266</f>
        <v>0</v>
      </c>
      <c r="AJ2266" s="508">
        <f>$A2266*$AI2266</f>
        <v>0</v>
      </c>
      <c r="AK2266" s="509">
        <f>ROUND(($AG2266+$AI2266)*$A2266,2)</f>
        <v>124.4</v>
      </c>
      <c r="AM2266" s="510">
        <f>ROUND(R2270,2)</f>
        <v>101.97</v>
      </c>
      <c r="AN2266" s="511">
        <f>ROUND(T2270,2)</f>
        <v>0</v>
      </c>
      <c r="AO2266" s="512">
        <f>ROUND(AM2266+AN2266,2)*A2266</f>
        <v>101.97</v>
      </c>
    </row>
    <row r="2267" spans="1:41" s="504" customFormat="1" ht="13.2">
      <c r="A2267" s="872"/>
      <c r="B2267"/>
      <c r="C2267" s="872"/>
      <c r="D2267" s="873" t="s">
        <v>446</v>
      </c>
      <c r="F2267" s="877"/>
      <c r="G2267" s="3"/>
      <c r="H2267" s="877"/>
      <c r="I2267" s="878"/>
      <c r="J2267" s="877"/>
      <c r="K2267" s="877" t="s">
        <v>141</v>
      </c>
      <c r="L2267" s="877"/>
      <c r="M2267" s="877"/>
      <c r="N2267" s="877"/>
      <c r="O2267" s="877"/>
      <c r="P2267" s="877"/>
      <c r="Q2267" s="50"/>
      <c r="R2267" s="513"/>
      <c r="S2267" s="881"/>
      <c r="T2267" s="877"/>
    </row>
    <row r="2268" spans="1:41" s="504" customFormat="1" ht="13.2">
      <c r="A2268">
        <v>1</v>
      </c>
      <c r="B2268" s="1039" t="s">
        <v>949</v>
      </c>
      <c r="C2268" s="1039"/>
      <c r="D2268" s="1039" t="s">
        <v>1440</v>
      </c>
      <c r="E2268" s="1039"/>
      <c r="F2268" s="1039"/>
      <c r="G2268" s="1040" t="s">
        <v>950</v>
      </c>
      <c r="H2268" s="1041">
        <v>510</v>
      </c>
      <c r="I2268" s="1039" t="s">
        <v>951</v>
      </c>
      <c r="J2268" s="1039"/>
      <c r="K2268" s="882"/>
      <c r="L2268" s="1039"/>
      <c r="M2268" s="1039"/>
      <c r="N2268" s="1039"/>
      <c r="O2268" s="1042">
        <v>2</v>
      </c>
      <c r="P2268" s="1043"/>
      <c r="Q2268" s="1044">
        <f>95.2+6.77</f>
        <v>101.97</v>
      </c>
      <c r="R2268" s="883">
        <f>$A2268*Q2268</f>
        <v>101.97</v>
      </c>
      <c r="S2268" s="1044"/>
      <c r="T2268" s="1046">
        <f>$A2268*S2268*$T$1</f>
        <v>0</v>
      </c>
    </row>
    <row r="2269" spans="1:41" s="504" customFormat="1" ht="12">
      <c r="A2269" s="882"/>
      <c r="B2269" s="882"/>
      <c r="C2269" s="882"/>
      <c r="D2269" s="882"/>
      <c r="E2269" s="882"/>
      <c r="F2269" s="877"/>
      <c r="G2269" s="882"/>
      <c r="H2269" s="882"/>
      <c r="I2269" s="503"/>
      <c r="J2269" s="882"/>
      <c r="K2269" s="882"/>
      <c r="L2269" s="882"/>
      <c r="M2269" s="882"/>
      <c r="N2269" s="882"/>
      <c r="O2269" s="882"/>
      <c r="P2269" s="882"/>
      <c r="Q2269" s="503"/>
      <c r="R2269" s="883">
        <f>$A2269*Q2269</f>
        <v>0</v>
      </c>
      <c r="S2269" s="503"/>
      <c r="T2269" s="884">
        <f>$A2269*S2269*$T$1</f>
        <v>0</v>
      </c>
    </row>
    <row r="2270" spans="1:41" s="504" customFormat="1" ht="12.6" thickBot="1">
      <c r="A2270" s="885" t="s">
        <v>142</v>
      </c>
      <c r="B2270" s="886">
        <f>(R2269+T2269)</f>
        <v>0</v>
      </c>
      <c r="C2270" s="887"/>
      <c r="D2270" s="887"/>
      <c r="E2270" s="887"/>
      <c r="F2270" s="888"/>
      <c r="G2270" s="887" t="s">
        <v>143</v>
      </c>
      <c r="H2270" s="887"/>
      <c r="I2270" s="889"/>
      <c r="J2270" s="887"/>
      <c r="K2270" s="887" t="s">
        <v>3</v>
      </c>
      <c r="L2270" s="890" t="s">
        <v>140</v>
      </c>
      <c r="M2270" s="890"/>
      <c r="N2270" s="890"/>
      <c r="O2270" s="890"/>
      <c r="P2270" s="890"/>
      <c r="Q2270" s="891"/>
      <c r="R2270" s="892">
        <f>SUM(R2267:R2269)</f>
        <v>101.97</v>
      </c>
      <c r="S2270" s="887"/>
      <c r="T2270" s="892">
        <f>SUM(T2267:T2269)</f>
        <v>0</v>
      </c>
      <c r="U2270" s="514"/>
      <c r="V2270" s="514"/>
      <c r="W2270" s="514"/>
      <c r="X2270" s="514"/>
      <c r="Y2270" s="514"/>
      <c r="Z2270" s="514"/>
      <c r="AA2270" s="514"/>
      <c r="AB2270" s="514"/>
      <c r="AC2270" s="514"/>
      <c r="AD2270" s="514"/>
      <c r="AE2270" s="514"/>
      <c r="AF2270" s="514"/>
      <c r="AG2270" s="514"/>
      <c r="AH2270" s="514"/>
      <c r="AI2270" s="514"/>
      <c r="AJ2270" s="514"/>
      <c r="AK2270" s="514"/>
      <c r="AL2270" s="514"/>
      <c r="AM2270" s="514"/>
      <c r="AN2270" s="514"/>
      <c r="AO2270" s="514"/>
    </row>
    <row r="2271" spans="1:41" s="504" customFormat="1" thickTop="1">
      <c r="A2271" s="50"/>
      <c r="B2271" s="50"/>
      <c r="C2271" s="3"/>
      <c r="D2271" s="3"/>
      <c r="E2271" s="50"/>
      <c r="F2271" s="50"/>
      <c r="G2271" s="50"/>
      <c r="H2271" s="50"/>
      <c r="I2271" s="50"/>
      <c r="J2271" s="50"/>
      <c r="K2271" s="50" t="s">
        <v>133</v>
      </c>
      <c r="L2271" s="50"/>
      <c r="M2271" s="50"/>
      <c r="N2271" s="50"/>
      <c r="O2271" s="51"/>
      <c r="P2271" s="50"/>
      <c r="Q2271" s="50"/>
      <c r="R2271" s="50"/>
      <c r="S2271" s="50"/>
      <c r="T2271" s="50"/>
    </row>
    <row r="2272" spans="1:41" s="504" customFormat="1" ht="12">
      <c r="A2272" s="50"/>
      <c r="B2272" s="50"/>
      <c r="C2272" s="50" t="s">
        <v>134</v>
      </c>
      <c r="D2272" s="37" t="s">
        <v>875</v>
      </c>
      <c r="E2272" s="50"/>
      <c r="F2272" s="50"/>
      <c r="G2272" s="50"/>
      <c r="H2272" s="50"/>
      <c r="I2272" s="50"/>
      <c r="J2272" s="50"/>
      <c r="K2272" s="50"/>
      <c r="L2272" s="50"/>
      <c r="M2272" s="50"/>
      <c r="N2272" s="50"/>
      <c r="O2272" s="51"/>
      <c r="P2272" s="50"/>
      <c r="Q2272" s="50"/>
      <c r="R2272" s="50"/>
      <c r="S2272" s="50"/>
      <c r="T2272" s="50"/>
    </row>
    <row r="2273" spans="1:41" s="504" customFormat="1" ht="12">
      <c r="A2273" s="50"/>
      <c r="B2273" s="50"/>
      <c r="C2273" s="50"/>
      <c r="D2273" s="37" t="s">
        <v>304</v>
      </c>
      <c r="E2273" s="50"/>
      <c r="F2273" s="50"/>
      <c r="G2273" s="50"/>
      <c r="H2273" s="50"/>
      <c r="I2273" s="50"/>
      <c r="J2273" s="50"/>
      <c r="K2273" s="50"/>
      <c r="L2273" s="50"/>
      <c r="M2273" s="50"/>
      <c r="N2273" s="50"/>
      <c r="O2273" s="51"/>
      <c r="P2273" s="50"/>
      <c r="Q2273" s="50"/>
      <c r="R2273" s="50"/>
      <c r="S2273" s="38"/>
      <c r="T2273" s="38"/>
    </row>
    <row r="2274" spans="1:41" s="3" customFormat="1" thickBot="1">
      <c r="A2274" s="514"/>
      <c r="O2274" s="103"/>
    </row>
    <row r="2275" spans="1:41" s="504" customFormat="1" ht="12" thickTop="1">
      <c r="A2275" s="50"/>
      <c r="B2275" s="40"/>
      <c r="C2275" s="50"/>
      <c r="E2275" s="41" t="s">
        <v>136</v>
      </c>
      <c r="F2275" s="41" t="s">
        <v>137</v>
      </c>
      <c r="G2275" s="50"/>
      <c r="H2275" s="50"/>
      <c r="I2275" s="50"/>
      <c r="J2275" s="50"/>
      <c r="K2275" s="50" t="s">
        <v>138</v>
      </c>
      <c r="L2275" s="50"/>
      <c r="M2275" s="50"/>
      <c r="N2275" s="50"/>
      <c r="O2275" s="51"/>
      <c r="P2275" s="50"/>
      <c r="Q2275" s="50"/>
      <c r="R2275" s="50"/>
      <c r="S2275" s="50"/>
      <c r="T2275" s="40"/>
      <c r="AG2275" s="867" t="s">
        <v>241</v>
      </c>
      <c r="AH2275" s="867" t="s">
        <v>242</v>
      </c>
      <c r="AI2275" s="867" t="s">
        <v>243</v>
      </c>
      <c r="AJ2275" s="867" t="s">
        <v>244</v>
      </c>
      <c r="AK2275" s="867" t="s">
        <v>245</v>
      </c>
      <c r="AM2275" s="868" t="s">
        <v>254</v>
      </c>
      <c r="AN2275" s="869" t="s">
        <v>255</v>
      </c>
      <c r="AO2275" s="505" t="s">
        <v>251</v>
      </c>
    </row>
    <row r="2276" spans="1:41" s="504" customFormat="1" ht="12" customHeight="1">
      <c r="A2276" s="870">
        <v>1</v>
      </c>
      <c r="B2276" s="871" t="s">
        <v>335</v>
      </c>
      <c r="C2276" s="872"/>
      <c r="D2276" s="873" t="s">
        <v>804</v>
      </c>
      <c r="E2276" s="874">
        <f>IF(AND($A2276=0,$A$1="DIF"),0, ROUND(ROUND(($R2283*$S$2+($T2283*$T$2))/A2276,2)*$C$2,2))</f>
        <v>198.68</v>
      </c>
      <c r="F2276" s="875">
        <f>ROUND($A2276*$E2276,2)</f>
        <v>198.68</v>
      </c>
      <c r="G2276" s="876" t="s">
        <v>139</v>
      </c>
      <c r="H2276" s="877"/>
      <c r="I2276" s="878"/>
      <c r="J2276" s="877"/>
      <c r="K2276" s="877" t="s">
        <v>3</v>
      </c>
      <c r="L2276" s="879" t="s">
        <v>140</v>
      </c>
      <c r="M2276" s="879"/>
      <c r="N2276" s="879"/>
      <c r="O2276" s="879"/>
      <c r="P2276" s="879"/>
      <c r="Q2276" s="50"/>
      <c r="T2276" s="880" t="str">
        <f>IF(AND($R2283=0,$T2283=0),"0.00","mu :" &amp; ROUND($F2276/$C$2/($R2283+$T2283*$D$9),2))</f>
        <v>mu :1.22</v>
      </c>
      <c r="W2276" s="507"/>
      <c r="AG2276" s="465">
        <f>IF($E2276=0,0,ROUND($R2283*$S$2*$C$2/$A2276,2))</f>
        <v>12.34</v>
      </c>
      <c r="AH2276" s="465">
        <f>$AG2276*$A2276</f>
        <v>12.34</v>
      </c>
      <c r="AI2276" s="508">
        <f>$E2276-$AG2276</f>
        <v>186.34</v>
      </c>
      <c r="AJ2276" s="508">
        <f>$A2276*$AI2276</f>
        <v>186.34</v>
      </c>
      <c r="AK2276" s="509">
        <f>ROUND(($AG2276+$AI2276)*$A2276,2)</f>
        <v>198.68</v>
      </c>
      <c r="AM2276" s="510">
        <f>ROUND(R2283,2)</f>
        <v>10.119999999999999</v>
      </c>
      <c r="AN2276" s="511">
        <f>ROUND(T2283,2)</f>
        <v>5.3</v>
      </c>
      <c r="AO2276" s="512">
        <f>ROUND(AM2276+AN2276,2)*A2276</f>
        <v>15.42</v>
      </c>
    </row>
    <row r="2277" spans="1:41" s="504" customFormat="1" ht="13.2">
      <c r="A2277" s="872"/>
      <c r="B2277"/>
      <c r="C2277" s="872"/>
      <c r="D2277" s="873" t="s">
        <v>443</v>
      </c>
      <c r="F2277" s="877"/>
      <c r="G2277" s="3"/>
      <c r="H2277" s="877"/>
      <c r="I2277" s="878"/>
      <c r="J2277" s="877"/>
      <c r="K2277" s="877" t="s">
        <v>141</v>
      </c>
      <c r="L2277" s="877"/>
      <c r="M2277" s="877"/>
      <c r="N2277" s="877"/>
      <c r="O2277" s="877"/>
      <c r="P2277" s="877"/>
      <c r="Q2277" s="50"/>
      <c r="R2277" s="513"/>
      <c r="S2277" s="881"/>
      <c r="T2277" s="877"/>
    </row>
    <row r="2278" spans="1:41" s="504" customFormat="1" ht="13.2">
      <c r="A2278">
        <v>1</v>
      </c>
      <c r="B2278" s="1039" t="s">
        <v>949</v>
      </c>
      <c r="C2278" s="1039"/>
      <c r="D2278" s="1039" t="s">
        <v>1325</v>
      </c>
      <c r="E2278" s="1039"/>
      <c r="F2278" s="1039"/>
      <c r="G2278" s="1040" t="s">
        <v>950</v>
      </c>
      <c r="H2278" s="1041">
        <v>510</v>
      </c>
      <c r="I2278" s="1039" t="s">
        <v>951</v>
      </c>
      <c r="J2278" s="1039"/>
      <c r="K2278" s="882"/>
      <c r="L2278" s="1039"/>
      <c r="M2278" s="1039"/>
      <c r="N2278" s="1039"/>
      <c r="O2278" s="1042">
        <v>2</v>
      </c>
      <c r="P2278" s="1043"/>
      <c r="Q2278" s="1044">
        <v>0</v>
      </c>
      <c r="R2278" s="883">
        <f>$A2278*Q2278</f>
        <v>0</v>
      </c>
      <c r="S2278" s="1044">
        <f>2+(6*0.5)</f>
        <v>5</v>
      </c>
      <c r="T2278" s="1046">
        <f>$A2278*S2278*$T$1</f>
        <v>5.25</v>
      </c>
    </row>
    <row r="2279" spans="1:41" s="504" customFormat="1" ht="13.2">
      <c r="A2279" s="112">
        <v>1</v>
      </c>
      <c r="B2279" s="1039" t="s">
        <v>949</v>
      </c>
      <c r="C2279" s="1039"/>
      <c r="D2279" s="1039" t="s">
        <v>957</v>
      </c>
      <c r="E2279" s="1039"/>
      <c r="F2279" s="1039"/>
      <c r="G2279" s="1040" t="s">
        <v>958</v>
      </c>
      <c r="H2279" s="1041">
        <v>875</v>
      </c>
      <c r="I2279" s="1039" t="s">
        <v>951</v>
      </c>
      <c r="J2279" s="1039"/>
      <c r="K2279" s="882"/>
      <c r="L2279" s="1039"/>
      <c r="M2279" s="1039"/>
      <c r="N2279" s="1039"/>
      <c r="O2279" s="1042">
        <v>3</v>
      </c>
      <c r="P2279" s="1043">
        <v>34820</v>
      </c>
      <c r="Q2279" s="1044">
        <f>0.9 *(5.82)</f>
        <v>5.2380000000000004</v>
      </c>
      <c r="R2279" s="883">
        <f>$A2279*Q2279</f>
        <v>5.2380000000000004</v>
      </c>
      <c r="S2279" s="1044">
        <f>0.9 *(0.05)</f>
        <v>4.5000000000000005E-2</v>
      </c>
      <c r="T2279" s="1046">
        <f>$A2279*S2279*$T$1</f>
        <v>4.7250000000000007E-2</v>
      </c>
    </row>
    <row r="2280" spans="1:41" s="504" customFormat="1" ht="13.2">
      <c r="A2280" s="112">
        <v>1</v>
      </c>
      <c r="B2280" s="1039" t="s">
        <v>949</v>
      </c>
      <c r="C2280" s="1039"/>
      <c r="D2280" s="1039" t="s">
        <v>1239</v>
      </c>
      <c r="E2280" s="1039"/>
      <c r="F2280" s="1039"/>
      <c r="G2280" s="1040" t="s">
        <v>1240</v>
      </c>
      <c r="H2280" s="1041">
        <v>880</v>
      </c>
      <c r="I2280" s="1039" t="s">
        <v>951</v>
      </c>
      <c r="J2280" s="1039"/>
      <c r="K2280" s="882"/>
      <c r="L2280" s="1039"/>
      <c r="M2280" s="1039"/>
      <c r="N2280" s="1039"/>
      <c r="O2280" s="1042">
        <v>3</v>
      </c>
      <c r="P2280" s="1043">
        <v>35443</v>
      </c>
      <c r="Q2280" s="1044">
        <f>0.9 *(4.66)</f>
        <v>4.194</v>
      </c>
      <c r="R2280" s="883">
        <f>$A2280*Q2280</f>
        <v>4.194</v>
      </c>
      <c r="S2280" s="1044"/>
      <c r="T2280" s="1046">
        <f>$A2280*S2280*$T$1</f>
        <v>0</v>
      </c>
    </row>
    <row r="2281" spans="1:41" s="504" customFormat="1" ht="13.2">
      <c r="A2281" s="112">
        <v>4</v>
      </c>
      <c r="B2281" s="1039" t="s">
        <v>949</v>
      </c>
      <c r="C2281" s="1039"/>
      <c r="D2281" s="1039" t="s">
        <v>1241</v>
      </c>
      <c r="E2281" s="1039"/>
      <c r="F2281" s="1039"/>
      <c r="G2281" s="1040" t="s">
        <v>1242</v>
      </c>
      <c r="H2281" s="1041">
        <v>875</v>
      </c>
      <c r="I2281" s="1039" t="s">
        <v>1243</v>
      </c>
      <c r="J2281" s="1039" t="s">
        <v>1244</v>
      </c>
      <c r="K2281" s="882"/>
      <c r="L2281" s="1039"/>
      <c r="M2281" s="1039"/>
      <c r="N2281" s="1039"/>
      <c r="O2281" s="1042">
        <v>1</v>
      </c>
      <c r="P2281" s="1043">
        <v>36175</v>
      </c>
      <c r="Q2281" s="1044">
        <f>0.9 *(0.19)</f>
        <v>0.17100000000000001</v>
      </c>
      <c r="R2281" s="883">
        <f>$A2281*Q2281</f>
        <v>0.68400000000000005</v>
      </c>
      <c r="S2281" s="1044"/>
      <c r="T2281" s="1046">
        <f>$A2281*S2281*$T$1</f>
        <v>0</v>
      </c>
    </row>
    <row r="2282" spans="1:41" s="504" customFormat="1" ht="12">
      <c r="A2282" s="882"/>
      <c r="B2282" s="882"/>
      <c r="C2282" s="882"/>
      <c r="D2282" s="882"/>
      <c r="E2282" s="882"/>
      <c r="F2282" s="877"/>
      <c r="G2282" s="882"/>
      <c r="H2282" s="882"/>
      <c r="I2282" s="503"/>
      <c r="J2282" s="882"/>
      <c r="K2282" s="882"/>
      <c r="L2282" s="882"/>
      <c r="M2282" s="882"/>
      <c r="N2282" s="882"/>
      <c r="O2282" s="882"/>
      <c r="P2282" s="882"/>
      <c r="Q2282" s="503"/>
      <c r="R2282" s="883">
        <f>$A2282*Q2282</f>
        <v>0</v>
      </c>
      <c r="S2282" s="503"/>
      <c r="T2282" s="884">
        <f>$A2282*S2282*$T$1</f>
        <v>0</v>
      </c>
    </row>
    <row r="2283" spans="1:41" s="504" customFormat="1" ht="12.6" thickBot="1">
      <c r="A2283" s="885" t="s">
        <v>142</v>
      </c>
      <c r="B2283" s="886">
        <f>(R2282+T2282)</f>
        <v>0</v>
      </c>
      <c r="C2283" s="887"/>
      <c r="D2283" s="887"/>
      <c r="E2283" s="887"/>
      <c r="F2283" s="888"/>
      <c r="G2283" s="887" t="s">
        <v>143</v>
      </c>
      <c r="H2283" s="887"/>
      <c r="I2283" s="889"/>
      <c r="J2283" s="887"/>
      <c r="K2283" s="887" t="s">
        <v>3</v>
      </c>
      <c r="L2283" s="890" t="s">
        <v>140</v>
      </c>
      <c r="M2283" s="890"/>
      <c r="N2283" s="890"/>
      <c r="O2283" s="890"/>
      <c r="P2283" s="890"/>
      <c r="Q2283" s="891"/>
      <c r="R2283" s="892">
        <f>SUM(R2277:R2282)</f>
        <v>10.116</v>
      </c>
      <c r="S2283" s="887"/>
      <c r="T2283" s="892">
        <f>SUM(T2277:T2282)</f>
        <v>5.29725</v>
      </c>
      <c r="U2283" s="514"/>
      <c r="V2283" s="514"/>
      <c r="W2283" s="514"/>
      <c r="X2283" s="514"/>
      <c r="Y2283" s="514"/>
      <c r="Z2283" s="514"/>
      <c r="AA2283" s="514"/>
      <c r="AB2283" s="514"/>
      <c r="AC2283" s="514"/>
      <c r="AD2283" s="514"/>
      <c r="AE2283" s="514"/>
      <c r="AF2283" s="514"/>
      <c r="AG2283" s="514"/>
      <c r="AH2283" s="514"/>
      <c r="AI2283" s="514"/>
      <c r="AJ2283" s="514"/>
      <c r="AK2283" s="514"/>
      <c r="AL2283" s="514"/>
      <c r="AM2283" s="514"/>
      <c r="AN2283" s="514"/>
      <c r="AO2283" s="514"/>
    </row>
    <row r="2284" spans="1:41" s="504" customFormat="1" ht="12" thickTop="1">
      <c r="A2284" s="50"/>
      <c r="B2284" s="40"/>
      <c r="C2284" s="50"/>
      <c r="E2284" s="41" t="s">
        <v>136</v>
      </c>
      <c r="F2284" s="41" t="s">
        <v>137</v>
      </c>
      <c r="G2284" s="50"/>
      <c r="H2284" s="50"/>
      <c r="I2284" s="50"/>
      <c r="J2284" s="50"/>
      <c r="K2284" s="50" t="s">
        <v>138</v>
      </c>
      <c r="L2284" s="50"/>
      <c r="M2284" s="50"/>
      <c r="N2284" s="50"/>
      <c r="O2284" s="51"/>
      <c r="P2284" s="50"/>
      <c r="Q2284" s="50"/>
      <c r="R2284" s="50"/>
      <c r="S2284" s="50"/>
      <c r="T2284" s="40"/>
      <c r="AG2284" s="867" t="s">
        <v>241</v>
      </c>
      <c r="AH2284" s="867" t="s">
        <v>242</v>
      </c>
      <c r="AI2284" s="867" t="s">
        <v>243</v>
      </c>
      <c r="AJ2284" s="867" t="s">
        <v>244</v>
      </c>
      <c r="AK2284" s="867" t="s">
        <v>245</v>
      </c>
      <c r="AM2284" s="868" t="s">
        <v>254</v>
      </c>
      <c r="AN2284" s="869" t="s">
        <v>255</v>
      </c>
      <c r="AO2284" s="505" t="s">
        <v>251</v>
      </c>
    </row>
    <row r="2285" spans="1:41" s="504" customFormat="1" ht="12" customHeight="1">
      <c r="A2285" s="870">
        <v>1</v>
      </c>
      <c r="B2285" s="871" t="s">
        <v>335</v>
      </c>
      <c r="C2285" s="872"/>
      <c r="D2285" s="873" t="s">
        <v>806</v>
      </c>
      <c r="E2285" s="874">
        <f>IF(AND($A2285=0,$A$1="DIF"),0, ROUND(ROUND(($R2293*$S$2+($T2293*$T$2))/A2285,2)*$C$2,2))</f>
        <v>161.1</v>
      </c>
      <c r="F2285" s="875">
        <f>ROUND($A2285*$E2285,2)</f>
        <v>161.1</v>
      </c>
      <c r="G2285" s="876" t="s">
        <v>139</v>
      </c>
      <c r="H2285" s="877"/>
      <c r="I2285" s="878"/>
      <c r="J2285" s="877"/>
      <c r="K2285" s="877" t="s">
        <v>3</v>
      </c>
      <c r="L2285" s="879" t="s">
        <v>140</v>
      </c>
      <c r="M2285" s="879"/>
      <c r="N2285" s="879"/>
      <c r="O2285" s="879"/>
      <c r="P2285" s="879"/>
      <c r="Q2285" s="50"/>
      <c r="T2285" s="880" t="str">
        <f>IF(AND($R2293=0,$T2293=0),"0.00","mu :" &amp; ROUND($F2285/$C$2/($R2293+$T2293*$D$9),2))</f>
        <v>mu :1.22</v>
      </c>
      <c r="W2285" s="507"/>
      <c r="AG2285" s="465">
        <f>IF($E2285=0,0,ROUND($R2293*$S$2*$C$2/$A2285,2))</f>
        <v>11.7</v>
      </c>
      <c r="AH2285" s="465">
        <f>$AG2285*$A2285</f>
        <v>11.7</v>
      </c>
      <c r="AI2285" s="508">
        <f>$E2285-$AG2285</f>
        <v>149.4</v>
      </c>
      <c r="AJ2285" s="508">
        <f>$A2285*$AI2285</f>
        <v>149.4</v>
      </c>
      <c r="AK2285" s="509">
        <f>ROUND(($AG2285+$AI2285)*$A2285,2)</f>
        <v>161.1</v>
      </c>
      <c r="AM2285" s="510">
        <f>ROUND(R2293,2)</f>
        <v>9.59</v>
      </c>
      <c r="AN2285" s="511">
        <f>ROUND(T2293,2)</f>
        <v>4.25</v>
      </c>
      <c r="AO2285" s="512">
        <f>ROUND(AM2285+AN2285,2)*A2285</f>
        <v>13.84</v>
      </c>
    </row>
    <row r="2286" spans="1:41" s="504" customFormat="1" ht="13.2">
      <c r="A2286" s="872"/>
      <c r="B2286"/>
      <c r="C2286" s="872"/>
      <c r="D2286" s="873" t="s">
        <v>444</v>
      </c>
      <c r="F2286" s="877"/>
      <c r="G2286" s="3"/>
      <c r="H2286" s="877"/>
      <c r="I2286" s="878"/>
      <c r="J2286" s="877"/>
      <c r="K2286" s="877" t="s">
        <v>141</v>
      </c>
      <c r="L2286" s="877"/>
      <c r="M2286" s="877"/>
      <c r="N2286" s="877"/>
      <c r="O2286" s="877"/>
      <c r="P2286" s="877"/>
      <c r="Q2286" s="50"/>
      <c r="R2286" s="513"/>
      <c r="S2286" s="881"/>
      <c r="T2286" s="877"/>
    </row>
    <row r="2287" spans="1:41" s="504" customFormat="1" ht="13.2">
      <c r="A2287">
        <v>1</v>
      </c>
      <c r="B2287" s="1039" t="s">
        <v>949</v>
      </c>
      <c r="C2287" s="1039"/>
      <c r="D2287" s="1039" t="s">
        <v>1326</v>
      </c>
      <c r="E2287" s="1039"/>
      <c r="F2287" s="1039"/>
      <c r="G2287" s="1040" t="s">
        <v>950</v>
      </c>
      <c r="H2287" s="1041">
        <v>510</v>
      </c>
      <c r="I2287" s="1039" t="s">
        <v>951</v>
      </c>
      <c r="J2287" s="1039"/>
      <c r="K2287" s="882"/>
      <c r="L2287" s="1039"/>
      <c r="M2287" s="1039"/>
      <c r="N2287" s="1039"/>
      <c r="O2287" s="1042">
        <v>2</v>
      </c>
      <c r="P2287" s="1043"/>
      <c r="Q2287" s="1044">
        <v>0</v>
      </c>
      <c r="R2287" s="883">
        <f t="shared" ref="R2287:R2292" si="26">$A2287*Q2287</f>
        <v>0</v>
      </c>
      <c r="S2287" s="1044">
        <f>2+(4*0.5)</f>
        <v>4</v>
      </c>
      <c r="T2287" s="1046">
        <f t="shared" ref="T2287:T2292" si="27">$A2287*S2287*$T$1</f>
        <v>4.2</v>
      </c>
    </row>
    <row r="2288" spans="1:41" s="504" customFormat="1" ht="13.2">
      <c r="A2288" s="112">
        <v>1</v>
      </c>
      <c r="B2288" s="1039" t="s">
        <v>949</v>
      </c>
      <c r="C2288" s="1039"/>
      <c r="D2288" s="1039" t="s">
        <v>957</v>
      </c>
      <c r="E2288" s="1039"/>
      <c r="F2288" s="1039"/>
      <c r="G2288" s="1040" t="s">
        <v>958</v>
      </c>
      <c r="H2288" s="1041">
        <v>875</v>
      </c>
      <c r="I2288" s="1039" t="s">
        <v>951</v>
      </c>
      <c r="J2288" s="1039"/>
      <c r="K2288" s="882"/>
      <c r="L2288" s="1039"/>
      <c r="M2288" s="1039"/>
      <c r="N2288" s="1039"/>
      <c r="O2288" s="1042">
        <v>3</v>
      </c>
      <c r="P2288" s="1043">
        <v>34820</v>
      </c>
      <c r="Q2288" s="1044">
        <f>0.9 *(5.82)</f>
        <v>5.2380000000000004</v>
      </c>
      <c r="R2288" s="883">
        <f t="shared" si="26"/>
        <v>5.2380000000000004</v>
      </c>
      <c r="S2288" s="1044">
        <f>0.9 *(0.05)</f>
        <v>4.5000000000000005E-2</v>
      </c>
      <c r="T2288" s="1046">
        <f t="shared" si="27"/>
        <v>4.7250000000000007E-2</v>
      </c>
    </row>
    <row r="2289" spans="1:41" s="1039" customFormat="1" ht="13.2">
      <c r="A2289" s="112">
        <v>1</v>
      </c>
      <c r="B2289" s="1039" t="s">
        <v>949</v>
      </c>
      <c r="D2289" s="1039" t="s">
        <v>1311</v>
      </c>
      <c r="G2289" s="1040" t="s">
        <v>1312</v>
      </c>
      <c r="H2289" s="1041">
        <v>880</v>
      </c>
      <c r="I2289" s="1039" t="s">
        <v>951</v>
      </c>
      <c r="O2289" s="1042">
        <v>3</v>
      </c>
      <c r="P2289" s="1043">
        <v>35443</v>
      </c>
      <c r="Q2289" s="1044">
        <f>0.9 *(4.66)</f>
        <v>4.194</v>
      </c>
      <c r="R2289" s="1045">
        <f t="shared" si="26"/>
        <v>4.194</v>
      </c>
      <c r="S2289" s="1044"/>
      <c r="T2289" s="1046">
        <f t="shared" si="27"/>
        <v>0</v>
      </c>
    </row>
    <row r="2290" spans="1:41" s="1039" customFormat="1" ht="13.2">
      <c r="A2290" s="112">
        <v>4</v>
      </c>
      <c r="B2290" s="1039" t="s">
        <v>949</v>
      </c>
      <c r="D2290" s="1039" t="s">
        <v>965</v>
      </c>
      <c r="G2290" s="1040" t="s">
        <v>966</v>
      </c>
      <c r="H2290" s="1041">
        <v>875</v>
      </c>
      <c r="I2290" s="1039" t="s">
        <v>951</v>
      </c>
      <c r="K2290" s="1039" t="s">
        <v>967</v>
      </c>
      <c r="O2290" s="1042">
        <v>1</v>
      </c>
      <c r="P2290" s="1043">
        <v>34669</v>
      </c>
      <c r="Q2290" s="1044">
        <v>0.02</v>
      </c>
      <c r="R2290" s="1045">
        <f t="shared" si="26"/>
        <v>0.08</v>
      </c>
      <c r="S2290" s="1044"/>
      <c r="T2290" s="1046">
        <f t="shared" si="27"/>
        <v>0</v>
      </c>
    </row>
    <row r="2291" spans="1:41" s="1039" customFormat="1" ht="13.2">
      <c r="A2291" s="112">
        <v>4</v>
      </c>
      <c r="B2291" s="1039" t="s">
        <v>949</v>
      </c>
      <c r="D2291" s="1039" t="s">
        <v>968</v>
      </c>
      <c r="G2291" s="1040" t="s">
        <v>969</v>
      </c>
      <c r="H2291" s="1041">
        <v>875</v>
      </c>
      <c r="I2291" s="1039" t="s">
        <v>951</v>
      </c>
      <c r="K2291" s="1039" t="s">
        <v>970</v>
      </c>
      <c r="O2291" s="1042">
        <v>1</v>
      </c>
      <c r="P2291" s="1043">
        <v>34669</v>
      </c>
      <c r="Q2291" s="1044">
        <v>0.02</v>
      </c>
      <c r="R2291" s="1045">
        <f t="shared" si="26"/>
        <v>0.08</v>
      </c>
      <c r="S2291" s="1044"/>
      <c r="T2291" s="1046">
        <f t="shared" si="27"/>
        <v>0</v>
      </c>
    </row>
    <row r="2292" spans="1:41" s="504" customFormat="1" ht="12">
      <c r="A2292" s="882"/>
      <c r="B2292" s="882"/>
      <c r="C2292" s="882"/>
      <c r="D2292" s="882"/>
      <c r="E2292" s="882"/>
      <c r="F2292" s="877"/>
      <c r="G2292" s="882"/>
      <c r="H2292" s="882"/>
      <c r="I2292" s="503"/>
      <c r="J2292" s="882"/>
      <c r="K2292" s="882"/>
      <c r="L2292" s="882"/>
      <c r="M2292" s="882"/>
      <c r="N2292" s="882"/>
      <c r="O2292" s="882"/>
      <c r="P2292" s="882"/>
      <c r="Q2292" s="503"/>
      <c r="R2292" s="883">
        <f t="shared" si="26"/>
        <v>0</v>
      </c>
      <c r="S2292" s="503"/>
      <c r="T2292" s="884">
        <f t="shared" si="27"/>
        <v>0</v>
      </c>
    </row>
    <row r="2293" spans="1:41" s="504" customFormat="1" ht="12.6" thickBot="1">
      <c r="A2293" s="885" t="s">
        <v>142</v>
      </c>
      <c r="B2293" s="886">
        <f>(R2292+T2292)</f>
        <v>0</v>
      </c>
      <c r="C2293" s="887"/>
      <c r="D2293" s="887"/>
      <c r="E2293" s="887"/>
      <c r="F2293" s="888"/>
      <c r="G2293" s="887" t="s">
        <v>143</v>
      </c>
      <c r="H2293" s="887"/>
      <c r="I2293" s="889"/>
      <c r="J2293" s="887"/>
      <c r="K2293" s="887" t="s">
        <v>3</v>
      </c>
      <c r="L2293" s="890" t="s">
        <v>140</v>
      </c>
      <c r="M2293" s="890"/>
      <c r="N2293" s="890"/>
      <c r="O2293" s="890"/>
      <c r="P2293" s="890"/>
      <c r="Q2293" s="891"/>
      <c r="R2293" s="892">
        <f>SUM(R2286:R2292)</f>
        <v>9.5920000000000005</v>
      </c>
      <c r="S2293" s="887"/>
      <c r="T2293" s="892">
        <f>SUM(T2286:T2292)</f>
        <v>4.2472500000000002</v>
      </c>
      <c r="U2293" s="514"/>
      <c r="V2293" s="514"/>
      <c r="W2293" s="514"/>
      <c r="X2293" s="514"/>
      <c r="Y2293" s="514"/>
      <c r="Z2293" s="514"/>
      <c r="AA2293" s="514"/>
      <c r="AB2293" s="514"/>
      <c r="AC2293" s="514"/>
      <c r="AD2293" s="514"/>
      <c r="AE2293" s="514"/>
      <c r="AF2293" s="514"/>
      <c r="AG2293" s="514"/>
      <c r="AH2293" s="514"/>
      <c r="AI2293" s="514"/>
      <c r="AJ2293" s="514"/>
      <c r="AK2293" s="514"/>
      <c r="AL2293" s="514"/>
      <c r="AM2293" s="514"/>
      <c r="AN2293" s="514"/>
      <c r="AO2293" s="514"/>
    </row>
    <row r="2294" spans="1:41" s="504" customFormat="1" ht="12" thickTop="1">
      <c r="A2294" s="50"/>
      <c r="B2294" s="40"/>
      <c r="C2294" s="50"/>
      <c r="E2294" s="41" t="s">
        <v>136</v>
      </c>
      <c r="F2294" s="41" t="s">
        <v>137</v>
      </c>
      <c r="G2294" s="50"/>
      <c r="H2294" s="50"/>
      <c r="I2294" s="50"/>
      <c r="J2294" s="50"/>
      <c r="K2294" s="50" t="s">
        <v>138</v>
      </c>
      <c r="L2294" s="50"/>
      <c r="M2294" s="50"/>
      <c r="N2294" s="50"/>
      <c r="O2294" s="51"/>
      <c r="P2294" s="50"/>
      <c r="Q2294" s="50"/>
      <c r="R2294" s="50"/>
      <c r="S2294" s="50"/>
      <c r="T2294" s="40"/>
      <c r="AG2294" s="867" t="s">
        <v>241</v>
      </c>
      <c r="AH2294" s="867" t="s">
        <v>242</v>
      </c>
      <c r="AI2294" s="867" t="s">
        <v>243</v>
      </c>
      <c r="AJ2294" s="867" t="s">
        <v>244</v>
      </c>
      <c r="AK2294" s="867" t="s">
        <v>245</v>
      </c>
      <c r="AM2294" s="868" t="s">
        <v>254</v>
      </c>
      <c r="AN2294" s="869" t="s">
        <v>255</v>
      </c>
      <c r="AO2294" s="505" t="s">
        <v>251</v>
      </c>
    </row>
    <row r="2295" spans="1:41" s="504" customFormat="1" ht="12" customHeight="1">
      <c r="A2295" s="870">
        <v>1</v>
      </c>
      <c r="B2295" s="871" t="s">
        <v>335</v>
      </c>
      <c r="C2295" s="872"/>
      <c r="D2295" s="873" t="s">
        <v>808</v>
      </c>
      <c r="E2295" s="874">
        <f>IF(AND($A2295=0,$A$1="DIF"),0, ROUND(ROUND(($R2303*$S$2+($T2303*$T$2))/A2295,2)*$C$2,2))</f>
        <v>161.1</v>
      </c>
      <c r="F2295" s="875">
        <f>ROUND($A2295*$E2295,2)</f>
        <v>161.1</v>
      </c>
      <c r="G2295" s="876" t="s">
        <v>139</v>
      </c>
      <c r="H2295" s="877"/>
      <c r="I2295" s="878"/>
      <c r="J2295" s="877"/>
      <c r="K2295" s="877" t="s">
        <v>3</v>
      </c>
      <c r="L2295" s="879" t="s">
        <v>140</v>
      </c>
      <c r="M2295" s="879"/>
      <c r="N2295" s="879"/>
      <c r="O2295" s="879"/>
      <c r="P2295" s="879"/>
      <c r="Q2295" s="50"/>
      <c r="T2295" s="880" t="str">
        <f>IF(AND($R2303=0,$T2303=0),"0.00","mu :" &amp; ROUND($F2295/$C$2/($R2303+$T2303*$D$9),2))</f>
        <v>mu :1.22</v>
      </c>
      <c r="W2295" s="507"/>
      <c r="AG2295" s="465">
        <f>IF($E2295=0,0,ROUND($R2303*$S$2*$C$2/$A2295,2))</f>
        <v>11.7</v>
      </c>
      <c r="AH2295" s="465">
        <f>$AG2295*$A2295</f>
        <v>11.7</v>
      </c>
      <c r="AI2295" s="508">
        <f>$E2295-$AG2295</f>
        <v>149.4</v>
      </c>
      <c r="AJ2295" s="508">
        <f>$A2295*$AI2295</f>
        <v>149.4</v>
      </c>
      <c r="AK2295" s="509">
        <f>ROUND(($AG2295+$AI2295)*$A2295,2)</f>
        <v>161.1</v>
      </c>
      <c r="AM2295" s="510">
        <f>ROUND(R2303,2)</f>
        <v>9.59</v>
      </c>
      <c r="AN2295" s="511">
        <f>ROUND(T2303,2)</f>
        <v>4.25</v>
      </c>
      <c r="AO2295" s="512">
        <f>ROUND(AM2295+AN2295,2)*A2295</f>
        <v>13.84</v>
      </c>
    </row>
    <row r="2296" spans="1:41" s="504" customFormat="1" ht="13.2">
      <c r="A2296" s="872"/>
      <c r="B2296"/>
      <c r="C2296" s="872"/>
      <c r="D2296" s="873" t="s">
        <v>445</v>
      </c>
      <c r="F2296" s="877"/>
      <c r="G2296" s="3"/>
      <c r="H2296" s="877"/>
      <c r="I2296" s="878"/>
      <c r="J2296" s="877"/>
      <c r="K2296" s="877" t="s">
        <v>141</v>
      </c>
      <c r="L2296" s="877"/>
      <c r="M2296" s="877"/>
      <c r="N2296" s="877"/>
      <c r="O2296" s="877"/>
      <c r="P2296" s="877"/>
      <c r="Q2296" s="50"/>
      <c r="R2296" s="513"/>
      <c r="S2296" s="881"/>
      <c r="T2296" s="877"/>
    </row>
    <row r="2297" spans="1:41" s="504" customFormat="1" ht="13.2">
      <c r="A2297">
        <v>1</v>
      </c>
      <c r="B2297" s="1039" t="s">
        <v>949</v>
      </c>
      <c r="C2297" s="1039"/>
      <c r="D2297" s="1039" t="s">
        <v>1327</v>
      </c>
      <c r="E2297" s="1039"/>
      <c r="F2297" s="1039"/>
      <c r="G2297" s="1040" t="s">
        <v>950</v>
      </c>
      <c r="H2297" s="1041">
        <v>510</v>
      </c>
      <c r="I2297" s="1039" t="s">
        <v>951</v>
      </c>
      <c r="J2297" s="1039"/>
      <c r="K2297" s="882"/>
      <c r="L2297" s="1039"/>
      <c r="M2297" s="1039"/>
      <c r="N2297" s="1039"/>
      <c r="O2297" s="1042">
        <v>2</v>
      </c>
      <c r="P2297" s="1043"/>
      <c r="Q2297" s="1044">
        <v>0</v>
      </c>
      <c r="R2297" s="883">
        <f t="shared" ref="R2297:R2302" si="28">$A2297*Q2297</f>
        <v>0</v>
      </c>
      <c r="S2297" s="1044">
        <f>2+(4*0.5)</f>
        <v>4</v>
      </c>
      <c r="T2297" s="1046">
        <f t="shared" ref="T2297:T2302" si="29">$A2297*S2297*$T$1</f>
        <v>4.2</v>
      </c>
    </row>
    <row r="2298" spans="1:41" s="504" customFormat="1" ht="13.2">
      <c r="A2298" s="112">
        <v>1</v>
      </c>
      <c r="B2298" s="1039" t="s">
        <v>949</v>
      </c>
      <c r="C2298" s="1039"/>
      <c r="D2298" s="1039" t="s">
        <v>957</v>
      </c>
      <c r="E2298" s="1039"/>
      <c r="F2298" s="1039"/>
      <c r="G2298" s="1040" t="s">
        <v>958</v>
      </c>
      <c r="H2298" s="1041">
        <v>875</v>
      </c>
      <c r="I2298" s="1039" t="s">
        <v>951</v>
      </c>
      <c r="J2298" s="1039"/>
      <c r="K2298" s="882"/>
      <c r="L2298" s="1039"/>
      <c r="M2298" s="1039"/>
      <c r="N2298" s="1039"/>
      <c r="O2298" s="1042">
        <v>3</v>
      </c>
      <c r="P2298" s="1043">
        <v>34820</v>
      </c>
      <c r="Q2298" s="1044">
        <f>0.9 *(5.82)</f>
        <v>5.2380000000000004</v>
      </c>
      <c r="R2298" s="883">
        <f t="shared" si="28"/>
        <v>5.2380000000000004</v>
      </c>
      <c r="S2298" s="1044">
        <f>0.9 *(0.05)</f>
        <v>4.5000000000000005E-2</v>
      </c>
      <c r="T2298" s="1046">
        <f t="shared" si="29"/>
        <v>4.7250000000000007E-2</v>
      </c>
    </row>
    <row r="2299" spans="1:41" s="1039" customFormat="1" ht="13.2">
      <c r="A2299" s="112">
        <v>1</v>
      </c>
      <c r="B2299" s="1039" t="s">
        <v>949</v>
      </c>
      <c r="D2299" s="1039" t="s">
        <v>1311</v>
      </c>
      <c r="G2299" s="1040" t="s">
        <v>1312</v>
      </c>
      <c r="H2299" s="1041">
        <v>880</v>
      </c>
      <c r="I2299" s="1039" t="s">
        <v>951</v>
      </c>
      <c r="O2299" s="1042">
        <v>3</v>
      </c>
      <c r="P2299" s="1043">
        <v>35443</v>
      </c>
      <c r="Q2299" s="1044">
        <f>0.9 *(4.66)</f>
        <v>4.194</v>
      </c>
      <c r="R2299" s="1045">
        <f t="shared" si="28"/>
        <v>4.194</v>
      </c>
      <c r="S2299" s="1044"/>
      <c r="T2299" s="1046">
        <f t="shared" si="29"/>
        <v>0</v>
      </c>
    </row>
    <row r="2300" spans="1:41" s="1039" customFormat="1" ht="13.2">
      <c r="A2300" s="112">
        <v>4</v>
      </c>
      <c r="B2300" s="1039" t="s">
        <v>949</v>
      </c>
      <c r="D2300" s="1039" t="s">
        <v>965</v>
      </c>
      <c r="G2300" s="1040" t="s">
        <v>966</v>
      </c>
      <c r="H2300" s="1041">
        <v>875</v>
      </c>
      <c r="I2300" s="1039" t="s">
        <v>951</v>
      </c>
      <c r="K2300" s="1039" t="s">
        <v>967</v>
      </c>
      <c r="O2300" s="1042">
        <v>1</v>
      </c>
      <c r="P2300" s="1043">
        <v>34669</v>
      </c>
      <c r="Q2300" s="1044">
        <v>0.02</v>
      </c>
      <c r="R2300" s="1045">
        <f t="shared" si="28"/>
        <v>0.08</v>
      </c>
      <c r="S2300" s="1044"/>
      <c r="T2300" s="1046">
        <f t="shared" si="29"/>
        <v>0</v>
      </c>
    </row>
    <row r="2301" spans="1:41" s="1039" customFormat="1" ht="13.2">
      <c r="A2301" s="112">
        <v>4</v>
      </c>
      <c r="B2301" s="1039" t="s">
        <v>949</v>
      </c>
      <c r="D2301" s="1039" t="s">
        <v>968</v>
      </c>
      <c r="G2301" s="1040" t="s">
        <v>969</v>
      </c>
      <c r="H2301" s="1041">
        <v>875</v>
      </c>
      <c r="I2301" s="1039" t="s">
        <v>951</v>
      </c>
      <c r="K2301" s="1039" t="s">
        <v>970</v>
      </c>
      <c r="O2301" s="1042">
        <v>1</v>
      </c>
      <c r="P2301" s="1043">
        <v>34669</v>
      </c>
      <c r="Q2301" s="1044">
        <v>0.02</v>
      </c>
      <c r="R2301" s="1045">
        <f t="shared" si="28"/>
        <v>0.08</v>
      </c>
      <c r="S2301" s="1044"/>
      <c r="T2301" s="1046">
        <f t="shared" si="29"/>
        <v>0</v>
      </c>
    </row>
    <row r="2302" spans="1:41" s="504" customFormat="1" ht="12">
      <c r="A2302" s="882"/>
      <c r="B2302" s="882"/>
      <c r="C2302" s="882"/>
      <c r="D2302" s="882"/>
      <c r="E2302" s="882"/>
      <c r="F2302" s="877"/>
      <c r="G2302" s="882"/>
      <c r="H2302" s="882"/>
      <c r="I2302" s="503"/>
      <c r="J2302" s="882"/>
      <c r="K2302" s="882"/>
      <c r="L2302" s="882"/>
      <c r="M2302" s="882"/>
      <c r="N2302" s="882"/>
      <c r="O2302" s="882"/>
      <c r="P2302" s="882"/>
      <c r="Q2302" s="503"/>
      <c r="R2302" s="883">
        <f t="shared" si="28"/>
        <v>0</v>
      </c>
      <c r="S2302" s="503"/>
      <c r="T2302" s="884">
        <f t="shared" si="29"/>
        <v>0</v>
      </c>
    </row>
    <row r="2303" spans="1:41" s="504" customFormat="1" ht="12.6" thickBot="1">
      <c r="A2303" s="885" t="s">
        <v>142</v>
      </c>
      <c r="B2303" s="886">
        <f>(R2302+T2302)</f>
        <v>0</v>
      </c>
      <c r="C2303" s="887"/>
      <c r="D2303" s="887"/>
      <c r="E2303" s="887"/>
      <c r="F2303" s="888"/>
      <c r="G2303" s="887" t="s">
        <v>143</v>
      </c>
      <c r="H2303" s="887"/>
      <c r="I2303" s="889"/>
      <c r="J2303" s="887"/>
      <c r="K2303" s="887" t="s">
        <v>3</v>
      </c>
      <c r="L2303" s="890" t="s">
        <v>140</v>
      </c>
      <c r="M2303" s="890"/>
      <c r="N2303" s="890"/>
      <c r="O2303" s="890"/>
      <c r="P2303" s="890"/>
      <c r="Q2303" s="891"/>
      <c r="R2303" s="892">
        <f>SUM(R2296:R2302)</f>
        <v>9.5920000000000005</v>
      </c>
      <c r="S2303" s="887"/>
      <c r="T2303" s="892">
        <f>SUM(T2296:T2302)</f>
        <v>4.2472500000000002</v>
      </c>
      <c r="U2303" s="514"/>
      <c r="V2303" s="514"/>
      <c r="W2303" s="514"/>
      <c r="X2303" s="514"/>
      <c r="Y2303" s="514"/>
      <c r="Z2303" s="514"/>
      <c r="AA2303" s="514"/>
      <c r="AB2303" s="514"/>
      <c r="AC2303" s="514"/>
      <c r="AD2303" s="514"/>
      <c r="AE2303" s="514"/>
      <c r="AF2303" s="514"/>
      <c r="AG2303" s="514"/>
      <c r="AH2303" s="514"/>
      <c r="AI2303" s="514"/>
      <c r="AJ2303" s="514"/>
      <c r="AK2303" s="514"/>
      <c r="AL2303" s="514"/>
      <c r="AM2303" s="514"/>
      <c r="AN2303" s="514"/>
      <c r="AO2303" s="514"/>
    </row>
    <row r="2304" spans="1:41" s="504" customFormat="1" ht="12" thickTop="1">
      <c r="A2304" s="50"/>
      <c r="B2304" s="40"/>
      <c r="C2304" s="50"/>
      <c r="E2304" s="41" t="s">
        <v>136</v>
      </c>
      <c r="F2304" s="41" t="s">
        <v>137</v>
      </c>
      <c r="G2304" s="50"/>
      <c r="H2304" s="50"/>
      <c r="I2304" s="50"/>
      <c r="J2304" s="50"/>
      <c r="K2304" s="50" t="s">
        <v>138</v>
      </c>
      <c r="L2304" s="50"/>
      <c r="M2304" s="50"/>
      <c r="N2304" s="50"/>
      <c r="O2304" s="51"/>
      <c r="P2304" s="50"/>
      <c r="Q2304" s="50"/>
      <c r="R2304" s="50"/>
      <c r="S2304" s="50"/>
      <c r="T2304" s="40"/>
      <c r="AG2304" s="867" t="s">
        <v>241</v>
      </c>
      <c r="AH2304" s="867" t="s">
        <v>242</v>
      </c>
      <c r="AI2304" s="867" t="s">
        <v>243</v>
      </c>
      <c r="AJ2304" s="867" t="s">
        <v>244</v>
      </c>
      <c r="AK2304" s="867" t="s">
        <v>245</v>
      </c>
      <c r="AM2304" s="868" t="s">
        <v>254</v>
      </c>
      <c r="AN2304" s="869" t="s">
        <v>255</v>
      </c>
      <c r="AO2304" s="505" t="s">
        <v>251</v>
      </c>
    </row>
    <row r="2305" spans="1:41" s="504" customFormat="1" ht="12" customHeight="1">
      <c r="A2305" s="870">
        <v>1</v>
      </c>
      <c r="B2305" s="871" t="s">
        <v>335</v>
      </c>
      <c r="C2305" s="872"/>
      <c r="D2305" s="873" t="s">
        <v>810</v>
      </c>
      <c r="E2305" s="874">
        <f>IF(AND($A2305=0,$A$1="DIF"),0, ROUND(ROUND(($R2313*$S$2+($T2313*$T$2))/A2305,2)*$C$2,2))</f>
        <v>161.1</v>
      </c>
      <c r="F2305" s="875">
        <f>ROUND($A2305*$E2305,2)</f>
        <v>161.1</v>
      </c>
      <c r="G2305" s="876" t="s">
        <v>139</v>
      </c>
      <c r="H2305" s="877"/>
      <c r="I2305" s="878"/>
      <c r="J2305" s="877"/>
      <c r="K2305" s="877" t="s">
        <v>3</v>
      </c>
      <c r="L2305" s="879" t="s">
        <v>140</v>
      </c>
      <c r="M2305" s="879"/>
      <c r="N2305" s="879"/>
      <c r="O2305" s="879"/>
      <c r="P2305" s="879"/>
      <c r="Q2305" s="50"/>
      <c r="T2305" s="880" t="str">
        <f>IF(AND($R2313=0,$T2313=0),"0.00","mu :" &amp; ROUND($F2305/$C$2/($R2313+$T2313*$D$9),2))</f>
        <v>mu :1.22</v>
      </c>
      <c r="W2305" s="507"/>
      <c r="AG2305" s="465">
        <f>IF($E2305=0,0,ROUND($R2313*$S$2*$C$2/$A2305,2))</f>
        <v>11.7</v>
      </c>
      <c r="AH2305" s="465">
        <f>$AG2305*$A2305</f>
        <v>11.7</v>
      </c>
      <c r="AI2305" s="508">
        <f>$E2305-$AG2305</f>
        <v>149.4</v>
      </c>
      <c r="AJ2305" s="508">
        <f>$A2305*$AI2305</f>
        <v>149.4</v>
      </c>
      <c r="AK2305" s="509">
        <f>ROUND(($AG2305+$AI2305)*$A2305,2)</f>
        <v>161.1</v>
      </c>
      <c r="AM2305" s="510">
        <f>ROUND(R2313,2)</f>
        <v>9.59</v>
      </c>
      <c r="AN2305" s="511">
        <f>ROUND(T2313,2)</f>
        <v>4.25</v>
      </c>
      <c r="AO2305" s="512">
        <f>ROUND(AM2305+AN2305,2)*A2305</f>
        <v>13.84</v>
      </c>
    </row>
    <row r="2306" spans="1:41" s="504" customFormat="1" ht="13.2">
      <c r="A2306" s="872"/>
      <c r="B2306"/>
      <c r="C2306" s="872"/>
      <c r="D2306" s="873" t="s">
        <v>446</v>
      </c>
      <c r="F2306" s="877"/>
      <c r="G2306" s="3"/>
      <c r="H2306" s="877"/>
      <c r="I2306" s="878"/>
      <c r="J2306" s="877"/>
      <c r="K2306" s="877" t="s">
        <v>141</v>
      </c>
      <c r="L2306" s="877"/>
      <c r="M2306" s="877"/>
      <c r="N2306" s="877"/>
      <c r="O2306" s="877"/>
      <c r="P2306" s="877"/>
      <c r="Q2306" s="50"/>
      <c r="R2306" s="513"/>
      <c r="S2306" s="881"/>
      <c r="T2306" s="877"/>
    </row>
    <row r="2307" spans="1:41" s="504" customFormat="1" ht="13.2">
      <c r="A2307">
        <v>1</v>
      </c>
      <c r="B2307" s="1039" t="s">
        <v>949</v>
      </c>
      <c r="C2307" s="1039"/>
      <c r="D2307" s="1039" t="s">
        <v>1328</v>
      </c>
      <c r="E2307" s="1039"/>
      <c r="F2307" s="1039"/>
      <c r="G2307" s="1040" t="s">
        <v>950</v>
      </c>
      <c r="H2307" s="1041">
        <v>510</v>
      </c>
      <c r="I2307" s="1039" t="s">
        <v>951</v>
      </c>
      <c r="J2307" s="1039"/>
      <c r="K2307" s="882"/>
      <c r="L2307" s="1039"/>
      <c r="M2307" s="1039"/>
      <c r="N2307" s="1039"/>
      <c r="O2307" s="1042">
        <v>2</v>
      </c>
      <c r="P2307" s="1043"/>
      <c r="Q2307" s="1044">
        <v>0</v>
      </c>
      <c r="R2307" s="883">
        <f t="shared" ref="R2307:R2312" si="30">$A2307*Q2307</f>
        <v>0</v>
      </c>
      <c r="S2307" s="1044">
        <f>2+(4*0.5)</f>
        <v>4</v>
      </c>
      <c r="T2307" s="1046">
        <f t="shared" ref="T2307:T2312" si="31">$A2307*S2307*$T$1</f>
        <v>4.2</v>
      </c>
    </row>
    <row r="2308" spans="1:41" s="504" customFormat="1" ht="13.2">
      <c r="A2308" s="112">
        <v>1</v>
      </c>
      <c r="B2308" s="1039" t="s">
        <v>949</v>
      </c>
      <c r="C2308" s="1039"/>
      <c r="D2308" s="1039" t="s">
        <v>957</v>
      </c>
      <c r="E2308" s="1039"/>
      <c r="F2308" s="1039"/>
      <c r="G2308" s="1040" t="s">
        <v>958</v>
      </c>
      <c r="H2308" s="1041">
        <v>875</v>
      </c>
      <c r="I2308" s="1039" t="s">
        <v>951</v>
      </c>
      <c r="J2308" s="1039"/>
      <c r="K2308" s="882"/>
      <c r="L2308" s="1039"/>
      <c r="M2308" s="1039"/>
      <c r="N2308" s="1039"/>
      <c r="O2308" s="1042">
        <v>3</v>
      </c>
      <c r="P2308" s="1043">
        <v>34820</v>
      </c>
      <c r="Q2308" s="1044">
        <f>0.9 *(5.82)</f>
        <v>5.2380000000000004</v>
      </c>
      <c r="R2308" s="883">
        <f t="shared" si="30"/>
        <v>5.2380000000000004</v>
      </c>
      <c r="S2308" s="1044">
        <f>0.9 *(0.05)</f>
        <v>4.5000000000000005E-2</v>
      </c>
      <c r="T2308" s="1046">
        <f t="shared" si="31"/>
        <v>4.7250000000000007E-2</v>
      </c>
    </row>
    <row r="2309" spans="1:41" s="1039" customFormat="1" ht="13.2">
      <c r="A2309" s="112">
        <v>1</v>
      </c>
      <c r="B2309" s="1039" t="s">
        <v>949</v>
      </c>
      <c r="D2309" s="1039" t="s">
        <v>1311</v>
      </c>
      <c r="G2309" s="1040" t="s">
        <v>1312</v>
      </c>
      <c r="H2309" s="1041">
        <v>880</v>
      </c>
      <c r="I2309" s="1039" t="s">
        <v>951</v>
      </c>
      <c r="O2309" s="1042">
        <v>3</v>
      </c>
      <c r="P2309" s="1043">
        <v>35443</v>
      </c>
      <c r="Q2309" s="1044">
        <f>0.9 *(4.66)</f>
        <v>4.194</v>
      </c>
      <c r="R2309" s="1045">
        <f t="shared" si="30"/>
        <v>4.194</v>
      </c>
      <c r="S2309" s="1044"/>
      <c r="T2309" s="1046">
        <f t="shared" si="31"/>
        <v>0</v>
      </c>
    </row>
    <row r="2310" spans="1:41" s="1039" customFormat="1" ht="13.2">
      <c r="A2310" s="112">
        <v>4</v>
      </c>
      <c r="B2310" s="1039" t="s">
        <v>949</v>
      </c>
      <c r="D2310" s="1039" t="s">
        <v>965</v>
      </c>
      <c r="G2310" s="1040" t="s">
        <v>966</v>
      </c>
      <c r="H2310" s="1041">
        <v>875</v>
      </c>
      <c r="I2310" s="1039" t="s">
        <v>951</v>
      </c>
      <c r="K2310" s="1039" t="s">
        <v>967</v>
      </c>
      <c r="O2310" s="1042">
        <v>1</v>
      </c>
      <c r="P2310" s="1043">
        <v>34669</v>
      </c>
      <c r="Q2310" s="1044">
        <v>0.02</v>
      </c>
      <c r="R2310" s="1045">
        <f t="shared" si="30"/>
        <v>0.08</v>
      </c>
      <c r="S2310" s="1044"/>
      <c r="T2310" s="1046">
        <f t="shared" si="31"/>
        <v>0</v>
      </c>
    </row>
    <row r="2311" spans="1:41" s="1039" customFormat="1" ht="13.2">
      <c r="A2311" s="112">
        <v>4</v>
      </c>
      <c r="B2311" s="1039" t="s">
        <v>949</v>
      </c>
      <c r="D2311" s="1039" t="s">
        <v>968</v>
      </c>
      <c r="G2311" s="1040" t="s">
        <v>969</v>
      </c>
      <c r="H2311" s="1041">
        <v>875</v>
      </c>
      <c r="I2311" s="1039" t="s">
        <v>951</v>
      </c>
      <c r="K2311" s="1039" t="s">
        <v>970</v>
      </c>
      <c r="O2311" s="1042">
        <v>1</v>
      </c>
      <c r="P2311" s="1043">
        <v>34669</v>
      </c>
      <c r="Q2311" s="1044">
        <v>0.02</v>
      </c>
      <c r="R2311" s="1045">
        <f t="shared" si="30"/>
        <v>0.08</v>
      </c>
      <c r="S2311" s="1044"/>
      <c r="T2311" s="1046">
        <f t="shared" si="31"/>
        <v>0</v>
      </c>
    </row>
    <row r="2312" spans="1:41" s="504" customFormat="1" ht="12">
      <c r="A2312" s="882"/>
      <c r="B2312" s="882"/>
      <c r="C2312" s="882"/>
      <c r="D2312" s="882"/>
      <c r="E2312" s="882"/>
      <c r="F2312" s="877"/>
      <c r="G2312" s="882"/>
      <c r="H2312" s="882"/>
      <c r="I2312" s="503"/>
      <c r="J2312" s="882"/>
      <c r="K2312" s="882"/>
      <c r="L2312" s="882"/>
      <c r="M2312" s="882"/>
      <c r="N2312" s="882"/>
      <c r="O2312" s="882"/>
      <c r="P2312" s="882"/>
      <c r="Q2312" s="503"/>
      <c r="R2312" s="883">
        <f t="shared" si="30"/>
        <v>0</v>
      </c>
      <c r="S2312" s="503"/>
      <c r="T2312" s="884">
        <f t="shared" si="31"/>
        <v>0</v>
      </c>
    </row>
    <row r="2313" spans="1:41" s="504" customFormat="1" ht="12.6" thickBot="1">
      <c r="A2313" s="885" t="s">
        <v>142</v>
      </c>
      <c r="B2313" s="886">
        <f>(R2312+T2312)</f>
        <v>0</v>
      </c>
      <c r="C2313" s="887"/>
      <c r="D2313" s="887"/>
      <c r="E2313" s="887"/>
      <c r="F2313" s="888"/>
      <c r="G2313" s="887" t="s">
        <v>143</v>
      </c>
      <c r="H2313" s="887"/>
      <c r="I2313" s="889"/>
      <c r="J2313" s="887"/>
      <c r="K2313" s="887" t="s">
        <v>3</v>
      </c>
      <c r="L2313" s="890" t="s">
        <v>140</v>
      </c>
      <c r="M2313" s="890"/>
      <c r="N2313" s="890"/>
      <c r="O2313" s="890"/>
      <c r="P2313" s="890"/>
      <c r="Q2313" s="891"/>
      <c r="R2313" s="892">
        <f>SUM(R2306:R2312)</f>
        <v>9.5920000000000005</v>
      </c>
      <c r="S2313" s="887"/>
      <c r="T2313" s="892">
        <f>SUM(T2306:T2312)</f>
        <v>4.2472500000000002</v>
      </c>
      <c r="U2313" s="514"/>
      <c r="V2313" s="514"/>
      <c r="W2313" s="514"/>
      <c r="X2313" s="514"/>
      <c r="Y2313" s="514"/>
      <c r="Z2313" s="514"/>
      <c r="AA2313" s="514"/>
      <c r="AB2313" s="514"/>
      <c r="AC2313" s="514"/>
      <c r="AD2313" s="514"/>
      <c r="AE2313" s="514"/>
      <c r="AF2313" s="514"/>
      <c r="AG2313" s="514"/>
      <c r="AH2313" s="514"/>
      <c r="AI2313" s="514"/>
      <c r="AJ2313" s="514"/>
      <c r="AK2313" s="514"/>
      <c r="AL2313" s="514"/>
      <c r="AM2313" s="514"/>
      <c r="AN2313" s="514"/>
      <c r="AO2313" s="514"/>
    </row>
    <row r="2314" spans="1:41" s="504" customFormat="1" thickTop="1">
      <c r="A2314" s="50"/>
      <c r="B2314" s="50"/>
      <c r="C2314" s="3"/>
      <c r="D2314" s="3"/>
      <c r="E2314" s="50"/>
      <c r="F2314" s="50"/>
      <c r="G2314" s="50"/>
      <c r="H2314" s="50"/>
      <c r="I2314" s="50"/>
      <c r="J2314" s="50"/>
      <c r="K2314" s="50" t="s">
        <v>133</v>
      </c>
      <c r="L2314" s="50"/>
      <c r="M2314" s="50"/>
      <c r="N2314" s="50"/>
      <c r="O2314" s="51"/>
      <c r="P2314" s="50"/>
      <c r="Q2314" s="50"/>
      <c r="R2314" s="50"/>
      <c r="S2314" s="50"/>
      <c r="T2314" s="50"/>
    </row>
    <row r="2315" spans="1:41" s="504" customFormat="1" ht="12">
      <c r="A2315" s="50"/>
      <c r="B2315" s="50"/>
      <c r="C2315" s="50" t="s">
        <v>134</v>
      </c>
      <c r="D2315" s="37"/>
      <c r="E2315" s="50"/>
      <c r="F2315" s="50"/>
      <c r="G2315" s="50"/>
      <c r="H2315" s="50"/>
      <c r="I2315" s="50"/>
      <c r="J2315" s="50"/>
      <c r="K2315" s="50"/>
      <c r="L2315" s="50"/>
      <c r="M2315" s="50"/>
      <c r="N2315" s="50"/>
      <c r="O2315" s="51"/>
      <c r="P2315" s="50"/>
      <c r="Q2315" s="50"/>
      <c r="R2315" s="50"/>
      <c r="S2315" s="50"/>
      <c r="T2315" s="50"/>
    </row>
    <row r="2316" spans="1:41" s="504" customFormat="1" ht="12">
      <c r="A2316" s="50"/>
      <c r="B2316" s="50"/>
      <c r="C2316" s="50"/>
      <c r="D2316" s="37" t="s">
        <v>305</v>
      </c>
      <c r="E2316" s="50"/>
      <c r="F2316" s="50"/>
      <c r="G2316" s="50"/>
      <c r="H2316" s="50"/>
      <c r="I2316" s="50"/>
      <c r="J2316" s="50"/>
      <c r="K2316" s="50"/>
      <c r="L2316" s="50"/>
      <c r="M2316" s="50"/>
      <c r="N2316" s="50"/>
      <c r="O2316" s="51"/>
      <c r="P2316" s="50"/>
      <c r="Q2316" s="50"/>
      <c r="R2316" s="50"/>
      <c r="S2316" s="38"/>
      <c r="T2316" s="38"/>
    </row>
    <row r="2317" spans="1:41" s="3" customFormat="1" thickBot="1">
      <c r="A2317" s="514"/>
      <c r="O2317" s="103"/>
    </row>
    <row r="2318" spans="1:41" s="504" customFormat="1" thickTop="1">
      <c r="A2318" s="50"/>
      <c r="B2318" s="50"/>
      <c r="C2318" s="3"/>
      <c r="D2318" s="3"/>
      <c r="E2318" s="50"/>
      <c r="F2318" s="50"/>
      <c r="G2318" s="50"/>
      <c r="H2318" s="50"/>
      <c r="I2318" s="50"/>
      <c r="J2318" s="50"/>
      <c r="K2318" s="50" t="s">
        <v>133</v>
      </c>
      <c r="L2318" s="50"/>
      <c r="M2318" s="50"/>
      <c r="N2318" s="50"/>
      <c r="O2318" s="51"/>
      <c r="P2318" s="50"/>
      <c r="Q2318" s="50"/>
      <c r="R2318" s="50"/>
      <c r="S2318" s="50"/>
      <c r="T2318" s="50"/>
    </row>
    <row r="2319" spans="1:41" s="504" customFormat="1" ht="12">
      <c r="A2319" s="50"/>
      <c r="B2319" s="50"/>
      <c r="C2319" s="50" t="s">
        <v>134</v>
      </c>
      <c r="D2319" s="873" t="s">
        <v>876</v>
      </c>
      <c r="E2319" s="50"/>
      <c r="F2319" s="50"/>
      <c r="G2319" s="50"/>
      <c r="H2319" s="50"/>
      <c r="I2319" s="50"/>
      <c r="J2319" s="50"/>
      <c r="K2319" s="50"/>
      <c r="L2319" s="50"/>
      <c r="M2319" s="50"/>
      <c r="N2319" s="50"/>
      <c r="O2319" s="51"/>
      <c r="P2319" s="50"/>
      <c r="Q2319" s="50"/>
      <c r="R2319" s="50"/>
      <c r="S2319" s="50"/>
      <c r="T2319" s="50"/>
    </row>
    <row r="2320" spans="1:41" s="504" customFormat="1" ht="13.2">
      <c r="A2320" s="872"/>
      <c r="B2320"/>
      <c r="C2320" s="872"/>
      <c r="D2320" s="916" t="s">
        <v>687</v>
      </c>
      <c r="E2320" s="917"/>
      <c r="F2320" s="918"/>
      <c r="G2320" s="919"/>
      <c r="H2320" s="918"/>
      <c r="I2320" s="920"/>
      <c r="J2320" s="918"/>
      <c r="K2320" s="918"/>
      <c r="L2320" s="918"/>
      <c r="M2320" s="918"/>
      <c r="N2320" s="918"/>
      <c r="O2320" s="918"/>
      <c r="P2320" s="918"/>
      <c r="Q2320" s="921"/>
      <c r="R2320" s="513"/>
      <c r="S2320" s="881"/>
      <c r="T2320" s="877"/>
    </row>
    <row r="2321" spans="1:41" s="504" customFormat="1" ht="11.4">
      <c r="A2321" s="50"/>
      <c r="B2321" s="40"/>
      <c r="C2321" s="50"/>
      <c r="E2321" s="41" t="s">
        <v>136</v>
      </c>
      <c r="F2321" s="41" t="s">
        <v>137</v>
      </c>
      <c r="G2321" s="50"/>
      <c r="H2321" s="50"/>
      <c r="I2321" s="50"/>
      <c r="J2321" s="50"/>
      <c r="K2321" s="50" t="s">
        <v>138</v>
      </c>
      <c r="L2321" s="50"/>
      <c r="M2321" s="50"/>
      <c r="N2321" s="50"/>
      <c r="O2321" s="51"/>
      <c r="P2321" s="50"/>
      <c r="Q2321" s="50"/>
      <c r="R2321" s="50"/>
      <c r="S2321" s="50"/>
      <c r="T2321" s="40"/>
      <c r="AG2321" s="867" t="s">
        <v>241</v>
      </c>
      <c r="AH2321" s="867" t="s">
        <v>242</v>
      </c>
      <c r="AI2321" s="867" t="s">
        <v>243</v>
      </c>
      <c r="AJ2321" s="867" t="s">
        <v>244</v>
      </c>
      <c r="AK2321" s="867" t="s">
        <v>245</v>
      </c>
      <c r="AM2321" s="868" t="s">
        <v>254</v>
      </c>
      <c r="AN2321" s="869" t="s">
        <v>255</v>
      </c>
      <c r="AO2321" s="505" t="s">
        <v>251</v>
      </c>
    </row>
    <row r="2322" spans="1:41" s="504" customFormat="1" ht="12" customHeight="1">
      <c r="A2322" s="870">
        <v>15</v>
      </c>
      <c r="B2322" s="871" t="s">
        <v>306</v>
      </c>
      <c r="C2322" s="872"/>
      <c r="D2322" s="873" t="s">
        <v>804</v>
      </c>
      <c r="E2322" s="874">
        <f ca="1">IF(AND($A2322=0,$A$1="DIF"),0, ROUND(ROUND(($R2327*$S$2+($T2327*$T$2))/A2322,2)*$C$2,2))</f>
        <v>6.75</v>
      </c>
      <c r="F2322" s="875">
        <f ca="1">ROUND($A2322*$E2322,2)</f>
        <v>101.25</v>
      </c>
      <c r="G2322" s="876" t="s">
        <v>139</v>
      </c>
      <c r="H2322" s="877"/>
      <c r="I2322" s="878"/>
      <c r="J2322" s="877"/>
      <c r="K2322" s="877" t="s">
        <v>3</v>
      </c>
      <c r="L2322" s="879" t="s">
        <v>140</v>
      </c>
      <c r="M2322" s="879"/>
      <c r="N2322" s="879"/>
      <c r="O2322" s="879"/>
      <c r="P2322" s="879"/>
      <c r="Q2322" s="50"/>
      <c r="T2322" s="880" t="str">
        <f ca="1">IF(AND($R2327=0,$T2327=0),"0.00","mu :" &amp; ROUND($F2322/$C$2/($R2327+$T2327*$D$9),2))</f>
        <v>mu :1.22</v>
      </c>
      <c r="W2322" s="507"/>
      <c r="AG2322" s="465">
        <f ca="1">IF($E2322=0,0,ROUND($R2327*$S$2*$C$2/$A2322,2))</f>
        <v>2.5299999999999998</v>
      </c>
      <c r="AH2322" s="465">
        <f ca="1">$AG2322*$A2322</f>
        <v>37.949999999999996</v>
      </c>
      <c r="AI2322" s="508">
        <f ca="1">$E2322-$AG2322</f>
        <v>4.2200000000000006</v>
      </c>
      <c r="AJ2322" s="508">
        <f ca="1">$A2322*$AI2322</f>
        <v>63.300000000000011</v>
      </c>
      <c r="AK2322" s="509">
        <f ca="1">ROUND(($AG2322+$AI2322)*$A2322,2)</f>
        <v>101.25</v>
      </c>
      <c r="AM2322" s="510">
        <f ca="1">ROUND(R2327,2)</f>
        <v>31.05</v>
      </c>
      <c r="AN2322" s="511">
        <f ca="1">ROUND(T2327,2)</f>
        <v>1.8</v>
      </c>
      <c r="AO2322" s="512">
        <f ca="1">ROUND(AM2322+AN2322,2)*A2322</f>
        <v>492.75</v>
      </c>
    </row>
    <row r="2323" spans="1:41" s="504" customFormat="1" ht="13.2">
      <c r="A2323" s="872"/>
      <c r="B2323"/>
      <c r="C2323" s="872"/>
      <c r="D2323" s="873" t="s">
        <v>755</v>
      </c>
      <c r="F2323" s="877"/>
      <c r="G2323" s="3"/>
      <c r="H2323" s="877"/>
      <c r="I2323" s="878"/>
      <c r="J2323" s="877"/>
      <c r="K2323" s="877" t="s">
        <v>141</v>
      </c>
      <c r="L2323" s="877"/>
      <c r="M2323" s="877"/>
      <c r="N2323" s="877"/>
      <c r="O2323" s="877"/>
      <c r="P2323" s="877"/>
      <c r="Q2323" s="50"/>
      <c r="R2323" s="513"/>
      <c r="S2323" s="881"/>
      <c r="T2323" s="877"/>
    </row>
    <row r="2324" spans="1:41" s="997" customFormat="1" ht="13.2">
      <c r="A2324"/>
      <c r="B2324" s="1065"/>
      <c r="C2324" s="1065" t="s">
        <v>1006</v>
      </c>
      <c r="D2324" s="1065" t="str">
        <f ca="1">CELL("Address",Elec_Rates!D$95)</f>
        <v>[EL25_0662B_Brittania_Hotel_Elec_Revised_Estim_B.xlsx]Elec_Rates!$D$95</v>
      </c>
      <c r="E2324" s="1066"/>
      <c r="F2324" s="1066"/>
      <c r="G2324" s="1067" t="s">
        <v>1007</v>
      </c>
      <c r="H2324" s="1067"/>
      <c r="I2324" s="1067"/>
      <c r="J2324" s="1067"/>
      <c r="K2324" s="1068"/>
      <c r="L2324" s="1066"/>
      <c r="M2324" s="1066"/>
      <c r="N2324" s="1066"/>
      <c r="O2324" s="1069"/>
      <c r="P2324" s="1066"/>
      <c r="Q2324" s="1070"/>
      <c r="R2324" s="1071"/>
      <c r="S2324" s="1070"/>
      <c r="T2324" s="1072"/>
      <c r="U2324" s="1073"/>
    </row>
    <row r="2325" spans="1:41" s="997" customFormat="1" ht="11.4">
      <c r="A2325" s="1074">
        <v>15</v>
      </c>
      <c r="B2325" s="1075">
        <v>1</v>
      </c>
      <c r="C2325" s="1075">
        <f>$A2325*$B2325</f>
        <v>15</v>
      </c>
      <c r="D2325" s="1076" t="str">
        <f>Elec_Rates!$D$95</f>
        <v>009# 3 core x 4.0 mm2 FG16(O)M16 Cable</v>
      </c>
      <c r="E2325" s="1076"/>
      <c r="F2325" s="1076"/>
      <c r="G2325" s="1077" t="s">
        <v>1008</v>
      </c>
      <c r="H2325" s="1077"/>
      <c r="I2325" s="1077"/>
      <c r="J2325" s="1077"/>
      <c r="K2325" s="1078"/>
      <c r="L2325" s="1073"/>
      <c r="M2325" s="1073"/>
      <c r="N2325" s="1073"/>
      <c r="O2325" s="1079"/>
      <c r="P2325" s="1076"/>
      <c r="Q2325" s="1080">
        <f ca="1">$B2325*Elec_Rates!$R$95</f>
        <v>2.0699999999999998</v>
      </c>
      <c r="R2325" s="1071">
        <f ca="1">$A2325*Q2325</f>
        <v>31.049999999999997</v>
      </c>
      <c r="S2325" s="1080">
        <f ca="1">$B2325*Elec_Rates!$T$95</f>
        <v>0.12</v>
      </c>
      <c r="T2325" s="1072">
        <f ca="1">$A2325*S2325</f>
        <v>1.7999999999999998</v>
      </c>
      <c r="U2325" s="1081"/>
    </row>
    <row r="2326" spans="1:41" s="504" customFormat="1" ht="12">
      <c r="A2326" s="882"/>
      <c r="B2326" s="882"/>
      <c r="C2326" s="882"/>
      <c r="D2326" s="882"/>
      <c r="E2326" s="882"/>
      <c r="F2326" s="877"/>
      <c r="G2326" s="882"/>
      <c r="H2326" s="882"/>
      <c r="I2326" s="503"/>
      <c r="J2326" s="882"/>
      <c r="K2326" s="882"/>
      <c r="L2326" s="882"/>
      <c r="M2326" s="882"/>
      <c r="N2326" s="882"/>
      <c r="O2326" s="882"/>
      <c r="P2326" s="882"/>
      <c r="Q2326" s="503"/>
      <c r="R2326" s="883">
        <f>$A2326*Q2326</f>
        <v>0</v>
      </c>
      <c r="S2326" s="503"/>
      <c r="T2326" s="884">
        <f>$A2326*S2326*$T$1</f>
        <v>0</v>
      </c>
    </row>
    <row r="2327" spans="1:41" s="504" customFormat="1" ht="12.6" thickBot="1">
      <c r="A2327" s="885" t="s">
        <v>142</v>
      </c>
      <c r="B2327" s="886">
        <f>(R2326+T2326)</f>
        <v>0</v>
      </c>
      <c r="C2327" s="887"/>
      <c r="D2327" s="887"/>
      <c r="E2327" s="887"/>
      <c r="F2327" s="888"/>
      <c r="G2327" s="887" t="s">
        <v>143</v>
      </c>
      <c r="H2327" s="887"/>
      <c r="I2327" s="889"/>
      <c r="J2327" s="887"/>
      <c r="K2327" s="887" t="s">
        <v>3</v>
      </c>
      <c r="L2327" s="890" t="s">
        <v>140</v>
      </c>
      <c r="M2327" s="890"/>
      <c r="N2327" s="890"/>
      <c r="O2327" s="890"/>
      <c r="P2327" s="890"/>
      <c r="Q2327" s="891"/>
      <c r="R2327" s="892">
        <f ca="1">SUM(R2323:R2326)</f>
        <v>31.049999999999997</v>
      </c>
      <c r="S2327" s="887"/>
      <c r="T2327" s="892">
        <f ca="1">SUM(T2323:T2326)</f>
        <v>1.7999999999999998</v>
      </c>
      <c r="U2327" s="514"/>
      <c r="V2327" s="514"/>
      <c r="W2327" s="514"/>
      <c r="X2327" s="514"/>
      <c r="Y2327" s="514"/>
      <c r="Z2327" s="514"/>
      <c r="AA2327" s="514"/>
      <c r="AB2327" s="514"/>
      <c r="AC2327" s="514"/>
      <c r="AD2327" s="514"/>
      <c r="AE2327" s="514"/>
      <c r="AF2327" s="514"/>
      <c r="AG2327" s="514"/>
      <c r="AH2327" s="514"/>
      <c r="AI2327" s="514"/>
      <c r="AJ2327" s="514"/>
      <c r="AK2327" s="514"/>
      <c r="AL2327" s="514"/>
      <c r="AM2327" s="514"/>
      <c r="AN2327" s="514"/>
      <c r="AO2327" s="514"/>
    </row>
    <row r="2328" spans="1:41" s="504" customFormat="1" ht="12" thickTop="1">
      <c r="A2328" s="50"/>
      <c r="B2328" s="40"/>
      <c r="C2328" s="50"/>
      <c r="E2328" s="41" t="s">
        <v>136</v>
      </c>
      <c r="F2328" s="41" t="s">
        <v>137</v>
      </c>
      <c r="G2328" s="50"/>
      <c r="H2328" s="50"/>
      <c r="I2328" s="50"/>
      <c r="J2328" s="50"/>
      <c r="K2328" s="50" t="s">
        <v>138</v>
      </c>
      <c r="L2328" s="50"/>
      <c r="M2328" s="50"/>
      <c r="N2328" s="50"/>
      <c r="O2328" s="51"/>
      <c r="P2328" s="50"/>
      <c r="Q2328" s="50"/>
      <c r="R2328" s="50"/>
      <c r="S2328" s="50"/>
      <c r="T2328" s="40"/>
      <c r="AG2328" s="867" t="s">
        <v>241</v>
      </c>
      <c r="AH2328" s="867" t="s">
        <v>242</v>
      </c>
      <c r="AI2328" s="867" t="s">
        <v>243</v>
      </c>
      <c r="AJ2328" s="867" t="s">
        <v>244</v>
      </c>
      <c r="AK2328" s="867" t="s">
        <v>245</v>
      </c>
      <c r="AM2328" s="868" t="s">
        <v>254</v>
      </c>
      <c r="AN2328" s="869" t="s">
        <v>255</v>
      </c>
      <c r="AO2328" s="505" t="s">
        <v>251</v>
      </c>
    </row>
    <row r="2329" spans="1:41" s="504" customFormat="1" ht="12" customHeight="1">
      <c r="A2329" s="870">
        <v>22</v>
      </c>
      <c r="B2329" s="871" t="s">
        <v>306</v>
      </c>
      <c r="C2329" s="872"/>
      <c r="D2329" s="873" t="s">
        <v>806</v>
      </c>
      <c r="E2329" s="874">
        <f ca="1">IF(AND($A2329=0,$A$1="DIF"),0, ROUND(ROUND(($R2334*$S$2+($T2334*$T$2))/A2329,2)*$C$2,2))</f>
        <v>6.75</v>
      </c>
      <c r="F2329" s="875">
        <f ca="1">ROUND($A2329*$E2329,2)</f>
        <v>148.5</v>
      </c>
      <c r="G2329" s="876" t="s">
        <v>139</v>
      </c>
      <c r="H2329" s="877"/>
      <c r="I2329" s="878"/>
      <c r="J2329" s="877"/>
      <c r="K2329" s="877" t="s">
        <v>3</v>
      </c>
      <c r="L2329" s="879" t="s">
        <v>140</v>
      </c>
      <c r="M2329" s="879"/>
      <c r="N2329" s="879"/>
      <c r="O2329" s="879"/>
      <c r="P2329" s="879"/>
      <c r="Q2329" s="50"/>
      <c r="T2329" s="880" t="str">
        <f ca="1">IF(AND($R2334=0,$T2334=0),"0.00","mu :" &amp; ROUND($F2329/$C$2/($R2334+$T2334*$D$9),2))</f>
        <v>mu :1.22</v>
      </c>
      <c r="W2329" s="507"/>
      <c r="AG2329" s="465">
        <f ca="1">IF($E2329=0,0,ROUND($R2334*$S$2*$C$2/$A2329,2))</f>
        <v>2.5299999999999998</v>
      </c>
      <c r="AH2329" s="465">
        <f ca="1">$AG2329*$A2329</f>
        <v>55.66</v>
      </c>
      <c r="AI2329" s="508">
        <f ca="1">$E2329-$AG2329</f>
        <v>4.2200000000000006</v>
      </c>
      <c r="AJ2329" s="508">
        <f ca="1">$A2329*$AI2329</f>
        <v>92.840000000000018</v>
      </c>
      <c r="AK2329" s="509">
        <f ca="1">ROUND(($AG2329+$AI2329)*$A2329,2)</f>
        <v>148.5</v>
      </c>
      <c r="AM2329" s="510">
        <f ca="1">ROUND(R2334,2)</f>
        <v>45.54</v>
      </c>
      <c r="AN2329" s="511">
        <f ca="1">ROUND(T2334,2)</f>
        <v>2.64</v>
      </c>
      <c r="AO2329" s="512">
        <f ca="1">ROUND(AM2329+AN2329,2)*A2329</f>
        <v>1059.96</v>
      </c>
    </row>
    <row r="2330" spans="1:41" s="504" customFormat="1" ht="13.2">
      <c r="A2330" s="872"/>
      <c r="B2330"/>
      <c r="C2330" s="872"/>
      <c r="D2330" s="873" t="s">
        <v>756</v>
      </c>
      <c r="F2330" s="877"/>
      <c r="G2330" s="3"/>
      <c r="H2330" s="877"/>
      <c r="I2330" s="878"/>
      <c r="J2330" s="877"/>
      <c r="K2330" s="877" t="s">
        <v>141</v>
      </c>
      <c r="L2330" s="877"/>
      <c r="M2330" s="877"/>
      <c r="N2330" s="877"/>
      <c r="O2330" s="877"/>
      <c r="P2330" s="877"/>
      <c r="Q2330" s="50"/>
      <c r="R2330" s="513"/>
      <c r="S2330" s="881"/>
      <c r="T2330" s="877"/>
    </row>
    <row r="2331" spans="1:41" s="997" customFormat="1" ht="13.2">
      <c r="A2331"/>
      <c r="B2331" s="1065"/>
      <c r="C2331" s="1065" t="s">
        <v>1006</v>
      </c>
      <c r="D2331" s="1065" t="str">
        <f ca="1">CELL("Address",Elec_Rates!D$95)</f>
        <v>[EL25_0662B_Brittania_Hotel_Elec_Revised_Estim_B.xlsx]Elec_Rates!$D$95</v>
      </c>
      <c r="E2331" s="1066"/>
      <c r="F2331" s="1066"/>
      <c r="G2331" s="1067" t="s">
        <v>1007</v>
      </c>
      <c r="H2331" s="1067"/>
      <c r="I2331" s="1067"/>
      <c r="J2331" s="1067"/>
      <c r="K2331" s="1068"/>
      <c r="L2331" s="1066"/>
      <c r="M2331" s="1066"/>
      <c r="N2331" s="1066"/>
      <c r="O2331" s="1069"/>
      <c r="P2331" s="1066"/>
      <c r="Q2331" s="1070"/>
      <c r="R2331" s="1071"/>
      <c r="S2331" s="1070"/>
      <c r="T2331" s="1072"/>
      <c r="U2331" s="1073"/>
    </row>
    <row r="2332" spans="1:41" s="997" customFormat="1" ht="11.4">
      <c r="A2332" s="1074">
        <v>22</v>
      </c>
      <c r="B2332" s="1075">
        <v>1</v>
      </c>
      <c r="C2332" s="1075">
        <f>$A2332*$B2332</f>
        <v>22</v>
      </c>
      <c r="D2332" s="1076" t="str">
        <f>Elec_Rates!$D$95</f>
        <v>009# 3 core x 4.0 mm2 FG16(O)M16 Cable</v>
      </c>
      <c r="E2332" s="1076"/>
      <c r="F2332" s="1076"/>
      <c r="G2332" s="1077" t="s">
        <v>1008</v>
      </c>
      <c r="H2332" s="1077"/>
      <c r="I2332" s="1077"/>
      <c r="J2332" s="1077"/>
      <c r="K2332" s="1078"/>
      <c r="L2332" s="1073"/>
      <c r="M2332" s="1073"/>
      <c r="N2332" s="1073"/>
      <c r="O2332" s="1079"/>
      <c r="P2332" s="1076"/>
      <c r="Q2332" s="1080">
        <f ca="1">$B2332*Elec_Rates!$R$95</f>
        <v>2.0699999999999998</v>
      </c>
      <c r="R2332" s="1071">
        <f ca="1">$A2332*Q2332</f>
        <v>45.54</v>
      </c>
      <c r="S2332" s="1080">
        <f ca="1">$B2332*Elec_Rates!$T$95</f>
        <v>0.12</v>
      </c>
      <c r="T2332" s="1072">
        <f ca="1">$A2332*S2332</f>
        <v>2.6399999999999997</v>
      </c>
      <c r="U2332" s="1081"/>
    </row>
    <row r="2333" spans="1:41" s="504" customFormat="1" ht="12">
      <c r="A2333" s="882"/>
      <c r="B2333" s="882"/>
      <c r="C2333" s="882"/>
      <c r="D2333" s="882"/>
      <c r="E2333" s="882"/>
      <c r="F2333" s="877"/>
      <c r="G2333" s="882"/>
      <c r="H2333" s="882"/>
      <c r="I2333" s="503"/>
      <c r="J2333" s="882"/>
      <c r="K2333" s="882"/>
      <c r="L2333" s="882"/>
      <c r="M2333" s="882"/>
      <c r="N2333" s="882"/>
      <c r="O2333" s="882"/>
      <c r="P2333" s="882"/>
      <c r="Q2333" s="503"/>
      <c r="R2333" s="883">
        <f>$A2333*Q2333</f>
        <v>0</v>
      </c>
      <c r="S2333" s="503"/>
      <c r="T2333" s="884">
        <f>$A2333*S2333*$T$1</f>
        <v>0</v>
      </c>
    </row>
    <row r="2334" spans="1:41" s="504" customFormat="1" ht="12.6" thickBot="1">
      <c r="A2334" s="885" t="s">
        <v>142</v>
      </c>
      <c r="B2334" s="886">
        <f>(R2333+T2333)</f>
        <v>0</v>
      </c>
      <c r="C2334" s="887"/>
      <c r="D2334" s="887"/>
      <c r="E2334" s="887"/>
      <c r="F2334" s="888"/>
      <c r="G2334" s="887" t="s">
        <v>143</v>
      </c>
      <c r="H2334" s="887"/>
      <c r="I2334" s="889"/>
      <c r="J2334" s="887"/>
      <c r="K2334" s="887" t="s">
        <v>3</v>
      </c>
      <c r="L2334" s="890" t="s">
        <v>140</v>
      </c>
      <c r="M2334" s="890"/>
      <c r="N2334" s="890"/>
      <c r="O2334" s="890"/>
      <c r="P2334" s="890"/>
      <c r="Q2334" s="891"/>
      <c r="R2334" s="892">
        <f ca="1">SUM(R2330:R2333)</f>
        <v>45.54</v>
      </c>
      <c r="S2334" s="887"/>
      <c r="T2334" s="892">
        <f ca="1">SUM(T2330:T2333)</f>
        <v>2.6399999999999997</v>
      </c>
      <c r="U2334" s="514"/>
      <c r="V2334" s="514"/>
      <c r="W2334" s="514"/>
      <c r="X2334" s="514"/>
      <c r="Y2334" s="514"/>
      <c r="Z2334" s="514"/>
      <c r="AA2334" s="514"/>
      <c r="AB2334" s="514"/>
      <c r="AC2334" s="514"/>
      <c r="AD2334" s="514"/>
      <c r="AE2334" s="514"/>
      <c r="AF2334" s="514"/>
      <c r="AG2334" s="514"/>
      <c r="AH2334" s="514"/>
      <c r="AI2334" s="514"/>
      <c r="AJ2334" s="514"/>
      <c r="AK2334" s="514"/>
      <c r="AL2334" s="514"/>
      <c r="AM2334" s="514"/>
      <c r="AN2334" s="514"/>
      <c r="AO2334" s="514"/>
    </row>
    <row r="2335" spans="1:41" s="504" customFormat="1" ht="12" thickTop="1">
      <c r="A2335" s="50"/>
      <c r="B2335" s="40"/>
      <c r="C2335" s="50"/>
      <c r="E2335" s="41" t="s">
        <v>136</v>
      </c>
      <c r="F2335" s="41" t="s">
        <v>137</v>
      </c>
      <c r="G2335" s="50"/>
      <c r="H2335" s="50"/>
      <c r="I2335" s="50"/>
      <c r="J2335" s="50"/>
      <c r="K2335" s="50" t="s">
        <v>138</v>
      </c>
      <c r="L2335" s="50"/>
      <c r="M2335" s="50"/>
      <c r="N2335" s="50"/>
      <c r="O2335" s="51"/>
      <c r="P2335" s="50"/>
      <c r="Q2335" s="50"/>
      <c r="R2335" s="50"/>
      <c r="S2335" s="50"/>
      <c r="T2335" s="40"/>
      <c r="AG2335" s="867" t="s">
        <v>241</v>
      </c>
      <c r="AH2335" s="867" t="s">
        <v>242</v>
      </c>
      <c r="AI2335" s="867" t="s">
        <v>243</v>
      </c>
      <c r="AJ2335" s="867" t="s">
        <v>244</v>
      </c>
      <c r="AK2335" s="867" t="s">
        <v>245</v>
      </c>
      <c r="AM2335" s="868" t="s">
        <v>254</v>
      </c>
      <c r="AN2335" s="869" t="s">
        <v>255</v>
      </c>
      <c r="AO2335" s="505" t="s">
        <v>251</v>
      </c>
    </row>
    <row r="2336" spans="1:41" s="504" customFormat="1" ht="12" customHeight="1">
      <c r="A2336" s="870">
        <v>18</v>
      </c>
      <c r="B2336" s="871" t="s">
        <v>306</v>
      </c>
      <c r="C2336" s="872"/>
      <c r="D2336" s="873" t="s">
        <v>808</v>
      </c>
      <c r="E2336" s="874">
        <f ca="1">IF(AND($A2336=0,$A$1="DIF"),0, ROUND(ROUND(($R2341*$S$2+($T2341*$T$2))/A2336,2)*$C$2,2))</f>
        <v>6.75</v>
      </c>
      <c r="F2336" s="875">
        <f ca="1">ROUND($A2336*$E2336,2)</f>
        <v>121.5</v>
      </c>
      <c r="G2336" s="876" t="s">
        <v>139</v>
      </c>
      <c r="H2336" s="877"/>
      <c r="I2336" s="878"/>
      <c r="J2336" s="877"/>
      <c r="K2336" s="877" t="s">
        <v>3</v>
      </c>
      <c r="L2336" s="879" t="s">
        <v>140</v>
      </c>
      <c r="M2336" s="879"/>
      <c r="N2336" s="879"/>
      <c r="O2336" s="879"/>
      <c r="P2336" s="879"/>
      <c r="Q2336" s="50"/>
      <c r="T2336" s="880" t="str">
        <f ca="1">IF(AND($R2341=0,$T2341=0),"0.00","mu :" &amp; ROUND($F2336/$C$2/($R2341+$T2341*$D$9),2))</f>
        <v>mu :1.22</v>
      </c>
      <c r="W2336" s="507"/>
      <c r="AG2336" s="465">
        <f ca="1">IF($E2336=0,0,ROUND($R2341*$S$2*$C$2/$A2336,2))</f>
        <v>2.5299999999999998</v>
      </c>
      <c r="AH2336" s="465">
        <f ca="1">$AG2336*$A2336</f>
        <v>45.54</v>
      </c>
      <c r="AI2336" s="508">
        <f ca="1">$E2336-$AG2336</f>
        <v>4.2200000000000006</v>
      </c>
      <c r="AJ2336" s="508">
        <f ca="1">$A2336*$AI2336</f>
        <v>75.960000000000008</v>
      </c>
      <c r="AK2336" s="509">
        <f ca="1">ROUND(($AG2336+$AI2336)*$A2336,2)</f>
        <v>121.5</v>
      </c>
      <c r="AM2336" s="510">
        <f ca="1">ROUND(R2341,2)</f>
        <v>37.26</v>
      </c>
      <c r="AN2336" s="511">
        <f ca="1">ROUND(T2341,2)</f>
        <v>2.16</v>
      </c>
      <c r="AO2336" s="512">
        <f ca="1">ROUND(AM2336+AN2336,2)*A2336</f>
        <v>709.56000000000006</v>
      </c>
    </row>
    <row r="2337" spans="1:41" s="504" customFormat="1" ht="13.2">
      <c r="A2337" s="872"/>
      <c r="B2337"/>
      <c r="C2337" s="872"/>
      <c r="D2337" s="873" t="s">
        <v>757</v>
      </c>
      <c r="F2337" s="877"/>
      <c r="G2337" s="3"/>
      <c r="H2337" s="877"/>
      <c r="I2337" s="878"/>
      <c r="J2337" s="877"/>
      <c r="K2337" s="877" t="s">
        <v>141</v>
      </c>
      <c r="L2337" s="877"/>
      <c r="M2337" s="877"/>
      <c r="N2337" s="877"/>
      <c r="O2337" s="877"/>
      <c r="P2337" s="877"/>
      <c r="Q2337" s="50"/>
      <c r="R2337" s="513"/>
      <c r="S2337" s="881"/>
      <c r="T2337" s="877"/>
    </row>
    <row r="2338" spans="1:41" s="997" customFormat="1" ht="13.2">
      <c r="A2338"/>
      <c r="B2338" s="1065"/>
      <c r="C2338" s="1065" t="s">
        <v>1006</v>
      </c>
      <c r="D2338" s="1065" t="str">
        <f ca="1">CELL("Address",Elec_Rates!D$95)</f>
        <v>[EL25_0662B_Brittania_Hotel_Elec_Revised_Estim_B.xlsx]Elec_Rates!$D$95</v>
      </c>
      <c r="E2338" s="1066"/>
      <c r="F2338" s="1066"/>
      <c r="G2338" s="1067" t="s">
        <v>1007</v>
      </c>
      <c r="H2338" s="1067"/>
      <c r="I2338" s="1067"/>
      <c r="J2338" s="1067"/>
      <c r="K2338" s="1068"/>
      <c r="L2338" s="1066"/>
      <c r="M2338" s="1066"/>
      <c r="N2338" s="1066"/>
      <c r="O2338" s="1069"/>
      <c r="P2338" s="1066"/>
      <c r="Q2338" s="1070"/>
      <c r="R2338" s="1071"/>
      <c r="S2338" s="1070"/>
      <c r="T2338" s="1072"/>
      <c r="U2338" s="1073"/>
    </row>
    <row r="2339" spans="1:41" s="997" customFormat="1" ht="11.4">
      <c r="A2339" s="1074">
        <v>18</v>
      </c>
      <c r="B2339" s="1075">
        <v>1</v>
      </c>
      <c r="C2339" s="1075">
        <f>$A2339*$B2339</f>
        <v>18</v>
      </c>
      <c r="D2339" s="1076" t="str">
        <f>Elec_Rates!$D$95</f>
        <v>009# 3 core x 4.0 mm2 FG16(O)M16 Cable</v>
      </c>
      <c r="E2339" s="1076"/>
      <c r="F2339" s="1076"/>
      <c r="G2339" s="1077" t="s">
        <v>1008</v>
      </c>
      <c r="H2339" s="1077"/>
      <c r="I2339" s="1077"/>
      <c r="J2339" s="1077"/>
      <c r="K2339" s="1078"/>
      <c r="L2339" s="1073"/>
      <c r="M2339" s="1073"/>
      <c r="N2339" s="1073"/>
      <c r="O2339" s="1079"/>
      <c r="P2339" s="1076"/>
      <c r="Q2339" s="1080">
        <f ca="1">$B2339*Elec_Rates!$R$95</f>
        <v>2.0699999999999998</v>
      </c>
      <c r="R2339" s="1071">
        <f ca="1">$A2339*Q2339</f>
        <v>37.26</v>
      </c>
      <c r="S2339" s="1080">
        <f ca="1">$B2339*Elec_Rates!$T$95</f>
        <v>0.12</v>
      </c>
      <c r="T2339" s="1072">
        <f ca="1">$A2339*S2339</f>
        <v>2.16</v>
      </c>
      <c r="U2339" s="1081"/>
    </row>
    <row r="2340" spans="1:41" s="504" customFormat="1" ht="12">
      <c r="A2340" s="882"/>
      <c r="B2340" s="882"/>
      <c r="C2340" s="882"/>
      <c r="D2340" s="882"/>
      <c r="E2340" s="882"/>
      <c r="F2340" s="877"/>
      <c r="G2340" s="882"/>
      <c r="H2340" s="882"/>
      <c r="I2340" s="503"/>
      <c r="J2340" s="882"/>
      <c r="K2340" s="882"/>
      <c r="L2340" s="882"/>
      <c r="M2340" s="882"/>
      <c r="N2340" s="882"/>
      <c r="O2340" s="882"/>
      <c r="P2340" s="882"/>
      <c r="Q2340" s="503"/>
      <c r="R2340" s="883">
        <f>$A2340*Q2340</f>
        <v>0</v>
      </c>
      <c r="S2340" s="503"/>
      <c r="T2340" s="884">
        <f>$A2340*S2340*$T$1</f>
        <v>0</v>
      </c>
    </row>
    <row r="2341" spans="1:41" s="504" customFormat="1" ht="12.6" thickBot="1">
      <c r="A2341" s="885" t="s">
        <v>142</v>
      </c>
      <c r="B2341" s="886">
        <f>(R2340+T2340)</f>
        <v>0</v>
      </c>
      <c r="C2341" s="887"/>
      <c r="D2341" s="887"/>
      <c r="E2341" s="887"/>
      <c r="F2341" s="888"/>
      <c r="G2341" s="887" t="s">
        <v>143</v>
      </c>
      <c r="H2341" s="887"/>
      <c r="I2341" s="889"/>
      <c r="J2341" s="887"/>
      <c r="K2341" s="887" t="s">
        <v>3</v>
      </c>
      <c r="L2341" s="890" t="s">
        <v>140</v>
      </c>
      <c r="M2341" s="890"/>
      <c r="N2341" s="890"/>
      <c r="O2341" s="890"/>
      <c r="P2341" s="890"/>
      <c r="Q2341" s="891"/>
      <c r="R2341" s="892">
        <f ca="1">SUM(R2337:R2340)</f>
        <v>37.26</v>
      </c>
      <c r="S2341" s="887"/>
      <c r="T2341" s="892">
        <f ca="1">SUM(T2337:T2340)</f>
        <v>2.16</v>
      </c>
      <c r="U2341" s="514"/>
      <c r="V2341" s="514"/>
      <c r="W2341" s="514"/>
      <c r="X2341" s="514"/>
      <c r="Y2341" s="514"/>
      <c r="Z2341" s="514"/>
      <c r="AA2341" s="514"/>
      <c r="AB2341" s="514"/>
      <c r="AC2341" s="514"/>
      <c r="AD2341" s="514"/>
      <c r="AE2341" s="514"/>
      <c r="AF2341" s="514"/>
      <c r="AG2341" s="514"/>
      <c r="AH2341" s="514"/>
      <c r="AI2341" s="514"/>
      <c r="AJ2341" s="514"/>
      <c r="AK2341" s="514"/>
      <c r="AL2341" s="514"/>
      <c r="AM2341" s="514"/>
      <c r="AN2341" s="514"/>
      <c r="AO2341" s="514"/>
    </row>
    <row r="2342" spans="1:41" s="504" customFormat="1" ht="12" thickTop="1">
      <c r="A2342" s="47" t="s">
        <v>145</v>
      </c>
      <c r="D2342" s="13"/>
      <c r="E2342" s="41"/>
      <c r="O2342" s="893"/>
    </row>
    <row r="2343" spans="1:41" s="504" customFormat="1" ht="13.2">
      <c r="B2343" s="3"/>
      <c r="O2343" s="893"/>
    </row>
    <row r="2344" spans="1:41" s="504" customFormat="1" ht="12">
      <c r="B2344" s="894">
        <f ca="1">$F2344/$C$2-($R2344*$S$2+$T2344*$T$2)</f>
        <v>0.17148985999961042</v>
      </c>
      <c r="D2344" s="895" t="s">
        <v>817</v>
      </c>
      <c r="E2344" s="896"/>
      <c r="F2344" s="897">
        <f ca="1">SUMIF($L2239:$L2342,"ITEM",F2239:F2342)</f>
        <v>2045.1699999999996</v>
      </c>
      <c r="G2344" s="882"/>
      <c r="H2344" s="882"/>
      <c r="I2344" s="503"/>
      <c r="J2344" s="882"/>
      <c r="K2344" s="882"/>
      <c r="L2344" s="879" t="s">
        <v>154</v>
      </c>
      <c r="M2344" s="879"/>
      <c r="N2344" s="879"/>
      <c r="O2344" s="879"/>
      <c r="P2344" s="879"/>
      <c r="R2344" s="897">
        <f ca="1">SUMIF($L2239:$L2342,"ITEM",R2239:R2342)</f>
        <v>965.8119999999999</v>
      </c>
      <c r="S2344" s="898"/>
      <c r="T2344" s="897">
        <f ca="1">SUMIF($L2239:$L2342,"ITEM",T2239:T2342)</f>
        <v>24.639000000000003</v>
      </c>
    </row>
    <row r="2345" spans="1:41" s="504" customFormat="1" ht="13.2">
      <c r="A2345" s="50"/>
      <c r="B2345" s="48" t="s">
        <v>816</v>
      </c>
      <c r="C2345" s="50"/>
      <c r="D2345" s="3"/>
      <c r="F2345" s="899" t="s">
        <v>155</v>
      </c>
      <c r="G2345" s="882"/>
      <c r="H2345" s="882"/>
      <c r="I2345" s="503"/>
      <c r="J2345" s="882"/>
      <c r="K2345" s="882"/>
      <c r="L2345" s="882"/>
      <c r="M2345" s="882"/>
      <c r="N2345" s="882"/>
      <c r="O2345" s="882"/>
      <c r="P2345" s="882"/>
      <c r="Q2345" s="900"/>
      <c r="R2345" s="899" t="s">
        <v>156</v>
      </c>
      <c r="S2345" s="38"/>
      <c r="T2345" s="899" t="s">
        <v>157</v>
      </c>
    </row>
    <row r="2346" spans="1:41" s="504" customFormat="1" ht="13.2">
      <c r="A2346" s="882"/>
      <c r="B2346" s="3"/>
      <c r="C2346" s="882"/>
      <c r="D2346" s="3"/>
      <c r="E2346" s="3"/>
      <c r="G2346" s="3"/>
      <c r="H2346" s="3"/>
      <c r="I2346" s="3"/>
      <c r="J2346" s="3"/>
      <c r="K2346" s="3"/>
      <c r="L2346" s="3"/>
      <c r="M2346" s="3"/>
      <c r="N2346" s="3"/>
      <c r="O2346" s="103"/>
      <c r="P2346" s="3"/>
      <c r="Q2346" s="3"/>
      <c r="R2346" s="3"/>
      <c r="S2346" s="3"/>
      <c r="T2346" s="3"/>
    </row>
    <row r="2347" spans="1:41" s="504" customFormat="1" ht="12" thickBot="1">
      <c r="A2347" s="514"/>
      <c r="B2347" s="887"/>
      <c r="C2347" s="887"/>
      <c r="D2347" s="514"/>
      <c r="E2347" s="39"/>
      <c r="F2347" s="901"/>
      <c r="G2347" s="887"/>
      <c r="H2347" s="887"/>
      <c r="I2347" s="889"/>
      <c r="J2347" s="887"/>
      <c r="K2347" s="887"/>
      <c r="L2347" s="890"/>
      <c r="M2347" s="890"/>
      <c r="N2347" s="890"/>
      <c r="O2347" s="890"/>
      <c r="P2347" s="890"/>
      <c r="Q2347" s="891"/>
      <c r="R2347" s="901"/>
      <c r="S2347" s="902"/>
      <c r="T2347" s="901"/>
      <c r="U2347" s="514"/>
      <c r="V2347" s="514"/>
      <c r="W2347" s="514"/>
      <c r="X2347" s="514"/>
      <c r="Y2347" s="514"/>
      <c r="Z2347" s="514"/>
      <c r="AA2347" s="514"/>
      <c r="AB2347" s="514"/>
      <c r="AC2347" s="514"/>
      <c r="AD2347" s="514"/>
      <c r="AE2347" s="514"/>
      <c r="AF2347" s="514"/>
      <c r="AG2347" s="514"/>
      <c r="AH2347" s="514"/>
      <c r="AI2347" s="514"/>
      <c r="AJ2347" s="514"/>
      <c r="AK2347" s="514"/>
    </row>
    <row r="2348" spans="1:41" s="504" customFormat="1" thickTop="1">
      <c r="A2348" s="50"/>
      <c r="B2348" s="50"/>
      <c r="C2348" s="3"/>
      <c r="D2348" s="3"/>
      <c r="E2348" s="50"/>
      <c r="F2348" s="50"/>
      <c r="G2348" s="50"/>
      <c r="H2348" s="50"/>
      <c r="I2348" s="50"/>
      <c r="J2348" s="50"/>
      <c r="K2348" s="50" t="s">
        <v>133</v>
      </c>
      <c r="L2348" s="50"/>
      <c r="M2348" s="50"/>
      <c r="N2348" s="50"/>
      <c r="O2348" s="51"/>
      <c r="P2348" s="50"/>
      <c r="Q2348" s="50"/>
      <c r="R2348" s="50"/>
      <c r="S2348" s="50"/>
      <c r="T2348" s="50"/>
    </row>
    <row r="2349" spans="1:41" s="504" customFormat="1" ht="12">
      <c r="A2349" s="50"/>
      <c r="B2349" s="50"/>
      <c r="C2349" s="50" t="s">
        <v>134</v>
      </c>
      <c r="D2349" s="37"/>
      <c r="E2349" s="50"/>
      <c r="F2349" s="50"/>
      <c r="G2349" s="50"/>
      <c r="H2349" s="50"/>
      <c r="I2349" s="50"/>
      <c r="J2349" s="50"/>
      <c r="K2349" s="50"/>
      <c r="L2349" s="50"/>
      <c r="M2349" s="50"/>
      <c r="N2349" s="50"/>
      <c r="O2349" s="51"/>
      <c r="P2349" s="50"/>
      <c r="Q2349" s="50"/>
      <c r="R2349" s="50"/>
      <c r="S2349" s="50"/>
      <c r="T2349" s="50"/>
    </row>
    <row r="2350" spans="1:41" s="504" customFormat="1" ht="12">
      <c r="A2350" s="50"/>
      <c r="B2350" s="50"/>
      <c r="C2350" s="50"/>
      <c r="D2350" s="37" t="s">
        <v>447</v>
      </c>
      <c r="E2350" s="50"/>
      <c r="F2350" s="50"/>
      <c r="G2350" s="50"/>
      <c r="H2350" s="50"/>
      <c r="I2350" s="50"/>
      <c r="J2350" s="50"/>
      <c r="K2350" s="50"/>
      <c r="L2350" s="50"/>
      <c r="M2350" s="50"/>
      <c r="N2350" s="50"/>
      <c r="O2350" s="51"/>
      <c r="P2350" s="50"/>
      <c r="Q2350" s="50"/>
      <c r="R2350" s="50"/>
      <c r="S2350" s="38"/>
      <c r="T2350" s="38"/>
    </row>
    <row r="2351" spans="1:41" s="3" customFormat="1" thickBot="1">
      <c r="A2351" s="514"/>
      <c r="O2351" s="103"/>
    </row>
    <row r="2352" spans="1:41" s="504" customFormat="1" thickTop="1">
      <c r="A2352" s="50"/>
      <c r="B2352" s="50"/>
      <c r="C2352" s="3"/>
      <c r="D2352" s="3"/>
      <c r="E2352" s="50"/>
      <c r="F2352" s="50"/>
      <c r="G2352" s="50"/>
      <c r="H2352" s="50"/>
      <c r="I2352" s="50"/>
      <c r="J2352" s="50"/>
      <c r="K2352" s="50" t="s">
        <v>133</v>
      </c>
      <c r="L2352" s="50"/>
      <c r="M2352" s="50"/>
      <c r="N2352" s="50"/>
      <c r="O2352" s="51"/>
      <c r="P2352" s="50"/>
      <c r="Q2352" s="50"/>
      <c r="R2352" s="50"/>
      <c r="S2352" s="50"/>
      <c r="T2352" s="50"/>
    </row>
    <row r="2353" spans="1:41" s="504" customFormat="1" ht="12">
      <c r="A2353" s="50"/>
      <c r="B2353" s="50"/>
      <c r="C2353" s="50" t="s">
        <v>134</v>
      </c>
      <c r="D2353" s="37"/>
      <c r="E2353" s="50"/>
      <c r="F2353" s="50"/>
      <c r="G2353" s="50"/>
      <c r="H2353" s="50"/>
      <c r="I2353" s="50"/>
      <c r="J2353" s="50"/>
      <c r="K2353" s="50"/>
      <c r="L2353" s="50"/>
      <c r="M2353" s="50"/>
      <c r="N2353" s="50"/>
      <c r="O2353" s="51"/>
      <c r="P2353" s="50"/>
      <c r="Q2353" s="50"/>
      <c r="R2353" s="50"/>
      <c r="S2353" s="50"/>
      <c r="T2353" s="50"/>
    </row>
    <row r="2354" spans="1:41" s="504" customFormat="1" ht="12">
      <c r="A2354" s="50"/>
      <c r="B2354" s="50"/>
      <c r="C2354" s="50"/>
      <c r="D2354" s="37" t="s">
        <v>332</v>
      </c>
      <c r="E2354" s="50"/>
      <c r="F2354" s="50"/>
      <c r="G2354" s="50"/>
      <c r="H2354" s="50"/>
      <c r="I2354" s="50"/>
      <c r="J2354" s="50"/>
      <c r="K2354" s="50"/>
      <c r="L2354" s="50"/>
      <c r="M2354" s="50"/>
      <c r="N2354" s="50"/>
      <c r="O2354" s="51"/>
      <c r="P2354" s="50"/>
      <c r="Q2354" s="50"/>
      <c r="R2354" s="50"/>
      <c r="S2354" s="38"/>
      <c r="T2354" s="38"/>
    </row>
    <row r="2355" spans="1:41" s="3" customFormat="1" thickBot="1">
      <c r="A2355" s="514"/>
      <c r="O2355" s="103"/>
    </row>
    <row r="2356" spans="1:41" s="504" customFormat="1" thickTop="1">
      <c r="A2356" s="50"/>
      <c r="B2356" s="50"/>
      <c r="C2356" s="3"/>
      <c r="D2356" s="3"/>
      <c r="E2356" s="50"/>
      <c r="F2356" s="50"/>
      <c r="G2356" s="50"/>
      <c r="H2356" s="50"/>
      <c r="I2356" s="50"/>
      <c r="J2356" s="50"/>
      <c r="K2356" s="50" t="s">
        <v>133</v>
      </c>
      <c r="L2356" s="50"/>
      <c r="M2356" s="50"/>
      <c r="N2356" s="50"/>
      <c r="O2356" s="51"/>
      <c r="P2356" s="50"/>
      <c r="Q2356" s="50"/>
      <c r="R2356" s="50"/>
      <c r="S2356" s="50"/>
      <c r="T2356" s="50"/>
    </row>
    <row r="2357" spans="1:41" s="504" customFormat="1" ht="12">
      <c r="A2357" s="50"/>
      <c r="B2357" s="50"/>
      <c r="C2357" s="50" t="s">
        <v>134</v>
      </c>
      <c r="D2357" s="37" t="s">
        <v>877</v>
      </c>
      <c r="E2357" s="50"/>
      <c r="F2357" s="50"/>
      <c r="G2357" s="50"/>
      <c r="H2357" s="50"/>
      <c r="I2357" s="50"/>
      <c r="J2357" s="50"/>
      <c r="K2357" s="50"/>
      <c r="L2357" s="50"/>
      <c r="M2357" s="50"/>
      <c r="N2357" s="50"/>
      <c r="O2357" s="51"/>
      <c r="P2357" s="50"/>
      <c r="Q2357" s="50"/>
      <c r="R2357" s="50"/>
      <c r="S2357" s="50"/>
      <c r="T2357" s="50"/>
    </row>
    <row r="2358" spans="1:41" s="504" customFormat="1" ht="12">
      <c r="A2358" s="50"/>
      <c r="B2358" s="50"/>
      <c r="C2358" s="50"/>
      <c r="D2358" s="37" t="s">
        <v>839</v>
      </c>
      <c r="E2358" s="50"/>
      <c r="F2358" s="50"/>
      <c r="G2358" s="50"/>
      <c r="H2358" s="50"/>
      <c r="I2358" s="50"/>
      <c r="J2358" s="50"/>
      <c r="K2358" s="50"/>
      <c r="L2358" s="50"/>
      <c r="M2358" s="50"/>
      <c r="N2358" s="50"/>
      <c r="O2358" s="51"/>
      <c r="P2358" s="50"/>
      <c r="Q2358" s="50"/>
      <c r="R2358" s="50"/>
      <c r="S2358" s="38"/>
      <c r="T2358" s="38"/>
    </row>
    <row r="2359" spans="1:41" s="3" customFormat="1" thickBot="1">
      <c r="A2359" s="514"/>
      <c r="O2359" s="103"/>
    </row>
    <row r="2360" spans="1:41" s="504" customFormat="1" ht="12" thickTop="1">
      <c r="A2360" s="50"/>
      <c r="B2360" s="40"/>
      <c r="C2360" s="50"/>
      <c r="E2360" s="41" t="s">
        <v>136</v>
      </c>
      <c r="F2360" s="41" t="s">
        <v>137</v>
      </c>
      <c r="G2360" s="50"/>
      <c r="H2360" s="50"/>
      <c r="I2360" s="50"/>
      <c r="J2360" s="50"/>
      <c r="K2360" s="50" t="s">
        <v>138</v>
      </c>
      <c r="L2360" s="50"/>
      <c r="M2360" s="50"/>
      <c r="N2360" s="50"/>
      <c r="O2360" s="51"/>
      <c r="P2360" s="50"/>
      <c r="Q2360" s="50"/>
      <c r="R2360" s="50"/>
      <c r="S2360" s="50"/>
      <c r="T2360" s="40"/>
      <c r="AG2360" s="867" t="s">
        <v>241</v>
      </c>
      <c r="AH2360" s="867" t="s">
        <v>242</v>
      </c>
      <c r="AI2360" s="867" t="s">
        <v>243</v>
      </c>
      <c r="AJ2360" s="867" t="s">
        <v>244</v>
      </c>
      <c r="AK2360" s="867" t="s">
        <v>245</v>
      </c>
      <c r="AM2360" s="868" t="s">
        <v>254</v>
      </c>
      <c r="AN2360" s="869" t="s">
        <v>255</v>
      </c>
      <c r="AO2360" s="505" t="s">
        <v>251</v>
      </c>
    </row>
    <row r="2361" spans="1:41" s="504" customFormat="1" ht="12" customHeight="1">
      <c r="A2361" s="870">
        <v>1</v>
      </c>
      <c r="B2361" s="871" t="s">
        <v>335</v>
      </c>
      <c r="C2361" s="872"/>
      <c r="D2361" s="873" t="s">
        <v>804</v>
      </c>
      <c r="E2361" s="874">
        <f ca="1">IF(AND($A2361=0,$A$1="DIF"),0, ROUND(ROUND(($R2366*$S$2+($T2366*$T$2))/A2361,2)*$C$2,2))</f>
        <v>57.85</v>
      </c>
      <c r="F2361" s="875">
        <f ca="1">ROUND($A2361*$E2361,2)</f>
        <v>57.85</v>
      </c>
      <c r="G2361" s="876" t="s">
        <v>139</v>
      </c>
      <c r="H2361" s="877"/>
      <c r="I2361" s="878"/>
      <c r="J2361" s="877"/>
      <c r="K2361" s="877" t="s">
        <v>3</v>
      </c>
      <c r="L2361" s="879" t="s">
        <v>140</v>
      </c>
      <c r="M2361" s="879"/>
      <c r="N2361" s="879"/>
      <c r="O2361" s="879"/>
      <c r="P2361" s="879"/>
      <c r="Q2361" s="50"/>
      <c r="T2361" s="880" t="str">
        <f ca="1">IF(AND($R2366=0,$T2366=0),"0.00","mu :" &amp; ROUND($F2361/$C$2/($R2366+$T2366*$D$9),2))</f>
        <v>mu :1.22</v>
      </c>
      <c r="W2361" s="507"/>
      <c r="AG2361" s="465">
        <f ca="1">IF($E2361=0,0,ROUND($R2366*$S$2*$C$2/$A2361,2))</f>
        <v>11.77</v>
      </c>
      <c r="AH2361" s="465">
        <f ca="1">$AG2361*$A2361</f>
        <v>11.77</v>
      </c>
      <c r="AI2361" s="508">
        <f ca="1">$E2361-$AG2361</f>
        <v>46.08</v>
      </c>
      <c r="AJ2361" s="508">
        <f ca="1">$A2361*$AI2361</f>
        <v>46.08</v>
      </c>
      <c r="AK2361" s="509">
        <f ca="1">ROUND(($AG2361+$AI2361)*$A2361,2)</f>
        <v>57.85</v>
      </c>
      <c r="AM2361" s="510">
        <f ca="1">ROUND(R2366,2)</f>
        <v>9.65</v>
      </c>
      <c r="AN2361" s="511">
        <f ca="1">ROUND(T2366,2)</f>
        <v>1.31</v>
      </c>
      <c r="AO2361" s="512">
        <f ca="1">ROUND(AM2361+AN2361,2)*A2361</f>
        <v>10.96</v>
      </c>
    </row>
    <row r="2362" spans="1:41" s="504" customFormat="1" ht="13.2">
      <c r="A2362" s="872"/>
      <c r="B2362"/>
      <c r="C2362" s="872"/>
      <c r="D2362" s="873" t="s">
        <v>334</v>
      </c>
      <c r="F2362" s="877"/>
      <c r="G2362" s="3"/>
      <c r="H2362" s="877"/>
      <c r="I2362" s="878"/>
      <c r="J2362" s="877"/>
      <c r="K2362" s="877" t="s">
        <v>141</v>
      </c>
      <c r="L2362" s="877"/>
      <c r="M2362" s="877"/>
      <c r="N2362" s="877"/>
      <c r="O2362" s="877"/>
      <c r="P2362" s="877"/>
      <c r="Q2362" s="50"/>
      <c r="R2362" s="513"/>
      <c r="S2362" s="881"/>
      <c r="T2362" s="877"/>
    </row>
    <row r="2363" spans="1:41" s="997" customFormat="1" ht="13.2">
      <c r="A2363"/>
      <c r="B2363" s="1065"/>
      <c r="C2363" s="1065" t="s">
        <v>1006</v>
      </c>
      <c r="D2363" s="1065" t="str">
        <f ca="1">CELL("Address",Elec_Rates!D$200)</f>
        <v>[EL25_0662B_Brittania_Hotel_Elec_Revised_Estim_B.xlsx]Elec_Rates!$D$200</v>
      </c>
      <c r="E2363" s="1066"/>
      <c r="F2363" s="1066"/>
      <c r="G2363" s="1067" t="s">
        <v>1007</v>
      </c>
      <c r="H2363" s="1067"/>
      <c r="I2363" s="1067"/>
      <c r="J2363" s="1067"/>
      <c r="K2363" s="1068"/>
      <c r="L2363" s="1066"/>
      <c r="M2363" s="1066"/>
      <c r="N2363" s="1066"/>
      <c r="O2363" s="1069"/>
      <c r="P2363" s="1066"/>
      <c r="Q2363" s="1070"/>
      <c r="R2363" s="1071"/>
      <c r="S2363" s="1070"/>
      <c r="T2363" s="1072"/>
      <c r="U2363" s="1073"/>
    </row>
    <row r="2364" spans="1:41" s="997" customFormat="1" ht="11.4">
      <c r="A2364" s="1074">
        <v>1</v>
      </c>
      <c r="B2364" s="1075">
        <v>1</v>
      </c>
      <c r="C2364" s="1075">
        <f>$A2364*$B2364</f>
        <v>1</v>
      </c>
      <c r="D2364" s="1076" t="str">
        <f>Elec_Rates!$D$200</f>
        <v>019# Lighting point in LSZH Conduit</v>
      </c>
      <c r="E2364" s="1076"/>
      <c r="F2364" s="1076" t="s">
        <v>1169</v>
      </c>
      <c r="G2364" s="1077" t="s">
        <v>1008</v>
      </c>
      <c r="H2364" s="1077"/>
      <c r="I2364" s="1077"/>
      <c r="J2364" s="1077"/>
      <c r="K2364" s="1078"/>
      <c r="L2364" s="1073"/>
      <c r="M2364" s="1073"/>
      <c r="N2364" s="1073"/>
      <c r="O2364" s="1079"/>
      <c r="P2364" s="1076"/>
      <c r="Q2364" s="1080">
        <f ca="1">$B2364*Elec_Rates!$R$200</f>
        <v>9.65</v>
      </c>
      <c r="R2364" s="1071">
        <f ca="1">$A2364*Q2364</f>
        <v>9.65</v>
      </c>
      <c r="S2364" s="1080">
        <f ca="1">$B2364*Elec_Rates!$T$200</f>
        <v>1.31</v>
      </c>
      <c r="T2364" s="1072">
        <f ca="1">$A2364*S2364</f>
        <v>1.31</v>
      </c>
      <c r="U2364" s="1081"/>
    </row>
    <row r="2365" spans="1:41" s="504" customFormat="1" ht="12">
      <c r="A2365" s="882"/>
      <c r="B2365" s="882"/>
      <c r="C2365" s="882"/>
      <c r="D2365" s="882"/>
      <c r="E2365" s="882"/>
      <c r="F2365" s="877"/>
      <c r="G2365" s="882"/>
      <c r="H2365" s="882"/>
      <c r="I2365" s="503"/>
      <c r="J2365" s="882"/>
      <c r="K2365" s="882"/>
      <c r="L2365" s="882"/>
      <c r="M2365" s="882"/>
      <c r="N2365" s="882"/>
      <c r="O2365" s="882"/>
      <c r="P2365" s="882"/>
      <c r="Q2365" s="503"/>
      <c r="R2365" s="883">
        <f>$A2365*Q2365</f>
        <v>0</v>
      </c>
      <c r="S2365" s="503"/>
      <c r="T2365" s="884">
        <f>$A2365*S2365*$T$1</f>
        <v>0</v>
      </c>
    </row>
    <row r="2366" spans="1:41" s="504" customFormat="1" ht="12.6" thickBot="1">
      <c r="A2366" s="885" t="s">
        <v>142</v>
      </c>
      <c r="B2366" s="886">
        <f>(R2365+T2365)</f>
        <v>0</v>
      </c>
      <c r="C2366" s="887"/>
      <c r="D2366" s="887"/>
      <c r="E2366" s="887"/>
      <c r="F2366" s="888"/>
      <c r="G2366" s="887" t="s">
        <v>143</v>
      </c>
      <c r="H2366" s="887"/>
      <c r="I2366" s="889"/>
      <c r="J2366" s="887"/>
      <c r="K2366" s="887" t="s">
        <v>3</v>
      </c>
      <c r="L2366" s="890" t="s">
        <v>140</v>
      </c>
      <c r="M2366" s="890"/>
      <c r="N2366" s="890"/>
      <c r="O2366" s="890"/>
      <c r="P2366" s="890"/>
      <c r="Q2366" s="891"/>
      <c r="R2366" s="892">
        <f ca="1">SUM(R2362:R2365)</f>
        <v>9.65</v>
      </c>
      <c r="S2366" s="887"/>
      <c r="T2366" s="892">
        <f ca="1">SUM(T2362:T2365)</f>
        <v>1.31</v>
      </c>
      <c r="U2366" s="514"/>
      <c r="V2366" s="514"/>
      <c r="W2366" s="514"/>
      <c r="X2366" s="514"/>
      <c r="Y2366" s="514"/>
      <c r="Z2366" s="514"/>
      <c r="AA2366" s="514"/>
      <c r="AB2366" s="514"/>
      <c r="AC2366" s="514"/>
      <c r="AD2366" s="514"/>
      <c r="AE2366" s="514"/>
      <c r="AF2366" s="514"/>
      <c r="AG2366" s="514"/>
      <c r="AH2366" s="514"/>
      <c r="AI2366" s="514"/>
      <c r="AJ2366" s="514"/>
      <c r="AK2366" s="514"/>
      <c r="AL2366" s="514"/>
      <c r="AM2366" s="514"/>
      <c r="AN2366" s="514"/>
      <c r="AO2366" s="514"/>
    </row>
    <row r="2367" spans="1:41" s="504" customFormat="1" ht="12" thickTop="1">
      <c r="A2367" s="50"/>
      <c r="B2367" s="40"/>
      <c r="C2367" s="50"/>
      <c r="E2367" s="41" t="s">
        <v>136</v>
      </c>
      <c r="F2367" s="41" t="s">
        <v>137</v>
      </c>
      <c r="G2367" s="50"/>
      <c r="H2367" s="50"/>
      <c r="I2367" s="50"/>
      <c r="J2367" s="50"/>
      <c r="K2367" s="50" t="s">
        <v>138</v>
      </c>
      <c r="L2367" s="50"/>
      <c r="M2367" s="50"/>
      <c r="N2367" s="50"/>
      <c r="O2367" s="51"/>
      <c r="P2367" s="50"/>
      <c r="Q2367" s="50"/>
      <c r="R2367" s="50"/>
      <c r="S2367" s="50"/>
      <c r="T2367" s="40"/>
      <c r="AG2367" s="867" t="s">
        <v>241</v>
      </c>
      <c r="AH2367" s="867" t="s">
        <v>242</v>
      </c>
      <c r="AI2367" s="867" t="s">
        <v>243</v>
      </c>
      <c r="AJ2367" s="867" t="s">
        <v>244</v>
      </c>
      <c r="AK2367" s="867" t="s">
        <v>245</v>
      </c>
      <c r="AM2367" s="868" t="s">
        <v>254</v>
      </c>
      <c r="AN2367" s="869" t="s">
        <v>255</v>
      </c>
      <c r="AO2367" s="505" t="s">
        <v>251</v>
      </c>
    </row>
    <row r="2368" spans="1:41" s="504" customFormat="1" ht="12" customHeight="1">
      <c r="A2368" s="870">
        <v>2</v>
      </c>
      <c r="B2368" s="871" t="s">
        <v>335</v>
      </c>
      <c r="C2368" s="872"/>
      <c r="D2368" s="873" t="s">
        <v>806</v>
      </c>
      <c r="E2368" s="874">
        <f ca="1">IF(AND($A2368=0,$A$1="DIF"),0, ROUND(ROUND(($R2373*$S$2+($T2373*$T$2))/A2368,2)*$C$2,2))</f>
        <v>86.78</v>
      </c>
      <c r="F2368" s="875">
        <f ca="1">ROUND($A2368*$E2368,2)</f>
        <v>173.56</v>
      </c>
      <c r="G2368" s="876" t="s">
        <v>139</v>
      </c>
      <c r="H2368" s="877"/>
      <c r="I2368" s="878"/>
      <c r="J2368" s="877"/>
      <c r="K2368" s="877" t="s">
        <v>3</v>
      </c>
      <c r="L2368" s="879" t="s">
        <v>140</v>
      </c>
      <c r="M2368" s="879"/>
      <c r="N2368" s="879"/>
      <c r="O2368" s="879"/>
      <c r="P2368" s="879"/>
      <c r="Q2368" s="50"/>
      <c r="T2368" s="880" t="str">
        <f ca="1">IF(AND($R2373=0,$T2373=0),"0.00","mu :" &amp; ROUND($F2368/$C$2/($R2373+$T2373*$D$9),2))</f>
        <v>mu :1.22</v>
      </c>
      <c r="W2368" s="507"/>
      <c r="AG2368" s="465">
        <f ca="1">IF($E2368=0,0,ROUND($R2373*$S$2*$C$2/$A2368,2))</f>
        <v>17.66</v>
      </c>
      <c r="AH2368" s="465">
        <f ca="1">$AG2368*$A2368</f>
        <v>35.32</v>
      </c>
      <c r="AI2368" s="508">
        <f ca="1">$E2368-$AG2368</f>
        <v>69.12</v>
      </c>
      <c r="AJ2368" s="508">
        <f ca="1">$A2368*$AI2368</f>
        <v>138.24</v>
      </c>
      <c r="AK2368" s="509">
        <f ca="1">ROUND(($AG2368+$AI2368)*$A2368,2)</f>
        <v>173.56</v>
      </c>
      <c r="AM2368" s="510">
        <f ca="1">ROUND(R2373,2)</f>
        <v>28.95</v>
      </c>
      <c r="AN2368" s="511">
        <f ca="1">ROUND(T2373,2)</f>
        <v>3.93</v>
      </c>
      <c r="AO2368" s="512">
        <f ca="1">ROUND(AM2368+AN2368,2)*A2368</f>
        <v>65.760000000000005</v>
      </c>
    </row>
    <row r="2369" spans="1:41" s="504" customFormat="1" ht="13.2">
      <c r="A2369" s="872"/>
      <c r="B2369"/>
      <c r="C2369" s="872"/>
      <c r="D2369" s="873" t="s">
        <v>401</v>
      </c>
      <c r="F2369" s="877"/>
      <c r="G2369" s="3"/>
      <c r="H2369" s="877"/>
      <c r="I2369" s="878"/>
      <c r="J2369" s="877"/>
      <c r="K2369" s="877" t="s">
        <v>141</v>
      </c>
      <c r="L2369" s="877"/>
      <c r="M2369" s="877"/>
      <c r="N2369" s="877"/>
      <c r="O2369" s="877"/>
      <c r="P2369" s="877"/>
      <c r="Q2369" s="50"/>
      <c r="R2369" s="513"/>
      <c r="S2369" s="881"/>
      <c r="T2369" s="877"/>
    </row>
    <row r="2370" spans="1:41" s="997" customFormat="1" ht="13.2">
      <c r="A2370"/>
      <c r="B2370" s="1065"/>
      <c r="C2370" s="1065" t="s">
        <v>1006</v>
      </c>
      <c r="D2370" s="1065" t="str">
        <f ca="1">CELL("Address",Elec_Rates!D$200)</f>
        <v>[EL25_0662B_Brittania_Hotel_Elec_Revised_Estim_B.xlsx]Elec_Rates!$D$200</v>
      </c>
      <c r="E2370" s="1066"/>
      <c r="F2370" s="1066"/>
      <c r="G2370" s="1067" t="s">
        <v>1007</v>
      </c>
      <c r="H2370" s="1067"/>
      <c r="I2370" s="1067"/>
      <c r="J2370" s="1067"/>
      <c r="K2370" s="1068"/>
      <c r="L2370" s="1066"/>
      <c r="M2370" s="1066"/>
      <c r="N2370" s="1066"/>
      <c r="O2370" s="1069"/>
      <c r="P2370" s="1066"/>
      <c r="Q2370" s="1070"/>
      <c r="R2370" s="1071"/>
      <c r="S2370" s="1070"/>
      <c r="T2370" s="1072"/>
      <c r="U2370" s="1073"/>
    </row>
    <row r="2371" spans="1:41" s="997" customFormat="1" ht="11.4">
      <c r="A2371" s="1074">
        <v>2</v>
      </c>
      <c r="B2371" s="1075">
        <v>1.5</v>
      </c>
      <c r="C2371" s="1075">
        <f>$A2371*$B2371</f>
        <v>3</v>
      </c>
      <c r="D2371" s="1076" t="str">
        <f>Elec_Rates!$D$200</f>
        <v>019# Lighting point in LSZH Conduit</v>
      </c>
      <c r="E2371" s="1076"/>
      <c r="F2371" s="1076" t="s">
        <v>1177</v>
      </c>
      <c r="G2371" s="1077" t="s">
        <v>1008</v>
      </c>
      <c r="H2371" s="1077"/>
      <c r="I2371" s="1077"/>
      <c r="J2371" s="1077"/>
      <c r="K2371" s="1078"/>
      <c r="L2371" s="1073"/>
      <c r="M2371" s="1073"/>
      <c r="N2371" s="1073"/>
      <c r="O2371" s="1079"/>
      <c r="P2371" s="1076"/>
      <c r="Q2371" s="1080">
        <f ca="1">$B2371*Elec_Rates!$R$200</f>
        <v>14.475000000000001</v>
      </c>
      <c r="R2371" s="1071">
        <f ca="1">$A2371*Q2371</f>
        <v>28.950000000000003</v>
      </c>
      <c r="S2371" s="1080">
        <f ca="1">$B2371*Elec_Rates!$T$200</f>
        <v>1.9650000000000001</v>
      </c>
      <c r="T2371" s="1072">
        <f ca="1">$A2371*S2371</f>
        <v>3.93</v>
      </c>
      <c r="U2371" s="1081"/>
    </row>
    <row r="2372" spans="1:41" s="504" customFormat="1" ht="12">
      <c r="A2372" s="882"/>
      <c r="B2372" s="882"/>
      <c r="C2372" s="882"/>
      <c r="D2372" s="882"/>
      <c r="E2372" s="882"/>
      <c r="F2372" s="877"/>
      <c r="G2372" s="882"/>
      <c r="H2372" s="882"/>
      <c r="I2372" s="503"/>
      <c r="J2372" s="882"/>
      <c r="K2372" s="882"/>
      <c r="L2372" s="882"/>
      <c r="M2372" s="882"/>
      <c r="N2372" s="882"/>
      <c r="O2372" s="882"/>
      <c r="P2372" s="882"/>
      <c r="Q2372" s="503"/>
      <c r="R2372" s="883">
        <f>$A2372*Q2372</f>
        <v>0</v>
      </c>
      <c r="S2372" s="503"/>
      <c r="T2372" s="884">
        <f>$A2372*S2372*$T$1</f>
        <v>0</v>
      </c>
    </row>
    <row r="2373" spans="1:41" s="504" customFormat="1" ht="12.6" thickBot="1">
      <c r="A2373" s="885" t="s">
        <v>142</v>
      </c>
      <c r="B2373" s="886">
        <f>(R2372+T2372)</f>
        <v>0</v>
      </c>
      <c r="C2373" s="887"/>
      <c r="D2373" s="887"/>
      <c r="E2373" s="887"/>
      <c r="F2373" s="888"/>
      <c r="G2373" s="887" t="s">
        <v>143</v>
      </c>
      <c r="H2373" s="887"/>
      <c r="I2373" s="889"/>
      <c r="J2373" s="887"/>
      <c r="K2373" s="887" t="s">
        <v>3</v>
      </c>
      <c r="L2373" s="890" t="s">
        <v>140</v>
      </c>
      <c r="M2373" s="890"/>
      <c r="N2373" s="890"/>
      <c r="O2373" s="890"/>
      <c r="P2373" s="890"/>
      <c r="Q2373" s="891"/>
      <c r="R2373" s="892">
        <f ca="1">SUM(R2369:R2372)</f>
        <v>28.950000000000003</v>
      </c>
      <c r="S2373" s="887"/>
      <c r="T2373" s="892">
        <f ca="1">SUM(T2369:T2372)</f>
        <v>3.93</v>
      </c>
      <c r="U2373" s="514"/>
      <c r="V2373" s="514"/>
      <c r="W2373" s="514"/>
      <c r="X2373" s="514"/>
      <c r="Y2373" s="514"/>
      <c r="Z2373" s="514"/>
      <c r="AA2373" s="514"/>
      <c r="AB2373" s="514"/>
      <c r="AC2373" s="514"/>
      <c r="AD2373" s="514"/>
      <c r="AE2373" s="514"/>
      <c r="AF2373" s="514"/>
      <c r="AG2373" s="514"/>
      <c r="AH2373" s="514"/>
      <c r="AI2373" s="514"/>
      <c r="AJ2373" s="514"/>
      <c r="AK2373" s="514"/>
      <c r="AL2373" s="514"/>
      <c r="AM2373" s="514"/>
      <c r="AN2373" s="514"/>
      <c r="AO2373" s="514"/>
    </row>
    <row r="2374" spans="1:41" s="504" customFormat="1" ht="12" thickTop="1">
      <c r="A2374" s="50"/>
      <c r="B2374" s="40"/>
      <c r="C2374" s="50"/>
      <c r="E2374" s="41" t="s">
        <v>136</v>
      </c>
      <c r="F2374" s="41" t="s">
        <v>137</v>
      </c>
      <c r="G2374" s="50"/>
      <c r="H2374" s="50"/>
      <c r="I2374" s="50"/>
      <c r="J2374" s="50"/>
      <c r="K2374" s="50" t="s">
        <v>138</v>
      </c>
      <c r="L2374" s="50"/>
      <c r="M2374" s="50"/>
      <c r="N2374" s="50"/>
      <c r="O2374" s="51"/>
      <c r="P2374" s="50"/>
      <c r="Q2374" s="50"/>
      <c r="R2374" s="50"/>
      <c r="S2374" s="50"/>
      <c r="T2374" s="40"/>
      <c r="AG2374" s="867" t="s">
        <v>241</v>
      </c>
      <c r="AH2374" s="867" t="s">
        <v>242</v>
      </c>
      <c r="AI2374" s="867" t="s">
        <v>243</v>
      </c>
      <c r="AJ2374" s="867" t="s">
        <v>244</v>
      </c>
      <c r="AK2374" s="867" t="s">
        <v>245</v>
      </c>
      <c r="AM2374" s="868" t="s">
        <v>254</v>
      </c>
      <c r="AN2374" s="869" t="s">
        <v>255</v>
      </c>
      <c r="AO2374" s="505" t="s">
        <v>251</v>
      </c>
    </row>
    <row r="2375" spans="1:41" s="504" customFormat="1" ht="12" customHeight="1">
      <c r="A2375" s="870">
        <v>1</v>
      </c>
      <c r="B2375" s="871" t="s">
        <v>335</v>
      </c>
      <c r="C2375" s="872"/>
      <c r="D2375" s="873" t="s">
        <v>808</v>
      </c>
      <c r="E2375" s="874">
        <f ca="1">IF(AND($A2375=0,$A$1="DIF"),0, ROUND(ROUND(($R2380*$S$2+($T2380*$T$2))/A2375,2)*$C$2,2))</f>
        <v>260.33999999999997</v>
      </c>
      <c r="F2375" s="875">
        <f ca="1">ROUND($A2375*$E2375,2)</f>
        <v>260.33999999999997</v>
      </c>
      <c r="G2375" s="876" t="s">
        <v>139</v>
      </c>
      <c r="H2375" s="877"/>
      <c r="I2375" s="878"/>
      <c r="J2375" s="877"/>
      <c r="K2375" s="877" t="s">
        <v>3</v>
      </c>
      <c r="L2375" s="879" t="s">
        <v>140</v>
      </c>
      <c r="M2375" s="879"/>
      <c r="N2375" s="879"/>
      <c r="O2375" s="879"/>
      <c r="P2375" s="879"/>
      <c r="Q2375" s="50"/>
      <c r="T2375" s="880" t="str">
        <f ca="1">IF(AND($R2380=0,$T2380=0),"0.00","mu :" &amp; ROUND($F2375/$C$2/($R2380+$T2380*$D$9),2))</f>
        <v>mu :1.22</v>
      </c>
      <c r="W2375" s="507"/>
      <c r="AG2375" s="465">
        <f ca="1">IF($E2375=0,0,ROUND($R2380*$S$2*$C$2/$A2375,2))</f>
        <v>52.98</v>
      </c>
      <c r="AH2375" s="465">
        <f ca="1">$AG2375*$A2375</f>
        <v>52.98</v>
      </c>
      <c r="AI2375" s="508">
        <f ca="1">$E2375-$AG2375</f>
        <v>207.35999999999999</v>
      </c>
      <c r="AJ2375" s="508">
        <f ca="1">$A2375*$AI2375</f>
        <v>207.35999999999999</v>
      </c>
      <c r="AK2375" s="509">
        <f ca="1">ROUND(($AG2375+$AI2375)*$A2375,2)</f>
        <v>260.33999999999997</v>
      </c>
      <c r="AM2375" s="510">
        <f ca="1">ROUND(R2380,2)</f>
        <v>43.43</v>
      </c>
      <c r="AN2375" s="511">
        <f ca="1">ROUND(T2380,2)</f>
        <v>5.9</v>
      </c>
      <c r="AO2375" s="512">
        <f ca="1">ROUND(AM2375+AN2375,2)*A2375</f>
        <v>49.33</v>
      </c>
    </row>
    <row r="2376" spans="1:41" s="504" customFormat="1" ht="13.2">
      <c r="A2376" s="872"/>
      <c r="B2376"/>
      <c r="C2376" s="872"/>
      <c r="D2376" s="873" t="s">
        <v>336</v>
      </c>
      <c r="F2376" s="877"/>
      <c r="G2376" s="3"/>
      <c r="H2376" s="877"/>
      <c r="I2376" s="878"/>
      <c r="J2376" s="877"/>
      <c r="K2376" s="877" t="s">
        <v>141</v>
      </c>
      <c r="L2376" s="877"/>
      <c r="M2376" s="877"/>
      <c r="N2376" s="877"/>
      <c r="O2376" s="877"/>
      <c r="P2376" s="877"/>
      <c r="Q2376" s="50"/>
      <c r="R2376" s="513"/>
      <c r="S2376" s="881"/>
      <c r="T2376" s="877"/>
    </row>
    <row r="2377" spans="1:41" s="997" customFormat="1" ht="13.2">
      <c r="A2377"/>
      <c r="B2377" s="1065"/>
      <c r="C2377" s="1065" t="s">
        <v>1006</v>
      </c>
      <c r="D2377" s="1065" t="str">
        <f ca="1">CELL("Address",Elec_Rates!D$200)</f>
        <v>[EL25_0662B_Brittania_Hotel_Elec_Revised_Estim_B.xlsx]Elec_Rates!$D$200</v>
      </c>
      <c r="E2377" s="1066"/>
      <c r="F2377" s="1066"/>
      <c r="G2377" s="1067" t="s">
        <v>1007</v>
      </c>
      <c r="H2377" s="1067"/>
      <c r="I2377" s="1067"/>
      <c r="J2377" s="1067"/>
      <c r="K2377" s="1068"/>
      <c r="L2377" s="1066"/>
      <c r="M2377" s="1066"/>
      <c r="N2377" s="1066"/>
      <c r="O2377" s="1069"/>
      <c r="P2377" s="1066"/>
      <c r="Q2377" s="1070"/>
      <c r="R2377" s="1071"/>
      <c r="S2377" s="1070"/>
      <c r="T2377" s="1072"/>
      <c r="U2377" s="1073"/>
    </row>
    <row r="2378" spans="1:41" s="997" customFormat="1" ht="11.4">
      <c r="A2378" s="1074">
        <v>1</v>
      </c>
      <c r="B2378" s="1075">
        <v>4.5</v>
      </c>
      <c r="C2378" s="1075">
        <f>$A2378*$B2378</f>
        <v>4.5</v>
      </c>
      <c r="D2378" s="1076" t="str">
        <f>Elec_Rates!$D$200</f>
        <v>019# Lighting point in LSZH Conduit</v>
      </c>
      <c r="E2378" s="1076"/>
      <c r="F2378" s="1076" t="s">
        <v>1170</v>
      </c>
      <c r="G2378" s="1077" t="s">
        <v>1008</v>
      </c>
      <c r="H2378" s="1077"/>
      <c r="I2378" s="1077"/>
      <c r="J2378" s="1077"/>
      <c r="K2378" s="1078"/>
      <c r="L2378" s="1073"/>
      <c r="M2378" s="1073"/>
      <c r="N2378" s="1073"/>
      <c r="O2378" s="1079"/>
      <c r="P2378" s="1076"/>
      <c r="Q2378" s="1080">
        <f ca="1">$B2378*Elec_Rates!$R$200</f>
        <v>43.425000000000004</v>
      </c>
      <c r="R2378" s="1071">
        <f ca="1">$A2378*Q2378</f>
        <v>43.425000000000004</v>
      </c>
      <c r="S2378" s="1080">
        <f ca="1">$B2378*Elec_Rates!$T$200</f>
        <v>5.8950000000000005</v>
      </c>
      <c r="T2378" s="1072">
        <f ca="1">$A2378*S2378</f>
        <v>5.8950000000000005</v>
      </c>
      <c r="U2378" s="1081"/>
    </row>
    <row r="2379" spans="1:41" s="504" customFormat="1" ht="12">
      <c r="A2379" s="882"/>
      <c r="B2379" s="882"/>
      <c r="C2379" s="882"/>
      <c r="D2379" s="882"/>
      <c r="E2379" s="882"/>
      <c r="F2379" s="877"/>
      <c r="G2379" s="882"/>
      <c r="H2379" s="882"/>
      <c r="I2379" s="503"/>
      <c r="J2379" s="882"/>
      <c r="K2379" s="882"/>
      <c r="L2379" s="882"/>
      <c r="M2379" s="882"/>
      <c r="N2379" s="882"/>
      <c r="O2379" s="882"/>
      <c r="P2379" s="882"/>
      <c r="Q2379" s="503"/>
      <c r="R2379" s="883">
        <f>$A2379*Q2379</f>
        <v>0</v>
      </c>
      <c r="S2379" s="503"/>
      <c r="T2379" s="884">
        <f>$A2379*S2379*$T$1</f>
        <v>0</v>
      </c>
    </row>
    <row r="2380" spans="1:41" s="504" customFormat="1" ht="12.6" thickBot="1">
      <c r="A2380" s="885" t="s">
        <v>142</v>
      </c>
      <c r="B2380" s="886">
        <f>(R2379+T2379)</f>
        <v>0</v>
      </c>
      <c r="C2380" s="887"/>
      <c r="D2380" s="887"/>
      <c r="E2380" s="887"/>
      <c r="F2380" s="888"/>
      <c r="G2380" s="887" t="s">
        <v>143</v>
      </c>
      <c r="H2380" s="887"/>
      <c r="I2380" s="889"/>
      <c r="J2380" s="887"/>
      <c r="K2380" s="887" t="s">
        <v>3</v>
      </c>
      <c r="L2380" s="890" t="s">
        <v>140</v>
      </c>
      <c r="M2380" s="890"/>
      <c r="N2380" s="890"/>
      <c r="O2380" s="890"/>
      <c r="P2380" s="890"/>
      <c r="Q2380" s="891"/>
      <c r="R2380" s="892">
        <f ca="1">SUM(R2376:R2379)</f>
        <v>43.425000000000004</v>
      </c>
      <c r="S2380" s="887"/>
      <c r="T2380" s="892">
        <f ca="1">SUM(T2376:T2379)</f>
        <v>5.8950000000000005</v>
      </c>
      <c r="U2380" s="514"/>
      <c r="V2380" s="514"/>
      <c r="W2380" s="514"/>
      <c r="X2380" s="514"/>
      <c r="Y2380" s="514"/>
      <c r="Z2380" s="514"/>
      <c r="AA2380" s="514"/>
      <c r="AB2380" s="514"/>
      <c r="AC2380" s="514"/>
      <c r="AD2380" s="514"/>
      <c r="AE2380" s="514"/>
      <c r="AF2380" s="514"/>
      <c r="AG2380" s="514"/>
      <c r="AH2380" s="514"/>
      <c r="AI2380" s="514"/>
      <c r="AJ2380" s="514"/>
      <c r="AK2380" s="514"/>
      <c r="AL2380" s="514"/>
      <c r="AM2380" s="514"/>
      <c r="AN2380" s="514"/>
      <c r="AO2380" s="514"/>
    </row>
    <row r="2381" spans="1:41" s="504" customFormat="1" ht="12" thickTop="1">
      <c r="A2381" s="50"/>
      <c r="B2381" s="40"/>
      <c r="C2381" s="50"/>
      <c r="E2381" s="41" t="s">
        <v>136</v>
      </c>
      <c r="F2381" s="41" t="s">
        <v>137</v>
      </c>
      <c r="G2381" s="50"/>
      <c r="H2381" s="50"/>
      <c r="I2381" s="50"/>
      <c r="J2381" s="50"/>
      <c r="K2381" s="50" t="s">
        <v>138</v>
      </c>
      <c r="L2381" s="50"/>
      <c r="M2381" s="50"/>
      <c r="N2381" s="50"/>
      <c r="O2381" s="51"/>
      <c r="P2381" s="50"/>
      <c r="Q2381" s="50"/>
      <c r="R2381" s="50"/>
      <c r="S2381" s="50"/>
      <c r="T2381" s="40"/>
      <c r="AG2381" s="867" t="s">
        <v>241</v>
      </c>
      <c r="AH2381" s="867" t="s">
        <v>242</v>
      </c>
      <c r="AI2381" s="867" t="s">
        <v>243</v>
      </c>
      <c r="AJ2381" s="867" t="s">
        <v>244</v>
      </c>
      <c r="AK2381" s="867" t="s">
        <v>245</v>
      </c>
      <c r="AM2381" s="868" t="s">
        <v>254</v>
      </c>
      <c r="AN2381" s="869" t="s">
        <v>255</v>
      </c>
      <c r="AO2381" s="505" t="s">
        <v>251</v>
      </c>
    </row>
    <row r="2382" spans="1:41" s="504" customFormat="1" ht="12" customHeight="1">
      <c r="A2382" s="870">
        <v>1</v>
      </c>
      <c r="B2382" s="871" t="s">
        <v>335</v>
      </c>
      <c r="C2382" s="872"/>
      <c r="D2382" s="873" t="s">
        <v>810</v>
      </c>
      <c r="E2382" s="874">
        <f ca="1">IF(AND($A2382=0,$A$1="DIF"),0, ROUND(ROUND(($R2387*$S$2+($T2387*$T$2))/A2382,2)*$C$2,2))</f>
        <v>144.63</v>
      </c>
      <c r="F2382" s="875">
        <f ca="1">ROUND($A2382*$E2382,2)</f>
        <v>144.63</v>
      </c>
      <c r="G2382" s="876" t="s">
        <v>139</v>
      </c>
      <c r="H2382" s="877"/>
      <c r="I2382" s="878"/>
      <c r="J2382" s="877"/>
      <c r="K2382" s="877" t="s">
        <v>3</v>
      </c>
      <c r="L2382" s="879" t="s">
        <v>140</v>
      </c>
      <c r="M2382" s="879"/>
      <c r="N2382" s="879"/>
      <c r="O2382" s="879"/>
      <c r="P2382" s="879"/>
      <c r="Q2382" s="50"/>
      <c r="T2382" s="880" t="str">
        <f ca="1">IF(AND($R2387=0,$T2387=0),"0.00","mu :" &amp; ROUND($F2382/$C$2/($R2387+$T2387*$D$9),2))</f>
        <v>mu :1.22</v>
      </c>
      <c r="W2382" s="507"/>
      <c r="AG2382" s="465">
        <f ca="1">IF($E2382=0,0,ROUND($R2387*$S$2*$C$2/$A2382,2))</f>
        <v>29.43</v>
      </c>
      <c r="AH2382" s="465">
        <f ca="1">$AG2382*$A2382</f>
        <v>29.43</v>
      </c>
      <c r="AI2382" s="508">
        <f ca="1">$E2382-$AG2382</f>
        <v>115.19999999999999</v>
      </c>
      <c r="AJ2382" s="508">
        <f ca="1">$A2382*$AI2382</f>
        <v>115.19999999999999</v>
      </c>
      <c r="AK2382" s="509">
        <f ca="1">ROUND(($AG2382+$AI2382)*$A2382,2)</f>
        <v>144.63</v>
      </c>
      <c r="AM2382" s="510">
        <f ca="1">ROUND(R2387,2)</f>
        <v>24.13</v>
      </c>
      <c r="AN2382" s="511">
        <f ca="1">ROUND(T2387,2)</f>
        <v>3.28</v>
      </c>
      <c r="AO2382" s="512">
        <f ca="1">ROUND(AM2382+AN2382,2)*A2382</f>
        <v>27.41</v>
      </c>
    </row>
    <row r="2383" spans="1:41" s="504" customFormat="1" ht="13.2">
      <c r="A2383" s="872"/>
      <c r="B2383"/>
      <c r="C2383" s="872"/>
      <c r="D2383" s="873" t="s">
        <v>448</v>
      </c>
      <c r="F2383" s="877"/>
      <c r="G2383" s="3"/>
      <c r="H2383" s="877"/>
      <c r="I2383" s="878"/>
      <c r="J2383" s="877"/>
      <c r="K2383" s="877" t="s">
        <v>141</v>
      </c>
      <c r="L2383" s="877"/>
      <c r="M2383" s="877"/>
      <c r="N2383" s="877"/>
      <c r="O2383" s="877"/>
      <c r="P2383" s="877"/>
      <c r="Q2383" s="50"/>
      <c r="R2383" s="513"/>
      <c r="S2383" s="881"/>
      <c r="T2383" s="877"/>
    </row>
    <row r="2384" spans="1:41" s="997" customFormat="1" ht="13.2">
      <c r="A2384"/>
      <c r="B2384" s="1065"/>
      <c r="C2384" s="1065" t="s">
        <v>1006</v>
      </c>
      <c r="D2384" s="1065" t="str">
        <f ca="1">CELL("Address",Elec_Rates!D$200)</f>
        <v>[EL25_0662B_Brittania_Hotel_Elec_Revised_Estim_B.xlsx]Elec_Rates!$D$200</v>
      </c>
      <c r="E2384" s="1066"/>
      <c r="F2384" s="1066"/>
      <c r="G2384" s="1067" t="s">
        <v>1007</v>
      </c>
      <c r="H2384" s="1067"/>
      <c r="I2384" s="1067"/>
      <c r="J2384" s="1067"/>
      <c r="K2384" s="1068"/>
      <c r="L2384" s="1066"/>
      <c r="M2384" s="1066"/>
      <c r="N2384" s="1066"/>
      <c r="O2384" s="1069"/>
      <c r="P2384" s="1066"/>
      <c r="Q2384" s="1070"/>
      <c r="R2384" s="1071"/>
      <c r="S2384" s="1070"/>
      <c r="T2384" s="1072"/>
      <c r="U2384" s="1073"/>
    </row>
    <row r="2385" spans="1:41" s="997" customFormat="1" ht="11.4">
      <c r="A2385" s="1074">
        <v>1</v>
      </c>
      <c r="B2385" s="1075">
        <v>2.5</v>
      </c>
      <c r="C2385" s="1075">
        <f>$A2385*$B2385</f>
        <v>2.5</v>
      </c>
      <c r="D2385" s="1076" t="str">
        <f>Elec_Rates!$D$200</f>
        <v>019# Lighting point in LSZH Conduit</v>
      </c>
      <c r="E2385" s="1076"/>
      <c r="F2385" s="1076" t="s">
        <v>1330</v>
      </c>
      <c r="G2385" s="1077" t="s">
        <v>1008</v>
      </c>
      <c r="H2385" s="1077"/>
      <c r="I2385" s="1077"/>
      <c r="J2385" s="1077"/>
      <c r="K2385" s="1078"/>
      <c r="L2385" s="1073"/>
      <c r="M2385" s="1073"/>
      <c r="N2385" s="1073"/>
      <c r="O2385" s="1079"/>
      <c r="P2385" s="1076"/>
      <c r="Q2385" s="1080">
        <f ca="1">$B2385*Elec_Rates!$R$200</f>
        <v>24.125</v>
      </c>
      <c r="R2385" s="1071">
        <f ca="1">$A2385*Q2385</f>
        <v>24.125</v>
      </c>
      <c r="S2385" s="1080">
        <f ca="1">$B2385*Elec_Rates!$T$200</f>
        <v>3.2750000000000004</v>
      </c>
      <c r="T2385" s="1072">
        <f ca="1">$A2385*S2385</f>
        <v>3.2750000000000004</v>
      </c>
      <c r="U2385" s="1081"/>
    </row>
    <row r="2386" spans="1:41" s="504" customFormat="1" ht="12">
      <c r="A2386" s="882"/>
      <c r="B2386" s="882"/>
      <c r="C2386" s="882"/>
      <c r="D2386" s="882"/>
      <c r="E2386" s="882"/>
      <c r="F2386" s="877"/>
      <c r="G2386" s="882"/>
      <c r="H2386" s="882"/>
      <c r="I2386" s="503"/>
      <c r="J2386" s="882"/>
      <c r="K2386" s="882"/>
      <c r="L2386" s="882"/>
      <c r="M2386" s="882"/>
      <c r="N2386" s="882"/>
      <c r="O2386" s="882"/>
      <c r="P2386" s="882"/>
      <c r="Q2386" s="503"/>
      <c r="R2386" s="883">
        <f>$A2386*Q2386</f>
        <v>0</v>
      </c>
      <c r="S2386" s="503"/>
      <c r="T2386" s="884">
        <f>$A2386*S2386*$T$1</f>
        <v>0</v>
      </c>
    </row>
    <row r="2387" spans="1:41" s="504" customFormat="1" ht="12.6" thickBot="1">
      <c r="A2387" s="885" t="s">
        <v>142</v>
      </c>
      <c r="B2387" s="886">
        <f>(R2386+T2386)</f>
        <v>0</v>
      </c>
      <c r="C2387" s="887"/>
      <c r="D2387" s="887"/>
      <c r="E2387" s="887"/>
      <c r="F2387" s="888"/>
      <c r="G2387" s="887" t="s">
        <v>143</v>
      </c>
      <c r="H2387" s="887"/>
      <c r="I2387" s="889"/>
      <c r="J2387" s="887"/>
      <c r="K2387" s="887" t="s">
        <v>3</v>
      </c>
      <c r="L2387" s="890" t="s">
        <v>140</v>
      </c>
      <c r="M2387" s="890"/>
      <c r="N2387" s="890"/>
      <c r="O2387" s="890"/>
      <c r="P2387" s="890"/>
      <c r="Q2387" s="891"/>
      <c r="R2387" s="892">
        <f ca="1">SUM(R2383:R2386)</f>
        <v>24.125</v>
      </c>
      <c r="S2387" s="887"/>
      <c r="T2387" s="892">
        <f ca="1">SUM(T2383:T2386)</f>
        <v>3.2750000000000004</v>
      </c>
      <c r="U2387" s="514"/>
      <c r="V2387" s="514"/>
      <c r="W2387" s="514"/>
      <c r="X2387" s="514"/>
      <c r="Y2387" s="514"/>
      <c r="Z2387" s="514"/>
      <c r="AA2387" s="514"/>
      <c r="AB2387" s="514"/>
      <c r="AC2387" s="514"/>
      <c r="AD2387" s="514"/>
      <c r="AE2387" s="514"/>
      <c r="AF2387" s="514"/>
      <c r="AG2387" s="514"/>
      <c r="AH2387" s="514"/>
      <c r="AI2387" s="514"/>
      <c r="AJ2387" s="514"/>
      <c r="AK2387" s="514"/>
      <c r="AL2387" s="514"/>
      <c r="AM2387" s="514"/>
      <c r="AN2387" s="514"/>
      <c r="AO2387" s="514"/>
    </row>
    <row r="2388" spans="1:41" s="504" customFormat="1" ht="12" thickTop="1">
      <c r="A2388" s="50"/>
      <c r="B2388" s="40"/>
      <c r="C2388" s="50"/>
      <c r="E2388" s="41" t="s">
        <v>136</v>
      </c>
      <c r="F2388" s="41" t="s">
        <v>137</v>
      </c>
      <c r="G2388" s="50"/>
      <c r="H2388" s="50"/>
      <c r="I2388" s="50"/>
      <c r="J2388" s="50"/>
      <c r="K2388" s="50" t="s">
        <v>138</v>
      </c>
      <c r="L2388" s="50"/>
      <c r="M2388" s="50"/>
      <c r="N2388" s="50"/>
      <c r="O2388" s="51"/>
      <c r="P2388" s="50"/>
      <c r="Q2388" s="50"/>
      <c r="R2388" s="50"/>
      <c r="S2388" s="50"/>
      <c r="T2388" s="40"/>
      <c r="AG2388" s="867" t="s">
        <v>241</v>
      </c>
      <c r="AH2388" s="867" t="s">
        <v>242</v>
      </c>
      <c r="AI2388" s="867" t="s">
        <v>243</v>
      </c>
      <c r="AJ2388" s="867" t="s">
        <v>244</v>
      </c>
      <c r="AK2388" s="867" t="s">
        <v>245</v>
      </c>
      <c r="AM2388" s="868" t="s">
        <v>254</v>
      </c>
      <c r="AN2388" s="869" t="s">
        <v>255</v>
      </c>
      <c r="AO2388" s="505" t="s">
        <v>251</v>
      </c>
    </row>
    <row r="2389" spans="1:41" s="504" customFormat="1" ht="12" customHeight="1">
      <c r="A2389" s="870">
        <v>3</v>
      </c>
      <c r="B2389" s="871" t="s">
        <v>335</v>
      </c>
      <c r="C2389" s="872"/>
      <c r="D2389" s="873" t="s">
        <v>812</v>
      </c>
      <c r="E2389" s="874">
        <f ca="1">IF(AND($A2389=0,$A$1="DIF"),0, ROUND(ROUND(($R2394*$S$2+($T2394*$T$2))/A2389,2)*$C$2,2))</f>
        <v>318.2</v>
      </c>
      <c r="F2389" s="875">
        <f ca="1">ROUND($A2389*$E2389,2)</f>
        <v>954.6</v>
      </c>
      <c r="G2389" s="876" t="s">
        <v>139</v>
      </c>
      <c r="H2389" s="877"/>
      <c r="I2389" s="878"/>
      <c r="J2389" s="877"/>
      <c r="K2389" s="877" t="s">
        <v>3</v>
      </c>
      <c r="L2389" s="879" t="s">
        <v>140</v>
      </c>
      <c r="M2389" s="879"/>
      <c r="N2389" s="879"/>
      <c r="O2389" s="879"/>
      <c r="P2389" s="879"/>
      <c r="Q2389" s="50"/>
      <c r="T2389" s="880" t="str">
        <f ca="1">IF(AND($R2394=0,$T2394=0),"0.00","mu :" &amp; ROUND($F2389/$C$2/($R2394+$T2394*$D$9),2))</f>
        <v>mu :1.22</v>
      </c>
      <c r="W2389" s="507"/>
      <c r="AG2389" s="465">
        <f ca="1">IF($E2389=0,0,ROUND($R2394*$S$2*$C$2/$A2389,2))</f>
        <v>64.75</v>
      </c>
      <c r="AH2389" s="465">
        <f ca="1">$AG2389*$A2389</f>
        <v>194.25</v>
      </c>
      <c r="AI2389" s="508">
        <f ca="1">$E2389-$AG2389</f>
        <v>253.45</v>
      </c>
      <c r="AJ2389" s="508">
        <f ca="1">$A2389*$AI2389</f>
        <v>760.34999999999991</v>
      </c>
      <c r="AK2389" s="509">
        <f ca="1">ROUND(($AG2389+$AI2389)*$A2389,2)</f>
        <v>954.6</v>
      </c>
      <c r="AM2389" s="510">
        <f ca="1">ROUND(R2394,2)</f>
        <v>159.22999999999999</v>
      </c>
      <c r="AN2389" s="511">
        <f ca="1">ROUND(T2394,2)</f>
        <v>21.62</v>
      </c>
      <c r="AO2389" s="512">
        <f ca="1">ROUND(AM2389+AN2389,2)*A2389</f>
        <v>542.54999999999995</v>
      </c>
    </row>
    <row r="2390" spans="1:41" s="504" customFormat="1" ht="13.2">
      <c r="A2390" s="872"/>
      <c r="B2390"/>
      <c r="C2390" s="872"/>
      <c r="D2390" s="873" t="s">
        <v>405</v>
      </c>
      <c r="F2390" s="877"/>
      <c r="G2390" s="3"/>
      <c r="H2390" s="877"/>
      <c r="I2390" s="878"/>
      <c r="J2390" s="877"/>
      <c r="K2390" s="877" t="s">
        <v>141</v>
      </c>
      <c r="L2390" s="877"/>
      <c r="M2390" s="877"/>
      <c r="N2390" s="877"/>
      <c r="O2390" s="877"/>
      <c r="P2390" s="877"/>
      <c r="Q2390" s="50"/>
      <c r="R2390" s="513"/>
      <c r="S2390" s="881"/>
      <c r="T2390" s="877"/>
    </row>
    <row r="2391" spans="1:41" s="997" customFormat="1" ht="13.2">
      <c r="A2391"/>
      <c r="B2391" s="1065"/>
      <c r="C2391" s="1065" t="s">
        <v>1006</v>
      </c>
      <c r="D2391" s="1065" t="str">
        <f ca="1">CELL("Address",Elec_Rates!D$200)</f>
        <v>[EL25_0662B_Brittania_Hotel_Elec_Revised_Estim_B.xlsx]Elec_Rates!$D$200</v>
      </c>
      <c r="E2391" s="1066"/>
      <c r="F2391" s="1066"/>
      <c r="G2391" s="1067" t="s">
        <v>1007</v>
      </c>
      <c r="H2391" s="1067"/>
      <c r="I2391" s="1067"/>
      <c r="J2391" s="1067"/>
      <c r="K2391" s="1068"/>
      <c r="L2391" s="1066"/>
      <c r="M2391" s="1066"/>
      <c r="N2391" s="1066"/>
      <c r="O2391" s="1069"/>
      <c r="P2391" s="1066"/>
      <c r="Q2391" s="1070"/>
      <c r="R2391" s="1071"/>
      <c r="S2391" s="1070"/>
      <c r="T2391" s="1072"/>
      <c r="U2391" s="1073"/>
    </row>
    <row r="2392" spans="1:41" s="997" customFormat="1" ht="11.4">
      <c r="A2392" s="1074">
        <v>3</v>
      </c>
      <c r="B2392" s="1075">
        <v>5.5</v>
      </c>
      <c r="C2392" s="1075">
        <f>$A2392*$B2392</f>
        <v>16.5</v>
      </c>
      <c r="D2392" s="1076" t="str">
        <f>Elec_Rates!$D$200</f>
        <v>019# Lighting point in LSZH Conduit</v>
      </c>
      <c r="E2392" s="1076"/>
      <c r="F2392" s="1076" t="s">
        <v>1329</v>
      </c>
      <c r="G2392" s="1077" t="s">
        <v>1008</v>
      </c>
      <c r="H2392" s="1077"/>
      <c r="I2392" s="1077"/>
      <c r="J2392" s="1077"/>
      <c r="K2392" s="1078"/>
      <c r="L2392" s="1073"/>
      <c r="M2392" s="1073"/>
      <c r="N2392" s="1073"/>
      <c r="O2392" s="1079"/>
      <c r="P2392" s="1076"/>
      <c r="Q2392" s="1080">
        <f ca="1">$B2392*Elec_Rates!$R$200</f>
        <v>53.075000000000003</v>
      </c>
      <c r="R2392" s="1071">
        <f ca="1">$A2392*Q2392</f>
        <v>159.22500000000002</v>
      </c>
      <c r="S2392" s="1080">
        <f ca="1">$B2392*Elec_Rates!$T$200</f>
        <v>7.2050000000000001</v>
      </c>
      <c r="T2392" s="1072">
        <f ca="1">$A2392*S2392</f>
        <v>21.615000000000002</v>
      </c>
      <c r="U2392" s="1081"/>
    </row>
    <row r="2393" spans="1:41" s="504" customFormat="1" ht="12">
      <c r="A2393" s="882"/>
      <c r="B2393" s="882"/>
      <c r="C2393" s="882"/>
      <c r="D2393" s="882"/>
      <c r="E2393" s="882"/>
      <c r="F2393" s="877"/>
      <c r="G2393" s="882"/>
      <c r="H2393" s="882"/>
      <c r="I2393" s="503"/>
      <c r="J2393" s="882"/>
      <c r="K2393" s="882"/>
      <c r="L2393" s="882"/>
      <c r="M2393" s="882"/>
      <c r="N2393" s="882"/>
      <c r="O2393" s="882"/>
      <c r="P2393" s="882"/>
      <c r="Q2393" s="503"/>
      <c r="R2393" s="883">
        <f>$A2393*Q2393</f>
        <v>0</v>
      </c>
      <c r="S2393" s="503"/>
      <c r="T2393" s="884">
        <f>$A2393*S2393*$T$1</f>
        <v>0</v>
      </c>
    </row>
    <row r="2394" spans="1:41" s="504" customFormat="1" ht="12.6" thickBot="1">
      <c r="A2394" s="885" t="s">
        <v>142</v>
      </c>
      <c r="B2394" s="886">
        <f>(R2393+T2393)</f>
        <v>0</v>
      </c>
      <c r="C2394" s="887"/>
      <c r="D2394" s="887"/>
      <c r="E2394" s="887"/>
      <c r="F2394" s="888"/>
      <c r="G2394" s="887" t="s">
        <v>143</v>
      </c>
      <c r="H2394" s="887"/>
      <c r="I2394" s="889"/>
      <c r="J2394" s="887"/>
      <c r="K2394" s="887" t="s">
        <v>3</v>
      </c>
      <c r="L2394" s="890" t="s">
        <v>140</v>
      </c>
      <c r="M2394" s="890"/>
      <c r="N2394" s="890"/>
      <c r="O2394" s="890"/>
      <c r="P2394" s="890"/>
      <c r="Q2394" s="891"/>
      <c r="R2394" s="892">
        <f ca="1">SUM(R2390:R2393)</f>
        <v>159.22500000000002</v>
      </c>
      <c r="S2394" s="887"/>
      <c r="T2394" s="892">
        <f ca="1">SUM(T2390:T2393)</f>
        <v>21.615000000000002</v>
      </c>
      <c r="U2394" s="514"/>
      <c r="V2394" s="514"/>
      <c r="W2394" s="514"/>
      <c r="X2394" s="514"/>
      <c r="Y2394" s="514"/>
      <c r="Z2394" s="514"/>
      <c r="AA2394" s="514"/>
      <c r="AB2394" s="514"/>
      <c r="AC2394" s="514"/>
      <c r="AD2394" s="514"/>
      <c r="AE2394" s="514"/>
      <c r="AF2394" s="514"/>
      <c r="AG2394" s="514"/>
      <c r="AH2394" s="514"/>
      <c r="AI2394" s="514"/>
      <c r="AJ2394" s="514"/>
      <c r="AK2394" s="514"/>
      <c r="AL2394" s="514"/>
      <c r="AM2394" s="514"/>
      <c r="AN2394" s="514"/>
      <c r="AO2394" s="514"/>
    </row>
    <row r="2395" spans="1:41" s="504" customFormat="1" ht="12" thickTop="1">
      <c r="A2395" s="50"/>
      <c r="B2395" s="40"/>
      <c r="C2395" s="50"/>
      <c r="E2395" s="41" t="s">
        <v>136</v>
      </c>
      <c r="F2395" s="41" t="s">
        <v>137</v>
      </c>
      <c r="G2395" s="50"/>
      <c r="H2395" s="50"/>
      <c r="I2395" s="50"/>
      <c r="J2395" s="50"/>
      <c r="K2395" s="50" t="s">
        <v>138</v>
      </c>
      <c r="L2395" s="50"/>
      <c r="M2395" s="50"/>
      <c r="N2395" s="50"/>
      <c r="O2395" s="51"/>
      <c r="P2395" s="50"/>
      <c r="Q2395" s="50"/>
      <c r="R2395" s="50"/>
      <c r="S2395" s="50"/>
      <c r="T2395" s="40"/>
      <c r="AG2395" s="867" t="s">
        <v>241</v>
      </c>
      <c r="AH2395" s="867" t="s">
        <v>242</v>
      </c>
      <c r="AI2395" s="867" t="s">
        <v>243</v>
      </c>
      <c r="AJ2395" s="867" t="s">
        <v>244</v>
      </c>
      <c r="AK2395" s="867" t="s">
        <v>245</v>
      </c>
      <c r="AM2395" s="868" t="s">
        <v>254</v>
      </c>
      <c r="AN2395" s="869" t="s">
        <v>255</v>
      </c>
      <c r="AO2395" s="505" t="s">
        <v>251</v>
      </c>
    </row>
    <row r="2396" spans="1:41" s="504" customFormat="1" ht="12" customHeight="1">
      <c r="A2396" s="870">
        <v>1</v>
      </c>
      <c r="B2396" s="871" t="s">
        <v>335</v>
      </c>
      <c r="C2396" s="872"/>
      <c r="D2396" s="873" t="s">
        <v>819</v>
      </c>
      <c r="E2396" s="874">
        <f ca="1">IF(AND($A2396=0,$A$1="DIF"),0, ROUND(ROUND(($R2401*$S$2+($T2401*$T$2))/A2396,2)*$C$2,2))</f>
        <v>144.63</v>
      </c>
      <c r="F2396" s="875">
        <f ca="1">ROUND($A2396*$E2396,2)</f>
        <v>144.63</v>
      </c>
      <c r="G2396" s="876" t="s">
        <v>139</v>
      </c>
      <c r="H2396" s="877"/>
      <c r="I2396" s="878"/>
      <c r="J2396" s="877"/>
      <c r="K2396" s="877" t="s">
        <v>3</v>
      </c>
      <c r="L2396" s="879" t="s">
        <v>140</v>
      </c>
      <c r="M2396" s="879"/>
      <c r="N2396" s="879"/>
      <c r="O2396" s="879"/>
      <c r="P2396" s="879"/>
      <c r="Q2396" s="50"/>
      <c r="T2396" s="880" t="str">
        <f ca="1">IF(AND($R2401=0,$T2401=0),"0.00","mu :" &amp; ROUND($F2396/$C$2/($R2401+$T2401*$D$9),2))</f>
        <v>mu :1.22</v>
      </c>
      <c r="W2396" s="507"/>
      <c r="AG2396" s="465">
        <f ca="1">IF($E2396=0,0,ROUND($R2401*$S$2*$C$2/$A2396,2))</f>
        <v>29.43</v>
      </c>
      <c r="AH2396" s="465">
        <f ca="1">$AG2396*$A2396</f>
        <v>29.43</v>
      </c>
      <c r="AI2396" s="508">
        <f ca="1">$E2396-$AG2396</f>
        <v>115.19999999999999</v>
      </c>
      <c r="AJ2396" s="508">
        <f ca="1">$A2396*$AI2396</f>
        <v>115.19999999999999</v>
      </c>
      <c r="AK2396" s="509">
        <f ca="1">ROUND(($AG2396+$AI2396)*$A2396,2)</f>
        <v>144.63</v>
      </c>
      <c r="AM2396" s="510">
        <f ca="1">ROUND(R2401,2)</f>
        <v>24.13</v>
      </c>
      <c r="AN2396" s="511">
        <f ca="1">ROUND(T2401,2)</f>
        <v>3.28</v>
      </c>
      <c r="AO2396" s="512">
        <f ca="1">ROUND(AM2396+AN2396,2)*A2396</f>
        <v>27.41</v>
      </c>
    </row>
    <row r="2397" spans="1:41" s="504" customFormat="1" ht="13.2">
      <c r="A2397" s="872"/>
      <c r="B2397"/>
      <c r="C2397" s="872"/>
      <c r="D2397" s="916" t="s">
        <v>435</v>
      </c>
      <c r="E2397" s="917"/>
      <c r="F2397" s="918"/>
      <c r="G2397" s="919"/>
      <c r="H2397" s="918"/>
      <c r="I2397" s="920"/>
      <c r="J2397" s="918"/>
      <c r="K2397" s="918"/>
      <c r="L2397" s="918"/>
      <c r="M2397" s="918"/>
      <c r="N2397" s="918"/>
      <c r="O2397" s="918"/>
      <c r="P2397" s="918"/>
      <c r="Q2397" s="921"/>
      <c r="R2397" s="513"/>
      <c r="S2397" s="881"/>
      <c r="T2397" s="877"/>
    </row>
    <row r="2398" spans="1:41" s="997" customFormat="1" ht="13.2">
      <c r="A2398"/>
      <c r="B2398" s="1065"/>
      <c r="C2398" s="1065" t="s">
        <v>1006</v>
      </c>
      <c r="D2398" s="1065" t="str">
        <f ca="1">CELL("Address",Elec_Rates!D$200)</f>
        <v>[EL25_0662B_Brittania_Hotel_Elec_Revised_Estim_B.xlsx]Elec_Rates!$D$200</v>
      </c>
      <c r="E2398" s="1066"/>
      <c r="F2398" s="1066"/>
      <c r="G2398" s="1067" t="s">
        <v>1007</v>
      </c>
      <c r="H2398" s="1067"/>
      <c r="I2398" s="1067"/>
      <c r="J2398" s="1067"/>
      <c r="K2398" s="1068"/>
      <c r="L2398" s="1066"/>
      <c r="M2398" s="1066"/>
      <c r="N2398" s="1066"/>
      <c r="O2398" s="1069"/>
      <c r="P2398" s="1066"/>
      <c r="Q2398" s="1070"/>
      <c r="R2398" s="1071"/>
      <c r="S2398" s="1070"/>
      <c r="T2398" s="1072"/>
      <c r="U2398" s="1073"/>
    </row>
    <row r="2399" spans="1:41" s="997" customFormat="1" ht="11.4">
      <c r="A2399" s="1074">
        <v>1</v>
      </c>
      <c r="B2399" s="1075">
        <v>2.5</v>
      </c>
      <c r="C2399" s="1075">
        <f>$A2399*$B2399</f>
        <v>2.5</v>
      </c>
      <c r="D2399" s="1076" t="str">
        <f>Elec_Rates!$D$200</f>
        <v>019# Lighting point in LSZH Conduit</v>
      </c>
      <c r="E2399" s="1076"/>
      <c r="F2399" s="1076" t="s">
        <v>1178</v>
      </c>
      <c r="G2399" s="1077" t="s">
        <v>1008</v>
      </c>
      <c r="H2399" s="1077"/>
      <c r="I2399" s="1077"/>
      <c r="J2399" s="1077"/>
      <c r="K2399" s="1078"/>
      <c r="L2399" s="1073"/>
      <c r="M2399" s="1073"/>
      <c r="N2399" s="1073"/>
      <c r="O2399" s="1079"/>
      <c r="P2399" s="1076"/>
      <c r="Q2399" s="1080">
        <f ca="1">$B2399*Elec_Rates!$R$200</f>
        <v>24.125</v>
      </c>
      <c r="R2399" s="1071">
        <f ca="1">$A2399*Q2399</f>
        <v>24.125</v>
      </c>
      <c r="S2399" s="1080">
        <f ca="1">$B2399*Elec_Rates!$T$200</f>
        <v>3.2750000000000004</v>
      </c>
      <c r="T2399" s="1072">
        <f ca="1">$A2399*S2399</f>
        <v>3.2750000000000004</v>
      </c>
      <c r="U2399" s="1081"/>
    </row>
    <row r="2400" spans="1:41" s="504" customFormat="1" ht="12">
      <c r="A2400" s="882"/>
      <c r="B2400" s="882"/>
      <c r="C2400" s="882"/>
      <c r="D2400" s="882"/>
      <c r="E2400" s="882"/>
      <c r="F2400" s="877"/>
      <c r="G2400" s="882"/>
      <c r="H2400" s="882"/>
      <c r="I2400" s="503"/>
      <c r="J2400" s="882"/>
      <c r="K2400" s="882"/>
      <c r="L2400" s="882"/>
      <c r="M2400" s="882"/>
      <c r="N2400" s="882"/>
      <c r="O2400" s="882"/>
      <c r="P2400" s="882"/>
      <c r="Q2400" s="503"/>
      <c r="R2400" s="883">
        <f>$A2400*Q2400</f>
        <v>0</v>
      </c>
      <c r="S2400" s="503"/>
      <c r="T2400" s="884">
        <f>$A2400*S2400*$T$1</f>
        <v>0</v>
      </c>
    </row>
    <row r="2401" spans="1:41" s="504" customFormat="1" ht="12.6" thickBot="1">
      <c r="A2401" s="885" t="s">
        <v>142</v>
      </c>
      <c r="B2401" s="886">
        <f>(R2400+T2400)</f>
        <v>0</v>
      </c>
      <c r="C2401" s="887"/>
      <c r="D2401" s="887"/>
      <c r="E2401" s="887"/>
      <c r="F2401" s="888"/>
      <c r="G2401" s="887" t="s">
        <v>143</v>
      </c>
      <c r="H2401" s="887"/>
      <c r="I2401" s="889"/>
      <c r="J2401" s="887"/>
      <c r="K2401" s="887" t="s">
        <v>3</v>
      </c>
      <c r="L2401" s="890" t="s">
        <v>140</v>
      </c>
      <c r="M2401" s="890"/>
      <c r="N2401" s="890"/>
      <c r="O2401" s="890"/>
      <c r="P2401" s="890"/>
      <c r="Q2401" s="891"/>
      <c r="R2401" s="892">
        <f ca="1">SUM(R2397:R2400)</f>
        <v>24.125</v>
      </c>
      <c r="S2401" s="887"/>
      <c r="T2401" s="892">
        <f ca="1">SUM(T2397:T2400)</f>
        <v>3.2750000000000004</v>
      </c>
      <c r="U2401" s="514"/>
      <c r="V2401" s="514"/>
      <c r="W2401" s="514"/>
      <c r="X2401" s="514"/>
      <c r="Y2401" s="514"/>
      <c r="Z2401" s="514"/>
      <c r="AA2401" s="514"/>
      <c r="AB2401" s="514"/>
      <c r="AC2401" s="514"/>
      <c r="AD2401" s="514"/>
      <c r="AE2401" s="514"/>
      <c r="AF2401" s="514"/>
      <c r="AG2401" s="514"/>
      <c r="AH2401" s="514"/>
      <c r="AI2401" s="514"/>
      <c r="AJ2401" s="514"/>
      <c r="AK2401" s="514"/>
      <c r="AL2401" s="514"/>
      <c r="AM2401" s="514"/>
      <c r="AN2401" s="514"/>
      <c r="AO2401" s="514"/>
    </row>
    <row r="2402" spans="1:41" s="504" customFormat="1" ht="12" thickTop="1">
      <c r="A2402" s="50"/>
      <c r="B2402" s="40"/>
      <c r="C2402" s="50"/>
      <c r="E2402" s="41" t="s">
        <v>136</v>
      </c>
      <c r="F2402" s="41" t="s">
        <v>137</v>
      </c>
      <c r="G2402" s="50"/>
      <c r="H2402" s="50"/>
      <c r="I2402" s="50"/>
      <c r="J2402" s="50"/>
      <c r="K2402" s="50" t="s">
        <v>138</v>
      </c>
      <c r="L2402" s="50"/>
      <c r="M2402" s="50"/>
      <c r="N2402" s="50"/>
      <c r="O2402" s="51"/>
      <c r="P2402" s="50"/>
      <c r="Q2402" s="50"/>
      <c r="R2402" s="50"/>
      <c r="S2402" s="50"/>
      <c r="T2402" s="40"/>
      <c r="AG2402" s="867" t="s">
        <v>241</v>
      </c>
      <c r="AH2402" s="867" t="s">
        <v>242</v>
      </c>
      <c r="AI2402" s="867" t="s">
        <v>243</v>
      </c>
      <c r="AJ2402" s="867" t="s">
        <v>244</v>
      </c>
      <c r="AK2402" s="867" t="s">
        <v>245</v>
      </c>
      <c r="AM2402" s="868" t="s">
        <v>254</v>
      </c>
      <c r="AN2402" s="869" t="s">
        <v>255</v>
      </c>
      <c r="AO2402" s="505" t="s">
        <v>251</v>
      </c>
    </row>
    <row r="2403" spans="1:41" s="504" customFormat="1" ht="12" customHeight="1">
      <c r="A2403" s="870">
        <v>1</v>
      </c>
      <c r="B2403" s="871" t="s">
        <v>335</v>
      </c>
      <c r="C2403" s="872"/>
      <c r="D2403" s="873" t="s">
        <v>820</v>
      </c>
      <c r="E2403" s="874">
        <f ca="1">IF(AND($A2403=0,$A$1="DIF"),0, ROUND(ROUND(($R2408*$S$2+($T2408*$T$2))/A2403,2)*$C$2,2))</f>
        <v>173.56</v>
      </c>
      <c r="F2403" s="875">
        <f ca="1">ROUND($A2403*$E2403,2)</f>
        <v>173.56</v>
      </c>
      <c r="G2403" s="876" t="s">
        <v>139</v>
      </c>
      <c r="H2403" s="877"/>
      <c r="I2403" s="878"/>
      <c r="J2403" s="877"/>
      <c r="K2403" s="877" t="s">
        <v>3</v>
      </c>
      <c r="L2403" s="879" t="s">
        <v>140</v>
      </c>
      <c r="M2403" s="879"/>
      <c r="N2403" s="879"/>
      <c r="O2403" s="879"/>
      <c r="P2403" s="879"/>
      <c r="Q2403" s="50"/>
      <c r="T2403" s="880" t="str">
        <f ca="1">IF(AND($R2408=0,$T2408=0),"0.00","mu :" &amp; ROUND($F2403/$C$2/($R2408+$T2408*$D$9),2))</f>
        <v>mu :1.22</v>
      </c>
      <c r="W2403" s="507"/>
      <c r="AG2403" s="465">
        <f ca="1">IF($E2403=0,0,ROUND($R2408*$S$2*$C$2/$A2403,2))</f>
        <v>35.32</v>
      </c>
      <c r="AH2403" s="465">
        <f ca="1">$AG2403*$A2403</f>
        <v>35.32</v>
      </c>
      <c r="AI2403" s="508">
        <f ca="1">$E2403-$AG2403</f>
        <v>138.24</v>
      </c>
      <c r="AJ2403" s="508">
        <f ca="1">$A2403*$AI2403</f>
        <v>138.24</v>
      </c>
      <c r="AK2403" s="509">
        <f ca="1">ROUND(($AG2403+$AI2403)*$A2403,2)</f>
        <v>173.56</v>
      </c>
      <c r="AM2403" s="510">
        <f ca="1">ROUND(R2408,2)</f>
        <v>28.95</v>
      </c>
      <c r="AN2403" s="511">
        <f ca="1">ROUND(T2408,2)</f>
        <v>3.93</v>
      </c>
      <c r="AO2403" s="512">
        <f ca="1">ROUND(AM2403+AN2403,2)*A2403</f>
        <v>32.880000000000003</v>
      </c>
    </row>
    <row r="2404" spans="1:41" s="504" customFormat="1" ht="13.2">
      <c r="A2404" s="872"/>
      <c r="B2404"/>
      <c r="C2404" s="872"/>
      <c r="D2404" s="916" t="s">
        <v>402</v>
      </c>
      <c r="E2404" s="917"/>
      <c r="F2404" s="918"/>
      <c r="G2404" s="919"/>
      <c r="H2404" s="918"/>
      <c r="I2404" s="920"/>
      <c r="J2404" s="918"/>
      <c r="K2404" s="918"/>
      <c r="L2404" s="918"/>
      <c r="M2404" s="918"/>
      <c r="N2404" s="918"/>
      <c r="O2404" s="918"/>
      <c r="P2404" s="918"/>
      <c r="Q2404" s="921"/>
      <c r="R2404" s="513"/>
      <c r="S2404" s="881"/>
      <c r="T2404" s="877"/>
    </row>
    <row r="2405" spans="1:41" s="997" customFormat="1" ht="13.2">
      <c r="A2405"/>
      <c r="B2405" s="1065"/>
      <c r="C2405" s="1065" t="s">
        <v>1006</v>
      </c>
      <c r="D2405" s="1065" t="str">
        <f ca="1">CELL("Address",Elec_Rates!D$200)</f>
        <v>[EL25_0662B_Brittania_Hotel_Elec_Revised_Estim_B.xlsx]Elec_Rates!$D$200</v>
      </c>
      <c r="E2405" s="1066"/>
      <c r="F2405" s="1066"/>
      <c r="G2405" s="1067" t="s">
        <v>1007</v>
      </c>
      <c r="H2405" s="1067"/>
      <c r="I2405" s="1067"/>
      <c r="J2405" s="1067"/>
      <c r="K2405" s="1068"/>
      <c r="L2405" s="1066"/>
      <c r="M2405" s="1066"/>
      <c r="N2405" s="1066"/>
      <c r="O2405" s="1069"/>
      <c r="P2405" s="1066"/>
      <c r="Q2405" s="1070"/>
      <c r="R2405" s="1071"/>
      <c r="S2405" s="1070"/>
      <c r="T2405" s="1072"/>
      <c r="U2405" s="1073"/>
    </row>
    <row r="2406" spans="1:41" s="997" customFormat="1" ht="11.4">
      <c r="A2406" s="1074">
        <v>1</v>
      </c>
      <c r="B2406" s="1075">
        <v>3</v>
      </c>
      <c r="C2406" s="1075">
        <f>$A2406*$B2406</f>
        <v>3</v>
      </c>
      <c r="D2406" s="1076" t="str">
        <f>Elec_Rates!$D$200</f>
        <v>019# Lighting point in LSZH Conduit</v>
      </c>
      <c r="E2406" s="1076"/>
      <c r="F2406" s="1076" t="s">
        <v>1332</v>
      </c>
      <c r="G2406" s="1077" t="s">
        <v>1008</v>
      </c>
      <c r="H2406" s="1077"/>
      <c r="I2406" s="1077"/>
      <c r="J2406" s="1077"/>
      <c r="K2406" s="1078"/>
      <c r="L2406" s="1073"/>
      <c r="M2406" s="1073"/>
      <c r="N2406" s="1073"/>
      <c r="O2406" s="1079"/>
      <c r="P2406" s="1076"/>
      <c r="Q2406" s="1080">
        <f ca="1">$B2406*Elec_Rates!$R$200</f>
        <v>28.950000000000003</v>
      </c>
      <c r="R2406" s="1071">
        <f ca="1">$A2406*Q2406</f>
        <v>28.950000000000003</v>
      </c>
      <c r="S2406" s="1080">
        <f ca="1">$B2406*Elec_Rates!$T$200</f>
        <v>3.93</v>
      </c>
      <c r="T2406" s="1072">
        <f ca="1">$A2406*S2406</f>
        <v>3.93</v>
      </c>
      <c r="U2406" s="1081"/>
    </row>
    <row r="2407" spans="1:41" s="504" customFormat="1" ht="12">
      <c r="A2407" s="882"/>
      <c r="B2407" s="882"/>
      <c r="C2407" s="882"/>
      <c r="D2407" s="882"/>
      <c r="E2407" s="882"/>
      <c r="F2407" s="877"/>
      <c r="G2407" s="882"/>
      <c r="H2407" s="882"/>
      <c r="I2407" s="503"/>
      <c r="J2407" s="882"/>
      <c r="K2407" s="882"/>
      <c r="L2407" s="882"/>
      <c r="M2407" s="882"/>
      <c r="N2407" s="882"/>
      <c r="O2407" s="882"/>
      <c r="P2407" s="882"/>
      <c r="Q2407" s="503"/>
      <c r="R2407" s="883">
        <f>$A2407*Q2407</f>
        <v>0</v>
      </c>
      <c r="S2407" s="503"/>
      <c r="T2407" s="884">
        <f>$A2407*S2407*$T$1</f>
        <v>0</v>
      </c>
    </row>
    <row r="2408" spans="1:41" s="504" customFormat="1" ht="12.6" thickBot="1">
      <c r="A2408" s="885" t="s">
        <v>142</v>
      </c>
      <c r="B2408" s="886">
        <f>(R2407+T2407)</f>
        <v>0</v>
      </c>
      <c r="C2408" s="887"/>
      <c r="D2408" s="887"/>
      <c r="E2408" s="887"/>
      <c r="F2408" s="888"/>
      <c r="G2408" s="887" t="s">
        <v>143</v>
      </c>
      <c r="H2408" s="887"/>
      <c r="I2408" s="889"/>
      <c r="J2408" s="887"/>
      <c r="K2408" s="887" t="s">
        <v>3</v>
      </c>
      <c r="L2408" s="890" t="s">
        <v>140</v>
      </c>
      <c r="M2408" s="890"/>
      <c r="N2408" s="890"/>
      <c r="O2408" s="890"/>
      <c r="P2408" s="890"/>
      <c r="Q2408" s="891"/>
      <c r="R2408" s="892">
        <f ca="1">SUM(R2404:R2407)</f>
        <v>28.950000000000003</v>
      </c>
      <c r="S2408" s="887"/>
      <c r="T2408" s="892">
        <f ca="1">SUM(T2404:T2407)</f>
        <v>3.93</v>
      </c>
      <c r="U2408" s="514"/>
      <c r="V2408" s="514"/>
      <c r="W2408" s="514"/>
      <c r="X2408" s="514"/>
      <c r="Y2408" s="514"/>
      <c r="Z2408" s="514"/>
      <c r="AA2408" s="514"/>
      <c r="AB2408" s="514"/>
      <c r="AC2408" s="514"/>
      <c r="AD2408" s="514"/>
      <c r="AE2408" s="514"/>
      <c r="AF2408" s="514"/>
      <c r="AG2408" s="514"/>
      <c r="AH2408" s="514"/>
      <c r="AI2408" s="514"/>
      <c r="AJ2408" s="514"/>
      <c r="AK2408" s="514"/>
      <c r="AL2408" s="514"/>
      <c r="AM2408" s="514"/>
      <c r="AN2408" s="514"/>
      <c r="AO2408" s="514"/>
    </row>
    <row r="2409" spans="1:41" s="504" customFormat="1" ht="12" thickTop="1">
      <c r="A2409" s="50"/>
      <c r="B2409" s="40"/>
      <c r="C2409" s="50"/>
      <c r="E2409" s="41" t="s">
        <v>136</v>
      </c>
      <c r="F2409" s="41" t="s">
        <v>137</v>
      </c>
      <c r="G2409" s="50"/>
      <c r="H2409" s="50"/>
      <c r="I2409" s="50"/>
      <c r="J2409" s="50"/>
      <c r="K2409" s="50" t="s">
        <v>138</v>
      </c>
      <c r="L2409" s="50"/>
      <c r="M2409" s="50"/>
      <c r="N2409" s="50"/>
      <c r="O2409" s="51"/>
      <c r="P2409" s="50"/>
      <c r="Q2409" s="50"/>
      <c r="R2409" s="50"/>
      <c r="S2409" s="50"/>
      <c r="T2409" s="40"/>
      <c r="AG2409" s="867" t="s">
        <v>241</v>
      </c>
      <c r="AH2409" s="867" t="s">
        <v>242</v>
      </c>
      <c r="AI2409" s="867" t="s">
        <v>243</v>
      </c>
      <c r="AJ2409" s="867" t="s">
        <v>244</v>
      </c>
      <c r="AK2409" s="867" t="s">
        <v>245</v>
      </c>
      <c r="AM2409" s="868" t="s">
        <v>254</v>
      </c>
      <c r="AN2409" s="869" t="s">
        <v>255</v>
      </c>
      <c r="AO2409" s="505" t="s">
        <v>251</v>
      </c>
    </row>
    <row r="2410" spans="1:41" s="504" customFormat="1" ht="12" customHeight="1">
      <c r="A2410" s="870">
        <v>1</v>
      </c>
      <c r="B2410" s="871" t="s">
        <v>335</v>
      </c>
      <c r="C2410" s="872"/>
      <c r="D2410" s="873" t="s">
        <v>821</v>
      </c>
      <c r="E2410" s="874">
        <f ca="1">IF(AND($A2410=0,$A$1="DIF"),0, ROUND(ROUND(($R2415*$S$2+($T2415*$T$2))/A2410,2)*$C$2,2))</f>
        <v>202.49</v>
      </c>
      <c r="F2410" s="875">
        <f ca="1">ROUND($A2410*$E2410,2)</f>
        <v>202.49</v>
      </c>
      <c r="G2410" s="876" t="s">
        <v>139</v>
      </c>
      <c r="H2410" s="877"/>
      <c r="I2410" s="878"/>
      <c r="J2410" s="877"/>
      <c r="K2410" s="877" t="s">
        <v>3</v>
      </c>
      <c r="L2410" s="879" t="s">
        <v>140</v>
      </c>
      <c r="M2410" s="879"/>
      <c r="N2410" s="879"/>
      <c r="O2410" s="879"/>
      <c r="P2410" s="879"/>
      <c r="Q2410" s="50"/>
      <c r="T2410" s="880" t="str">
        <f ca="1">IF(AND($R2415=0,$T2415=0),"0.00","mu :" &amp; ROUND($F2410/$C$2/($R2415+$T2415*$D$9),2))</f>
        <v>mu :1.22</v>
      </c>
      <c r="W2410" s="507"/>
      <c r="AG2410" s="465">
        <f ca="1">IF($E2410=0,0,ROUND($R2415*$S$2*$C$2/$A2410,2))</f>
        <v>41.21</v>
      </c>
      <c r="AH2410" s="465">
        <f ca="1">$AG2410*$A2410</f>
        <v>41.21</v>
      </c>
      <c r="AI2410" s="508">
        <f ca="1">$E2410-$AG2410</f>
        <v>161.28</v>
      </c>
      <c r="AJ2410" s="508">
        <f ca="1">$A2410*$AI2410</f>
        <v>161.28</v>
      </c>
      <c r="AK2410" s="509">
        <f ca="1">ROUND(($AG2410+$AI2410)*$A2410,2)</f>
        <v>202.49</v>
      </c>
      <c r="AM2410" s="510">
        <f ca="1">ROUND(R2415,2)</f>
        <v>33.78</v>
      </c>
      <c r="AN2410" s="511">
        <f ca="1">ROUND(T2415,2)</f>
        <v>4.59</v>
      </c>
      <c r="AO2410" s="512">
        <f ca="1">ROUND(AM2410+AN2410,2)*A2410</f>
        <v>38.369999999999997</v>
      </c>
    </row>
    <row r="2411" spans="1:41" s="504" customFormat="1" ht="13.2">
      <c r="A2411" s="872"/>
      <c r="B2411"/>
      <c r="C2411" s="872"/>
      <c r="D2411" s="916" t="s">
        <v>403</v>
      </c>
      <c r="E2411" s="917"/>
      <c r="F2411" s="918"/>
      <c r="G2411" s="919"/>
      <c r="H2411" s="918"/>
      <c r="I2411" s="920"/>
      <c r="J2411" s="918"/>
      <c r="K2411" s="918"/>
      <c r="L2411" s="918"/>
      <c r="M2411" s="918"/>
      <c r="N2411" s="918"/>
      <c r="O2411" s="918"/>
      <c r="P2411" s="918"/>
      <c r="Q2411" s="921"/>
      <c r="R2411" s="513"/>
      <c r="S2411" s="881"/>
      <c r="T2411" s="877"/>
    </row>
    <row r="2412" spans="1:41" s="997" customFormat="1" ht="13.2">
      <c r="A2412"/>
      <c r="B2412" s="1065"/>
      <c r="C2412" s="1065" t="s">
        <v>1006</v>
      </c>
      <c r="D2412" s="1065" t="str">
        <f ca="1">CELL("Address",Elec_Rates!D$200)</f>
        <v>[EL25_0662B_Brittania_Hotel_Elec_Revised_Estim_B.xlsx]Elec_Rates!$D$200</v>
      </c>
      <c r="E2412" s="1066"/>
      <c r="F2412" s="1066"/>
      <c r="G2412" s="1067" t="s">
        <v>1007</v>
      </c>
      <c r="H2412" s="1067"/>
      <c r="I2412" s="1067"/>
      <c r="J2412" s="1067"/>
      <c r="K2412" s="1068"/>
      <c r="L2412" s="1066"/>
      <c r="M2412" s="1066"/>
      <c r="N2412" s="1066"/>
      <c r="O2412" s="1069"/>
      <c r="P2412" s="1066"/>
      <c r="Q2412" s="1070"/>
      <c r="R2412" s="1071"/>
      <c r="S2412" s="1070"/>
      <c r="T2412" s="1072"/>
      <c r="U2412" s="1073"/>
    </row>
    <row r="2413" spans="1:41" s="997" customFormat="1" ht="11.4">
      <c r="A2413" s="1074">
        <v>1</v>
      </c>
      <c r="B2413" s="1075">
        <v>3.5</v>
      </c>
      <c r="C2413" s="1075">
        <f>$A2413*$B2413</f>
        <v>3.5</v>
      </c>
      <c r="D2413" s="1076" t="str">
        <f>Elec_Rates!$D$200</f>
        <v>019# Lighting point in LSZH Conduit</v>
      </c>
      <c r="E2413" s="1076"/>
      <c r="F2413" s="1076" t="s">
        <v>1331</v>
      </c>
      <c r="G2413" s="1077" t="s">
        <v>1008</v>
      </c>
      <c r="H2413" s="1077"/>
      <c r="I2413" s="1077"/>
      <c r="J2413" s="1077"/>
      <c r="K2413" s="1078"/>
      <c r="L2413" s="1073"/>
      <c r="M2413" s="1073"/>
      <c r="N2413" s="1073"/>
      <c r="O2413" s="1079"/>
      <c r="P2413" s="1076"/>
      <c r="Q2413" s="1080">
        <f ca="1">$B2413*Elec_Rates!$R$200</f>
        <v>33.774999999999999</v>
      </c>
      <c r="R2413" s="1071">
        <f ca="1">$A2413*Q2413</f>
        <v>33.774999999999999</v>
      </c>
      <c r="S2413" s="1080">
        <f ca="1">$B2413*Elec_Rates!$T$200</f>
        <v>4.585</v>
      </c>
      <c r="T2413" s="1072">
        <f ca="1">$A2413*S2413</f>
        <v>4.585</v>
      </c>
      <c r="U2413" s="1081"/>
    </row>
    <row r="2414" spans="1:41" s="504" customFormat="1" ht="12">
      <c r="A2414" s="882"/>
      <c r="B2414" s="882"/>
      <c r="C2414" s="882"/>
      <c r="D2414" s="882"/>
      <c r="E2414" s="882"/>
      <c r="F2414" s="877"/>
      <c r="G2414" s="882"/>
      <c r="H2414" s="882"/>
      <c r="I2414" s="503"/>
      <c r="J2414" s="882"/>
      <c r="K2414" s="882"/>
      <c r="L2414" s="882"/>
      <c r="M2414" s="882"/>
      <c r="N2414" s="882"/>
      <c r="O2414" s="882"/>
      <c r="P2414" s="882"/>
      <c r="Q2414" s="503"/>
      <c r="R2414" s="883">
        <f>$A2414*Q2414</f>
        <v>0</v>
      </c>
      <c r="S2414" s="503"/>
      <c r="T2414" s="884">
        <f>$A2414*S2414*$T$1</f>
        <v>0</v>
      </c>
    </row>
    <row r="2415" spans="1:41" s="504" customFormat="1" ht="12.6" thickBot="1">
      <c r="A2415" s="885" t="s">
        <v>142</v>
      </c>
      <c r="B2415" s="886">
        <f>(R2414+T2414)</f>
        <v>0</v>
      </c>
      <c r="C2415" s="887"/>
      <c r="D2415" s="887"/>
      <c r="E2415" s="887"/>
      <c r="F2415" s="888"/>
      <c r="G2415" s="887" t="s">
        <v>143</v>
      </c>
      <c r="H2415" s="887"/>
      <c r="I2415" s="889"/>
      <c r="J2415" s="887"/>
      <c r="K2415" s="887" t="s">
        <v>3</v>
      </c>
      <c r="L2415" s="890" t="s">
        <v>140</v>
      </c>
      <c r="M2415" s="890"/>
      <c r="N2415" s="890"/>
      <c r="O2415" s="890"/>
      <c r="P2415" s="890"/>
      <c r="Q2415" s="891"/>
      <c r="R2415" s="892">
        <f ca="1">SUM(R2411:R2414)</f>
        <v>33.774999999999999</v>
      </c>
      <c r="S2415" s="887"/>
      <c r="T2415" s="892">
        <f ca="1">SUM(T2411:T2414)</f>
        <v>4.585</v>
      </c>
      <c r="U2415" s="514"/>
      <c r="V2415" s="514"/>
      <c r="W2415" s="514"/>
      <c r="X2415" s="514"/>
      <c r="Y2415" s="514"/>
      <c r="Z2415" s="514"/>
      <c r="AA2415" s="514"/>
      <c r="AB2415" s="514"/>
      <c r="AC2415" s="514"/>
      <c r="AD2415" s="514"/>
      <c r="AE2415" s="514"/>
      <c r="AF2415" s="514"/>
      <c r="AG2415" s="514"/>
      <c r="AH2415" s="514"/>
      <c r="AI2415" s="514"/>
      <c r="AJ2415" s="514"/>
      <c r="AK2415" s="514"/>
      <c r="AL2415" s="514"/>
      <c r="AM2415" s="514"/>
      <c r="AN2415" s="514"/>
      <c r="AO2415" s="514"/>
    </row>
    <row r="2416" spans="1:41" s="504" customFormat="1" ht="12" thickTop="1">
      <c r="A2416" s="50"/>
      <c r="B2416" s="40"/>
      <c r="C2416" s="50"/>
      <c r="E2416" s="41" t="s">
        <v>136</v>
      </c>
      <c r="F2416" s="41" t="s">
        <v>137</v>
      </c>
      <c r="G2416" s="50"/>
      <c r="H2416" s="50"/>
      <c r="I2416" s="50"/>
      <c r="J2416" s="50"/>
      <c r="K2416" s="50" t="s">
        <v>138</v>
      </c>
      <c r="L2416" s="50"/>
      <c r="M2416" s="50"/>
      <c r="N2416" s="50"/>
      <c r="O2416" s="51"/>
      <c r="P2416" s="50"/>
      <c r="Q2416" s="50"/>
      <c r="R2416" s="50"/>
      <c r="S2416" s="50"/>
      <c r="T2416" s="40"/>
      <c r="AG2416" s="867" t="s">
        <v>241</v>
      </c>
      <c r="AH2416" s="867" t="s">
        <v>242</v>
      </c>
      <c r="AI2416" s="867" t="s">
        <v>243</v>
      </c>
      <c r="AJ2416" s="867" t="s">
        <v>244</v>
      </c>
      <c r="AK2416" s="867" t="s">
        <v>245</v>
      </c>
      <c r="AM2416" s="868" t="s">
        <v>254</v>
      </c>
      <c r="AN2416" s="869" t="s">
        <v>255</v>
      </c>
      <c r="AO2416" s="505" t="s">
        <v>251</v>
      </c>
    </row>
    <row r="2417" spans="1:41" s="504" customFormat="1" ht="12" customHeight="1">
      <c r="A2417" s="870">
        <v>2</v>
      </c>
      <c r="B2417" s="871" t="s">
        <v>335</v>
      </c>
      <c r="C2417" s="872"/>
      <c r="D2417" s="873" t="s">
        <v>822</v>
      </c>
      <c r="E2417" s="874">
        <f ca="1">IF(AND($A2417=0,$A$1="DIF"),0, ROUND(ROUND(($R2426*$S$2+($T2426*$T$2))/A2417,2)*$C$2,2))</f>
        <v>288.58999999999997</v>
      </c>
      <c r="F2417" s="875">
        <f ca="1">ROUND($A2417*$E2417,2)</f>
        <v>577.17999999999995</v>
      </c>
      <c r="G2417" s="876" t="s">
        <v>139</v>
      </c>
      <c r="H2417" s="877"/>
      <c r="I2417" s="878"/>
      <c r="J2417" s="877"/>
      <c r="K2417" s="877" t="s">
        <v>3</v>
      </c>
      <c r="L2417" s="879" t="s">
        <v>140</v>
      </c>
      <c r="M2417" s="879"/>
      <c r="N2417" s="879"/>
      <c r="O2417" s="879"/>
      <c r="P2417" s="879"/>
      <c r="Q2417" s="50"/>
      <c r="T2417" s="880" t="str">
        <f ca="1">IF(AND($R2426=0,$T2426=0),"0.00","mu :" &amp; ROUND($F2417/$C$2/($R2426+$T2426*$D$9),2))</f>
        <v>mu :1.22</v>
      </c>
      <c r="W2417" s="507"/>
      <c r="AG2417" s="465">
        <f ca="1">IF($E2417=0,0,ROUND($R2426*$S$2*$C$2/$A2417,2))</f>
        <v>136.80000000000001</v>
      </c>
      <c r="AH2417" s="465">
        <f ca="1">$AG2417*$A2417</f>
        <v>273.60000000000002</v>
      </c>
      <c r="AI2417" s="508">
        <f ca="1">$E2417-$AG2417</f>
        <v>151.78999999999996</v>
      </c>
      <c r="AJ2417" s="508">
        <f ca="1">$A2417*$AI2417</f>
        <v>303.57999999999993</v>
      </c>
      <c r="AK2417" s="509">
        <f ca="1">ROUND(($AG2417+$AI2417)*$A2417,2)</f>
        <v>577.17999999999995</v>
      </c>
      <c r="AM2417" s="510">
        <f ca="1">ROUND(R2426,2)</f>
        <v>224.27</v>
      </c>
      <c r="AN2417" s="511">
        <f ca="1">ROUND(T2426,2)</f>
        <v>8.6300000000000008</v>
      </c>
      <c r="AO2417" s="512">
        <f ca="1">ROUND(AM2417+AN2417,2)*A2417</f>
        <v>465.8</v>
      </c>
    </row>
    <row r="2418" spans="1:41" s="504" customFormat="1" ht="13.2">
      <c r="A2418" s="872"/>
      <c r="B2418"/>
      <c r="C2418" s="872"/>
      <c r="D2418" s="916" t="s">
        <v>449</v>
      </c>
      <c r="E2418" s="917"/>
      <c r="F2418" s="918"/>
      <c r="G2418" s="919"/>
      <c r="H2418" s="918"/>
      <c r="I2418" s="920"/>
      <c r="J2418" s="918"/>
      <c r="K2418" s="918"/>
      <c r="L2418" s="918"/>
      <c r="M2418" s="918"/>
      <c r="N2418" s="918"/>
      <c r="O2418" s="918"/>
      <c r="P2418" s="918"/>
      <c r="Q2418" s="921"/>
      <c r="R2418" s="513"/>
      <c r="S2418" s="881"/>
      <c r="T2418" s="877"/>
    </row>
    <row r="2419" spans="1:41" s="997" customFormat="1" ht="13.2">
      <c r="A2419"/>
      <c r="B2419" s="1065"/>
      <c r="C2419" s="1065" t="s">
        <v>1006</v>
      </c>
      <c r="D2419" s="1065" t="str">
        <f ca="1">CELL("Address",Elec_Rates!D$200)</f>
        <v>[EL25_0662B_Brittania_Hotel_Elec_Revised_Estim_B.xlsx]Elec_Rates!$D$200</v>
      </c>
      <c r="E2419" s="1066"/>
      <c r="F2419" s="1066"/>
      <c r="G2419" s="1067" t="s">
        <v>1007</v>
      </c>
      <c r="H2419" s="1067"/>
      <c r="I2419" s="1067"/>
      <c r="J2419" s="1067"/>
      <c r="K2419" s="1068"/>
      <c r="L2419" s="1066"/>
      <c r="M2419" s="1066"/>
      <c r="N2419" s="1066"/>
      <c r="O2419" s="1069"/>
      <c r="P2419" s="1066"/>
      <c r="Q2419" s="1070"/>
      <c r="R2419" s="1071"/>
      <c r="S2419" s="1070"/>
      <c r="T2419" s="1072"/>
      <c r="U2419" s="1073"/>
    </row>
    <row r="2420" spans="1:41" s="997" customFormat="1" ht="11.4">
      <c r="A2420" s="1074">
        <v>2</v>
      </c>
      <c r="B2420" s="1075">
        <v>2.5</v>
      </c>
      <c r="C2420" s="1075">
        <f>$A2420*$B2420</f>
        <v>5</v>
      </c>
      <c r="D2420" s="1076" t="str">
        <f>Elec_Rates!$D$200</f>
        <v>019# Lighting point in LSZH Conduit</v>
      </c>
      <c r="E2420" s="1076"/>
      <c r="F2420" s="1076"/>
      <c r="G2420" s="1077" t="s">
        <v>1008</v>
      </c>
      <c r="H2420" s="1077"/>
      <c r="I2420" s="1077"/>
      <c r="J2420" s="1077"/>
      <c r="K2420" s="1078"/>
      <c r="L2420" s="1073"/>
      <c r="M2420" s="1073"/>
      <c r="N2420" s="1073"/>
      <c r="O2420" s="1079"/>
      <c r="P2420" s="1076"/>
      <c r="Q2420" s="1080">
        <f ca="1">$B2420*Elec_Rates!$R$200</f>
        <v>24.125</v>
      </c>
      <c r="R2420" s="1071">
        <f ca="1">$A2420*Q2420</f>
        <v>48.25</v>
      </c>
      <c r="S2420" s="1080">
        <f ca="1">$B2420*Elec_Rates!$T$200</f>
        <v>3.2750000000000004</v>
      </c>
      <c r="T2420" s="1072">
        <f ca="1">$A2420*S2420</f>
        <v>6.5500000000000007</v>
      </c>
      <c r="U2420" s="1081"/>
    </row>
    <row r="2421" spans="1:41" s="997" customFormat="1" ht="13.2">
      <c r="A2421"/>
      <c r="B2421" s="1065"/>
      <c r="C2421" s="1065" t="s">
        <v>1006</v>
      </c>
      <c r="D2421" s="1065" t="str">
        <f ca="1">CELL("Address",Elec_Rates!D$210)</f>
        <v>[EL25_0662B_Brittania_Hotel_Elec_Revised_Estim_B.xlsx]Elec_Rates!$D$210</v>
      </c>
      <c r="E2421" s="1066"/>
      <c r="F2421" s="1066"/>
      <c r="G2421" s="1067" t="s">
        <v>1007</v>
      </c>
      <c r="H2421" s="1067"/>
      <c r="I2421" s="1067"/>
      <c r="J2421" s="1067"/>
      <c r="K2421" s="1068"/>
      <c r="L2421" s="1066"/>
      <c r="M2421" s="1066"/>
      <c r="N2421" s="1066"/>
      <c r="O2421" s="1069"/>
      <c r="P2421" s="1066"/>
      <c r="Q2421" s="1070"/>
      <c r="R2421" s="1071"/>
      <c r="S2421" s="1070"/>
      <c r="T2421" s="1072"/>
      <c r="U2421" s="1073"/>
    </row>
    <row r="2422" spans="1:41" s="997" customFormat="1" ht="11.4">
      <c r="A2422" s="1074">
        <v>2</v>
      </c>
      <c r="B2422" s="1075">
        <v>3</v>
      </c>
      <c r="C2422" s="1075">
        <f>$A2422*$B2422</f>
        <v>6</v>
      </c>
      <c r="D2422" s="1076" t="str">
        <f>Elec_Rates!$D$210</f>
        <v>020# Movement Detector</v>
      </c>
      <c r="E2422" s="1076"/>
      <c r="F2422" s="1076"/>
      <c r="G2422" s="1077" t="s">
        <v>1008</v>
      </c>
      <c r="H2422" s="1077"/>
      <c r="I2422" s="1077"/>
      <c r="J2422" s="1077"/>
      <c r="K2422" s="1078"/>
      <c r="L2422" s="1073"/>
      <c r="M2422" s="1073"/>
      <c r="N2422" s="1073"/>
      <c r="O2422" s="1079"/>
      <c r="P2422" s="1076"/>
      <c r="Q2422" s="1080">
        <f ca="1">$B2422*Elec_Rates!$R$210</f>
        <v>53.010000000000005</v>
      </c>
      <c r="R2422" s="1071">
        <f ca="1">$A2422*Q2422</f>
        <v>106.02000000000001</v>
      </c>
      <c r="S2422" s="1080">
        <f ca="1">$B2422*Elec_Rates!$T$210</f>
        <v>0.78</v>
      </c>
      <c r="T2422" s="1072">
        <f ca="1">$A2422*S2422</f>
        <v>1.56</v>
      </c>
      <c r="U2422" s="1081"/>
    </row>
    <row r="2423" spans="1:41" s="997" customFormat="1" ht="13.2">
      <c r="A2423"/>
      <c r="B2423" s="1065"/>
      <c r="C2423" s="1065" t="s">
        <v>1006</v>
      </c>
      <c r="D2423" s="1065" t="str">
        <f ca="1">CELL("Address",Elec_Rates!D$524)</f>
        <v>[EL25_0662B_Brittania_Hotel_Elec_Revised_Estim_B.xlsx]Elec_Rates!$D$524</v>
      </c>
      <c r="E2423" s="1066"/>
      <c r="F2423" s="1066"/>
      <c r="G2423" s="1067" t="s">
        <v>1007</v>
      </c>
      <c r="H2423" s="1067"/>
      <c r="I2423" s="1067"/>
      <c r="J2423" s="1067"/>
      <c r="K2423" s="1068"/>
      <c r="L2423" s="1066"/>
      <c r="M2423" s="1066"/>
      <c r="N2423" s="1066"/>
      <c r="O2423" s="1069"/>
      <c r="P2423" s="1066"/>
      <c r="Q2423" s="1070"/>
      <c r="R2423" s="1071"/>
      <c r="S2423" s="1070"/>
      <c r="T2423" s="1072"/>
      <c r="U2423" s="1073"/>
    </row>
    <row r="2424" spans="1:41" s="997" customFormat="1" ht="11.4">
      <c r="A2424" s="1074">
        <v>2</v>
      </c>
      <c r="B2424" s="1075">
        <v>1</v>
      </c>
      <c r="C2424" s="1075">
        <f>$A2424*$B2424</f>
        <v>2</v>
      </c>
      <c r="D2424" s="1076" t="str">
        <f>Elec_Rates!$D$524</f>
        <v>062# 230V 2P 16A Contactor</v>
      </c>
      <c r="E2424" s="1076"/>
      <c r="F2424" s="1076"/>
      <c r="G2424" s="1077" t="s">
        <v>1008</v>
      </c>
      <c r="H2424" s="1077"/>
      <c r="I2424" s="1077"/>
      <c r="J2424" s="1077"/>
      <c r="K2424" s="1078"/>
      <c r="L2424" s="1073"/>
      <c r="M2424" s="1073"/>
      <c r="N2424" s="1073"/>
      <c r="O2424" s="1079"/>
      <c r="P2424" s="1076"/>
      <c r="Q2424" s="1080">
        <f ca="1">$B2424*Elec_Rates!$R$524</f>
        <v>35</v>
      </c>
      <c r="R2424" s="1071">
        <f ca="1">$A2424*Q2424</f>
        <v>70</v>
      </c>
      <c r="S2424" s="1080">
        <f ca="1">$B2424*Elec_Rates!$T$524</f>
        <v>0.26</v>
      </c>
      <c r="T2424" s="1072">
        <f ca="1">$A2424*S2424</f>
        <v>0.52</v>
      </c>
      <c r="U2424" s="1081"/>
    </row>
    <row r="2425" spans="1:41" s="504" customFormat="1" ht="12">
      <c r="A2425" s="882"/>
      <c r="B2425" s="882"/>
      <c r="C2425" s="882"/>
      <c r="D2425" s="882"/>
      <c r="E2425" s="882"/>
      <c r="F2425" s="877"/>
      <c r="G2425" s="882"/>
      <c r="H2425" s="882"/>
      <c r="I2425" s="503"/>
      <c r="J2425" s="882"/>
      <c r="K2425" s="882"/>
      <c r="L2425" s="882"/>
      <c r="M2425" s="882"/>
      <c r="N2425" s="882"/>
      <c r="O2425" s="882"/>
      <c r="P2425" s="882"/>
      <c r="Q2425" s="503"/>
      <c r="R2425" s="883">
        <f>$A2425*Q2425</f>
        <v>0</v>
      </c>
      <c r="S2425" s="503"/>
      <c r="T2425" s="884">
        <f>$A2425*S2425*$T$1</f>
        <v>0</v>
      </c>
    </row>
    <row r="2426" spans="1:41" s="504" customFormat="1" ht="12.6" thickBot="1">
      <c r="A2426" s="885" t="s">
        <v>142</v>
      </c>
      <c r="B2426" s="886">
        <f>(R2425+T2425)</f>
        <v>0</v>
      </c>
      <c r="C2426" s="887"/>
      <c r="D2426" s="887"/>
      <c r="E2426" s="887"/>
      <c r="F2426" s="888"/>
      <c r="G2426" s="887" t="s">
        <v>143</v>
      </c>
      <c r="H2426" s="887"/>
      <c r="I2426" s="889"/>
      <c r="J2426" s="887"/>
      <c r="K2426" s="887" t="s">
        <v>3</v>
      </c>
      <c r="L2426" s="890" t="s">
        <v>140</v>
      </c>
      <c r="M2426" s="890"/>
      <c r="N2426" s="890"/>
      <c r="O2426" s="890"/>
      <c r="P2426" s="890"/>
      <c r="Q2426" s="891"/>
      <c r="R2426" s="892">
        <f ca="1">SUM(R2418:R2425)</f>
        <v>224.27</v>
      </c>
      <c r="S2426" s="887"/>
      <c r="T2426" s="892">
        <f ca="1">SUM(T2418:T2425)</f>
        <v>8.6300000000000008</v>
      </c>
      <c r="U2426" s="514"/>
      <c r="V2426" s="514"/>
      <c r="W2426" s="514"/>
      <c r="X2426" s="514"/>
      <c r="Y2426" s="514"/>
      <c r="Z2426" s="514"/>
      <c r="AA2426" s="514"/>
      <c r="AB2426" s="514"/>
      <c r="AC2426" s="514"/>
      <c r="AD2426" s="514"/>
      <c r="AE2426" s="514"/>
      <c r="AF2426" s="514"/>
      <c r="AG2426" s="514"/>
      <c r="AH2426" s="514"/>
      <c r="AI2426" s="514"/>
      <c r="AJ2426" s="514"/>
      <c r="AK2426" s="514"/>
      <c r="AL2426" s="514"/>
      <c r="AM2426" s="514"/>
      <c r="AN2426" s="514"/>
      <c r="AO2426" s="514"/>
    </row>
    <row r="2427" spans="1:41" s="504" customFormat="1" ht="12" thickTop="1">
      <c r="A2427" s="50"/>
      <c r="B2427" s="40"/>
      <c r="C2427" s="50"/>
      <c r="E2427" s="41" t="s">
        <v>136</v>
      </c>
      <c r="F2427" s="41" t="s">
        <v>137</v>
      </c>
      <c r="G2427" s="50"/>
      <c r="H2427" s="50"/>
      <c r="I2427" s="50"/>
      <c r="J2427" s="50"/>
      <c r="K2427" s="50" t="s">
        <v>138</v>
      </c>
      <c r="L2427" s="50"/>
      <c r="M2427" s="50"/>
      <c r="N2427" s="50"/>
      <c r="O2427" s="51"/>
      <c r="P2427" s="50"/>
      <c r="Q2427" s="50"/>
      <c r="R2427" s="50"/>
      <c r="S2427" s="50"/>
      <c r="T2427" s="40"/>
      <c r="AG2427" s="867" t="s">
        <v>241</v>
      </c>
      <c r="AH2427" s="867" t="s">
        <v>242</v>
      </c>
      <c r="AI2427" s="867" t="s">
        <v>243</v>
      </c>
      <c r="AJ2427" s="867" t="s">
        <v>244</v>
      </c>
      <c r="AK2427" s="867" t="s">
        <v>245</v>
      </c>
      <c r="AM2427" s="868" t="s">
        <v>254</v>
      </c>
      <c r="AN2427" s="869" t="s">
        <v>255</v>
      </c>
      <c r="AO2427" s="505" t="s">
        <v>251</v>
      </c>
    </row>
    <row r="2428" spans="1:41" s="504" customFormat="1" ht="12" customHeight="1">
      <c r="A2428" s="870">
        <v>1</v>
      </c>
      <c r="B2428" s="871" t="s">
        <v>335</v>
      </c>
      <c r="C2428" s="872"/>
      <c r="D2428" s="873" t="s">
        <v>823</v>
      </c>
      <c r="E2428" s="874">
        <f ca="1">IF(AND($A2428=0,$A$1="DIF"),0, ROUND(ROUND(($R2437*$S$2+($T2437*$T$2))/A2428,2)*$C$2,2))</f>
        <v>317.52</v>
      </c>
      <c r="F2428" s="875">
        <f ca="1">ROUND($A2428*$E2428,2)</f>
        <v>317.52</v>
      </c>
      <c r="G2428" s="876" t="s">
        <v>139</v>
      </c>
      <c r="H2428" s="877"/>
      <c r="I2428" s="878"/>
      <c r="J2428" s="877"/>
      <c r="K2428" s="877" t="s">
        <v>3</v>
      </c>
      <c r="L2428" s="879" t="s">
        <v>140</v>
      </c>
      <c r="M2428" s="879"/>
      <c r="N2428" s="879"/>
      <c r="O2428" s="879"/>
      <c r="P2428" s="879"/>
      <c r="Q2428" s="50"/>
      <c r="T2428" s="880" t="str">
        <f ca="1">IF(AND($R2437=0,$T2437=0),"0.00","mu :" &amp; ROUND($F2428/$C$2/($R2437+$T2437*$D$9),2))</f>
        <v>mu :1.22</v>
      </c>
      <c r="W2428" s="507"/>
      <c r="AG2428" s="465">
        <f ca="1">IF($E2428=0,0,ROUND($R2437*$S$2*$C$2/$A2428,2))</f>
        <v>142.69</v>
      </c>
      <c r="AH2428" s="465">
        <f ca="1">$AG2428*$A2428</f>
        <v>142.69</v>
      </c>
      <c r="AI2428" s="508">
        <f ca="1">$E2428-$AG2428</f>
        <v>174.82999999999998</v>
      </c>
      <c r="AJ2428" s="508">
        <f ca="1">$A2428*$AI2428</f>
        <v>174.82999999999998</v>
      </c>
      <c r="AK2428" s="509">
        <f ca="1">ROUND(($AG2428+$AI2428)*$A2428,2)</f>
        <v>317.52</v>
      </c>
      <c r="AM2428" s="510">
        <f ca="1">ROUND(R2437,2)</f>
        <v>116.96</v>
      </c>
      <c r="AN2428" s="511">
        <f ca="1">ROUND(T2437,2)</f>
        <v>4.97</v>
      </c>
      <c r="AO2428" s="512">
        <f ca="1">ROUND(AM2428+AN2428,2)*A2428</f>
        <v>121.93</v>
      </c>
    </row>
    <row r="2429" spans="1:41" s="504" customFormat="1" ht="13.2">
      <c r="A2429" s="872"/>
      <c r="B2429"/>
      <c r="C2429" s="872"/>
      <c r="D2429" s="916" t="s">
        <v>410</v>
      </c>
      <c r="E2429" s="917"/>
      <c r="F2429" s="918"/>
      <c r="G2429" s="919"/>
      <c r="H2429" s="918"/>
      <c r="I2429" s="920"/>
      <c r="J2429" s="918"/>
      <c r="K2429" s="918"/>
      <c r="L2429" s="918"/>
      <c r="M2429" s="918"/>
      <c r="N2429" s="918"/>
      <c r="O2429" s="918"/>
      <c r="P2429" s="918"/>
      <c r="Q2429" s="921"/>
      <c r="R2429" s="513"/>
      <c r="S2429" s="881"/>
      <c r="T2429" s="877"/>
    </row>
    <row r="2430" spans="1:41" s="997" customFormat="1" ht="13.2">
      <c r="A2430"/>
      <c r="B2430" s="1065"/>
      <c r="C2430" s="1065" t="s">
        <v>1006</v>
      </c>
      <c r="D2430" s="1065" t="str">
        <f ca="1">CELL("Address",Elec_Rates!D$200)</f>
        <v>[EL25_0662B_Brittania_Hotel_Elec_Revised_Estim_B.xlsx]Elec_Rates!$D$200</v>
      </c>
      <c r="E2430" s="1066"/>
      <c r="F2430" s="1066"/>
      <c r="G2430" s="1067" t="s">
        <v>1007</v>
      </c>
      <c r="H2430" s="1067"/>
      <c r="I2430" s="1067"/>
      <c r="J2430" s="1067"/>
      <c r="K2430" s="1068"/>
      <c r="L2430" s="1066"/>
      <c r="M2430" s="1066"/>
      <c r="N2430" s="1066"/>
      <c r="O2430" s="1069"/>
      <c r="P2430" s="1066"/>
      <c r="Q2430" s="1070"/>
      <c r="R2430" s="1071"/>
      <c r="S2430" s="1070"/>
      <c r="T2430" s="1072"/>
      <c r="U2430" s="1073"/>
    </row>
    <row r="2431" spans="1:41" s="997" customFormat="1" ht="11.4">
      <c r="A2431" s="1074">
        <v>1</v>
      </c>
      <c r="B2431" s="1075">
        <v>3</v>
      </c>
      <c r="C2431" s="1075">
        <f>$A2431*$B2431</f>
        <v>3</v>
      </c>
      <c r="D2431" s="1076" t="str">
        <f>Elec_Rates!$D$200</f>
        <v>019# Lighting point in LSZH Conduit</v>
      </c>
      <c r="E2431" s="1076"/>
      <c r="F2431" s="1076"/>
      <c r="G2431" s="1077" t="s">
        <v>1008</v>
      </c>
      <c r="H2431" s="1077"/>
      <c r="I2431" s="1077"/>
      <c r="J2431" s="1077"/>
      <c r="K2431" s="1078"/>
      <c r="L2431" s="1073"/>
      <c r="M2431" s="1073"/>
      <c r="N2431" s="1073"/>
      <c r="O2431" s="1079"/>
      <c r="P2431" s="1076"/>
      <c r="Q2431" s="1080">
        <f ca="1">$B2431*Elec_Rates!$R$200</f>
        <v>28.950000000000003</v>
      </c>
      <c r="R2431" s="1071">
        <f ca="1">$A2431*Q2431</f>
        <v>28.950000000000003</v>
      </c>
      <c r="S2431" s="1080">
        <f ca="1">$B2431*Elec_Rates!$T$200</f>
        <v>3.93</v>
      </c>
      <c r="T2431" s="1072">
        <f ca="1">$A2431*S2431</f>
        <v>3.93</v>
      </c>
      <c r="U2431" s="1081"/>
    </row>
    <row r="2432" spans="1:41" s="997" customFormat="1" ht="13.2">
      <c r="A2432"/>
      <c r="B2432" s="1065"/>
      <c r="C2432" s="1065" t="s">
        <v>1006</v>
      </c>
      <c r="D2432" s="1065" t="str">
        <f ca="1">CELL("Address",Elec_Rates!D$210)</f>
        <v>[EL25_0662B_Brittania_Hotel_Elec_Revised_Estim_B.xlsx]Elec_Rates!$D$210</v>
      </c>
      <c r="E2432" s="1066"/>
      <c r="F2432" s="1066"/>
      <c r="G2432" s="1067" t="s">
        <v>1007</v>
      </c>
      <c r="H2432" s="1067"/>
      <c r="I2432" s="1067"/>
      <c r="J2432" s="1067"/>
      <c r="K2432" s="1068"/>
      <c r="L2432" s="1066"/>
      <c r="M2432" s="1066"/>
      <c r="N2432" s="1066"/>
      <c r="O2432" s="1069"/>
      <c r="P2432" s="1066"/>
      <c r="Q2432" s="1070"/>
      <c r="R2432" s="1071"/>
      <c r="S2432" s="1070"/>
      <c r="T2432" s="1072"/>
      <c r="U2432" s="1073"/>
    </row>
    <row r="2433" spans="1:41" s="997" customFormat="1" ht="11.4">
      <c r="A2433" s="1074">
        <v>1</v>
      </c>
      <c r="B2433" s="1075">
        <v>3</v>
      </c>
      <c r="C2433" s="1075">
        <f>$A2433*$B2433</f>
        <v>3</v>
      </c>
      <c r="D2433" s="1076" t="str">
        <f>Elec_Rates!$D$210</f>
        <v>020# Movement Detector</v>
      </c>
      <c r="E2433" s="1076"/>
      <c r="F2433" s="1076"/>
      <c r="G2433" s="1077" t="s">
        <v>1008</v>
      </c>
      <c r="H2433" s="1077"/>
      <c r="I2433" s="1077"/>
      <c r="J2433" s="1077"/>
      <c r="K2433" s="1078"/>
      <c r="L2433" s="1073"/>
      <c r="M2433" s="1073"/>
      <c r="N2433" s="1073"/>
      <c r="O2433" s="1079"/>
      <c r="P2433" s="1076"/>
      <c r="Q2433" s="1080">
        <f ca="1">$B2433*Elec_Rates!$R$210</f>
        <v>53.010000000000005</v>
      </c>
      <c r="R2433" s="1071">
        <f ca="1">$A2433*Q2433</f>
        <v>53.010000000000005</v>
      </c>
      <c r="S2433" s="1080">
        <f ca="1">$B2433*Elec_Rates!$T$210</f>
        <v>0.78</v>
      </c>
      <c r="T2433" s="1072">
        <f ca="1">$A2433*S2433</f>
        <v>0.78</v>
      </c>
      <c r="U2433" s="1081"/>
    </row>
    <row r="2434" spans="1:41" s="997" customFormat="1" ht="13.2">
      <c r="A2434"/>
      <c r="B2434" s="1065"/>
      <c r="C2434" s="1065" t="s">
        <v>1006</v>
      </c>
      <c r="D2434" s="1065" t="str">
        <f ca="1">CELL("Address",Elec_Rates!D$524)</f>
        <v>[EL25_0662B_Brittania_Hotel_Elec_Revised_Estim_B.xlsx]Elec_Rates!$D$524</v>
      </c>
      <c r="E2434" s="1066"/>
      <c r="F2434" s="1066"/>
      <c r="G2434" s="1067" t="s">
        <v>1007</v>
      </c>
      <c r="H2434" s="1067"/>
      <c r="I2434" s="1067"/>
      <c r="J2434" s="1067"/>
      <c r="K2434" s="1068"/>
      <c r="L2434" s="1066"/>
      <c r="M2434" s="1066"/>
      <c r="N2434" s="1066"/>
      <c r="O2434" s="1069"/>
      <c r="P2434" s="1066"/>
      <c r="Q2434" s="1070"/>
      <c r="R2434" s="1071"/>
      <c r="S2434" s="1070"/>
      <c r="T2434" s="1072"/>
      <c r="U2434" s="1073"/>
    </row>
    <row r="2435" spans="1:41" s="997" customFormat="1" ht="11.4">
      <c r="A2435" s="1074">
        <v>1</v>
      </c>
      <c r="B2435" s="1075">
        <v>1</v>
      </c>
      <c r="C2435" s="1075">
        <f>$A2435*$B2435</f>
        <v>1</v>
      </c>
      <c r="D2435" s="1076" t="str">
        <f>Elec_Rates!$D$524</f>
        <v>062# 230V 2P 16A Contactor</v>
      </c>
      <c r="E2435" s="1076"/>
      <c r="F2435" s="1076"/>
      <c r="G2435" s="1077" t="s">
        <v>1008</v>
      </c>
      <c r="H2435" s="1077"/>
      <c r="I2435" s="1077"/>
      <c r="J2435" s="1077"/>
      <c r="K2435" s="1078"/>
      <c r="L2435" s="1073"/>
      <c r="M2435" s="1073"/>
      <c r="N2435" s="1073"/>
      <c r="O2435" s="1079"/>
      <c r="P2435" s="1076"/>
      <c r="Q2435" s="1080">
        <f ca="1">$B2435*Elec_Rates!$R$524</f>
        <v>35</v>
      </c>
      <c r="R2435" s="1071">
        <f ca="1">$A2435*Q2435</f>
        <v>35</v>
      </c>
      <c r="S2435" s="1080">
        <f ca="1">$B2435*Elec_Rates!$T$524</f>
        <v>0.26</v>
      </c>
      <c r="T2435" s="1072">
        <f ca="1">$A2435*S2435</f>
        <v>0.26</v>
      </c>
      <c r="U2435" s="1081"/>
    </row>
    <row r="2436" spans="1:41" s="504" customFormat="1" ht="12">
      <c r="A2436" s="882"/>
      <c r="B2436" s="882"/>
      <c r="C2436" s="882"/>
      <c r="D2436" s="882"/>
      <c r="E2436" s="882"/>
      <c r="F2436" s="877"/>
      <c r="G2436" s="882"/>
      <c r="H2436" s="882"/>
      <c r="I2436" s="503"/>
      <c r="J2436" s="882"/>
      <c r="K2436" s="882"/>
      <c r="L2436" s="882"/>
      <c r="M2436" s="882"/>
      <c r="N2436" s="882"/>
      <c r="O2436" s="882"/>
      <c r="P2436" s="882"/>
      <c r="Q2436" s="503"/>
      <c r="R2436" s="883">
        <f>$A2436*Q2436</f>
        <v>0</v>
      </c>
      <c r="S2436" s="503"/>
      <c r="T2436" s="884">
        <f>$A2436*S2436*$T$1</f>
        <v>0</v>
      </c>
    </row>
    <row r="2437" spans="1:41" s="504" customFormat="1" ht="12.6" thickBot="1">
      <c r="A2437" s="885" t="s">
        <v>142</v>
      </c>
      <c r="B2437" s="886">
        <f>(R2436+T2436)</f>
        <v>0</v>
      </c>
      <c r="C2437" s="887"/>
      <c r="D2437" s="887"/>
      <c r="E2437" s="887"/>
      <c r="F2437" s="888"/>
      <c r="G2437" s="887" t="s">
        <v>143</v>
      </c>
      <c r="H2437" s="887"/>
      <c r="I2437" s="889"/>
      <c r="J2437" s="887"/>
      <c r="K2437" s="887" t="s">
        <v>3</v>
      </c>
      <c r="L2437" s="890" t="s">
        <v>140</v>
      </c>
      <c r="M2437" s="890"/>
      <c r="N2437" s="890"/>
      <c r="O2437" s="890"/>
      <c r="P2437" s="890"/>
      <c r="Q2437" s="891"/>
      <c r="R2437" s="892">
        <f ca="1">SUM(R2429:R2436)</f>
        <v>116.96000000000001</v>
      </c>
      <c r="S2437" s="887"/>
      <c r="T2437" s="892">
        <f ca="1">SUM(T2429:T2436)</f>
        <v>4.97</v>
      </c>
      <c r="U2437" s="514"/>
      <c r="V2437" s="514"/>
      <c r="W2437" s="514"/>
      <c r="X2437" s="514"/>
      <c r="Y2437" s="514"/>
      <c r="Z2437" s="514"/>
      <c r="AA2437" s="514"/>
      <c r="AB2437" s="514"/>
      <c r="AC2437" s="514"/>
      <c r="AD2437" s="514"/>
      <c r="AE2437" s="514"/>
      <c r="AF2437" s="514"/>
      <c r="AG2437" s="514"/>
      <c r="AH2437" s="514"/>
      <c r="AI2437" s="514"/>
      <c r="AJ2437" s="514"/>
      <c r="AK2437" s="514"/>
      <c r="AL2437" s="514"/>
      <c r="AM2437" s="514"/>
      <c r="AN2437" s="514"/>
      <c r="AO2437" s="514"/>
    </row>
    <row r="2438" spans="1:41" s="504" customFormat="1" ht="12" thickTop="1">
      <c r="A2438" s="50"/>
      <c r="B2438" s="40"/>
      <c r="C2438" s="50"/>
      <c r="E2438" s="41" t="s">
        <v>136</v>
      </c>
      <c r="F2438" s="41" t="s">
        <v>137</v>
      </c>
      <c r="G2438" s="50"/>
      <c r="H2438" s="50"/>
      <c r="I2438" s="50"/>
      <c r="J2438" s="50"/>
      <c r="K2438" s="50" t="s">
        <v>138</v>
      </c>
      <c r="L2438" s="50"/>
      <c r="M2438" s="50"/>
      <c r="N2438" s="50"/>
      <c r="O2438" s="51"/>
      <c r="P2438" s="50"/>
      <c r="Q2438" s="50"/>
      <c r="R2438" s="50"/>
      <c r="S2438" s="50"/>
      <c r="T2438" s="40"/>
      <c r="AG2438" s="867" t="s">
        <v>241</v>
      </c>
      <c r="AH2438" s="867" t="s">
        <v>242</v>
      </c>
      <c r="AI2438" s="867" t="s">
        <v>243</v>
      </c>
      <c r="AJ2438" s="867" t="s">
        <v>244</v>
      </c>
      <c r="AK2438" s="867" t="s">
        <v>245</v>
      </c>
      <c r="AM2438" s="868" t="s">
        <v>254</v>
      </c>
      <c r="AN2438" s="869" t="s">
        <v>255</v>
      </c>
      <c r="AO2438" s="505" t="s">
        <v>251</v>
      </c>
    </row>
    <row r="2439" spans="1:41" s="504" customFormat="1" ht="12" customHeight="1">
      <c r="A2439" s="870">
        <v>2</v>
      </c>
      <c r="B2439" s="871" t="s">
        <v>335</v>
      </c>
      <c r="C2439" s="872"/>
      <c r="D2439" s="873" t="s">
        <v>824</v>
      </c>
      <c r="E2439" s="874">
        <f ca="1">IF(AND($A2439=0,$A$1="DIF"),0, ROUND(ROUND(($R2446*$S$2+($T2446*$T$2))/A2439,2)*$C$2,2))</f>
        <v>88.56</v>
      </c>
      <c r="F2439" s="875">
        <f ca="1">ROUND($A2439*$E2439,2)</f>
        <v>177.12</v>
      </c>
      <c r="G2439" s="876" t="s">
        <v>139</v>
      </c>
      <c r="H2439" s="877"/>
      <c r="I2439" s="878"/>
      <c r="J2439" s="877"/>
      <c r="K2439" s="877" t="s">
        <v>3</v>
      </c>
      <c r="L2439" s="879" t="s">
        <v>140</v>
      </c>
      <c r="M2439" s="879"/>
      <c r="N2439" s="879"/>
      <c r="O2439" s="879"/>
      <c r="P2439" s="879"/>
      <c r="Q2439" s="50"/>
      <c r="T2439" s="880" t="str">
        <f ca="1">IF(AND($R2446=0,$T2446=0),"0.00","mu :" &amp; ROUND($F2439/$C$2/($R2446+$T2446*$D$9),2))</f>
        <v>mu :1.22</v>
      </c>
      <c r="W2439" s="507"/>
      <c r="AG2439" s="465">
        <f ca="1">IF($E2439=0,0,ROUND($R2446*$S$2*$C$2/$A2439,2))</f>
        <v>33.33</v>
      </c>
      <c r="AH2439" s="465">
        <f ca="1">$AG2439*$A2439</f>
        <v>66.66</v>
      </c>
      <c r="AI2439" s="508">
        <f ca="1">$E2439-$AG2439</f>
        <v>55.230000000000004</v>
      </c>
      <c r="AJ2439" s="508">
        <f ca="1">$A2439*$AI2439</f>
        <v>110.46000000000001</v>
      </c>
      <c r="AK2439" s="509">
        <f ca="1">ROUND(($AG2439+$AI2439)*$A2439,2)</f>
        <v>177.12</v>
      </c>
      <c r="AM2439" s="510">
        <f ca="1">ROUND(R2446,2)</f>
        <v>54.64</v>
      </c>
      <c r="AN2439" s="511">
        <f ca="1">ROUND(T2446,2)</f>
        <v>3.14</v>
      </c>
      <c r="AO2439" s="512">
        <f ca="1">ROUND(AM2439+AN2439,2)*A2439</f>
        <v>115.56</v>
      </c>
    </row>
    <row r="2440" spans="1:41" s="504" customFormat="1" ht="13.2">
      <c r="A2440" s="872"/>
      <c r="B2440"/>
      <c r="C2440" s="872"/>
      <c r="D2440" s="873" t="s">
        <v>340</v>
      </c>
      <c r="F2440" s="877"/>
      <c r="G2440" s="3"/>
      <c r="H2440" s="877"/>
      <c r="I2440" s="878"/>
      <c r="J2440" s="877"/>
      <c r="K2440" s="877" t="s">
        <v>141</v>
      </c>
      <c r="L2440" s="877"/>
      <c r="M2440" s="877"/>
      <c r="N2440" s="877"/>
      <c r="O2440" s="877"/>
      <c r="P2440" s="877"/>
      <c r="Q2440" s="50"/>
      <c r="R2440" s="513"/>
      <c r="S2440" s="881"/>
      <c r="T2440" s="877"/>
    </row>
    <row r="2441" spans="1:41" s="997" customFormat="1" ht="13.2">
      <c r="A2441"/>
      <c r="B2441" s="1065"/>
      <c r="C2441" s="1065" t="s">
        <v>1006</v>
      </c>
      <c r="D2441" s="1065" t="str">
        <f ca="1">CELL("Address",Elec_Rates!D$200)</f>
        <v>[EL25_0662B_Brittania_Hotel_Elec_Revised_Estim_B.xlsx]Elec_Rates!$D$200</v>
      </c>
      <c r="E2441" s="1066"/>
      <c r="F2441" s="1066"/>
      <c r="G2441" s="1067" t="s">
        <v>1007</v>
      </c>
      <c r="H2441" s="1067"/>
      <c r="I2441" s="1067"/>
      <c r="J2441" s="1067"/>
      <c r="K2441" s="1068"/>
      <c r="L2441" s="1066"/>
      <c r="M2441" s="1066"/>
      <c r="N2441" s="1066"/>
      <c r="O2441" s="1069"/>
      <c r="P2441" s="1066"/>
      <c r="Q2441" s="1070"/>
      <c r="R2441" s="1071"/>
      <c r="S2441" s="1070"/>
      <c r="T2441" s="1072"/>
      <c r="U2441" s="1073"/>
    </row>
    <row r="2442" spans="1:41" s="997" customFormat="1" ht="11.4">
      <c r="A2442" s="1074">
        <v>2</v>
      </c>
      <c r="B2442" s="1075">
        <v>1</v>
      </c>
      <c r="C2442" s="1075">
        <f>$A2442*$B2442</f>
        <v>2</v>
      </c>
      <c r="D2442" s="1076" t="str">
        <f>Elec_Rates!$D$200</f>
        <v>019# Lighting point in LSZH Conduit</v>
      </c>
      <c r="E2442" s="1076"/>
      <c r="F2442" s="1076" t="s">
        <v>1169</v>
      </c>
      <c r="G2442" s="1077" t="s">
        <v>1008</v>
      </c>
      <c r="H2442" s="1077"/>
      <c r="I2442" s="1077"/>
      <c r="J2442" s="1077"/>
      <c r="K2442" s="1078"/>
      <c r="L2442" s="1073"/>
      <c r="M2442" s="1073"/>
      <c r="N2442" s="1073"/>
      <c r="O2442" s="1079"/>
      <c r="P2442" s="1076"/>
      <c r="Q2442" s="1080">
        <f ca="1">$B2442*Elec_Rates!$R$200</f>
        <v>9.65</v>
      </c>
      <c r="R2442" s="1071">
        <f ca="1">$A2442*Q2442</f>
        <v>19.3</v>
      </c>
      <c r="S2442" s="1080">
        <f ca="1">$B2442*Elec_Rates!$T$200</f>
        <v>1.31</v>
      </c>
      <c r="T2442" s="1072">
        <f ca="1">$A2442*S2442</f>
        <v>2.62</v>
      </c>
      <c r="U2442" s="1081"/>
    </row>
    <row r="2443" spans="1:41" s="997" customFormat="1" ht="13.2">
      <c r="A2443"/>
      <c r="B2443" s="1065"/>
      <c r="C2443" s="1065" t="s">
        <v>1006</v>
      </c>
      <c r="D2443" s="1065" t="str">
        <f ca="1">CELL("Address",Elec_Rates!D$210)</f>
        <v>[EL25_0662B_Brittania_Hotel_Elec_Revised_Estim_B.xlsx]Elec_Rates!$D$210</v>
      </c>
      <c r="E2443" s="1066"/>
      <c r="F2443" s="1066"/>
      <c r="G2443" s="1067" t="s">
        <v>1007</v>
      </c>
      <c r="H2443" s="1067"/>
      <c r="I2443" s="1067"/>
      <c r="J2443" s="1067"/>
      <c r="K2443" s="1068"/>
      <c r="L2443" s="1066"/>
      <c r="M2443" s="1066"/>
      <c r="N2443" s="1066"/>
      <c r="O2443" s="1069"/>
      <c r="P2443" s="1066"/>
      <c r="Q2443" s="1070"/>
      <c r="R2443" s="1071"/>
      <c r="S2443" s="1070"/>
      <c r="T2443" s="1072"/>
      <c r="U2443" s="1073"/>
    </row>
    <row r="2444" spans="1:41" s="997" customFormat="1" ht="11.4">
      <c r="A2444" s="1074">
        <v>2</v>
      </c>
      <c r="B2444" s="1075">
        <v>1</v>
      </c>
      <c r="C2444" s="1075">
        <f>$A2444*$B2444</f>
        <v>2</v>
      </c>
      <c r="D2444" s="1076" t="str">
        <f>Elec_Rates!$D$210</f>
        <v>020# Movement Detector</v>
      </c>
      <c r="E2444" s="1076"/>
      <c r="F2444" s="1076"/>
      <c r="G2444" s="1077" t="s">
        <v>1008</v>
      </c>
      <c r="H2444" s="1077"/>
      <c r="I2444" s="1077"/>
      <c r="J2444" s="1077"/>
      <c r="K2444" s="1078"/>
      <c r="L2444" s="1073"/>
      <c r="M2444" s="1073"/>
      <c r="N2444" s="1073"/>
      <c r="O2444" s="1079"/>
      <c r="P2444" s="1076"/>
      <c r="Q2444" s="1080">
        <f ca="1">$B2444*Elec_Rates!$R$210</f>
        <v>17.670000000000002</v>
      </c>
      <c r="R2444" s="1071">
        <f ca="1">$A2444*Q2444</f>
        <v>35.340000000000003</v>
      </c>
      <c r="S2444" s="1080">
        <f ca="1">$B2444*Elec_Rates!$T$210</f>
        <v>0.26</v>
      </c>
      <c r="T2444" s="1072">
        <f ca="1">$A2444*S2444</f>
        <v>0.52</v>
      </c>
      <c r="U2444" s="1081"/>
    </row>
    <row r="2445" spans="1:41" s="504" customFormat="1" ht="12">
      <c r="A2445" s="882"/>
      <c r="B2445" s="882"/>
      <c r="C2445" s="882"/>
      <c r="D2445" s="882"/>
      <c r="E2445" s="882"/>
      <c r="F2445" s="877"/>
      <c r="G2445" s="882"/>
      <c r="H2445" s="882"/>
      <c r="I2445" s="503"/>
      <c r="J2445" s="882"/>
      <c r="K2445" s="882"/>
      <c r="L2445" s="882"/>
      <c r="M2445" s="882"/>
      <c r="N2445" s="882"/>
      <c r="O2445" s="882"/>
      <c r="P2445" s="882"/>
      <c r="Q2445" s="503"/>
      <c r="R2445" s="883">
        <f>$A2445*Q2445</f>
        <v>0</v>
      </c>
      <c r="S2445" s="503"/>
      <c r="T2445" s="884">
        <f>$A2445*S2445*$T$1</f>
        <v>0</v>
      </c>
    </row>
    <row r="2446" spans="1:41" s="504" customFormat="1" ht="12.6" thickBot="1">
      <c r="A2446" s="885" t="s">
        <v>142</v>
      </c>
      <c r="B2446" s="886">
        <f>(R2445+T2445)</f>
        <v>0</v>
      </c>
      <c r="C2446" s="887"/>
      <c r="D2446" s="887"/>
      <c r="E2446" s="887"/>
      <c r="F2446" s="888"/>
      <c r="G2446" s="887" t="s">
        <v>143</v>
      </c>
      <c r="H2446" s="887"/>
      <c r="I2446" s="889"/>
      <c r="J2446" s="887"/>
      <c r="K2446" s="887" t="s">
        <v>3</v>
      </c>
      <c r="L2446" s="890" t="s">
        <v>140</v>
      </c>
      <c r="M2446" s="890"/>
      <c r="N2446" s="890"/>
      <c r="O2446" s="890"/>
      <c r="P2446" s="890"/>
      <c r="Q2446" s="891"/>
      <c r="R2446" s="892">
        <f ca="1">SUM(R2440:R2445)</f>
        <v>54.64</v>
      </c>
      <c r="S2446" s="887"/>
      <c r="T2446" s="892">
        <f ca="1">SUM(T2440:T2445)</f>
        <v>3.14</v>
      </c>
      <c r="U2446" s="514"/>
      <c r="V2446" s="514"/>
      <c r="W2446" s="514"/>
      <c r="X2446" s="514"/>
      <c r="Y2446" s="514"/>
      <c r="Z2446" s="514"/>
      <c r="AA2446" s="514"/>
      <c r="AB2446" s="514"/>
      <c r="AC2446" s="514"/>
      <c r="AD2446" s="514"/>
      <c r="AE2446" s="514"/>
      <c r="AF2446" s="514"/>
      <c r="AG2446" s="514"/>
      <c r="AH2446" s="514"/>
      <c r="AI2446" s="514"/>
      <c r="AJ2446" s="514"/>
      <c r="AK2446" s="514"/>
      <c r="AL2446" s="514"/>
      <c r="AM2446" s="514"/>
      <c r="AN2446" s="514"/>
      <c r="AO2446" s="514"/>
    </row>
    <row r="2447" spans="1:41" s="504" customFormat="1" ht="12" thickTop="1">
      <c r="A2447" s="50"/>
      <c r="B2447" s="40"/>
      <c r="C2447" s="50"/>
      <c r="E2447" s="41" t="s">
        <v>136</v>
      </c>
      <c r="F2447" s="41" t="s">
        <v>137</v>
      </c>
      <c r="G2447" s="50"/>
      <c r="H2447" s="50"/>
      <c r="I2447" s="50"/>
      <c r="J2447" s="50"/>
      <c r="K2447" s="50" t="s">
        <v>138</v>
      </c>
      <c r="L2447" s="50"/>
      <c r="M2447" s="50"/>
      <c r="N2447" s="50"/>
      <c r="O2447" s="51"/>
      <c r="P2447" s="50"/>
      <c r="Q2447" s="50"/>
      <c r="R2447" s="50"/>
      <c r="S2447" s="50"/>
      <c r="T2447" s="40"/>
      <c r="AG2447" s="867" t="s">
        <v>241</v>
      </c>
      <c r="AH2447" s="867" t="s">
        <v>242</v>
      </c>
      <c r="AI2447" s="867" t="s">
        <v>243</v>
      </c>
      <c r="AJ2447" s="867" t="s">
        <v>244</v>
      </c>
      <c r="AK2447" s="867" t="s">
        <v>245</v>
      </c>
      <c r="AM2447" s="868" t="s">
        <v>254</v>
      </c>
      <c r="AN2447" s="869" t="s">
        <v>255</v>
      </c>
      <c r="AO2447" s="505" t="s">
        <v>251</v>
      </c>
    </row>
    <row r="2448" spans="1:41" s="504" customFormat="1" ht="12" customHeight="1">
      <c r="A2448" s="870">
        <v>11</v>
      </c>
      <c r="B2448" s="871" t="s">
        <v>335</v>
      </c>
      <c r="C2448" s="872"/>
      <c r="D2448" s="873" t="s">
        <v>825</v>
      </c>
      <c r="E2448" s="874">
        <f ca="1">IF(AND($A2448=0,$A$1="DIF"),0, ROUND(ROUND(($R2454*$S$2+($T2454*$T$2))/A2448,2)*$C$2,2))</f>
        <v>74.08</v>
      </c>
      <c r="F2448" s="875">
        <f ca="1">ROUND($A2448*$E2448,2)</f>
        <v>814.88</v>
      </c>
      <c r="G2448" s="876" t="s">
        <v>139</v>
      </c>
      <c r="H2448" s="877"/>
      <c r="I2448" s="878"/>
      <c r="J2448" s="877"/>
      <c r="K2448" s="877" t="s">
        <v>3</v>
      </c>
      <c r="L2448" s="879" t="s">
        <v>140</v>
      </c>
      <c r="M2448" s="879"/>
      <c r="N2448" s="879"/>
      <c r="O2448" s="879"/>
      <c r="P2448" s="879"/>
      <c r="Q2448" s="50"/>
      <c r="T2448" s="880" t="str">
        <f ca="1">IF(AND($R2454=0,$T2454=0),"0.00","mu :" &amp; ROUND($F2448/$C$2/($R2454+$T2454*$D$9),2))</f>
        <v>mu :1.22</v>
      </c>
      <c r="W2448" s="507"/>
      <c r="AG2448" s="465">
        <f ca="1">IF($E2448=0,0,ROUND($R2454*$S$2*$C$2/$A2448,2))</f>
        <v>21.72</v>
      </c>
      <c r="AH2448" s="465">
        <f ca="1">$AG2448*$A2448</f>
        <v>238.92</v>
      </c>
      <c r="AI2448" s="508">
        <f ca="1">$E2448-$AG2448</f>
        <v>52.36</v>
      </c>
      <c r="AJ2448" s="508">
        <f ca="1">$A2448*$AI2448</f>
        <v>575.96</v>
      </c>
      <c r="AK2448" s="509">
        <f ca="1">ROUND(($AG2448+$AI2448)*$A2448,2)</f>
        <v>814.88</v>
      </c>
      <c r="AM2448" s="510">
        <f ca="1">ROUND(R2454,2)</f>
        <v>195.8</v>
      </c>
      <c r="AN2448" s="511">
        <f ca="1">ROUND(T2454,2)</f>
        <v>16.37</v>
      </c>
      <c r="AO2448" s="512">
        <f ca="1">ROUND(AM2448+AN2448,2)*A2448</f>
        <v>2333.87</v>
      </c>
    </row>
    <row r="2449" spans="1:41" s="504" customFormat="1" ht="13.2">
      <c r="A2449" s="872"/>
      <c r="B2449"/>
      <c r="C2449" s="872"/>
      <c r="D2449" s="873" t="s">
        <v>381</v>
      </c>
      <c r="F2449" s="877"/>
      <c r="G2449" s="3"/>
      <c r="H2449" s="877"/>
      <c r="I2449" s="878"/>
      <c r="J2449" s="877"/>
      <c r="K2449" s="877" t="s">
        <v>141</v>
      </c>
      <c r="L2449" s="877"/>
      <c r="M2449" s="877"/>
      <c r="N2449" s="877"/>
      <c r="O2449" s="877"/>
      <c r="P2449" s="877"/>
      <c r="Q2449" s="50"/>
      <c r="R2449" s="513"/>
      <c r="S2449" s="881"/>
      <c r="T2449" s="877"/>
    </row>
    <row r="2450" spans="1:41" s="997" customFormat="1" ht="13.2">
      <c r="A2450"/>
      <c r="B2450" s="1065"/>
      <c r="C2450" s="1065" t="s">
        <v>1006</v>
      </c>
      <c r="D2450" s="1065" t="str">
        <f ca="1">CELL("Address",Elec_Rates!D$200)</f>
        <v>[EL25_0662B_Brittania_Hotel_Elec_Revised_Estim_B.xlsx]Elec_Rates!$D$200</v>
      </c>
      <c r="E2450" s="1066"/>
      <c r="F2450" s="1066"/>
      <c r="G2450" s="1067" t="s">
        <v>1007</v>
      </c>
      <c r="H2450" s="1067"/>
      <c r="I2450" s="1067"/>
      <c r="J2450" s="1067"/>
      <c r="K2450" s="1068"/>
      <c r="L2450" s="1066"/>
      <c r="M2450" s="1066"/>
      <c r="N2450" s="1066"/>
      <c r="O2450" s="1069"/>
      <c r="P2450" s="1066"/>
      <c r="Q2450" s="1070"/>
      <c r="R2450" s="1071"/>
      <c r="S2450" s="1070"/>
      <c r="T2450" s="1072"/>
      <c r="U2450" s="1073"/>
    </row>
    <row r="2451" spans="1:41" s="997" customFormat="1" ht="11.4">
      <c r="A2451" s="1074">
        <v>11</v>
      </c>
      <c r="B2451" s="1075">
        <v>1</v>
      </c>
      <c r="C2451" s="1075">
        <f>$A2451*$B2451</f>
        <v>11</v>
      </c>
      <c r="D2451" s="1076" t="str">
        <f>Elec_Rates!$D$200</f>
        <v>019# Lighting point in LSZH Conduit</v>
      </c>
      <c r="E2451" s="1076"/>
      <c r="F2451" s="1076" t="s">
        <v>1169</v>
      </c>
      <c r="G2451" s="1077" t="s">
        <v>1008</v>
      </c>
      <c r="H2451" s="1077"/>
      <c r="I2451" s="1077"/>
      <c r="J2451" s="1077"/>
      <c r="K2451" s="1078"/>
      <c r="L2451" s="1073"/>
      <c r="M2451" s="1073"/>
      <c r="N2451" s="1073"/>
      <c r="O2451" s="1079"/>
      <c r="P2451" s="1076"/>
      <c r="Q2451" s="1080">
        <f ca="1">$B2451*Elec_Rates!$R$200</f>
        <v>9.65</v>
      </c>
      <c r="R2451" s="1071">
        <f ca="1">$A2451*Q2451</f>
        <v>106.15</v>
      </c>
      <c r="S2451" s="1080">
        <f ca="1">$B2451*Elec_Rates!$T$200</f>
        <v>1.31</v>
      </c>
      <c r="T2451" s="1072">
        <f ca="1">$A2451*S2451</f>
        <v>14.41</v>
      </c>
      <c r="U2451" s="1081"/>
    </row>
    <row r="2452" spans="1:41" s="1039" customFormat="1" ht="11.4">
      <c r="A2452" s="1074">
        <v>11</v>
      </c>
      <c r="B2452" s="1039" t="s">
        <v>949</v>
      </c>
      <c r="D2452" s="1039" t="s">
        <v>1299</v>
      </c>
      <c r="G2452" s="1040" t="s">
        <v>1182</v>
      </c>
      <c r="H2452" s="1041">
        <v>705</v>
      </c>
      <c r="I2452" s="1039" t="s">
        <v>1183</v>
      </c>
      <c r="J2452" s="1039" t="s">
        <v>1184</v>
      </c>
      <c r="O2452" s="1042">
        <v>3</v>
      </c>
      <c r="P2452" s="1043">
        <v>34669</v>
      </c>
      <c r="Q2452" s="1044">
        <v>8.15</v>
      </c>
      <c r="R2452" s="1045">
        <f>$A2452*Q2452</f>
        <v>89.65</v>
      </c>
      <c r="S2452" s="1044">
        <v>0.17</v>
      </c>
      <c r="T2452" s="1046">
        <f>$A2452*S2452*$T$1</f>
        <v>1.9635000000000002</v>
      </c>
    </row>
    <row r="2453" spans="1:41" s="504" customFormat="1" ht="12">
      <c r="A2453" s="882"/>
      <c r="B2453" s="882"/>
      <c r="C2453" s="882"/>
      <c r="D2453" s="882"/>
      <c r="E2453" s="882"/>
      <c r="F2453" s="877"/>
      <c r="G2453" s="882"/>
      <c r="H2453" s="882"/>
      <c r="I2453" s="503"/>
      <c r="J2453" s="882"/>
      <c r="K2453" s="882"/>
      <c r="L2453" s="882"/>
      <c r="M2453" s="882"/>
      <c r="N2453" s="882"/>
      <c r="O2453" s="882"/>
      <c r="P2453" s="882"/>
      <c r="Q2453" s="503"/>
      <c r="R2453" s="883">
        <f>$A2453*Q2453</f>
        <v>0</v>
      </c>
      <c r="S2453" s="503"/>
      <c r="T2453" s="884">
        <f>$A2453*S2453*$T$1</f>
        <v>0</v>
      </c>
    </row>
    <row r="2454" spans="1:41" s="504" customFormat="1" ht="12.6" thickBot="1">
      <c r="A2454" s="885" t="s">
        <v>142</v>
      </c>
      <c r="B2454" s="886">
        <f>(R2453+T2453)</f>
        <v>0</v>
      </c>
      <c r="C2454" s="887"/>
      <c r="D2454" s="887"/>
      <c r="E2454" s="887"/>
      <c r="F2454" s="888"/>
      <c r="G2454" s="887" t="s">
        <v>143</v>
      </c>
      <c r="H2454" s="887"/>
      <c r="I2454" s="889"/>
      <c r="J2454" s="887"/>
      <c r="K2454" s="887" t="s">
        <v>3</v>
      </c>
      <c r="L2454" s="890" t="s">
        <v>140</v>
      </c>
      <c r="M2454" s="890"/>
      <c r="N2454" s="890"/>
      <c r="O2454" s="890"/>
      <c r="P2454" s="890"/>
      <c r="Q2454" s="891"/>
      <c r="R2454" s="892">
        <f ca="1">SUM(R2449:R2453)</f>
        <v>195.8</v>
      </c>
      <c r="S2454" s="887"/>
      <c r="T2454" s="892">
        <f ca="1">SUM(T2449:T2453)</f>
        <v>16.3735</v>
      </c>
      <c r="U2454" s="514"/>
      <c r="V2454" s="514"/>
      <c r="W2454" s="514"/>
      <c r="X2454" s="514"/>
      <c r="Y2454" s="514"/>
      <c r="Z2454" s="514"/>
      <c r="AA2454" s="514"/>
      <c r="AB2454" s="514"/>
      <c r="AC2454" s="514"/>
      <c r="AD2454" s="514"/>
      <c r="AE2454" s="514"/>
      <c r="AF2454" s="514"/>
      <c r="AG2454" s="514"/>
      <c r="AH2454" s="514"/>
      <c r="AI2454" s="514"/>
      <c r="AJ2454" s="514"/>
      <c r="AK2454" s="514"/>
      <c r="AL2454" s="514"/>
      <c r="AM2454" s="514"/>
      <c r="AN2454" s="514"/>
      <c r="AO2454" s="514"/>
    </row>
    <row r="2455" spans="1:41" s="504" customFormat="1" ht="12" thickTop="1">
      <c r="A2455" s="50"/>
      <c r="B2455" s="40"/>
      <c r="C2455" s="50"/>
      <c r="E2455" s="41" t="s">
        <v>136</v>
      </c>
      <c r="F2455" s="41" t="s">
        <v>137</v>
      </c>
      <c r="G2455" s="50"/>
      <c r="H2455" s="50"/>
      <c r="I2455" s="50"/>
      <c r="J2455" s="50"/>
      <c r="K2455" s="50" t="s">
        <v>138</v>
      </c>
      <c r="L2455" s="50"/>
      <c r="M2455" s="50"/>
      <c r="N2455" s="50"/>
      <c r="O2455" s="51"/>
      <c r="P2455" s="50"/>
      <c r="Q2455" s="50"/>
      <c r="R2455" s="50"/>
      <c r="S2455" s="50"/>
      <c r="T2455" s="40"/>
      <c r="AG2455" s="867" t="s">
        <v>241</v>
      </c>
      <c r="AH2455" s="867" t="s">
        <v>242</v>
      </c>
      <c r="AI2455" s="867" t="s">
        <v>243</v>
      </c>
      <c r="AJ2455" s="867" t="s">
        <v>244</v>
      </c>
      <c r="AK2455" s="867" t="s">
        <v>245</v>
      </c>
      <c r="AM2455" s="868" t="s">
        <v>254</v>
      </c>
      <c r="AN2455" s="869" t="s">
        <v>255</v>
      </c>
      <c r="AO2455" s="505" t="s">
        <v>251</v>
      </c>
    </row>
    <row r="2456" spans="1:41" s="504" customFormat="1" ht="12" customHeight="1">
      <c r="A2456" s="870">
        <v>6</v>
      </c>
      <c r="B2456" s="871" t="s">
        <v>335</v>
      </c>
      <c r="C2456" s="872"/>
      <c r="D2456" s="873" t="s">
        <v>826</v>
      </c>
      <c r="E2456" s="874">
        <f ca="1">IF(AND($A2456=0,$A$1="DIF"),0, ROUND(ROUND(($R2461*$S$2+($T2461*$T$2))/A2456,2)*$C$2,2))</f>
        <v>57.85</v>
      </c>
      <c r="F2456" s="875">
        <f ca="1">ROUND($A2456*$E2456,2)</f>
        <v>347.1</v>
      </c>
      <c r="G2456" s="876" t="s">
        <v>139</v>
      </c>
      <c r="H2456" s="877"/>
      <c r="I2456" s="878"/>
      <c r="J2456" s="877"/>
      <c r="K2456" s="877" t="s">
        <v>3</v>
      </c>
      <c r="L2456" s="879" t="s">
        <v>140</v>
      </c>
      <c r="M2456" s="879"/>
      <c r="N2456" s="879"/>
      <c r="O2456" s="879"/>
      <c r="P2456" s="879"/>
      <c r="Q2456" s="50"/>
      <c r="T2456" s="880" t="str">
        <f ca="1">IF(AND($R2461=0,$T2461=0),"0.00","mu :" &amp; ROUND($F2456/$C$2/($R2461+$T2461*$D$9),2))</f>
        <v>mu :1.22</v>
      </c>
      <c r="W2456" s="507"/>
      <c r="AG2456" s="465">
        <f ca="1">IF($E2456=0,0,ROUND($R2461*$S$2*$C$2/$A2456,2))</f>
        <v>11.77</v>
      </c>
      <c r="AH2456" s="465">
        <f ca="1">$AG2456*$A2456</f>
        <v>70.62</v>
      </c>
      <c r="AI2456" s="508">
        <f ca="1">$E2456-$AG2456</f>
        <v>46.08</v>
      </c>
      <c r="AJ2456" s="508">
        <f ca="1">$A2456*$AI2456</f>
        <v>276.48</v>
      </c>
      <c r="AK2456" s="509">
        <f ca="1">ROUND(($AG2456+$AI2456)*$A2456,2)</f>
        <v>347.1</v>
      </c>
      <c r="AM2456" s="510">
        <f ca="1">ROUND(R2461,2)</f>
        <v>57.9</v>
      </c>
      <c r="AN2456" s="511">
        <f ca="1">ROUND(T2461,2)</f>
        <v>7.86</v>
      </c>
      <c r="AO2456" s="512">
        <f ca="1">ROUND(AM2456+AN2456,2)*A2456</f>
        <v>394.56000000000006</v>
      </c>
    </row>
    <row r="2457" spans="1:41" s="504" customFormat="1" ht="13.2">
      <c r="A2457" s="872"/>
      <c r="B2457"/>
      <c r="C2457" s="872"/>
      <c r="D2457" s="873" t="s">
        <v>406</v>
      </c>
      <c r="F2457" s="877"/>
      <c r="G2457" s="3"/>
      <c r="H2457" s="877"/>
      <c r="I2457" s="878"/>
      <c r="J2457" s="877"/>
      <c r="K2457" s="877" t="s">
        <v>141</v>
      </c>
      <c r="L2457" s="877"/>
      <c r="M2457" s="877"/>
      <c r="N2457" s="877"/>
      <c r="O2457" s="877"/>
      <c r="P2457" s="877"/>
      <c r="Q2457" s="50"/>
      <c r="R2457" s="513"/>
      <c r="S2457" s="881"/>
      <c r="T2457" s="877"/>
    </row>
    <row r="2458" spans="1:41" s="997" customFormat="1" ht="13.2">
      <c r="A2458"/>
      <c r="B2458" s="1065"/>
      <c r="C2458" s="1065" t="s">
        <v>1006</v>
      </c>
      <c r="D2458" s="1065" t="str">
        <f ca="1">CELL("Address",Elec_Rates!D$200)</f>
        <v>[EL25_0662B_Brittania_Hotel_Elec_Revised_Estim_B.xlsx]Elec_Rates!$D$200</v>
      </c>
      <c r="E2458" s="1066"/>
      <c r="F2458" s="1066"/>
      <c r="G2458" s="1067" t="s">
        <v>1007</v>
      </c>
      <c r="H2458" s="1067"/>
      <c r="I2458" s="1067"/>
      <c r="J2458" s="1067"/>
      <c r="K2458" s="1068"/>
      <c r="L2458" s="1066"/>
      <c r="M2458" s="1066"/>
      <c r="N2458" s="1066"/>
      <c r="O2458" s="1069"/>
      <c r="P2458" s="1066"/>
      <c r="Q2458" s="1070"/>
      <c r="R2458" s="1071"/>
      <c r="S2458" s="1070"/>
      <c r="T2458" s="1072"/>
      <c r="U2458" s="1073"/>
    </row>
    <row r="2459" spans="1:41" s="997" customFormat="1" ht="11.4">
      <c r="A2459" s="1074">
        <v>6</v>
      </c>
      <c r="B2459" s="1075">
        <v>1</v>
      </c>
      <c r="C2459" s="1075">
        <f>$A2459*$B2459</f>
        <v>6</v>
      </c>
      <c r="D2459" s="1076" t="str">
        <f>Elec_Rates!$D$200</f>
        <v>019# Lighting point in LSZH Conduit</v>
      </c>
      <c r="E2459" s="1076"/>
      <c r="F2459" s="1076" t="s">
        <v>1169</v>
      </c>
      <c r="G2459" s="1077" t="s">
        <v>1008</v>
      </c>
      <c r="H2459" s="1077"/>
      <c r="I2459" s="1077"/>
      <c r="J2459" s="1077"/>
      <c r="K2459" s="1078"/>
      <c r="L2459" s="1073"/>
      <c r="M2459" s="1073"/>
      <c r="N2459" s="1073"/>
      <c r="O2459" s="1079"/>
      <c r="P2459" s="1076"/>
      <c r="Q2459" s="1080">
        <f ca="1">$B2459*Elec_Rates!$R$200</f>
        <v>9.65</v>
      </c>
      <c r="R2459" s="1071">
        <f ca="1">$A2459*Q2459</f>
        <v>57.900000000000006</v>
      </c>
      <c r="S2459" s="1080">
        <f ca="1">$B2459*Elec_Rates!$T$200</f>
        <v>1.31</v>
      </c>
      <c r="T2459" s="1072">
        <f ca="1">$A2459*S2459</f>
        <v>7.86</v>
      </c>
      <c r="U2459" s="1081"/>
    </row>
    <row r="2460" spans="1:41" s="504" customFormat="1" ht="12">
      <c r="A2460" s="882"/>
      <c r="B2460" s="882"/>
      <c r="C2460" s="882"/>
      <c r="D2460" s="882"/>
      <c r="E2460" s="882"/>
      <c r="F2460" s="877"/>
      <c r="G2460" s="882"/>
      <c r="H2460" s="882"/>
      <c r="I2460" s="503"/>
      <c r="J2460" s="882"/>
      <c r="K2460" s="882"/>
      <c r="L2460" s="882"/>
      <c r="M2460" s="882"/>
      <c r="N2460" s="882"/>
      <c r="O2460" s="882"/>
      <c r="P2460" s="882"/>
      <c r="Q2460" s="503"/>
      <c r="R2460" s="883">
        <f>$A2460*Q2460</f>
        <v>0</v>
      </c>
      <c r="S2460" s="503"/>
      <c r="T2460" s="884">
        <f>$A2460*S2460*$T$1</f>
        <v>0</v>
      </c>
    </row>
    <row r="2461" spans="1:41" s="504" customFormat="1" ht="12.6" thickBot="1">
      <c r="A2461" s="885" t="s">
        <v>142</v>
      </c>
      <c r="B2461" s="886">
        <f>(R2460+T2460)</f>
        <v>0</v>
      </c>
      <c r="C2461" s="887"/>
      <c r="D2461" s="887"/>
      <c r="E2461" s="887"/>
      <c r="F2461" s="888"/>
      <c r="G2461" s="887" t="s">
        <v>143</v>
      </c>
      <c r="H2461" s="887"/>
      <c r="I2461" s="889"/>
      <c r="J2461" s="887"/>
      <c r="K2461" s="887" t="s">
        <v>3</v>
      </c>
      <c r="L2461" s="890" t="s">
        <v>140</v>
      </c>
      <c r="M2461" s="890"/>
      <c r="N2461" s="890"/>
      <c r="O2461" s="890"/>
      <c r="P2461" s="890"/>
      <c r="Q2461" s="891"/>
      <c r="R2461" s="892">
        <f ca="1">SUM(R2457:R2460)</f>
        <v>57.900000000000006</v>
      </c>
      <c r="S2461" s="887"/>
      <c r="T2461" s="892">
        <f ca="1">SUM(T2457:T2460)</f>
        <v>7.86</v>
      </c>
      <c r="U2461" s="514"/>
      <c r="V2461" s="514"/>
      <c r="W2461" s="514"/>
      <c r="X2461" s="514"/>
      <c r="Y2461" s="514"/>
      <c r="Z2461" s="514"/>
      <c r="AA2461" s="514"/>
      <c r="AB2461" s="514"/>
      <c r="AC2461" s="514"/>
      <c r="AD2461" s="514"/>
      <c r="AE2461" s="514"/>
      <c r="AF2461" s="514"/>
      <c r="AG2461" s="514"/>
      <c r="AH2461" s="514"/>
      <c r="AI2461" s="514"/>
      <c r="AJ2461" s="514"/>
      <c r="AK2461" s="514"/>
      <c r="AL2461" s="514"/>
      <c r="AM2461" s="514"/>
      <c r="AN2461" s="514"/>
      <c r="AO2461" s="514"/>
    </row>
    <row r="2462" spans="1:41" s="504" customFormat="1" ht="12" thickTop="1">
      <c r="A2462" s="50"/>
      <c r="B2462" s="40"/>
      <c r="C2462" s="50"/>
      <c r="E2462" s="41" t="s">
        <v>136</v>
      </c>
      <c r="F2462" s="41" t="s">
        <v>137</v>
      </c>
      <c r="G2462" s="50"/>
      <c r="H2462" s="50"/>
      <c r="I2462" s="50"/>
      <c r="J2462" s="50"/>
      <c r="K2462" s="50" t="s">
        <v>138</v>
      </c>
      <c r="L2462" s="50"/>
      <c r="M2462" s="50"/>
      <c r="N2462" s="50"/>
      <c r="O2462" s="51"/>
      <c r="P2462" s="50"/>
      <c r="Q2462" s="50"/>
      <c r="R2462" s="50"/>
      <c r="S2462" s="50"/>
      <c r="T2462" s="40"/>
      <c r="AG2462" s="867" t="s">
        <v>241</v>
      </c>
      <c r="AH2462" s="867" t="s">
        <v>242</v>
      </c>
      <c r="AI2462" s="867" t="s">
        <v>243</v>
      </c>
      <c r="AJ2462" s="867" t="s">
        <v>244</v>
      </c>
      <c r="AK2462" s="867" t="s">
        <v>245</v>
      </c>
      <c r="AM2462" s="868" t="s">
        <v>254</v>
      </c>
      <c r="AN2462" s="869" t="s">
        <v>255</v>
      </c>
      <c r="AO2462" s="505" t="s">
        <v>251</v>
      </c>
    </row>
    <row r="2463" spans="1:41" s="504" customFormat="1" ht="12" customHeight="1">
      <c r="A2463" s="870">
        <v>4</v>
      </c>
      <c r="B2463" s="871" t="s">
        <v>335</v>
      </c>
      <c r="C2463" s="872"/>
      <c r="D2463" s="873" t="s">
        <v>827</v>
      </c>
      <c r="E2463" s="874">
        <f ca="1">IF(AND($A2463=0,$A$1="DIF"),0, ROUND(ROUND(($R2468*$S$2+($T2468*$T$2))/A2463,2)*$C$2,2))</f>
        <v>57.85</v>
      </c>
      <c r="F2463" s="875">
        <f ca="1">ROUND($A2463*$E2463,2)</f>
        <v>231.4</v>
      </c>
      <c r="G2463" s="876" t="s">
        <v>139</v>
      </c>
      <c r="H2463" s="877"/>
      <c r="I2463" s="878"/>
      <c r="J2463" s="877"/>
      <c r="K2463" s="877" t="s">
        <v>3</v>
      </c>
      <c r="L2463" s="879" t="s">
        <v>140</v>
      </c>
      <c r="M2463" s="879"/>
      <c r="N2463" s="879"/>
      <c r="O2463" s="879"/>
      <c r="P2463" s="879"/>
      <c r="Q2463" s="50"/>
      <c r="T2463" s="880" t="str">
        <f ca="1">IF(AND($R2468=0,$T2468=0),"0.00","mu :" &amp; ROUND($F2463/$C$2/($R2468+$T2468*$D$9),2))</f>
        <v>mu :1.22</v>
      </c>
      <c r="W2463" s="507"/>
      <c r="AG2463" s="465">
        <f ca="1">IF($E2463=0,0,ROUND($R2468*$S$2*$C$2/$A2463,2))</f>
        <v>11.77</v>
      </c>
      <c r="AH2463" s="465">
        <f ca="1">$AG2463*$A2463</f>
        <v>47.08</v>
      </c>
      <c r="AI2463" s="508">
        <f ca="1">$E2463-$AG2463</f>
        <v>46.08</v>
      </c>
      <c r="AJ2463" s="508">
        <f ca="1">$A2463*$AI2463</f>
        <v>184.32</v>
      </c>
      <c r="AK2463" s="509">
        <f ca="1">ROUND(($AG2463+$AI2463)*$A2463,2)</f>
        <v>231.4</v>
      </c>
      <c r="AM2463" s="510">
        <f ca="1">ROUND(R2468,2)</f>
        <v>38.6</v>
      </c>
      <c r="AN2463" s="511">
        <f ca="1">ROUND(T2468,2)</f>
        <v>5.24</v>
      </c>
      <c r="AO2463" s="512">
        <f ca="1">ROUND(AM2463+AN2463,2)*A2463</f>
        <v>175.36</v>
      </c>
    </row>
    <row r="2464" spans="1:41" s="504" customFormat="1" ht="13.2">
      <c r="A2464" s="872"/>
      <c r="B2464"/>
      <c r="C2464" s="872"/>
      <c r="D2464" s="873" t="s">
        <v>407</v>
      </c>
      <c r="F2464" s="877"/>
      <c r="G2464" s="3"/>
      <c r="H2464" s="877"/>
      <c r="I2464" s="878"/>
      <c r="J2464" s="877"/>
      <c r="K2464" s="877" t="s">
        <v>141</v>
      </c>
      <c r="L2464" s="877"/>
      <c r="M2464" s="877"/>
      <c r="N2464" s="877"/>
      <c r="O2464" s="877"/>
      <c r="P2464" s="877"/>
      <c r="Q2464" s="50"/>
      <c r="R2464" s="513"/>
      <c r="S2464" s="881"/>
      <c r="T2464" s="877"/>
    </row>
    <row r="2465" spans="1:41" s="997" customFormat="1" ht="13.2">
      <c r="A2465"/>
      <c r="B2465" s="1065"/>
      <c r="C2465" s="1065" t="s">
        <v>1006</v>
      </c>
      <c r="D2465" s="1065" t="str">
        <f ca="1">CELL("Address",Elec_Rates!D$200)</f>
        <v>[EL25_0662B_Brittania_Hotel_Elec_Revised_Estim_B.xlsx]Elec_Rates!$D$200</v>
      </c>
      <c r="E2465" s="1066"/>
      <c r="F2465" s="1066"/>
      <c r="G2465" s="1067" t="s">
        <v>1007</v>
      </c>
      <c r="H2465" s="1067"/>
      <c r="I2465" s="1067"/>
      <c r="J2465" s="1067"/>
      <c r="K2465" s="1068"/>
      <c r="L2465" s="1066"/>
      <c r="M2465" s="1066"/>
      <c r="N2465" s="1066"/>
      <c r="O2465" s="1069"/>
      <c r="P2465" s="1066"/>
      <c r="Q2465" s="1070"/>
      <c r="R2465" s="1071"/>
      <c r="S2465" s="1070"/>
      <c r="T2465" s="1072"/>
      <c r="U2465" s="1073"/>
    </row>
    <row r="2466" spans="1:41" s="997" customFormat="1" ht="11.4">
      <c r="A2466" s="1074">
        <v>4</v>
      </c>
      <c r="B2466" s="1075">
        <v>1</v>
      </c>
      <c r="C2466" s="1075">
        <f>$A2466*$B2466</f>
        <v>4</v>
      </c>
      <c r="D2466" s="1076" t="str">
        <f>Elec_Rates!$D$200</f>
        <v>019# Lighting point in LSZH Conduit</v>
      </c>
      <c r="E2466" s="1076"/>
      <c r="F2466" s="1076" t="s">
        <v>1169</v>
      </c>
      <c r="G2466" s="1077" t="s">
        <v>1008</v>
      </c>
      <c r="H2466" s="1077"/>
      <c r="I2466" s="1077"/>
      <c r="J2466" s="1077"/>
      <c r="K2466" s="1078"/>
      <c r="L2466" s="1073"/>
      <c r="M2466" s="1073"/>
      <c r="N2466" s="1073"/>
      <c r="O2466" s="1079"/>
      <c r="P2466" s="1076"/>
      <c r="Q2466" s="1080">
        <f ca="1">$B2466*Elec_Rates!$R$200</f>
        <v>9.65</v>
      </c>
      <c r="R2466" s="1071">
        <f ca="1">$A2466*Q2466</f>
        <v>38.6</v>
      </c>
      <c r="S2466" s="1080">
        <f ca="1">$B2466*Elec_Rates!$T$200</f>
        <v>1.31</v>
      </c>
      <c r="T2466" s="1072">
        <f ca="1">$A2466*S2466</f>
        <v>5.24</v>
      </c>
      <c r="U2466" s="1081"/>
    </row>
    <row r="2467" spans="1:41" s="504" customFormat="1" ht="12">
      <c r="A2467" s="882"/>
      <c r="B2467" s="882"/>
      <c r="C2467" s="882"/>
      <c r="D2467" s="882"/>
      <c r="E2467" s="882"/>
      <c r="F2467" s="877"/>
      <c r="G2467" s="882"/>
      <c r="H2467" s="882"/>
      <c r="I2467" s="503"/>
      <c r="J2467" s="882"/>
      <c r="K2467" s="882"/>
      <c r="L2467" s="882"/>
      <c r="M2467" s="882"/>
      <c r="N2467" s="882"/>
      <c r="O2467" s="882"/>
      <c r="P2467" s="882"/>
      <c r="Q2467" s="503"/>
      <c r="R2467" s="883">
        <f>$A2467*Q2467</f>
        <v>0</v>
      </c>
      <c r="S2467" s="503"/>
      <c r="T2467" s="884">
        <f>$A2467*S2467*$T$1</f>
        <v>0</v>
      </c>
    </row>
    <row r="2468" spans="1:41" s="504" customFormat="1" ht="12.6" thickBot="1">
      <c r="A2468" s="885" t="s">
        <v>142</v>
      </c>
      <c r="B2468" s="886">
        <f>(R2467+T2467)</f>
        <v>0</v>
      </c>
      <c r="C2468" s="887"/>
      <c r="D2468" s="887"/>
      <c r="E2468" s="887"/>
      <c r="F2468" s="888"/>
      <c r="G2468" s="887" t="s">
        <v>143</v>
      </c>
      <c r="H2468" s="887"/>
      <c r="I2468" s="889"/>
      <c r="J2468" s="887"/>
      <c r="K2468" s="887" t="s">
        <v>3</v>
      </c>
      <c r="L2468" s="890" t="s">
        <v>140</v>
      </c>
      <c r="M2468" s="890"/>
      <c r="N2468" s="890"/>
      <c r="O2468" s="890"/>
      <c r="P2468" s="890"/>
      <c r="Q2468" s="891"/>
      <c r="R2468" s="892">
        <f ca="1">SUM(R2464:R2467)</f>
        <v>38.6</v>
      </c>
      <c r="S2468" s="887"/>
      <c r="T2468" s="892">
        <f ca="1">SUM(T2464:T2467)</f>
        <v>5.24</v>
      </c>
      <c r="U2468" s="514"/>
      <c r="V2468" s="514"/>
      <c r="W2468" s="514"/>
      <c r="X2468" s="514"/>
      <c r="Y2468" s="514"/>
      <c r="Z2468" s="514"/>
      <c r="AA2468" s="514"/>
      <c r="AB2468" s="514"/>
      <c r="AC2468" s="514"/>
      <c r="AD2468" s="514"/>
      <c r="AE2468" s="514"/>
      <c r="AF2468" s="514"/>
      <c r="AG2468" s="514"/>
      <c r="AH2468" s="514"/>
      <c r="AI2468" s="514"/>
      <c r="AJ2468" s="514"/>
      <c r="AK2468" s="514"/>
      <c r="AL2468" s="514"/>
      <c r="AM2468" s="514"/>
      <c r="AN2468" s="514"/>
      <c r="AO2468" s="514"/>
    </row>
    <row r="2469" spans="1:41" s="504" customFormat="1" ht="12" thickTop="1">
      <c r="A2469" s="50"/>
      <c r="B2469" s="40"/>
      <c r="C2469" s="50"/>
      <c r="E2469" s="41" t="s">
        <v>136</v>
      </c>
      <c r="F2469" s="41" t="s">
        <v>137</v>
      </c>
      <c r="G2469" s="50"/>
      <c r="H2469" s="50"/>
      <c r="I2469" s="50"/>
      <c r="J2469" s="50"/>
      <c r="K2469" s="50" t="s">
        <v>138</v>
      </c>
      <c r="L2469" s="50"/>
      <c r="M2469" s="50"/>
      <c r="N2469" s="50"/>
      <c r="O2469" s="51"/>
      <c r="P2469" s="50"/>
      <c r="Q2469" s="50"/>
      <c r="R2469" s="50"/>
      <c r="S2469" s="50"/>
      <c r="T2469" s="40"/>
      <c r="AG2469" s="867" t="s">
        <v>241</v>
      </c>
      <c r="AH2469" s="867" t="s">
        <v>242</v>
      </c>
      <c r="AI2469" s="867" t="s">
        <v>243</v>
      </c>
      <c r="AJ2469" s="867" t="s">
        <v>244</v>
      </c>
      <c r="AK2469" s="867" t="s">
        <v>245</v>
      </c>
      <c r="AM2469" s="868" t="s">
        <v>254</v>
      </c>
      <c r="AN2469" s="869" t="s">
        <v>255</v>
      </c>
      <c r="AO2469" s="505" t="s">
        <v>251</v>
      </c>
    </row>
    <row r="2470" spans="1:41" s="504" customFormat="1" ht="12" customHeight="1">
      <c r="A2470" s="870">
        <v>3</v>
      </c>
      <c r="B2470" s="871" t="s">
        <v>335</v>
      </c>
      <c r="C2470" s="872"/>
      <c r="D2470" s="873" t="s">
        <v>828</v>
      </c>
      <c r="E2470" s="874">
        <f ca="1">IF(AND($A2470=0,$A$1="DIF"),0, ROUND(ROUND(($R2475*$S$2+($T2475*$T$2))/A2470,2)*$C$2,2))</f>
        <v>57.85</v>
      </c>
      <c r="F2470" s="875">
        <f ca="1">ROUND($A2470*$E2470,2)</f>
        <v>173.55</v>
      </c>
      <c r="G2470" s="876" t="s">
        <v>139</v>
      </c>
      <c r="H2470" s="877"/>
      <c r="I2470" s="878"/>
      <c r="J2470" s="877"/>
      <c r="K2470" s="877" t="s">
        <v>3</v>
      </c>
      <c r="L2470" s="879" t="s">
        <v>140</v>
      </c>
      <c r="M2470" s="879"/>
      <c r="N2470" s="879"/>
      <c r="O2470" s="879"/>
      <c r="P2470" s="879"/>
      <c r="Q2470" s="50"/>
      <c r="T2470" s="880" t="str">
        <f ca="1">IF(AND($R2475=0,$T2475=0),"0.00","mu :" &amp; ROUND($F2470/$C$2/($R2475+$T2475*$D$9),2))</f>
        <v>mu :1.22</v>
      </c>
      <c r="W2470" s="507"/>
      <c r="AG2470" s="465">
        <f ca="1">IF($E2470=0,0,ROUND($R2475*$S$2*$C$2/$A2470,2))</f>
        <v>11.77</v>
      </c>
      <c r="AH2470" s="465">
        <f ca="1">$AG2470*$A2470</f>
        <v>35.31</v>
      </c>
      <c r="AI2470" s="508">
        <f ca="1">$E2470-$AG2470</f>
        <v>46.08</v>
      </c>
      <c r="AJ2470" s="508">
        <f ca="1">$A2470*$AI2470</f>
        <v>138.24</v>
      </c>
      <c r="AK2470" s="509">
        <f ca="1">ROUND(($AG2470+$AI2470)*$A2470,2)</f>
        <v>173.55</v>
      </c>
      <c r="AM2470" s="510">
        <f ca="1">ROUND(R2475,2)</f>
        <v>28.95</v>
      </c>
      <c r="AN2470" s="511">
        <f ca="1">ROUND(T2475,2)</f>
        <v>3.93</v>
      </c>
      <c r="AO2470" s="512">
        <f ca="1">ROUND(AM2470+AN2470,2)*A2470</f>
        <v>98.640000000000015</v>
      </c>
    </row>
    <row r="2471" spans="1:41" s="504" customFormat="1" ht="13.2">
      <c r="A2471" s="872"/>
      <c r="B2471"/>
      <c r="C2471" s="872"/>
      <c r="D2471" s="873" t="s">
        <v>408</v>
      </c>
      <c r="F2471" s="877"/>
      <c r="G2471" s="3"/>
      <c r="H2471" s="877"/>
      <c r="I2471" s="878"/>
      <c r="J2471" s="877"/>
      <c r="K2471" s="877" t="s">
        <v>141</v>
      </c>
      <c r="L2471" s="877"/>
      <c r="M2471" s="877"/>
      <c r="N2471" s="877"/>
      <c r="O2471" s="877"/>
      <c r="P2471" s="877"/>
      <c r="Q2471" s="50"/>
      <c r="R2471" s="513"/>
      <c r="S2471" s="881"/>
      <c r="T2471" s="877"/>
    </row>
    <row r="2472" spans="1:41" s="997" customFormat="1" ht="13.2">
      <c r="A2472"/>
      <c r="B2472" s="1065"/>
      <c r="C2472" s="1065" t="s">
        <v>1006</v>
      </c>
      <c r="D2472" s="1065" t="str">
        <f ca="1">CELL("Address",Elec_Rates!D$200)</f>
        <v>[EL25_0662B_Brittania_Hotel_Elec_Revised_Estim_B.xlsx]Elec_Rates!$D$200</v>
      </c>
      <c r="E2472" s="1066"/>
      <c r="F2472" s="1066"/>
      <c r="G2472" s="1067" t="s">
        <v>1007</v>
      </c>
      <c r="H2472" s="1067"/>
      <c r="I2472" s="1067"/>
      <c r="J2472" s="1067"/>
      <c r="K2472" s="1068"/>
      <c r="L2472" s="1066"/>
      <c r="M2472" s="1066"/>
      <c r="N2472" s="1066"/>
      <c r="O2472" s="1069"/>
      <c r="P2472" s="1066"/>
      <c r="Q2472" s="1070"/>
      <c r="R2472" s="1071"/>
      <c r="S2472" s="1070"/>
      <c r="T2472" s="1072"/>
      <c r="U2472" s="1073"/>
    </row>
    <row r="2473" spans="1:41" s="997" customFormat="1" ht="11.4">
      <c r="A2473" s="1074">
        <v>3</v>
      </c>
      <c r="B2473" s="1075">
        <v>1</v>
      </c>
      <c r="C2473" s="1075">
        <f>$A2473*$B2473</f>
        <v>3</v>
      </c>
      <c r="D2473" s="1076" t="str">
        <f>Elec_Rates!$D$200</f>
        <v>019# Lighting point in LSZH Conduit</v>
      </c>
      <c r="E2473" s="1076"/>
      <c r="F2473" s="1076" t="s">
        <v>1169</v>
      </c>
      <c r="G2473" s="1077" t="s">
        <v>1008</v>
      </c>
      <c r="H2473" s="1077"/>
      <c r="I2473" s="1077"/>
      <c r="J2473" s="1077"/>
      <c r="K2473" s="1078"/>
      <c r="L2473" s="1073"/>
      <c r="M2473" s="1073"/>
      <c r="N2473" s="1073"/>
      <c r="O2473" s="1079"/>
      <c r="P2473" s="1076"/>
      <c r="Q2473" s="1080">
        <f ca="1">$B2473*Elec_Rates!$R$200</f>
        <v>9.65</v>
      </c>
      <c r="R2473" s="1071">
        <f ca="1">$A2473*Q2473</f>
        <v>28.950000000000003</v>
      </c>
      <c r="S2473" s="1080">
        <f ca="1">$B2473*Elec_Rates!$T$200</f>
        <v>1.31</v>
      </c>
      <c r="T2473" s="1072">
        <f ca="1">$A2473*S2473</f>
        <v>3.93</v>
      </c>
      <c r="U2473" s="1081"/>
    </row>
    <row r="2474" spans="1:41" s="504" customFormat="1" ht="12">
      <c r="A2474" s="882"/>
      <c r="B2474" s="882"/>
      <c r="C2474" s="882"/>
      <c r="D2474" s="882"/>
      <c r="E2474" s="882"/>
      <c r="F2474" s="877"/>
      <c r="G2474" s="882"/>
      <c r="H2474" s="882"/>
      <c r="I2474" s="503"/>
      <c r="J2474" s="882"/>
      <c r="K2474" s="882"/>
      <c r="L2474" s="882"/>
      <c r="M2474" s="882"/>
      <c r="N2474" s="882"/>
      <c r="O2474" s="882"/>
      <c r="P2474" s="882"/>
      <c r="Q2474" s="503"/>
      <c r="R2474" s="883">
        <f>$A2474*Q2474</f>
        <v>0</v>
      </c>
      <c r="S2474" s="503"/>
      <c r="T2474" s="884">
        <f>$A2474*S2474*$T$1</f>
        <v>0</v>
      </c>
    </row>
    <row r="2475" spans="1:41" s="504" customFormat="1" ht="12.6" thickBot="1">
      <c r="A2475" s="885" t="s">
        <v>142</v>
      </c>
      <c r="B2475" s="886">
        <f>(R2474+T2474)</f>
        <v>0</v>
      </c>
      <c r="C2475" s="887"/>
      <c r="D2475" s="887"/>
      <c r="E2475" s="887"/>
      <c r="F2475" s="888"/>
      <c r="G2475" s="887" t="s">
        <v>143</v>
      </c>
      <c r="H2475" s="887"/>
      <c r="I2475" s="889"/>
      <c r="J2475" s="887"/>
      <c r="K2475" s="887" t="s">
        <v>3</v>
      </c>
      <c r="L2475" s="890" t="s">
        <v>140</v>
      </c>
      <c r="M2475" s="890"/>
      <c r="N2475" s="890"/>
      <c r="O2475" s="890"/>
      <c r="P2475" s="890"/>
      <c r="Q2475" s="891"/>
      <c r="R2475" s="892">
        <f ca="1">SUM(R2471:R2474)</f>
        <v>28.950000000000003</v>
      </c>
      <c r="S2475" s="887"/>
      <c r="T2475" s="892">
        <f ca="1">SUM(T2471:T2474)</f>
        <v>3.93</v>
      </c>
      <c r="U2475" s="514"/>
      <c r="V2475" s="514"/>
      <c r="W2475" s="514"/>
      <c r="X2475" s="514"/>
      <c r="Y2475" s="514"/>
      <c r="Z2475" s="514"/>
      <c r="AA2475" s="514"/>
      <c r="AB2475" s="514"/>
      <c r="AC2475" s="514"/>
      <c r="AD2475" s="514"/>
      <c r="AE2475" s="514"/>
      <c r="AF2475" s="514"/>
      <c r="AG2475" s="514"/>
      <c r="AH2475" s="514"/>
      <c r="AI2475" s="514"/>
      <c r="AJ2475" s="514"/>
      <c r="AK2475" s="514"/>
      <c r="AL2475" s="514"/>
      <c r="AM2475" s="514"/>
      <c r="AN2475" s="514"/>
      <c r="AO2475" s="514"/>
    </row>
    <row r="2476" spans="1:41" s="504" customFormat="1" ht="12" thickTop="1">
      <c r="A2476" s="50"/>
      <c r="B2476" s="40"/>
      <c r="C2476" s="50"/>
      <c r="E2476" s="41" t="s">
        <v>136</v>
      </c>
      <c r="F2476" s="41" t="s">
        <v>137</v>
      </c>
      <c r="G2476" s="50"/>
      <c r="H2476" s="50"/>
      <c r="I2476" s="50"/>
      <c r="J2476" s="50"/>
      <c r="K2476" s="50" t="s">
        <v>138</v>
      </c>
      <c r="L2476" s="50"/>
      <c r="M2476" s="50"/>
      <c r="N2476" s="50"/>
      <c r="O2476" s="51"/>
      <c r="P2476" s="50"/>
      <c r="Q2476" s="50"/>
      <c r="R2476" s="50"/>
      <c r="S2476" s="50"/>
      <c r="T2476" s="40"/>
      <c r="AG2476" s="867" t="s">
        <v>241</v>
      </c>
      <c r="AH2476" s="867" t="s">
        <v>242</v>
      </c>
      <c r="AI2476" s="867" t="s">
        <v>243</v>
      </c>
      <c r="AJ2476" s="867" t="s">
        <v>244</v>
      </c>
      <c r="AK2476" s="867" t="s">
        <v>245</v>
      </c>
      <c r="AM2476" s="868" t="s">
        <v>254</v>
      </c>
      <c r="AN2476" s="869" t="s">
        <v>255</v>
      </c>
      <c r="AO2476" s="505" t="s">
        <v>251</v>
      </c>
    </row>
    <row r="2477" spans="1:41" s="504" customFormat="1" ht="12" customHeight="1">
      <c r="A2477" s="870">
        <v>3</v>
      </c>
      <c r="B2477" s="871" t="s">
        <v>335</v>
      </c>
      <c r="C2477" s="872"/>
      <c r="D2477" s="873" t="s">
        <v>829</v>
      </c>
      <c r="E2477" s="874">
        <f ca="1">IF(AND($A2477=0,$A$1="DIF"),0, ROUND(ROUND(($R2482*$S$2+($T2482*$T$2))/A2477,2)*$C$2,2))</f>
        <v>57.85</v>
      </c>
      <c r="F2477" s="875">
        <f ca="1">ROUND($A2477*$E2477,2)</f>
        <v>173.55</v>
      </c>
      <c r="G2477" s="876" t="s">
        <v>139</v>
      </c>
      <c r="H2477" s="877"/>
      <c r="I2477" s="878"/>
      <c r="J2477" s="877"/>
      <c r="K2477" s="877" t="s">
        <v>3</v>
      </c>
      <c r="L2477" s="879" t="s">
        <v>140</v>
      </c>
      <c r="M2477" s="879"/>
      <c r="N2477" s="879"/>
      <c r="O2477" s="879"/>
      <c r="P2477" s="879"/>
      <c r="Q2477" s="50"/>
      <c r="T2477" s="880" t="str">
        <f ca="1">IF(AND($R2482=0,$T2482=0),"0.00","mu :" &amp; ROUND($F2477/$C$2/($R2482+$T2482*$D$9),2))</f>
        <v>mu :1.22</v>
      </c>
      <c r="W2477" s="507"/>
      <c r="AG2477" s="465">
        <f ca="1">IF($E2477=0,0,ROUND($R2482*$S$2*$C$2/$A2477,2))</f>
        <v>11.77</v>
      </c>
      <c r="AH2477" s="465">
        <f ca="1">$AG2477*$A2477</f>
        <v>35.31</v>
      </c>
      <c r="AI2477" s="508">
        <f ca="1">$E2477-$AG2477</f>
        <v>46.08</v>
      </c>
      <c r="AJ2477" s="508">
        <f ca="1">$A2477*$AI2477</f>
        <v>138.24</v>
      </c>
      <c r="AK2477" s="509">
        <f ca="1">ROUND(($AG2477+$AI2477)*$A2477,2)</f>
        <v>173.55</v>
      </c>
      <c r="AM2477" s="510">
        <f ca="1">ROUND(R2482,2)</f>
        <v>28.95</v>
      </c>
      <c r="AN2477" s="511">
        <f ca="1">ROUND(T2482,2)</f>
        <v>3.93</v>
      </c>
      <c r="AO2477" s="512">
        <f ca="1">ROUND(AM2477+AN2477,2)*A2477</f>
        <v>98.640000000000015</v>
      </c>
    </row>
    <row r="2478" spans="1:41" s="504" customFormat="1" ht="13.2">
      <c r="A2478" s="872"/>
      <c r="B2478"/>
      <c r="C2478" s="872"/>
      <c r="D2478" s="873" t="s">
        <v>409</v>
      </c>
      <c r="F2478" s="877"/>
      <c r="G2478" s="3"/>
      <c r="H2478" s="877"/>
      <c r="I2478" s="878"/>
      <c r="J2478" s="877"/>
      <c r="K2478" s="877" t="s">
        <v>141</v>
      </c>
      <c r="L2478" s="877"/>
      <c r="M2478" s="877"/>
      <c r="N2478" s="877"/>
      <c r="O2478" s="877"/>
      <c r="P2478" s="877"/>
      <c r="Q2478" s="50"/>
      <c r="R2478" s="513"/>
      <c r="S2478" s="881"/>
      <c r="T2478" s="877"/>
    </row>
    <row r="2479" spans="1:41" s="997" customFormat="1" ht="13.2">
      <c r="A2479"/>
      <c r="B2479" s="1065"/>
      <c r="C2479" s="1065" t="s">
        <v>1006</v>
      </c>
      <c r="D2479" s="1065" t="str">
        <f ca="1">CELL("Address",Elec_Rates!D$200)</f>
        <v>[EL25_0662B_Brittania_Hotel_Elec_Revised_Estim_B.xlsx]Elec_Rates!$D$200</v>
      </c>
      <c r="E2479" s="1066"/>
      <c r="F2479" s="1066"/>
      <c r="G2479" s="1067" t="s">
        <v>1007</v>
      </c>
      <c r="H2479" s="1067"/>
      <c r="I2479" s="1067"/>
      <c r="J2479" s="1067"/>
      <c r="K2479" s="1068"/>
      <c r="L2479" s="1066"/>
      <c r="M2479" s="1066"/>
      <c r="N2479" s="1066"/>
      <c r="O2479" s="1069"/>
      <c r="P2479" s="1066"/>
      <c r="Q2479" s="1070"/>
      <c r="R2479" s="1071"/>
      <c r="S2479" s="1070"/>
      <c r="T2479" s="1072"/>
      <c r="U2479" s="1073"/>
    </row>
    <row r="2480" spans="1:41" s="997" customFormat="1" ht="11.4">
      <c r="A2480" s="1074">
        <v>3</v>
      </c>
      <c r="B2480" s="1075">
        <v>1</v>
      </c>
      <c r="C2480" s="1075">
        <f>$A2480*$B2480</f>
        <v>3</v>
      </c>
      <c r="D2480" s="1076" t="str">
        <f>Elec_Rates!$D$200</f>
        <v>019# Lighting point in LSZH Conduit</v>
      </c>
      <c r="E2480" s="1076"/>
      <c r="F2480" s="1076" t="s">
        <v>1169</v>
      </c>
      <c r="G2480" s="1077" t="s">
        <v>1008</v>
      </c>
      <c r="H2480" s="1077"/>
      <c r="I2480" s="1077"/>
      <c r="J2480" s="1077"/>
      <c r="K2480" s="1078"/>
      <c r="L2480" s="1073"/>
      <c r="M2480" s="1073"/>
      <c r="N2480" s="1073"/>
      <c r="O2480" s="1079"/>
      <c r="P2480" s="1076"/>
      <c r="Q2480" s="1080">
        <f ca="1">$B2480*Elec_Rates!$R$200</f>
        <v>9.65</v>
      </c>
      <c r="R2480" s="1071">
        <f ca="1">$A2480*Q2480</f>
        <v>28.950000000000003</v>
      </c>
      <c r="S2480" s="1080">
        <f ca="1">$B2480*Elec_Rates!$T$200</f>
        <v>1.31</v>
      </c>
      <c r="T2480" s="1072">
        <f ca="1">$A2480*S2480</f>
        <v>3.93</v>
      </c>
      <c r="U2480" s="1081"/>
    </row>
    <row r="2481" spans="1:41" s="504" customFormat="1" ht="12">
      <c r="A2481" s="882"/>
      <c r="B2481" s="882"/>
      <c r="C2481" s="882"/>
      <c r="D2481" s="882"/>
      <c r="E2481" s="882"/>
      <c r="F2481" s="877"/>
      <c r="G2481" s="882"/>
      <c r="H2481" s="882"/>
      <c r="I2481" s="503"/>
      <c r="J2481" s="882"/>
      <c r="K2481" s="882"/>
      <c r="L2481" s="882"/>
      <c r="M2481" s="882"/>
      <c r="N2481" s="882"/>
      <c r="O2481" s="882"/>
      <c r="P2481" s="882"/>
      <c r="Q2481" s="503"/>
      <c r="R2481" s="883">
        <f>$A2481*Q2481</f>
        <v>0</v>
      </c>
      <c r="S2481" s="503"/>
      <c r="T2481" s="884">
        <f>$A2481*S2481*$T$1</f>
        <v>0</v>
      </c>
    </row>
    <row r="2482" spans="1:41" s="504" customFormat="1" ht="12.6" thickBot="1">
      <c r="A2482" s="885" t="s">
        <v>142</v>
      </c>
      <c r="B2482" s="886">
        <f>(R2481+T2481)</f>
        <v>0</v>
      </c>
      <c r="C2482" s="887"/>
      <c r="D2482" s="887"/>
      <c r="E2482" s="887"/>
      <c r="F2482" s="888"/>
      <c r="G2482" s="887" t="s">
        <v>143</v>
      </c>
      <c r="H2482" s="887"/>
      <c r="I2482" s="889"/>
      <c r="J2482" s="887"/>
      <c r="K2482" s="887" t="s">
        <v>3</v>
      </c>
      <c r="L2482" s="890" t="s">
        <v>140</v>
      </c>
      <c r="M2482" s="890"/>
      <c r="N2482" s="890"/>
      <c r="O2482" s="890"/>
      <c r="P2482" s="890"/>
      <c r="Q2482" s="891"/>
      <c r="R2482" s="892">
        <f ca="1">SUM(R2478:R2481)</f>
        <v>28.950000000000003</v>
      </c>
      <c r="S2482" s="887"/>
      <c r="T2482" s="892">
        <f ca="1">SUM(T2478:T2481)</f>
        <v>3.93</v>
      </c>
      <c r="U2482" s="514"/>
      <c r="V2482" s="514"/>
      <c r="W2482" s="514"/>
      <c r="X2482" s="514"/>
      <c r="Y2482" s="514"/>
      <c r="Z2482" s="514"/>
      <c r="AA2482" s="514"/>
      <c r="AB2482" s="514"/>
      <c r="AC2482" s="514"/>
      <c r="AD2482" s="514"/>
      <c r="AE2482" s="514"/>
      <c r="AF2482" s="514"/>
      <c r="AG2482" s="514"/>
      <c r="AH2482" s="514"/>
      <c r="AI2482" s="514"/>
      <c r="AJ2482" s="514"/>
      <c r="AK2482" s="514"/>
      <c r="AL2482" s="514"/>
      <c r="AM2482" s="514"/>
      <c r="AN2482" s="514"/>
      <c r="AO2482" s="514"/>
    </row>
    <row r="2483" spans="1:41" s="504" customFormat="1" ht="12" thickTop="1">
      <c r="A2483" s="50"/>
      <c r="B2483" s="40"/>
      <c r="C2483" s="50"/>
      <c r="E2483" s="41" t="s">
        <v>136</v>
      </c>
      <c r="F2483" s="41" t="s">
        <v>137</v>
      </c>
      <c r="G2483" s="50"/>
      <c r="H2483" s="50"/>
      <c r="I2483" s="50"/>
      <c r="J2483" s="50"/>
      <c r="K2483" s="50" t="s">
        <v>138</v>
      </c>
      <c r="L2483" s="50"/>
      <c r="M2483" s="50"/>
      <c r="N2483" s="50"/>
      <c r="O2483" s="51"/>
      <c r="P2483" s="50"/>
      <c r="Q2483" s="50"/>
      <c r="R2483" s="50"/>
      <c r="S2483" s="50"/>
      <c r="T2483" s="40"/>
      <c r="AG2483" s="867" t="s">
        <v>241</v>
      </c>
      <c r="AH2483" s="867" t="s">
        <v>242</v>
      </c>
      <c r="AI2483" s="867" t="s">
        <v>243</v>
      </c>
      <c r="AJ2483" s="867" t="s">
        <v>244</v>
      </c>
      <c r="AK2483" s="867" t="s">
        <v>245</v>
      </c>
      <c r="AM2483" s="868" t="s">
        <v>254</v>
      </c>
      <c r="AN2483" s="869" t="s">
        <v>255</v>
      </c>
      <c r="AO2483" s="505" t="s">
        <v>251</v>
      </c>
    </row>
    <row r="2484" spans="1:41" s="504" customFormat="1" ht="12" customHeight="1">
      <c r="A2484" s="870">
        <v>4</v>
      </c>
      <c r="B2484" s="871" t="s">
        <v>335</v>
      </c>
      <c r="C2484" s="872"/>
      <c r="D2484" s="873" t="s">
        <v>830</v>
      </c>
      <c r="E2484" s="874">
        <f ca="1">IF(AND($A2484=0,$A$1="DIF"),0, ROUND(ROUND(($R2489*$S$2+($T2489*$T$2))/A2484,2)*$C$2,2))</f>
        <v>57.85</v>
      </c>
      <c r="F2484" s="875">
        <f ca="1">ROUND($A2484*$E2484,2)</f>
        <v>231.4</v>
      </c>
      <c r="G2484" s="876" t="s">
        <v>139</v>
      </c>
      <c r="H2484" s="877"/>
      <c r="I2484" s="878"/>
      <c r="J2484" s="877"/>
      <c r="K2484" s="877" t="s">
        <v>3</v>
      </c>
      <c r="L2484" s="879" t="s">
        <v>140</v>
      </c>
      <c r="M2484" s="879"/>
      <c r="N2484" s="879"/>
      <c r="O2484" s="879"/>
      <c r="P2484" s="879"/>
      <c r="Q2484" s="50"/>
      <c r="T2484" s="880" t="str">
        <f ca="1">IF(AND($R2489=0,$T2489=0),"0.00","mu :" &amp; ROUND($F2484/$C$2/($R2489+$T2489*$D$9),2))</f>
        <v>mu :1.22</v>
      </c>
      <c r="W2484" s="507"/>
      <c r="AG2484" s="465">
        <f ca="1">IF($E2484=0,0,ROUND($R2489*$S$2*$C$2/$A2484,2))</f>
        <v>11.77</v>
      </c>
      <c r="AH2484" s="465">
        <f ca="1">$AG2484*$A2484</f>
        <v>47.08</v>
      </c>
      <c r="AI2484" s="508">
        <f ca="1">$E2484-$AG2484</f>
        <v>46.08</v>
      </c>
      <c r="AJ2484" s="508">
        <f ca="1">$A2484*$AI2484</f>
        <v>184.32</v>
      </c>
      <c r="AK2484" s="509">
        <f ca="1">ROUND(($AG2484+$AI2484)*$A2484,2)</f>
        <v>231.4</v>
      </c>
      <c r="AM2484" s="510">
        <f ca="1">ROUND(R2489,2)</f>
        <v>38.6</v>
      </c>
      <c r="AN2484" s="511">
        <f ca="1">ROUND(T2489,2)</f>
        <v>5.24</v>
      </c>
      <c r="AO2484" s="512">
        <f ca="1">ROUND(AM2484+AN2484,2)*A2484</f>
        <v>175.36</v>
      </c>
    </row>
    <row r="2485" spans="1:41" s="504" customFormat="1" ht="13.2">
      <c r="A2485" s="872"/>
      <c r="B2485"/>
      <c r="C2485" s="872"/>
      <c r="D2485" s="873" t="s">
        <v>344</v>
      </c>
      <c r="F2485" s="877"/>
      <c r="G2485" s="3"/>
      <c r="H2485" s="877"/>
      <c r="I2485" s="878"/>
      <c r="J2485" s="877"/>
      <c r="K2485" s="877" t="s">
        <v>141</v>
      </c>
      <c r="L2485" s="877"/>
      <c r="M2485" s="877"/>
      <c r="N2485" s="877"/>
      <c r="O2485" s="877"/>
      <c r="P2485" s="877"/>
      <c r="Q2485" s="50"/>
      <c r="R2485" s="513"/>
      <c r="S2485" s="881"/>
      <c r="T2485" s="877"/>
    </row>
    <row r="2486" spans="1:41" s="997" customFormat="1" ht="13.2">
      <c r="A2486"/>
      <c r="B2486" s="1065"/>
      <c r="C2486" s="1065" t="s">
        <v>1006</v>
      </c>
      <c r="D2486" s="1065" t="str">
        <f ca="1">CELL("Address",Elec_Rates!D$200)</f>
        <v>[EL25_0662B_Brittania_Hotel_Elec_Revised_Estim_B.xlsx]Elec_Rates!$D$200</v>
      </c>
      <c r="E2486" s="1066"/>
      <c r="F2486" s="1066"/>
      <c r="G2486" s="1067" t="s">
        <v>1007</v>
      </c>
      <c r="H2486" s="1067"/>
      <c r="I2486" s="1067"/>
      <c r="J2486" s="1067"/>
      <c r="K2486" s="1068"/>
      <c r="L2486" s="1066"/>
      <c r="M2486" s="1066"/>
      <c r="N2486" s="1066"/>
      <c r="O2486" s="1069"/>
      <c r="P2486" s="1066"/>
      <c r="Q2486" s="1070"/>
      <c r="R2486" s="1071"/>
      <c r="S2486" s="1070"/>
      <c r="T2486" s="1072"/>
      <c r="U2486" s="1073"/>
    </row>
    <row r="2487" spans="1:41" s="997" customFormat="1" ht="11.4">
      <c r="A2487" s="1074">
        <v>4</v>
      </c>
      <c r="B2487" s="1075">
        <v>1</v>
      </c>
      <c r="C2487" s="1075">
        <f>$A2487*$B2487</f>
        <v>4</v>
      </c>
      <c r="D2487" s="1076" t="str">
        <f>Elec_Rates!$D$200</f>
        <v>019# Lighting point in LSZH Conduit</v>
      </c>
      <c r="E2487" s="1076"/>
      <c r="F2487" s="1076" t="s">
        <v>1179</v>
      </c>
      <c r="G2487" s="1077" t="s">
        <v>1008</v>
      </c>
      <c r="H2487" s="1077"/>
      <c r="I2487" s="1077"/>
      <c r="J2487" s="1077"/>
      <c r="K2487" s="1078"/>
      <c r="L2487" s="1073"/>
      <c r="M2487" s="1073"/>
      <c r="N2487" s="1073"/>
      <c r="O2487" s="1079"/>
      <c r="P2487" s="1076"/>
      <c r="Q2487" s="1080">
        <f ca="1">$B2487*Elec_Rates!$R$200</f>
        <v>9.65</v>
      </c>
      <c r="R2487" s="1071">
        <f ca="1">$A2487*Q2487</f>
        <v>38.6</v>
      </c>
      <c r="S2487" s="1080">
        <f ca="1">$B2487*Elec_Rates!$T$200</f>
        <v>1.31</v>
      </c>
      <c r="T2487" s="1072">
        <f ca="1">$A2487*S2487</f>
        <v>5.24</v>
      </c>
      <c r="U2487" s="1081"/>
    </row>
    <row r="2488" spans="1:41" s="504" customFormat="1" ht="12">
      <c r="A2488" s="882"/>
      <c r="B2488" s="882"/>
      <c r="C2488" s="882"/>
      <c r="D2488" s="882"/>
      <c r="E2488" s="882"/>
      <c r="F2488" s="877"/>
      <c r="G2488" s="882"/>
      <c r="H2488" s="882"/>
      <c r="I2488" s="503"/>
      <c r="J2488" s="882"/>
      <c r="K2488" s="882"/>
      <c r="L2488" s="882"/>
      <c r="M2488" s="882"/>
      <c r="N2488" s="882"/>
      <c r="O2488" s="882"/>
      <c r="P2488" s="882"/>
      <c r="Q2488" s="503"/>
      <c r="R2488" s="883">
        <f>$A2488*Q2488</f>
        <v>0</v>
      </c>
      <c r="S2488" s="503"/>
      <c r="T2488" s="884">
        <f>$A2488*S2488*$T$1</f>
        <v>0</v>
      </c>
    </row>
    <row r="2489" spans="1:41" s="504" customFormat="1" ht="12.6" thickBot="1">
      <c r="A2489" s="885" t="s">
        <v>142</v>
      </c>
      <c r="B2489" s="886">
        <f>(R2488+T2488)</f>
        <v>0</v>
      </c>
      <c r="C2489" s="887"/>
      <c r="D2489" s="887"/>
      <c r="E2489" s="887"/>
      <c r="F2489" s="888"/>
      <c r="G2489" s="887" t="s">
        <v>143</v>
      </c>
      <c r="H2489" s="887"/>
      <c r="I2489" s="889"/>
      <c r="J2489" s="887"/>
      <c r="K2489" s="887" t="s">
        <v>3</v>
      </c>
      <c r="L2489" s="890" t="s">
        <v>140</v>
      </c>
      <c r="M2489" s="890"/>
      <c r="N2489" s="890"/>
      <c r="O2489" s="890"/>
      <c r="P2489" s="890"/>
      <c r="Q2489" s="891"/>
      <c r="R2489" s="892">
        <f ca="1">SUM(R2485:R2488)</f>
        <v>38.6</v>
      </c>
      <c r="S2489" s="887"/>
      <c r="T2489" s="892">
        <f ca="1">SUM(T2485:T2488)</f>
        <v>5.24</v>
      </c>
      <c r="U2489" s="514"/>
      <c r="V2489" s="514"/>
      <c r="W2489" s="514"/>
      <c r="X2489" s="514"/>
      <c r="Y2489" s="514"/>
      <c r="Z2489" s="514"/>
      <c r="AA2489" s="514"/>
      <c r="AB2489" s="514"/>
      <c r="AC2489" s="514"/>
      <c r="AD2489" s="514"/>
      <c r="AE2489" s="514"/>
      <c r="AF2489" s="514"/>
      <c r="AG2489" s="514"/>
      <c r="AH2489" s="514"/>
      <c r="AI2489" s="514"/>
      <c r="AJ2489" s="514"/>
      <c r="AK2489" s="514"/>
      <c r="AL2489" s="514"/>
      <c r="AM2489" s="514"/>
      <c r="AN2489" s="514"/>
      <c r="AO2489" s="514"/>
    </row>
    <row r="2490" spans="1:41" s="504" customFormat="1" ht="12" thickTop="1">
      <c r="A2490" s="47" t="s">
        <v>145</v>
      </c>
      <c r="D2490" s="13"/>
      <c r="E2490" s="41"/>
      <c r="O2490" s="893"/>
    </row>
    <row r="2491" spans="1:41" s="504" customFormat="1" ht="13.2">
      <c r="B2491" s="3"/>
      <c r="O2491" s="893"/>
    </row>
    <row r="2492" spans="1:41" s="504" customFormat="1" ht="12">
      <c r="B2492" s="894">
        <f ca="1">$F2492/$C$2-($R2492*$S$2+$T2492*$T$2)</f>
        <v>-3.1869410000581411E-2</v>
      </c>
      <c r="D2492" s="895" t="s">
        <v>817</v>
      </c>
      <c r="E2492" s="896"/>
      <c r="F2492" s="897">
        <f ca="1">SUMIF($L2348:$L2490,"ITEM",F2348:F2490)</f>
        <v>5155.3599999999997</v>
      </c>
      <c r="G2492" s="882"/>
      <c r="H2492" s="882"/>
      <c r="I2492" s="503"/>
      <c r="J2492" s="882"/>
      <c r="K2492" s="882"/>
      <c r="L2492" s="879" t="s">
        <v>154</v>
      </c>
      <c r="M2492" s="879"/>
      <c r="N2492" s="879"/>
      <c r="O2492" s="879"/>
      <c r="P2492" s="879"/>
      <c r="R2492" s="897">
        <f ca="1">SUMIF($L2348:$L2490,"ITEM",R2348:R2490)</f>
        <v>1136.895</v>
      </c>
      <c r="S2492" s="898"/>
      <c r="T2492" s="897">
        <f ca="1">SUMIF($L2348:$L2490,"ITEM",T2348:T2490)</f>
        <v>107.12850000000002</v>
      </c>
    </row>
    <row r="2493" spans="1:41" s="504" customFormat="1" ht="13.2">
      <c r="A2493" s="50"/>
      <c r="B2493" s="48" t="s">
        <v>816</v>
      </c>
      <c r="C2493" s="50"/>
      <c r="D2493" s="3"/>
      <c r="F2493" s="899" t="s">
        <v>155</v>
      </c>
      <c r="G2493" s="882"/>
      <c r="H2493" s="882"/>
      <c r="I2493" s="503"/>
      <c r="J2493" s="882"/>
      <c r="K2493" s="882"/>
      <c r="L2493" s="882"/>
      <c r="M2493" s="882"/>
      <c r="N2493" s="882"/>
      <c r="O2493" s="882"/>
      <c r="P2493" s="882"/>
      <c r="Q2493" s="900"/>
      <c r="R2493" s="899" t="s">
        <v>156</v>
      </c>
      <c r="S2493" s="38"/>
      <c r="T2493" s="899" t="s">
        <v>157</v>
      </c>
    </row>
    <row r="2494" spans="1:41" s="504" customFormat="1" ht="13.2">
      <c r="A2494" s="882"/>
      <c r="B2494" s="3"/>
      <c r="C2494" s="882"/>
      <c r="D2494" s="3"/>
      <c r="E2494" s="3"/>
      <c r="G2494" s="3"/>
      <c r="H2494" s="3"/>
      <c r="I2494" s="3"/>
      <c r="J2494" s="3"/>
      <c r="K2494" s="3"/>
      <c r="L2494" s="3"/>
      <c r="M2494" s="3"/>
      <c r="N2494" s="3"/>
      <c r="O2494" s="103"/>
      <c r="P2494" s="3"/>
      <c r="Q2494" s="3"/>
      <c r="R2494" s="3"/>
      <c r="S2494" s="3"/>
      <c r="T2494" s="3"/>
    </row>
    <row r="2495" spans="1:41" s="504" customFormat="1" ht="12" thickBot="1">
      <c r="A2495" s="514"/>
      <c r="B2495" s="887"/>
      <c r="C2495" s="887"/>
      <c r="D2495" s="514"/>
      <c r="E2495" s="39"/>
      <c r="F2495" s="901"/>
      <c r="G2495" s="887"/>
      <c r="H2495" s="887"/>
      <c r="I2495" s="889"/>
      <c r="J2495" s="887"/>
      <c r="K2495" s="887"/>
      <c r="L2495" s="890"/>
      <c r="M2495" s="890"/>
      <c r="N2495" s="890"/>
      <c r="O2495" s="890"/>
      <c r="P2495" s="890"/>
      <c r="Q2495" s="891"/>
      <c r="R2495" s="901"/>
      <c r="S2495" s="902"/>
      <c r="T2495" s="901"/>
      <c r="U2495" s="514"/>
      <c r="V2495" s="514"/>
      <c r="W2495" s="514"/>
      <c r="X2495" s="514"/>
      <c r="Y2495" s="514"/>
      <c r="Z2495" s="514"/>
      <c r="AA2495" s="514"/>
      <c r="AB2495" s="514"/>
      <c r="AC2495" s="514"/>
      <c r="AD2495" s="514"/>
      <c r="AE2495" s="514"/>
      <c r="AF2495" s="514"/>
      <c r="AG2495" s="514"/>
      <c r="AH2495" s="514"/>
      <c r="AI2495" s="514"/>
      <c r="AJ2495" s="514"/>
      <c r="AK2495" s="514"/>
    </row>
    <row r="2496" spans="1:41" s="504" customFormat="1" thickTop="1">
      <c r="A2496" s="50"/>
      <c r="B2496" s="50"/>
      <c r="C2496" s="3"/>
      <c r="D2496" s="3"/>
      <c r="E2496" s="50"/>
      <c r="F2496" s="50"/>
      <c r="G2496" s="50"/>
      <c r="H2496" s="50"/>
      <c r="I2496" s="50"/>
      <c r="J2496" s="50"/>
      <c r="K2496" s="50" t="s">
        <v>133</v>
      </c>
      <c r="L2496" s="50"/>
      <c r="M2496" s="50"/>
      <c r="N2496" s="50"/>
      <c r="O2496" s="51"/>
      <c r="P2496" s="50"/>
      <c r="Q2496" s="50"/>
      <c r="R2496" s="50"/>
      <c r="S2496" s="50"/>
      <c r="T2496" s="50"/>
    </row>
    <row r="2497" spans="1:41" s="504" customFormat="1" ht="12">
      <c r="A2497" s="50"/>
      <c r="B2497" s="50"/>
      <c r="C2497" s="50" t="s">
        <v>134</v>
      </c>
      <c r="D2497" s="37" t="s">
        <v>878</v>
      </c>
      <c r="E2497" s="50"/>
      <c r="F2497" s="50"/>
      <c r="G2497" s="50"/>
      <c r="H2497" s="50"/>
      <c r="I2497" s="50"/>
      <c r="J2497" s="50"/>
      <c r="K2497" s="50"/>
      <c r="L2497" s="50"/>
      <c r="M2497" s="50"/>
      <c r="N2497" s="50"/>
      <c r="O2497" s="51"/>
      <c r="P2497" s="50"/>
      <c r="Q2497" s="50"/>
      <c r="R2497" s="50"/>
      <c r="S2497" s="50"/>
      <c r="T2497" s="50"/>
    </row>
    <row r="2498" spans="1:41" s="504" customFormat="1" ht="12">
      <c r="A2498" s="50"/>
      <c r="B2498" s="50"/>
      <c r="C2498" s="50"/>
      <c r="D2498" s="37" t="s">
        <v>850</v>
      </c>
      <c r="E2498" s="50"/>
      <c r="F2498" s="50"/>
      <c r="G2498" s="50"/>
      <c r="H2498" s="50"/>
      <c r="I2498" s="50"/>
      <c r="J2498" s="50"/>
      <c r="K2498" s="50"/>
      <c r="L2498" s="50"/>
      <c r="M2498" s="50"/>
      <c r="N2498" s="50"/>
      <c r="O2498" s="51"/>
      <c r="P2498" s="50"/>
      <c r="Q2498" s="50"/>
      <c r="R2498" s="50"/>
      <c r="S2498" s="38"/>
      <c r="T2498" s="38"/>
    </row>
    <row r="2499" spans="1:41" s="3" customFormat="1" thickBot="1">
      <c r="A2499" s="514"/>
      <c r="O2499" s="103"/>
    </row>
    <row r="2500" spans="1:41" s="504" customFormat="1" ht="12" thickTop="1">
      <c r="A2500" s="50"/>
      <c r="B2500" s="40"/>
      <c r="C2500" s="50"/>
      <c r="E2500" s="41" t="s">
        <v>136</v>
      </c>
      <c r="F2500" s="41" t="s">
        <v>137</v>
      </c>
      <c r="G2500" s="50"/>
      <c r="H2500" s="50"/>
      <c r="I2500" s="50"/>
      <c r="J2500" s="50"/>
      <c r="K2500" s="50" t="s">
        <v>138</v>
      </c>
      <c r="L2500" s="50"/>
      <c r="M2500" s="50"/>
      <c r="N2500" s="50"/>
      <c r="O2500" s="51"/>
      <c r="P2500" s="50"/>
      <c r="Q2500" s="50"/>
      <c r="R2500" s="50"/>
      <c r="S2500" s="50"/>
      <c r="T2500" s="40"/>
      <c r="AG2500" s="867" t="s">
        <v>241</v>
      </c>
      <c r="AH2500" s="867" t="s">
        <v>242</v>
      </c>
      <c r="AI2500" s="867" t="s">
        <v>243</v>
      </c>
      <c r="AJ2500" s="867" t="s">
        <v>244</v>
      </c>
      <c r="AK2500" s="867" t="s">
        <v>245</v>
      </c>
      <c r="AM2500" s="868" t="s">
        <v>254</v>
      </c>
      <c r="AN2500" s="869" t="s">
        <v>255</v>
      </c>
      <c r="AO2500" s="505" t="s">
        <v>251</v>
      </c>
    </row>
    <row r="2501" spans="1:41" s="504" customFormat="1" ht="12" customHeight="1">
      <c r="A2501" s="870">
        <v>4</v>
      </c>
      <c r="B2501" s="871" t="s">
        <v>335</v>
      </c>
      <c r="C2501" s="872"/>
      <c r="D2501" s="873" t="s">
        <v>804</v>
      </c>
      <c r="E2501" s="874">
        <f ca="1">IF(AND($A2501=0,$A$1="DIF"),0, ROUND(ROUND(($R2508*$S$2+($T2508*$T$2))/A2501,2)*$C$2,2))</f>
        <v>67.06</v>
      </c>
      <c r="F2501" s="875">
        <f ca="1">ROUND($A2501*$E2501,2)</f>
        <v>268.24</v>
      </c>
      <c r="G2501" s="876" t="s">
        <v>139</v>
      </c>
      <c r="H2501" s="877"/>
      <c r="I2501" s="878"/>
      <c r="J2501" s="877"/>
      <c r="K2501" s="877" t="s">
        <v>3</v>
      </c>
      <c r="L2501" s="879" t="s">
        <v>140</v>
      </c>
      <c r="M2501" s="879"/>
      <c r="N2501" s="879"/>
      <c r="O2501" s="879"/>
      <c r="P2501" s="879"/>
      <c r="Q2501" s="50"/>
      <c r="T2501" s="880" t="str">
        <f ca="1">IF(AND($R2508=0,$T2508=0),"0.00","mu :" &amp; ROUND($F2501/$C$2/($R2508+$T2508*$D$9),2))</f>
        <v>mu :1.22</v>
      </c>
      <c r="W2501" s="507"/>
      <c r="AG2501" s="465">
        <f ca="1">IF($E2501=0,0,ROUND($R2508*$S$2*$C$2/$A2501,2))</f>
        <v>14.3</v>
      </c>
      <c r="AH2501" s="465">
        <f ca="1">$AG2501*$A2501</f>
        <v>57.2</v>
      </c>
      <c r="AI2501" s="508">
        <f ca="1">$E2501-$AG2501</f>
        <v>52.760000000000005</v>
      </c>
      <c r="AJ2501" s="508">
        <f ca="1">$A2501*$AI2501</f>
        <v>211.04000000000002</v>
      </c>
      <c r="AK2501" s="509">
        <f ca="1">ROUND(($AG2501+$AI2501)*$A2501,2)</f>
        <v>268.24</v>
      </c>
      <c r="AM2501" s="510">
        <f ca="1">ROUND(R2508,2)</f>
        <v>46.88</v>
      </c>
      <c r="AN2501" s="511">
        <f ca="1">ROUND(T2508,2)</f>
        <v>6</v>
      </c>
      <c r="AO2501" s="512">
        <f ca="1">ROUND(AM2501+AN2501,2)*A2501</f>
        <v>211.52</v>
      </c>
    </row>
    <row r="2502" spans="1:41" s="504" customFormat="1" ht="13.2">
      <c r="A2502" s="872"/>
      <c r="B2502"/>
      <c r="C2502" s="872"/>
      <c r="D2502" s="873" t="s">
        <v>377</v>
      </c>
      <c r="F2502" s="877"/>
      <c r="G2502" s="3"/>
      <c r="H2502" s="877"/>
      <c r="I2502" s="878"/>
      <c r="J2502" s="877"/>
      <c r="K2502" s="877" t="s">
        <v>141</v>
      </c>
      <c r="L2502" s="877"/>
      <c r="M2502" s="877"/>
      <c r="N2502" s="877"/>
      <c r="O2502" s="877"/>
      <c r="P2502" s="877"/>
      <c r="Q2502" s="50"/>
      <c r="R2502" s="513"/>
      <c r="S2502" s="881"/>
      <c r="T2502" s="877"/>
    </row>
    <row r="2503" spans="1:41" s="997" customFormat="1" ht="13.2">
      <c r="A2503"/>
      <c r="B2503" s="1065"/>
      <c r="C2503" s="1065" t="s">
        <v>1006</v>
      </c>
      <c r="D2503" s="1065" t="str">
        <f ca="1">CELL("Address",Elec_Rates!D$200)</f>
        <v>[EL25_0662B_Brittania_Hotel_Elec_Revised_Estim_B.xlsx]Elec_Rates!$D$200</v>
      </c>
      <c r="E2503" s="1066"/>
      <c r="F2503" s="1066"/>
      <c r="G2503" s="1067" t="s">
        <v>1007</v>
      </c>
      <c r="H2503" s="1067"/>
      <c r="I2503" s="1067"/>
      <c r="J2503" s="1067"/>
      <c r="K2503" s="1068"/>
      <c r="L2503" s="1066"/>
      <c r="M2503" s="1066"/>
      <c r="N2503" s="1066"/>
      <c r="O2503" s="1069"/>
      <c r="P2503" s="1066"/>
      <c r="Q2503" s="1070"/>
      <c r="R2503" s="1071"/>
      <c r="S2503" s="1070"/>
      <c r="T2503" s="1072"/>
      <c r="U2503" s="1073"/>
    </row>
    <row r="2504" spans="1:41" s="997" customFormat="1" ht="11.4">
      <c r="A2504" s="1074">
        <v>4</v>
      </c>
      <c r="B2504" s="1075">
        <v>1</v>
      </c>
      <c r="C2504" s="1075">
        <f>$A2504*$B2504</f>
        <v>4</v>
      </c>
      <c r="D2504" s="1076" t="str">
        <f>Elec_Rates!$D$200</f>
        <v>019# Lighting point in LSZH Conduit</v>
      </c>
      <c r="E2504" s="1076"/>
      <c r="F2504" s="1076"/>
      <c r="G2504" s="1077" t="s">
        <v>1008</v>
      </c>
      <c r="H2504" s="1077"/>
      <c r="I2504" s="1077"/>
      <c r="J2504" s="1077"/>
      <c r="K2504" s="1078"/>
      <c r="L2504" s="1073"/>
      <c r="M2504" s="1073"/>
      <c r="N2504" s="1073"/>
      <c r="O2504" s="1079"/>
      <c r="P2504" s="1076"/>
      <c r="Q2504" s="1080">
        <f ca="1">$B2504*Elec_Rates!$R$200</f>
        <v>9.65</v>
      </c>
      <c r="R2504" s="1071">
        <f ca="1">$A2504*Q2504</f>
        <v>38.6</v>
      </c>
      <c r="S2504" s="1080">
        <f ca="1">$B2504*Elec_Rates!$T$200</f>
        <v>1.31</v>
      </c>
      <c r="T2504" s="1072">
        <f ca="1">$A2504*S2504</f>
        <v>5.24</v>
      </c>
      <c r="U2504" s="1081"/>
    </row>
    <row r="2505" spans="1:41" s="997" customFormat="1" ht="13.2">
      <c r="A2505"/>
      <c r="B2505" s="1065"/>
      <c r="C2505" s="1065" t="s">
        <v>1006</v>
      </c>
      <c r="D2505" s="1065" t="str">
        <f ca="1">CELL("Address",Elec_Rates!D$517)</f>
        <v>[EL25_0662B_Brittania_Hotel_Elec_Revised_Estim_B.xlsx]Elec_Rates!$D$517</v>
      </c>
      <c r="E2505" s="1066"/>
      <c r="F2505" s="1066"/>
      <c r="G2505" s="1067" t="s">
        <v>1007</v>
      </c>
      <c r="H2505" s="1067"/>
      <c r="I2505" s="1067"/>
      <c r="J2505" s="1067"/>
      <c r="K2505" s="1068"/>
      <c r="L2505" s="1066"/>
      <c r="M2505" s="1066"/>
      <c r="N2505" s="1066"/>
      <c r="O2505" s="1069"/>
      <c r="P2505" s="1066"/>
      <c r="Q2505" s="1070"/>
      <c r="R2505" s="1071"/>
      <c r="S2505" s="1070"/>
      <c r="T2505" s="1072"/>
      <c r="U2505" s="1073"/>
    </row>
    <row r="2506" spans="1:41" s="997" customFormat="1" ht="11.4">
      <c r="A2506" s="1074">
        <v>4</v>
      </c>
      <c r="B2506" s="1075">
        <v>1</v>
      </c>
      <c r="C2506" s="1075">
        <f>$A2506*$B2506</f>
        <v>4</v>
      </c>
      <c r="D2506" s="1076" t="str">
        <f>Elec_Rates!$D$517</f>
        <v>061# DALI Wiring cables</v>
      </c>
      <c r="E2506" s="1076"/>
      <c r="F2506" s="1076"/>
      <c r="G2506" s="1077" t="s">
        <v>1008</v>
      </c>
      <c r="H2506" s="1077"/>
      <c r="I2506" s="1077"/>
      <c r="J2506" s="1077"/>
      <c r="K2506" s="1078"/>
      <c r="L2506" s="1073"/>
      <c r="M2506" s="1073"/>
      <c r="N2506" s="1073"/>
      <c r="O2506" s="1079"/>
      <c r="P2506" s="1076"/>
      <c r="Q2506" s="1080">
        <f ca="1">$B2506*Elec_Rates!$R$517</f>
        <v>2.0699999999999998</v>
      </c>
      <c r="R2506" s="1071">
        <f ca="1">$A2506*Q2506</f>
        <v>8.2799999999999994</v>
      </c>
      <c r="S2506" s="1080">
        <f ca="1">$B2506*Elec_Rates!$T$517</f>
        <v>0.19</v>
      </c>
      <c r="T2506" s="1072">
        <f ca="1">$A2506*S2506</f>
        <v>0.76</v>
      </c>
      <c r="U2506" s="1081"/>
    </row>
    <row r="2507" spans="1:41" s="504" customFormat="1" ht="12">
      <c r="A2507" s="882"/>
      <c r="B2507" s="882"/>
      <c r="C2507" s="882"/>
      <c r="D2507" s="882"/>
      <c r="E2507" s="882"/>
      <c r="F2507" s="877"/>
      <c r="G2507" s="882"/>
      <c r="H2507" s="882"/>
      <c r="I2507" s="503"/>
      <c r="J2507" s="882"/>
      <c r="K2507" s="882"/>
      <c r="L2507" s="882"/>
      <c r="M2507" s="882"/>
      <c r="N2507" s="882"/>
      <c r="O2507" s="882"/>
      <c r="P2507" s="882"/>
      <c r="Q2507" s="503"/>
      <c r="R2507" s="883">
        <f>$A2507*Q2507</f>
        <v>0</v>
      </c>
      <c r="S2507" s="503"/>
      <c r="T2507" s="884">
        <f>$A2507*S2507*$T$1</f>
        <v>0</v>
      </c>
    </row>
    <row r="2508" spans="1:41" s="504" customFormat="1" ht="12.6" thickBot="1">
      <c r="A2508" s="885" t="s">
        <v>142</v>
      </c>
      <c r="B2508" s="886">
        <f>(R2507+T2507)</f>
        <v>0</v>
      </c>
      <c r="C2508" s="887"/>
      <c r="D2508" s="887"/>
      <c r="E2508" s="887"/>
      <c r="F2508" s="888"/>
      <c r="G2508" s="887" t="s">
        <v>143</v>
      </c>
      <c r="H2508" s="887"/>
      <c r="I2508" s="889"/>
      <c r="J2508" s="887"/>
      <c r="K2508" s="887" t="s">
        <v>3</v>
      </c>
      <c r="L2508" s="890" t="s">
        <v>140</v>
      </c>
      <c r="M2508" s="890"/>
      <c r="N2508" s="890"/>
      <c r="O2508" s="890"/>
      <c r="P2508" s="890"/>
      <c r="Q2508" s="891"/>
      <c r="R2508" s="892">
        <f ca="1">SUM(R2502:R2507)</f>
        <v>46.88</v>
      </c>
      <c r="S2508" s="887"/>
      <c r="T2508" s="892">
        <f ca="1">SUM(T2502:T2507)</f>
        <v>6</v>
      </c>
      <c r="U2508" s="514"/>
      <c r="V2508" s="514"/>
      <c r="W2508" s="514"/>
      <c r="X2508" s="514"/>
      <c r="Y2508" s="514"/>
      <c r="Z2508" s="514"/>
      <c r="AA2508" s="514"/>
      <c r="AB2508" s="514"/>
      <c r="AC2508" s="514"/>
      <c r="AD2508" s="514"/>
      <c r="AE2508" s="514"/>
      <c r="AF2508" s="514"/>
      <c r="AG2508" s="514"/>
      <c r="AH2508" s="514"/>
      <c r="AI2508" s="514"/>
      <c r="AJ2508" s="514"/>
      <c r="AK2508" s="514"/>
      <c r="AL2508" s="514"/>
      <c r="AM2508" s="514"/>
      <c r="AN2508" s="514"/>
      <c r="AO2508" s="514"/>
    </row>
    <row r="2509" spans="1:41" s="504" customFormat="1" ht="12" thickTop="1">
      <c r="A2509" s="50"/>
      <c r="B2509" s="40"/>
      <c r="C2509" s="50"/>
      <c r="E2509" s="41" t="s">
        <v>136</v>
      </c>
      <c r="F2509" s="41" t="s">
        <v>137</v>
      </c>
      <c r="G2509" s="50"/>
      <c r="H2509" s="50"/>
      <c r="I2509" s="50"/>
      <c r="J2509" s="50"/>
      <c r="K2509" s="50" t="s">
        <v>138</v>
      </c>
      <c r="L2509" s="50"/>
      <c r="M2509" s="50"/>
      <c r="N2509" s="50"/>
      <c r="O2509" s="51"/>
      <c r="P2509" s="50"/>
      <c r="Q2509" s="50"/>
      <c r="R2509" s="50"/>
      <c r="S2509" s="50"/>
      <c r="T2509" s="40"/>
      <c r="AG2509" s="867" t="s">
        <v>241</v>
      </c>
      <c r="AH2509" s="867" t="s">
        <v>242</v>
      </c>
      <c r="AI2509" s="867" t="s">
        <v>243</v>
      </c>
      <c r="AJ2509" s="867" t="s">
        <v>244</v>
      </c>
      <c r="AK2509" s="867" t="s">
        <v>245</v>
      </c>
      <c r="AM2509" s="868" t="s">
        <v>254</v>
      </c>
      <c r="AN2509" s="869" t="s">
        <v>255</v>
      </c>
      <c r="AO2509" s="505" t="s">
        <v>251</v>
      </c>
    </row>
    <row r="2510" spans="1:41" s="504" customFormat="1" ht="12" customHeight="1">
      <c r="A2510" s="870">
        <v>8</v>
      </c>
      <c r="B2510" s="871" t="s">
        <v>335</v>
      </c>
      <c r="C2510" s="872"/>
      <c r="D2510" s="873" t="s">
        <v>806</v>
      </c>
      <c r="E2510" s="874">
        <f ca="1">IF(AND($A2510=0,$A$1="DIF"),0, ROUND(ROUND(($R2517*$S$2+($T2517*$T$2))/A2510,2)*$C$2,2))</f>
        <v>124.92</v>
      </c>
      <c r="F2510" s="875">
        <f ca="1">ROUND($A2510*$E2510,2)</f>
        <v>999.36</v>
      </c>
      <c r="G2510" s="876" t="s">
        <v>139</v>
      </c>
      <c r="H2510" s="877"/>
      <c r="I2510" s="878"/>
      <c r="J2510" s="877"/>
      <c r="K2510" s="877" t="s">
        <v>3</v>
      </c>
      <c r="L2510" s="879" t="s">
        <v>140</v>
      </c>
      <c r="M2510" s="879"/>
      <c r="N2510" s="879"/>
      <c r="O2510" s="879"/>
      <c r="P2510" s="879"/>
      <c r="Q2510" s="50"/>
      <c r="T2510" s="880" t="str">
        <f ca="1">IF(AND($R2517=0,$T2517=0),"0.00","mu :" &amp; ROUND($F2510/$C$2/($R2517+$T2517*$D$9),2))</f>
        <v>mu :1.22</v>
      </c>
      <c r="W2510" s="507"/>
      <c r="AG2510" s="465">
        <f ca="1">IF($E2510=0,0,ROUND($R2517*$S$2*$C$2/$A2510,2))</f>
        <v>26.07</v>
      </c>
      <c r="AH2510" s="465">
        <f ca="1">$AG2510*$A2510</f>
        <v>208.56</v>
      </c>
      <c r="AI2510" s="508">
        <f ca="1">$E2510-$AG2510</f>
        <v>98.85</v>
      </c>
      <c r="AJ2510" s="508">
        <f ca="1">$A2510*$AI2510</f>
        <v>790.8</v>
      </c>
      <c r="AK2510" s="509">
        <f ca="1">ROUND(($AG2510+$AI2510)*$A2510,2)</f>
        <v>999.36</v>
      </c>
      <c r="AM2510" s="510">
        <f ca="1">ROUND(R2517,2)</f>
        <v>170.96</v>
      </c>
      <c r="AN2510" s="511">
        <f ca="1">ROUND(T2517,2)</f>
        <v>22.48</v>
      </c>
      <c r="AO2510" s="512">
        <f ca="1">ROUND(AM2510+AN2510,2)*A2510</f>
        <v>1547.52</v>
      </c>
    </row>
    <row r="2511" spans="1:41" s="504" customFormat="1" ht="13.2">
      <c r="A2511" s="872"/>
      <c r="B2511"/>
      <c r="C2511" s="872"/>
      <c r="D2511" s="873" t="s">
        <v>378</v>
      </c>
      <c r="F2511" s="877"/>
      <c r="G2511" s="3"/>
      <c r="H2511" s="877"/>
      <c r="I2511" s="878"/>
      <c r="J2511" s="877"/>
      <c r="K2511" s="877" t="s">
        <v>141</v>
      </c>
      <c r="L2511" s="877"/>
      <c r="M2511" s="877"/>
      <c r="N2511" s="877"/>
      <c r="O2511" s="877"/>
      <c r="P2511" s="877"/>
      <c r="Q2511" s="50"/>
      <c r="R2511" s="513"/>
      <c r="S2511" s="881"/>
      <c r="T2511" s="877"/>
    </row>
    <row r="2512" spans="1:41" s="997" customFormat="1" ht="13.2">
      <c r="A2512"/>
      <c r="B2512" s="1065"/>
      <c r="C2512" s="1065" t="s">
        <v>1006</v>
      </c>
      <c r="D2512" s="1065" t="str">
        <f ca="1">CELL("Address",Elec_Rates!D$200)</f>
        <v>[EL25_0662B_Brittania_Hotel_Elec_Revised_Estim_B.xlsx]Elec_Rates!$D$200</v>
      </c>
      <c r="E2512" s="1066"/>
      <c r="F2512" s="1066"/>
      <c r="G2512" s="1067" t="s">
        <v>1007</v>
      </c>
      <c r="H2512" s="1067"/>
      <c r="I2512" s="1067"/>
      <c r="J2512" s="1067"/>
      <c r="K2512" s="1068"/>
      <c r="L2512" s="1066"/>
      <c r="M2512" s="1066"/>
      <c r="N2512" s="1066"/>
      <c r="O2512" s="1069"/>
      <c r="P2512" s="1066"/>
      <c r="Q2512" s="1070"/>
      <c r="R2512" s="1071"/>
      <c r="S2512" s="1070"/>
      <c r="T2512" s="1072"/>
      <c r="U2512" s="1073"/>
    </row>
    <row r="2513" spans="1:41" s="997" customFormat="1" ht="11.4">
      <c r="A2513" s="1074">
        <v>8</v>
      </c>
      <c r="B2513" s="1075">
        <v>2</v>
      </c>
      <c r="C2513" s="1075">
        <f>$A2513*$B2513</f>
        <v>16</v>
      </c>
      <c r="D2513" s="1076" t="str">
        <f>Elec_Rates!$D$200</f>
        <v>019# Lighting point in LSZH Conduit</v>
      </c>
      <c r="E2513" s="1076"/>
      <c r="F2513" s="1076"/>
      <c r="G2513" s="1077" t="s">
        <v>1008</v>
      </c>
      <c r="H2513" s="1077"/>
      <c r="I2513" s="1077"/>
      <c r="J2513" s="1077"/>
      <c r="K2513" s="1078"/>
      <c r="L2513" s="1073"/>
      <c r="M2513" s="1073"/>
      <c r="N2513" s="1073"/>
      <c r="O2513" s="1079"/>
      <c r="P2513" s="1076"/>
      <c r="Q2513" s="1080">
        <f ca="1">$B2513*Elec_Rates!$R$200</f>
        <v>19.3</v>
      </c>
      <c r="R2513" s="1071">
        <f ca="1">$A2513*Q2513</f>
        <v>154.4</v>
      </c>
      <c r="S2513" s="1080">
        <f ca="1">$B2513*Elec_Rates!$T$200</f>
        <v>2.62</v>
      </c>
      <c r="T2513" s="1072">
        <f ca="1">$A2513*S2513</f>
        <v>20.96</v>
      </c>
      <c r="U2513" s="1081"/>
    </row>
    <row r="2514" spans="1:41" s="997" customFormat="1" ht="13.2">
      <c r="A2514"/>
      <c r="B2514" s="1065"/>
      <c r="C2514" s="1065" t="s">
        <v>1006</v>
      </c>
      <c r="D2514" s="1065" t="str">
        <f ca="1">CELL("Address",Elec_Rates!D$517)</f>
        <v>[EL25_0662B_Brittania_Hotel_Elec_Revised_Estim_B.xlsx]Elec_Rates!$D$517</v>
      </c>
      <c r="E2514" s="1066"/>
      <c r="F2514" s="1066"/>
      <c r="G2514" s="1067" t="s">
        <v>1007</v>
      </c>
      <c r="H2514" s="1067"/>
      <c r="I2514" s="1067"/>
      <c r="J2514" s="1067"/>
      <c r="K2514" s="1068"/>
      <c r="L2514" s="1066"/>
      <c r="M2514" s="1066"/>
      <c r="N2514" s="1066"/>
      <c r="O2514" s="1069"/>
      <c r="P2514" s="1066"/>
      <c r="Q2514" s="1070"/>
      <c r="R2514" s="1071"/>
      <c r="S2514" s="1070"/>
      <c r="T2514" s="1072"/>
      <c r="U2514" s="1073"/>
    </row>
    <row r="2515" spans="1:41" s="997" customFormat="1" ht="11.4">
      <c r="A2515" s="1074">
        <v>8</v>
      </c>
      <c r="B2515" s="1075">
        <v>1</v>
      </c>
      <c r="C2515" s="1075">
        <f>$A2515*$B2515</f>
        <v>8</v>
      </c>
      <c r="D2515" s="1076" t="str">
        <f>Elec_Rates!$D$517</f>
        <v>061# DALI Wiring cables</v>
      </c>
      <c r="E2515" s="1076"/>
      <c r="F2515" s="1076"/>
      <c r="G2515" s="1077" t="s">
        <v>1008</v>
      </c>
      <c r="H2515" s="1077"/>
      <c r="I2515" s="1077"/>
      <c r="J2515" s="1077"/>
      <c r="K2515" s="1078"/>
      <c r="L2515" s="1073"/>
      <c r="M2515" s="1073"/>
      <c r="N2515" s="1073"/>
      <c r="O2515" s="1079"/>
      <c r="P2515" s="1076"/>
      <c r="Q2515" s="1080">
        <f ca="1">$B2515*Elec_Rates!$R$517</f>
        <v>2.0699999999999998</v>
      </c>
      <c r="R2515" s="1071">
        <f ca="1">$A2515*Q2515</f>
        <v>16.559999999999999</v>
      </c>
      <c r="S2515" s="1080">
        <f ca="1">$B2515*Elec_Rates!$T$517</f>
        <v>0.19</v>
      </c>
      <c r="T2515" s="1072">
        <f ca="1">$A2515*S2515</f>
        <v>1.52</v>
      </c>
      <c r="U2515" s="1081"/>
    </row>
    <row r="2516" spans="1:41" s="504" customFormat="1" ht="12">
      <c r="A2516" s="882"/>
      <c r="B2516" s="882"/>
      <c r="C2516" s="882"/>
      <c r="D2516" s="882"/>
      <c r="E2516" s="882"/>
      <c r="F2516" s="877"/>
      <c r="G2516" s="882"/>
      <c r="H2516" s="882"/>
      <c r="I2516" s="503"/>
      <c r="J2516" s="882"/>
      <c r="K2516" s="882"/>
      <c r="L2516" s="882"/>
      <c r="M2516" s="882"/>
      <c r="N2516" s="882"/>
      <c r="O2516" s="882"/>
      <c r="P2516" s="882"/>
      <c r="Q2516" s="503"/>
      <c r="R2516" s="883">
        <f>$A2516*Q2516</f>
        <v>0</v>
      </c>
      <c r="S2516" s="503"/>
      <c r="T2516" s="884">
        <f>$A2516*S2516*$T$1</f>
        <v>0</v>
      </c>
    </row>
    <row r="2517" spans="1:41" s="504" customFormat="1" ht="12.6" thickBot="1">
      <c r="A2517" s="885" t="s">
        <v>142</v>
      </c>
      <c r="B2517" s="886">
        <f>(R2516+T2516)</f>
        <v>0</v>
      </c>
      <c r="C2517" s="887"/>
      <c r="D2517" s="887"/>
      <c r="E2517" s="887"/>
      <c r="F2517" s="888"/>
      <c r="G2517" s="887" t="s">
        <v>143</v>
      </c>
      <c r="H2517" s="887"/>
      <c r="I2517" s="889"/>
      <c r="J2517" s="887"/>
      <c r="K2517" s="887" t="s">
        <v>3</v>
      </c>
      <c r="L2517" s="890" t="s">
        <v>140</v>
      </c>
      <c r="M2517" s="890"/>
      <c r="N2517" s="890"/>
      <c r="O2517" s="890"/>
      <c r="P2517" s="890"/>
      <c r="Q2517" s="891"/>
      <c r="R2517" s="892">
        <f ca="1">SUM(R2511:R2516)</f>
        <v>170.96</v>
      </c>
      <c r="S2517" s="887"/>
      <c r="T2517" s="892">
        <f ca="1">SUM(T2511:T2516)</f>
        <v>22.48</v>
      </c>
      <c r="U2517" s="514"/>
      <c r="V2517" s="514"/>
      <c r="W2517" s="514"/>
      <c r="X2517" s="514"/>
      <c r="Y2517" s="514"/>
      <c r="Z2517" s="514"/>
      <c r="AA2517" s="514"/>
      <c r="AB2517" s="514"/>
      <c r="AC2517" s="514"/>
      <c r="AD2517" s="514"/>
      <c r="AE2517" s="514"/>
      <c r="AF2517" s="514"/>
      <c r="AG2517" s="514"/>
      <c r="AH2517" s="514"/>
      <c r="AI2517" s="514"/>
      <c r="AJ2517" s="514"/>
      <c r="AK2517" s="514"/>
      <c r="AL2517" s="514"/>
      <c r="AM2517" s="514"/>
      <c r="AN2517" s="514"/>
      <c r="AO2517" s="514"/>
    </row>
    <row r="2518" spans="1:41" s="504" customFormat="1" thickTop="1">
      <c r="A2518" s="50"/>
      <c r="B2518" s="50"/>
      <c r="C2518" s="3"/>
      <c r="D2518" s="3"/>
      <c r="E2518" s="50"/>
      <c r="F2518" s="50"/>
      <c r="G2518" s="50"/>
      <c r="H2518" s="50"/>
      <c r="I2518" s="50"/>
      <c r="J2518" s="50"/>
      <c r="K2518" s="50" t="s">
        <v>133</v>
      </c>
      <c r="L2518" s="50"/>
      <c r="M2518" s="50"/>
      <c r="N2518" s="50"/>
      <c r="O2518" s="51"/>
      <c r="P2518" s="50"/>
      <c r="Q2518" s="50"/>
      <c r="R2518" s="50"/>
      <c r="S2518" s="50"/>
      <c r="T2518" s="50"/>
    </row>
    <row r="2519" spans="1:41" s="504" customFormat="1" ht="12">
      <c r="A2519" s="50"/>
      <c r="B2519" s="50"/>
      <c r="C2519" s="50" t="s">
        <v>134</v>
      </c>
      <c r="D2519" s="37" t="s">
        <v>879</v>
      </c>
      <c r="E2519" s="50"/>
      <c r="F2519" s="50"/>
      <c r="G2519" s="50"/>
      <c r="H2519" s="50"/>
      <c r="I2519" s="50"/>
      <c r="J2519" s="50"/>
      <c r="K2519" s="50"/>
      <c r="L2519" s="50"/>
      <c r="M2519" s="50"/>
      <c r="N2519" s="50"/>
      <c r="O2519" s="51"/>
      <c r="P2519" s="50"/>
      <c r="Q2519" s="50"/>
      <c r="R2519" s="50"/>
      <c r="S2519" s="50"/>
      <c r="T2519" s="50"/>
    </row>
    <row r="2520" spans="1:41" s="504" customFormat="1" ht="12">
      <c r="A2520" s="50"/>
      <c r="B2520" s="50"/>
      <c r="C2520" s="50"/>
      <c r="D2520" s="37" t="s">
        <v>852</v>
      </c>
      <c r="E2520" s="50"/>
      <c r="F2520" s="50"/>
      <c r="G2520" s="50"/>
      <c r="H2520" s="50"/>
      <c r="I2520" s="50"/>
      <c r="J2520" s="50"/>
      <c r="K2520" s="50"/>
      <c r="L2520" s="50"/>
      <c r="M2520" s="50"/>
      <c r="N2520" s="50"/>
      <c r="O2520" s="51"/>
      <c r="P2520" s="50"/>
      <c r="Q2520" s="50"/>
      <c r="R2520" s="50"/>
      <c r="S2520" s="38"/>
      <c r="T2520" s="38"/>
    </row>
    <row r="2521" spans="1:41" s="3" customFormat="1" thickBot="1">
      <c r="A2521" s="514"/>
      <c r="O2521" s="103"/>
    </row>
    <row r="2522" spans="1:41" s="504" customFormat="1" thickTop="1">
      <c r="A2522" s="50"/>
      <c r="B2522" s="40"/>
      <c r="C2522" s="50"/>
      <c r="E2522" s="41" t="s">
        <v>136</v>
      </c>
      <c r="F2522" s="41" t="s">
        <v>137</v>
      </c>
      <c r="G2522" s="50"/>
      <c r="H2522" s="50"/>
      <c r="I2522" s="50"/>
      <c r="J2522" s="50"/>
      <c r="K2522" s="50" t="s">
        <v>138</v>
      </c>
      <c r="L2522" s="1219"/>
      <c r="M2522" s="50"/>
      <c r="N2522" s="50"/>
      <c r="O2522" s="51"/>
      <c r="P2522" s="50"/>
      <c r="Q2522"/>
      <c r="R2522"/>
      <c r="S2522"/>
      <c r="T2522" s="40"/>
      <c r="AG2522" s="867" t="s">
        <v>241</v>
      </c>
      <c r="AH2522" s="867" t="s">
        <v>242</v>
      </c>
      <c r="AI2522" s="867" t="s">
        <v>243</v>
      </c>
      <c r="AJ2522" s="867" t="s">
        <v>244</v>
      </c>
      <c r="AK2522" s="867" t="s">
        <v>245</v>
      </c>
      <c r="AM2522" s="868" t="s">
        <v>254</v>
      </c>
      <c r="AN2522" s="869" t="s">
        <v>255</v>
      </c>
      <c r="AO2522" s="505" t="s">
        <v>251</v>
      </c>
    </row>
    <row r="2523" spans="1:41" s="504" customFormat="1" ht="13.2">
      <c r="A2523" s="870">
        <v>3</v>
      </c>
      <c r="B2523" s="871" t="s">
        <v>335</v>
      </c>
      <c r="C2523" s="872"/>
      <c r="D2523" s="873" t="s">
        <v>804</v>
      </c>
      <c r="E2523" s="1220">
        <f ca="1">IF(AND($A2523=0,$A$1="DIF"),0, ROUND(ROUND(SUMIF($L2525:$L2533,"SUBI",$E2525:$E2533)/$A2523,2)*$C$12,2))</f>
        <v>55.19</v>
      </c>
      <c r="F2523" s="1221">
        <f ca="1">ROUND($A2523*$E2523,2)</f>
        <v>165.57</v>
      </c>
      <c r="G2523" s="876" t="s">
        <v>139</v>
      </c>
      <c r="H2523" s="877"/>
      <c r="I2523" s="878"/>
      <c r="J2523" s="877"/>
      <c r="K2523" s="1222"/>
      <c r="L2523" s="1223" t="s">
        <v>140</v>
      </c>
      <c r="M2523" s="879"/>
      <c r="N2523" s="879"/>
      <c r="O2523" s="879"/>
      <c r="P2523" s="879"/>
      <c r="Q2523"/>
      <c r="R2523"/>
      <c r="S2523"/>
      <c r="T2523" s="1224" t="str">
        <f ca="1">IF(AND($R2539=0,$T2539=0),"0.00","mu :" &amp; ROUND($F2523/$C$12/($R2539+$T2539*$D$9),2))</f>
        <v>mu :1.22</v>
      </c>
      <c r="W2523" s="507"/>
      <c r="AG2523" s="1225">
        <f ca="1">IF(A2523=0,0,ROUND(SUM(AG2525:AG2539)/A2523,2))</f>
        <v>42.23</v>
      </c>
      <c r="AH2523" s="1225">
        <f ca="1">$AG2523*$A2523</f>
        <v>126.69</v>
      </c>
      <c r="AI2523" s="1225">
        <f ca="1">$E2523-$AG2523</f>
        <v>12.96</v>
      </c>
      <c r="AJ2523" s="1225">
        <f ca="1">$A2523*$AI2523</f>
        <v>38.880000000000003</v>
      </c>
      <c r="AK2523" s="1226">
        <f ca="1">ROUND(($AG2523+$AI2523)*$A2523,2)</f>
        <v>165.57</v>
      </c>
      <c r="AM2523" s="510">
        <f ca="1">ROUND(R2539,2)</f>
        <v>103.83</v>
      </c>
      <c r="AN2523" s="511">
        <f ca="1">ROUND(T2539,2)</f>
        <v>1.1100000000000001</v>
      </c>
      <c r="AO2523" s="512">
        <f ca="1">ROUND(AM2523+AN2523,2)*A2523</f>
        <v>314.82</v>
      </c>
    </row>
    <row r="2524" spans="1:41" s="504" customFormat="1" ht="12">
      <c r="A2524" s="1302"/>
      <c r="B2524" s="1303"/>
      <c r="C2524" s="872"/>
      <c r="D2524" s="873" t="s">
        <v>411</v>
      </c>
      <c r="F2524" s="877"/>
      <c r="G2524" s="877"/>
      <c r="H2524" s="877"/>
      <c r="I2524" s="878"/>
      <c r="J2524" s="877"/>
      <c r="K2524" s="877" t="s">
        <v>141</v>
      </c>
      <c r="L2524" s="1227"/>
      <c r="M2524" s="877"/>
      <c r="N2524" s="877"/>
      <c r="O2524" s="877"/>
      <c r="P2524" s="877"/>
      <c r="Q2524" s="50"/>
      <c r="R2524" s="513"/>
      <c r="S2524" s="881"/>
      <c r="T2524" s="877"/>
    </row>
    <row r="2525" spans="1:41" s="504" customFormat="1" ht="12">
      <c r="A2525" s="1228"/>
      <c r="B2525" s="1229"/>
      <c r="C2525" s="882"/>
      <c r="D2525" s="877"/>
      <c r="E2525" s="1230">
        <f ca="1">F2523/$C$12-SUMIF($L2522:$L2539,"SUBI",$E2522:$E2539)</f>
        <v>9.9999999999909051E-3</v>
      </c>
      <c r="F2525" s="1231" t="s">
        <v>1472</v>
      </c>
      <c r="G2525" s="1232"/>
      <c r="H2525" s="1232"/>
      <c r="I2525" s="1233"/>
      <c r="J2525" s="1232"/>
      <c r="K2525" s="1232"/>
      <c r="L2525" s="1234"/>
      <c r="M2525" s="1235"/>
      <c r="N2525" s="1235"/>
      <c r="O2525" s="1235"/>
      <c r="P2525" s="1235"/>
      <c r="Q2525" s="1236"/>
      <c r="R2525" s="1237"/>
      <c r="S2525" s="1236"/>
      <c r="T2525" s="1238"/>
    </row>
    <row r="2526" spans="1:41" s="504" customFormat="1" ht="12" customHeight="1">
      <c r="A2526" s="1239"/>
      <c r="B2526" s="1304"/>
      <c r="C2526" s="1240"/>
      <c r="D2526" s="1240" t="str">
        <f>$F$2</f>
        <v>Electrical</v>
      </c>
      <c r="E2526" s="1240">
        <f ca="1">ROUND(($R2532*$S$2 + ($T2532*$T$2)), 2)</f>
        <v>64.98</v>
      </c>
      <c r="F2526" s="1305">
        <f ca="1">$E2526*$C$12</f>
        <v>64.98</v>
      </c>
      <c r="G2526" s="513"/>
      <c r="H2526" s="1241"/>
      <c r="I2526" s="513"/>
      <c r="J2526" s="51"/>
      <c r="K2526" s="1242" t="s">
        <v>3</v>
      </c>
      <c r="L2526" s="1243" t="s">
        <v>1473</v>
      </c>
      <c r="M2526" s="513"/>
      <c r="N2526" s="513"/>
      <c r="O2526" s="51"/>
      <c r="P2526" s="513"/>
      <c r="Q2526" s="513"/>
      <c r="R2526"/>
      <c r="S2526"/>
      <c r="T2526"/>
    </row>
    <row r="2527" spans="1:41" s="504" customFormat="1" ht="13.95" customHeight="1">
      <c r="A2527" s="930"/>
      <c r="B2527" s="1244" t="s">
        <v>1474</v>
      </c>
      <c r="C2527" s="513"/>
      <c r="D2527" s="513"/>
      <c r="E2527" s="513"/>
      <c r="F2527" s="513"/>
      <c r="G2527" s="513"/>
      <c r="H2527" s="1241"/>
      <c r="I2527" s="513"/>
      <c r="J2527" s="51"/>
      <c r="K2527" s="1245"/>
      <c r="L2527" s="1246"/>
      <c r="M2527" s="513"/>
      <c r="N2527" s="513"/>
      <c r="O2527" s="51"/>
      <c r="P2527" s="513"/>
      <c r="Q2527" s="513"/>
      <c r="R2527" s="1247">
        <f>$A2527*Q2527</f>
        <v>0</v>
      </c>
      <c r="S2527" s="513"/>
      <c r="T2527" s="884">
        <f>$A2527*S2527*$T$1</f>
        <v>0</v>
      </c>
    </row>
    <row r="2528" spans="1:41" s="997" customFormat="1" ht="13.2">
      <c r="A2528"/>
      <c r="B2528" s="1065"/>
      <c r="C2528" s="1065" t="s">
        <v>1006</v>
      </c>
      <c r="D2528" s="1065" t="str">
        <f ca="1">CELL("Address",Elec_Rates!D$517)</f>
        <v>[EL25_0662B_Brittania_Hotel_Elec_Revised_Estim_B.xlsx]Elec_Rates!$D$517</v>
      </c>
      <c r="E2528" s="1066"/>
      <c r="F2528" s="1066"/>
      <c r="G2528" s="1067" t="s">
        <v>1007</v>
      </c>
      <c r="H2528" s="1067"/>
      <c r="I2528" s="1067"/>
      <c r="J2528" s="1067"/>
      <c r="K2528" s="1068"/>
      <c r="L2528" s="1066"/>
      <c r="M2528" s="1066"/>
      <c r="N2528" s="1066"/>
      <c r="O2528" s="1069"/>
      <c r="P2528" s="1066"/>
      <c r="Q2528" s="1070"/>
      <c r="R2528" s="1071"/>
      <c r="S2528" s="1070"/>
      <c r="T2528" s="1072"/>
      <c r="U2528" s="1073"/>
    </row>
    <row r="2529" spans="1:41" s="997" customFormat="1" ht="11.4">
      <c r="A2529" s="1074">
        <v>3</v>
      </c>
      <c r="B2529" s="1075">
        <v>1</v>
      </c>
      <c r="C2529" s="1075">
        <f>$A2529*$B2529</f>
        <v>3</v>
      </c>
      <c r="D2529" s="1076" t="str">
        <f>Elec_Rates!$D$517</f>
        <v>061# DALI Wiring cables</v>
      </c>
      <c r="E2529" s="1076"/>
      <c r="F2529" s="1076"/>
      <c r="G2529" s="1077" t="s">
        <v>1008</v>
      </c>
      <c r="H2529" s="1077"/>
      <c r="I2529" s="1077"/>
      <c r="J2529" s="1077"/>
      <c r="K2529" s="1078"/>
      <c r="L2529" s="1073"/>
      <c r="M2529" s="1073"/>
      <c r="N2529" s="1073"/>
      <c r="O2529" s="1079"/>
      <c r="P2529" s="1076"/>
      <c r="Q2529" s="1080">
        <f ca="1">$B2529*Elec_Rates!$R$517</f>
        <v>2.0699999999999998</v>
      </c>
      <c r="R2529" s="1071">
        <f ca="1">$A2529*Q2529</f>
        <v>6.2099999999999991</v>
      </c>
      <c r="S2529" s="1080">
        <f ca="1">$B2529*Elec_Rates!$T$517</f>
        <v>0.19</v>
      </c>
      <c r="T2529" s="1072">
        <f ca="1">$A2529*S2529</f>
        <v>0.57000000000000006</v>
      </c>
      <c r="U2529" s="1081"/>
    </row>
    <row r="2530" spans="1:41" s="1039" customFormat="1" ht="11.4">
      <c r="A2530" s="1074">
        <v>3</v>
      </c>
      <c r="B2530" s="1039" t="s">
        <v>949</v>
      </c>
      <c r="D2530" s="1039" t="s">
        <v>1522</v>
      </c>
      <c r="F2530" s="1039" t="s">
        <v>1506</v>
      </c>
      <c r="G2530" s="1040" t="s">
        <v>1182</v>
      </c>
      <c r="H2530" s="1041">
        <v>705</v>
      </c>
      <c r="I2530" s="1039" t="s">
        <v>1183</v>
      </c>
      <c r="J2530" s="1039" t="s">
        <v>1184</v>
      </c>
      <c r="O2530" s="1042">
        <v>3</v>
      </c>
      <c r="P2530" s="1043">
        <v>34669</v>
      </c>
      <c r="Q2530" s="1044">
        <v>5.0599999999999996</v>
      </c>
      <c r="R2530" s="1045">
        <f t="shared" ref="R2530" si="32">$A2530*Q2530</f>
        <v>15.18</v>
      </c>
      <c r="S2530" s="1044">
        <v>0.17</v>
      </c>
      <c r="T2530" s="1046">
        <f t="shared" ref="T2530" si="33">$A2530*S2530*$T$1</f>
        <v>0.53550000000000009</v>
      </c>
      <c r="AC2530" s="997"/>
      <c r="AD2530" s="997"/>
      <c r="AE2530" s="997"/>
    </row>
    <row r="2531" spans="1:41" s="504" customFormat="1" ht="13.95" customHeight="1">
      <c r="A2531" s="930"/>
      <c r="B2531" s="513"/>
      <c r="C2531" s="513"/>
      <c r="D2531" s="513"/>
      <c r="E2531" s="513"/>
      <c r="F2531" s="513"/>
      <c r="G2531" s="513"/>
      <c r="H2531" s="1241"/>
      <c r="I2531" s="513"/>
      <c r="J2531" s="51"/>
      <c r="K2531" s="1245"/>
      <c r="L2531" s="1246"/>
      <c r="M2531" s="513"/>
      <c r="N2531" s="513"/>
      <c r="O2531" s="51"/>
      <c r="P2531" s="513"/>
      <c r="Q2531" s="513"/>
      <c r="R2531" s="1247">
        <f>$A2531*Q2531</f>
        <v>0</v>
      </c>
      <c r="S2531" s="513"/>
      <c r="T2531" s="884">
        <f>$A2531*S2531*$T$1</f>
        <v>0</v>
      </c>
    </row>
    <row r="2532" spans="1:41" s="504" customFormat="1" ht="12">
      <c r="A2532" s="1248" t="s">
        <v>142</v>
      </c>
      <c r="B2532" s="1249">
        <f>(R2531+T2531)</f>
        <v>0</v>
      </c>
      <c r="C2532" s="882"/>
      <c r="G2532" s="1250"/>
      <c r="H2532" s="1250"/>
      <c r="I2532" s="1250"/>
      <c r="J2532" s="1250"/>
      <c r="K2532" s="1251" t="s">
        <v>3</v>
      </c>
      <c r="L2532" s="1252" t="s">
        <v>1473</v>
      </c>
      <c r="M2532" s="1250"/>
      <c r="N2532" s="1250"/>
      <c r="O2532" s="1250"/>
      <c r="P2532" s="1250"/>
      <c r="Q2532" s="1253"/>
      <c r="R2532" s="1254">
        <f ca="1">SUM(R2526:R2531)</f>
        <v>21.39</v>
      </c>
      <c r="S2532" s="1255"/>
      <c r="T2532" s="1254">
        <f ca="1">SUM(T2526:T2531)</f>
        <v>1.1055000000000001</v>
      </c>
      <c r="AG2532" s="1256">
        <f ca="1">ROUND($R2532*$S$2,2)</f>
        <v>26.1</v>
      </c>
    </row>
    <row r="2533" spans="1:41" s="504" customFormat="1" ht="12" customHeight="1">
      <c r="A2533" s="1257"/>
      <c r="B2533" s="1306"/>
      <c r="C2533" s="1307"/>
      <c r="D2533" s="1307" t="str">
        <f>$F$3</f>
        <v>Controls Section (DALI)</v>
      </c>
      <c r="E2533" s="1307">
        <f>ROUND(($R2537*$S$3 + ($T2537*$T$3)), 2)</f>
        <v>100.58</v>
      </c>
      <c r="F2533" s="1308">
        <f ca="1">$F2523-SUMIF($L2525:$P2529,"SUBI",$F2525:$F2529)</f>
        <v>100.58999999999999</v>
      </c>
      <c r="G2533" s="503"/>
      <c r="H2533" s="503"/>
      <c r="I2533" s="503"/>
      <c r="J2533" s="503"/>
      <c r="K2533" s="1242" t="s">
        <v>5</v>
      </c>
      <c r="L2533" s="1243" t="s">
        <v>1473</v>
      </c>
      <c r="M2533" s="503"/>
      <c r="N2533" s="503"/>
      <c r="O2533" s="503"/>
      <c r="P2533" s="503"/>
      <c r="Q2533" s="503"/>
      <c r="R2533" s="1258"/>
      <c r="S2533" s="503"/>
      <c r="T2533" s="1258"/>
    </row>
    <row r="2534" spans="1:41" s="1271" customFormat="1" ht="14.4" customHeight="1">
      <c r="A2534" s="1259"/>
      <c r="B2534" s="1244" t="s">
        <v>1475</v>
      </c>
      <c r="C2534" s="1260"/>
      <c r="D2534" s="1261"/>
      <c r="E2534" s="1261"/>
      <c r="F2534" s="1261"/>
      <c r="G2534" s="1262"/>
      <c r="H2534" s="1263"/>
      <c r="I2534" s="1263"/>
      <c r="J2534" s="1264"/>
      <c r="K2534" s="1265"/>
      <c r="L2534" s="1260"/>
      <c r="M2534" s="1266"/>
      <c r="N2534" s="1267"/>
      <c r="O2534" s="1268"/>
      <c r="P2534" s="1269"/>
      <c r="Q2534" s="1270"/>
      <c r="R2534" s="1247">
        <f>$A2534*Q2534</f>
        <v>0</v>
      </c>
      <c r="S2534" s="513"/>
      <c r="T2534" s="884">
        <f>$A2534*S2534*$T$1</f>
        <v>0</v>
      </c>
    </row>
    <row r="2535" spans="1:41" s="1039" customFormat="1" ht="13.2">
      <c r="A2535">
        <v>3</v>
      </c>
      <c r="B2535" s="1039" t="s">
        <v>949</v>
      </c>
      <c r="D2535" s="1039" t="s">
        <v>1523</v>
      </c>
      <c r="G2535" s="1374" t="s">
        <v>1991</v>
      </c>
      <c r="H2535" s="1375">
        <v>512</v>
      </c>
      <c r="I2535" s="1039" t="s">
        <v>1519</v>
      </c>
      <c r="J2535" s="1039" t="s">
        <v>1520</v>
      </c>
      <c r="O2535" s="1042">
        <v>3</v>
      </c>
      <c r="P2535" s="1043">
        <v>38421</v>
      </c>
      <c r="Q2535" s="1044">
        <v>27.48</v>
      </c>
      <c r="R2535" s="1045">
        <f>$A2535*Q2535</f>
        <v>82.44</v>
      </c>
      <c r="S2535" s="513"/>
      <c r="T2535" s="1046">
        <f>$A2535*S2535*$T$1</f>
        <v>0</v>
      </c>
    </row>
    <row r="2536" spans="1:41" s="504" customFormat="1" ht="13.2">
      <c r="A2536" s="930"/>
      <c r="B2536" s="513"/>
      <c r="C2536" s="513"/>
      <c r="D2536" s="3"/>
      <c r="E2536" s="513"/>
      <c r="F2536" s="513"/>
      <c r="G2536" s="513"/>
      <c r="H2536" s="513"/>
      <c r="I2536" s="513"/>
      <c r="J2536" s="513"/>
      <c r="K2536" s="513"/>
      <c r="L2536" s="1246"/>
      <c r="M2536" s="513"/>
      <c r="N2536" s="513"/>
      <c r="O2536" s="513"/>
      <c r="P2536" s="513"/>
      <c r="Q2536" s="513"/>
      <c r="R2536" s="1247">
        <f>$A2536*Q2536</f>
        <v>0</v>
      </c>
      <c r="S2536" s="513"/>
      <c r="T2536" s="884">
        <f>$A2536*S2536*$T$1</f>
        <v>0</v>
      </c>
    </row>
    <row r="2537" spans="1:41" s="504" customFormat="1" ht="12" customHeight="1">
      <c r="A2537" s="1272" t="s">
        <v>142</v>
      </c>
      <c r="B2537" s="1273">
        <f>(R2536+T2536)</f>
        <v>0</v>
      </c>
      <c r="C2537" s="1274"/>
      <c r="D2537" s="1274"/>
      <c r="E2537" s="1274"/>
      <c r="F2537" s="1274"/>
      <c r="G2537" s="1253"/>
      <c r="H2537" s="1253"/>
      <c r="I2537" s="1253"/>
      <c r="J2537" s="1253"/>
      <c r="K2537" s="1275" t="s">
        <v>5</v>
      </c>
      <c r="L2537" s="1276" t="s">
        <v>1473</v>
      </c>
      <c r="M2537" s="1253"/>
      <c r="N2537" s="1253"/>
      <c r="O2537" s="1253"/>
      <c r="P2537" s="1253"/>
      <c r="Q2537" s="1253"/>
      <c r="R2537" s="1254">
        <f>SUM(R2533:R2536)</f>
        <v>82.44</v>
      </c>
      <c r="S2537" s="1255"/>
      <c r="T2537" s="1254">
        <f>SUM(T2533:T2536)</f>
        <v>0</v>
      </c>
      <c r="AG2537" s="1309">
        <f>ROUND($R2537*$S$3,2)</f>
        <v>100.58</v>
      </c>
    </row>
    <row r="2538" spans="1:41" s="504" customFormat="1" ht="12.75" customHeight="1">
      <c r="A2538" s="1277"/>
      <c r="B2538" s="1278"/>
      <c r="E2538" s="882"/>
      <c r="F2538" s="1279"/>
      <c r="G2538" s="882"/>
      <c r="H2538" s="882"/>
      <c r="I2538" s="503"/>
      <c r="J2538" s="882"/>
      <c r="K2538" s="882"/>
      <c r="L2538" s="1280"/>
      <c r="M2538" s="933"/>
      <c r="N2538" s="933"/>
      <c r="O2538" s="933"/>
      <c r="P2538" s="933"/>
      <c r="Q2538" s="900"/>
      <c r="R2538" s="1258"/>
      <c r="S2538" s="882"/>
      <c r="T2538" s="1258"/>
    </row>
    <row r="2539" spans="1:41" s="504" customFormat="1" ht="13.5" customHeight="1" thickBot="1">
      <c r="A2539" s="1281"/>
      <c r="B2539" s="1282"/>
      <c r="C2539" s="514"/>
      <c r="D2539" s="514"/>
      <c r="E2539" s="887"/>
      <c r="F2539" s="888"/>
      <c r="G2539" s="887" t="s">
        <v>143</v>
      </c>
      <c r="H2539" s="887"/>
      <c r="I2539" s="889"/>
      <c r="J2539" s="887"/>
      <c r="K2539" s="887"/>
      <c r="L2539" s="1283" t="s">
        <v>140</v>
      </c>
      <c r="M2539" s="890"/>
      <c r="N2539" s="890"/>
      <c r="O2539" s="890"/>
      <c r="P2539" s="890"/>
      <c r="Q2539" s="891"/>
      <c r="R2539" s="1284">
        <f ca="1">SUMIF($L2524:$L2538,"SUBI",R2524:R2538)</f>
        <v>103.83</v>
      </c>
      <c r="S2539" s="887"/>
      <c r="T2539" s="1284">
        <f ca="1">SUMIF($L2524:$L2538,"SUBI",T2524:T2538)</f>
        <v>1.1055000000000001</v>
      </c>
      <c r="U2539" s="514"/>
      <c r="V2539" s="514"/>
      <c r="W2539" s="514"/>
      <c r="X2539" s="514"/>
      <c r="Y2539" s="514"/>
      <c r="Z2539" s="514"/>
      <c r="AA2539" s="514"/>
      <c r="AB2539" s="514"/>
      <c r="AC2539" s="514"/>
      <c r="AD2539" s="514"/>
      <c r="AE2539" s="514"/>
      <c r="AF2539" s="514"/>
      <c r="AG2539" s="514"/>
      <c r="AH2539" s="514"/>
      <c r="AI2539" s="514"/>
      <c r="AJ2539" s="514"/>
      <c r="AK2539" s="514"/>
      <c r="AL2539" s="514"/>
      <c r="AM2539" s="514"/>
      <c r="AN2539" s="514"/>
      <c r="AO2539" s="514"/>
    </row>
    <row r="2540" spans="1:41" s="504" customFormat="1" thickTop="1">
      <c r="A2540" s="50"/>
      <c r="B2540" s="40"/>
      <c r="C2540" s="50"/>
      <c r="E2540" s="41" t="s">
        <v>136</v>
      </c>
      <c r="F2540" s="41" t="s">
        <v>137</v>
      </c>
      <c r="G2540" s="50"/>
      <c r="H2540" s="50"/>
      <c r="I2540" s="50"/>
      <c r="J2540" s="50"/>
      <c r="K2540" s="50" t="s">
        <v>138</v>
      </c>
      <c r="L2540" s="1219"/>
      <c r="M2540" s="50"/>
      <c r="N2540" s="50"/>
      <c r="O2540" s="51"/>
      <c r="P2540" s="50"/>
      <c r="Q2540"/>
      <c r="R2540"/>
      <c r="S2540"/>
      <c r="T2540" s="40"/>
      <c r="AG2540" s="867" t="s">
        <v>241</v>
      </c>
      <c r="AH2540" s="867" t="s">
        <v>242</v>
      </c>
      <c r="AI2540" s="867" t="s">
        <v>243</v>
      </c>
      <c r="AJ2540" s="867" t="s">
        <v>244</v>
      </c>
      <c r="AK2540" s="867" t="s">
        <v>245</v>
      </c>
      <c r="AM2540" s="868" t="s">
        <v>254</v>
      </c>
      <c r="AN2540" s="869" t="s">
        <v>255</v>
      </c>
      <c r="AO2540" s="505" t="s">
        <v>251</v>
      </c>
    </row>
    <row r="2541" spans="1:41" s="504" customFormat="1" ht="13.2">
      <c r="A2541" s="870">
        <v>1</v>
      </c>
      <c r="B2541" s="871" t="s">
        <v>335</v>
      </c>
      <c r="C2541" s="872"/>
      <c r="D2541" s="873" t="s">
        <v>806</v>
      </c>
      <c r="E2541" s="1220">
        <f ca="1">IF(AND($A2541=0,$A$1="DIF"),0, ROUND(ROUND(SUMIF($L2543:$L2550,"SUBI",$E2543:$E2550)/$A2541,2)*$C$12,2))</f>
        <v>973.68</v>
      </c>
      <c r="F2541" s="1221">
        <f ca="1">ROUND($A2541*$E2541,2)</f>
        <v>973.68</v>
      </c>
      <c r="G2541" s="876" t="s">
        <v>139</v>
      </c>
      <c r="H2541" s="877"/>
      <c r="I2541" s="878"/>
      <c r="J2541" s="877"/>
      <c r="K2541" s="1222"/>
      <c r="L2541" s="1223" t="s">
        <v>140</v>
      </c>
      <c r="M2541" s="879"/>
      <c r="N2541" s="879"/>
      <c r="O2541" s="879"/>
      <c r="P2541" s="879"/>
      <c r="Q2541"/>
      <c r="R2541"/>
      <c r="S2541"/>
      <c r="T2541" s="1224" t="str">
        <f ca="1">IF(AND($R2557=0,$T2557=0),"0.00","mu :" &amp; ROUND($F2541/$C$12/($R2557+$T2557*$D$9),2))</f>
        <v>mu :1.57</v>
      </c>
      <c r="W2541" s="507"/>
      <c r="AG2541" s="1225">
        <f ca="1">IF(A2541=0,0,ROUND(SUM(AG2543:AG2557)/A2541,2))</f>
        <v>603.11</v>
      </c>
      <c r="AH2541" s="1225">
        <f ca="1">$AG2541*$A2541</f>
        <v>603.11</v>
      </c>
      <c r="AI2541" s="1225">
        <f ca="1">$E2541-$AG2541</f>
        <v>370.56999999999994</v>
      </c>
      <c r="AJ2541" s="1225">
        <f ca="1">$A2541*$AI2541</f>
        <v>370.56999999999994</v>
      </c>
      <c r="AK2541" s="1226">
        <f ca="1">ROUND(($AG2541+$AI2541)*$A2541,2)</f>
        <v>973.68</v>
      </c>
      <c r="AM2541" s="510">
        <f ca="1">ROUND(R2557,2)</f>
        <v>494.35</v>
      </c>
      <c r="AN2541" s="511">
        <f ca="1">ROUND(T2557,2)</f>
        <v>4.3899999999999997</v>
      </c>
      <c r="AO2541" s="512">
        <f ca="1">ROUND(AM2541+AN2541,2)*A2541</f>
        <v>498.74</v>
      </c>
    </row>
    <row r="2542" spans="1:41" s="504" customFormat="1" ht="12">
      <c r="A2542" s="1302"/>
      <c r="B2542" s="1303"/>
      <c r="C2542" s="872"/>
      <c r="D2542" s="873" t="s">
        <v>412</v>
      </c>
      <c r="F2542" s="877"/>
      <c r="G2542" s="877"/>
      <c r="H2542" s="877"/>
      <c r="I2542" s="878"/>
      <c r="J2542" s="877"/>
      <c r="K2542" s="877" t="s">
        <v>141</v>
      </c>
      <c r="L2542" s="1227"/>
      <c r="M2542" s="877"/>
      <c r="N2542" s="877"/>
      <c r="O2542" s="877"/>
      <c r="P2542" s="877"/>
      <c r="Q2542" s="50"/>
      <c r="R2542" s="513"/>
      <c r="S2542" s="881"/>
      <c r="T2542" s="877"/>
    </row>
    <row r="2543" spans="1:41" s="504" customFormat="1" ht="12">
      <c r="A2543" s="1228"/>
      <c r="B2543" s="1229"/>
      <c r="C2543" s="882"/>
      <c r="D2543" s="877"/>
      <c r="E2543" s="1230">
        <f ca="1">F2541/$C$12-SUMIF($L2540:$L2557,"SUBI",$E2540:$E2557)</f>
        <v>0</v>
      </c>
      <c r="F2543" s="1231" t="s">
        <v>1472</v>
      </c>
      <c r="G2543" s="1232"/>
      <c r="H2543" s="1232"/>
      <c r="I2543" s="1233"/>
      <c r="J2543" s="1232"/>
      <c r="K2543" s="1232"/>
      <c r="L2543" s="1234"/>
      <c r="M2543" s="1235"/>
      <c r="N2543" s="1235"/>
      <c r="O2543" s="1235"/>
      <c r="P2543" s="1235"/>
      <c r="Q2543" s="1236"/>
      <c r="R2543" s="1237"/>
      <c r="S2543" s="1236"/>
      <c r="T2543" s="1238"/>
    </row>
    <row r="2544" spans="1:41" s="504" customFormat="1" ht="12" customHeight="1">
      <c r="A2544" s="1239"/>
      <c r="B2544" s="1304"/>
      <c r="C2544" s="1240"/>
      <c r="D2544" s="1240" t="str">
        <f>$F$2</f>
        <v>Electrical</v>
      </c>
      <c r="E2544" s="1240">
        <f ca="1">ROUND(($R2549*$S$2 + ($T2549*$T$2)), 2)</f>
        <v>9.2100000000000009</v>
      </c>
      <c r="F2544" s="1305">
        <f ca="1">$E2544*$C$12</f>
        <v>9.2100000000000009</v>
      </c>
      <c r="G2544" s="513"/>
      <c r="H2544" s="1241"/>
      <c r="I2544" s="513"/>
      <c r="J2544" s="51"/>
      <c r="K2544" s="1242" t="s">
        <v>3</v>
      </c>
      <c r="L2544" s="1243" t="s">
        <v>1473</v>
      </c>
      <c r="M2544" s="513"/>
      <c r="N2544" s="513"/>
      <c r="O2544" s="51"/>
      <c r="P2544" s="513"/>
      <c r="Q2544" s="513"/>
      <c r="R2544"/>
      <c r="S2544"/>
      <c r="T2544"/>
    </row>
    <row r="2545" spans="1:41" s="504" customFormat="1" ht="13.95" customHeight="1">
      <c r="A2545" s="930"/>
      <c r="B2545" s="1244" t="s">
        <v>1474</v>
      </c>
      <c r="C2545" s="513"/>
      <c r="D2545" s="513"/>
      <c r="E2545" s="513"/>
      <c r="F2545" s="513"/>
      <c r="G2545" s="513"/>
      <c r="H2545" s="1241"/>
      <c r="I2545" s="513"/>
      <c r="J2545" s="51"/>
      <c r="K2545" s="1245"/>
      <c r="L2545" s="1246"/>
      <c r="M2545" s="513"/>
      <c r="N2545" s="513"/>
      <c r="O2545" s="51"/>
      <c r="P2545" s="513"/>
      <c r="Q2545" s="513"/>
      <c r="R2545" s="1247">
        <f>$A2545*Q2545</f>
        <v>0</v>
      </c>
      <c r="S2545" s="513"/>
      <c r="T2545" s="884">
        <f>$A2545*S2545*$T$1</f>
        <v>0</v>
      </c>
    </row>
    <row r="2546" spans="1:41" s="997" customFormat="1" ht="13.2">
      <c r="A2546"/>
      <c r="B2546" s="1065"/>
      <c r="C2546" s="1065" t="s">
        <v>1006</v>
      </c>
      <c r="D2546" s="1065" t="str">
        <f ca="1">CELL("Address",Elec_Rates!D$517)</f>
        <v>[EL25_0662B_Brittania_Hotel_Elec_Revised_Estim_B.xlsx]Elec_Rates!$D$517</v>
      </c>
      <c r="E2546" s="1066"/>
      <c r="F2546" s="1066"/>
      <c r="G2546" s="1067" t="s">
        <v>1007</v>
      </c>
      <c r="H2546" s="1067"/>
      <c r="I2546" s="1067"/>
      <c r="J2546" s="1067"/>
      <c r="K2546" s="1068"/>
      <c r="L2546" s="1066"/>
      <c r="M2546" s="1066"/>
      <c r="N2546" s="1066"/>
      <c r="O2546" s="1069"/>
      <c r="P2546" s="1066"/>
      <c r="Q2546" s="1070"/>
      <c r="R2546" s="1071"/>
      <c r="S2546" s="1070"/>
      <c r="T2546" s="1072"/>
      <c r="U2546" s="1073"/>
    </row>
    <row r="2547" spans="1:41" s="997" customFormat="1" ht="11.4">
      <c r="A2547" s="1074">
        <v>1</v>
      </c>
      <c r="B2547" s="1075">
        <v>1</v>
      </c>
      <c r="C2547" s="1075">
        <f>$A2547*$B2547</f>
        <v>1</v>
      </c>
      <c r="D2547" s="1076" t="str">
        <f>Elec_Rates!$D$517</f>
        <v>061# DALI Wiring cables</v>
      </c>
      <c r="E2547" s="1076"/>
      <c r="F2547" s="1076"/>
      <c r="G2547" s="1077" t="s">
        <v>1008</v>
      </c>
      <c r="H2547" s="1077"/>
      <c r="I2547" s="1077"/>
      <c r="J2547" s="1077"/>
      <c r="K2547" s="1078"/>
      <c r="L2547" s="1073"/>
      <c r="M2547" s="1073"/>
      <c r="N2547" s="1073"/>
      <c r="O2547" s="1079"/>
      <c r="P2547" s="1076"/>
      <c r="Q2547" s="1080">
        <f ca="1">$B2547*Elec_Rates!$R$517</f>
        <v>2.0699999999999998</v>
      </c>
      <c r="R2547" s="1071">
        <f ca="1">$A2547*Q2547</f>
        <v>2.0699999999999998</v>
      </c>
      <c r="S2547" s="1080">
        <f ca="1">$B2547*Elec_Rates!$T$517</f>
        <v>0.19</v>
      </c>
      <c r="T2547" s="1072">
        <f ca="1">$A2547*S2547</f>
        <v>0.19</v>
      </c>
      <c r="U2547" s="1081"/>
    </row>
    <row r="2548" spans="1:41" s="504" customFormat="1" ht="13.95" customHeight="1">
      <c r="A2548" s="930"/>
      <c r="B2548" s="513"/>
      <c r="C2548" s="513"/>
      <c r="D2548" s="513"/>
      <c r="E2548" s="513"/>
      <c r="F2548" s="513"/>
      <c r="G2548" s="513"/>
      <c r="H2548" s="1241"/>
      <c r="I2548" s="513"/>
      <c r="J2548" s="51"/>
      <c r="K2548" s="1245"/>
      <c r="L2548" s="1246"/>
      <c r="M2548" s="513"/>
      <c r="N2548" s="513"/>
      <c r="O2548" s="51"/>
      <c r="P2548" s="513"/>
      <c r="Q2548" s="513"/>
      <c r="R2548" s="1247">
        <f>$A2548*Q2548</f>
        <v>0</v>
      </c>
      <c r="S2548" s="513"/>
      <c r="T2548" s="884">
        <f>$A2548*S2548*$T$1</f>
        <v>0</v>
      </c>
    </row>
    <row r="2549" spans="1:41" s="504" customFormat="1" ht="12">
      <c r="A2549" s="1248" t="s">
        <v>142</v>
      </c>
      <c r="B2549" s="1249">
        <f>(R2548+T2548)</f>
        <v>0</v>
      </c>
      <c r="C2549" s="882"/>
      <c r="G2549" s="1250"/>
      <c r="H2549" s="1250"/>
      <c r="I2549" s="1250"/>
      <c r="J2549" s="1250"/>
      <c r="K2549" s="1251" t="s">
        <v>3</v>
      </c>
      <c r="L2549" s="1252" t="s">
        <v>1473</v>
      </c>
      <c r="M2549" s="1250"/>
      <c r="N2549" s="1250"/>
      <c r="O2549" s="1250"/>
      <c r="P2549" s="1250"/>
      <c r="Q2549" s="1253"/>
      <c r="R2549" s="1254">
        <f ca="1">SUM(R2544:R2548)</f>
        <v>2.0699999999999998</v>
      </c>
      <c r="S2549" s="1255"/>
      <c r="T2549" s="1254">
        <f ca="1">SUM(T2544:T2548)</f>
        <v>0.19</v>
      </c>
      <c r="AG2549" s="1256">
        <f ca="1">ROUND($R2549*$S$2,2)</f>
        <v>2.5299999999999998</v>
      </c>
    </row>
    <row r="2550" spans="1:41" s="504" customFormat="1" ht="12" customHeight="1">
      <c r="A2550" s="1257"/>
      <c r="B2550" s="1306"/>
      <c r="C2550" s="1307"/>
      <c r="D2550" s="1307" t="str">
        <f>$F$3</f>
        <v>Controls Section (DALI)</v>
      </c>
      <c r="E2550" s="1307">
        <f>ROUND(($R2555*$S$3 + ($T2555*$T$3)), 2)</f>
        <v>964.47</v>
      </c>
      <c r="F2550" s="1308">
        <f ca="1">$F2541-SUMIF($L2543:$P2547,"SUBI",$F2543:$F2547)</f>
        <v>964.46999999999991</v>
      </c>
      <c r="G2550" s="503"/>
      <c r="H2550" s="503"/>
      <c r="I2550" s="503"/>
      <c r="J2550" s="503"/>
      <c r="K2550" s="1242" t="s">
        <v>5</v>
      </c>
      <c r="L2550" s="1243" t="s">
        <v>1473</v>
      </c>
      <c r="M2550" s="503"/>
      <c r="N2550" s="503"/>
      <c r="O2550" s="503"/>
      <c r="P2550" s="503"/>
      <c r="Q2550" s="503"/>
      <c r="R2550" s="1258"/>
      <c r="S2550" s="503"/>
      <c r="T2550" s="1258"/>
    </row>
    <row r="2551" spans="1:41" s="1271" customFormat="1" ht="14.4" customHeight="1">
      <c r="A2551" s="1259"/>
      <c r="B2551" s="1244" t="s">
        <v>1475</v>
      </c>
      <c r="C2551" s="1260"/>
      <c r="D2551" s="1261"/>
      <c r="E2551" s="1261"/>
      <c r="F2551" s="1261"/>
      <c r="G2551" s="1262"/>
      <c r="H2551" s="1263"/>
      <c r="I2551" s="1263"/>
      <c r="J2551" s="1264"/>
      <c r="K2551" s="1265"/>
      <c r="L2551" s="1260"/>
      <c r="M2551" s="1266"/>
      <c r="N2551" s="1267"/>
      <c r="O2551" s="1268"/>
      <c r="P2551" s="1269"/>
      <c r="Q2551" s="1270"/>
      <c r="R2551" s="1247">
        <f>$A2551*Q2551</f>
        <v>0</v>
      </c>
      <c r="S2551" s="513"/>
      <c r="T2551" s="884">
        <f>$A2551*S2551*$T$1</f>
        <v>0</v>
      </c>
    </row>
    <row r="2552" spans="1:41" s="1039" customFormat="1" ht="13.2">
      <c r="A2552" s="112">
        <v>1</v>
      </c>
      <c r="B2552" s="1039" t="s">
        <v>949</v>
      </c>
      <c r="D2552" s="1039" t="s">
        <v>1551</v>
      </c>
      <c r="G2552" s="1374" t="s">
        <v>1991</v>
      </c>
      <c r="H2552" s="1375">
        <v>512</v>
      </c>
      <c r="I2552" s="1039" t="s">
        <v>1519</v>
      </c>
      <c r="J2552" s="1039" t="s">
        <v>1520</v>
      </c>
      <c r="O2552" s="1042">
        <v>3</v>
      </c>
      <c r="P2552" s="1043">
        <v>38421</v>
      </c>
      <c r="Q2552" s="1044">
        <v>414.96</v>
      </c>
      <c r="R2552" s="1045">
        <f>$A2552*Q2552</f>
        <v>414.96</v>
      </c>
      <c r="S2552" s="1044">
        <v>4</v>
      </c>
      <c r="T2552" s="1046">
        <f>$A2552*S2552*$T$1</f>
        <v>4.2</v>
      </c>
    </row>
    <row r="2553" spans="1:41" s="1039" customFormat="1" ht="13.2">
      <c r="A2553" s="112">
        <v>1</v>
      </c>
      <c r="B2553" s="1039" t="s">
        <v>949</v>
      </c>
      <c r="D2553" s="1039" t="s">
        <v>1524</v>
      </c>
      <c r="G2553" s="1374" t="s">
        <v>1991</v>
      </c>
      <c r="H2553" s="1375">
        <v>512</v>
      </c>
      <c r="I2553" s="1039" t="s">
        <v>1519</v>
      </c>
      <c r="J2553" s="1039" t="s">
        <v>1520</v>
      </c>
      <c r="O2553" s="1042">
        <v>3</v>
      </c>
      <c r="P2553" s="1043">
        <v>38421</v>
      </c>
      <c r="Q2553" s="1044">
        <v>77.319999999999993</v>
      </c>
      <c r="R2553" s="1045">
        <f>$A2553*Q2553</f>
        <v>77.319999999999993</v>
      </c>
      <c r="S2553" s="1044"/>
      <c r="T2553" s="1046">
        <f>$A2553*S2553*$T$1</f>
        <v>0</v>
      </c>
    </row>
    <row r="2554" spans="1:41" s="504" customFormat="1" ht="13.2">
      <c r="A2554" s="930"/>
      <c r="B2554" s="513"/>
      <c r="C2554" s="513"/>
      <c r="D2554" s="3"/>
      <c r="E2554" s="513"/>
      <c r="F2554" s="513"/>
      <c r="G2554" s="513"/>
      <c r="H2554" s="513"/>
      <c r="I2554" s="513"/>
      <c r="J2554" s="513"/>
      <c r="K2554" s="513"/>
      <c r="L2554" s="1246"/>
      <c r="M2554" s="513"/>
      <c r="N2554" s="513"/>
      <c r="O2554" s="513"/>
      <c r="P2554" s="513"/>
      <c r="Q2554" s="513"/>
      <c r="R2554" s="1247">
        <f>$A2554*Q2554</f>
        <v>0</v>
      </c>
      <c r="S2554" s="513"/>
      <c r="T2554" s="884">
        <f>$A2554*S2554*$T$1</f>
        <v>0</v>
      </c>
    </row>
    <row r="2555" spans="1:41" s="504" customFormat="1" ht="12" customHeight="1">
      <c r="A2555" s="1272" t="s">
        <v>142</v>
      </c>
      <c r="B2555" s="1273">
        <f>(R2554+T2554)</f>
        <v>0</v>
      </c>
      <c r="C2555" s="1274"/>
      <c r="D2555" s="1274"/>
      <c r="E2555" s="1274"/>
      <c r="F2555" s="1274"/>
      <c r="G2555" s="1253"/>
      <c r="H2555" s="1253"/>
      <c r="I2555" s="1253"/>
      <c r="J2555" s="1253"/>
      <c r="K2555" s="1275" t="s">
        <v>5</v>
      </c>
      <c r="L2555" s="1276" t="s">
        <v>1473</v>
      </c>
      <c r="M2555" s="1253"/>
      <c r="N2555" s="1253"/>
      <c r="O2555" s="1253"/>
      <c r="P2555" s="1253"/>
      <c r="Q2555" s="1253"/>
      <c r="R2555" s="1254">
        <f>SUM(R2550:R2554)</f>
        <v>492.28</v>
      </c>
      <c r="S2555" s="1255"/>
      <c r="T2555" s="1254">
        <f>SUM(T2550:T2554)</f>
        <v>4.2</v>
      </c>
      <c r="AG2555" s="1309">
        <f>ROUND($R2555*$S$3,2)</f>
        <v>600.58000000000004</v>
      </c>
    </row>
    <row r="2556" spans="1:41" s="504" customFormat="1" ht="12.75" customHeight="1">
      <c r="A2556" s="1277"/>
      <c r="B2556" s="1278"/>
      <c r="E2556" s="882"/>
      <c r="F2556" s="1279"/>
      <c r="G2556" s="882"/>
      <c r="H2556" s="882"/>
      <c r="I2556" s="503"/>
      <c r="J2556" s="882"/>
      <c r="K2556" s="882"/>
      <c r="L2556" s="1280"/>
      <c r="M2556" s="933"/>
      <c r="N2556" s="933"/>
      <c r="O2556" s="933"/>
      <c r="P2556" s="933"/>
      <c r="Q2556" s="900"/>
      <c r="R2556" s="1258"/>
      <c r="S2556" s="882"/>
      <c r="T2556" s="1258"/>
    </row>
    <row r="2557" spans="1:41" s="504" customFormat="1" ht="13.5" customHeight="1" thickBot="1">
      <c r="A2557" s="1281"/>
      <c r="B2557" s="1282"/>
      <c r="C2557" s="514"/>
      <c r="D2557" s="514"/>
      <c r="E2557" s="887"/>
      <c r="F2557" s="888"/>
      <c r="G2557" s="887" t="s">
        <v>143</v>
      </c>
      <c r="H2557" s="887"/>
      <c r="I2557" s="889"/>
      <c r="J2557" s="887"/>
      <c r="K2557" s="887"/>
      <c r="L2557" s="1283" t="s">
        <v>140</v>
      </c>
      <c r="M2557" s="890"/>
      <c r="N2557" s="890"/>
      <c r="O2557" s="890"/>
      <c r="P2557" s="890"/>
      <c r="Q2557" s="891"/>
      <c r="R2557" s="1284">
        <f ca="1">SUMIF($L2542:$L2556,"SUBI",R2542:R2556)</f>
        <v>494.34999999999997</v>
      </c>
      <c r="S2557" s="887"/>
      <c r="T2557" s="1284">
        <f ca="1">SUMIF($L2542:$L2556,"SUBI",T2542:T2556)</f>
        <v>4.3900000000000006</v>
      </c>
      <c r="U2557" s="514"/>
      <c r="V2557" s="514"/>
      <c r="W2557" s="514"/>
      <c r="X2557" s="514"/>
      <c r="Y2557" s="514"/>
      <c r="Z2557" s="514"/>
      <c r="AA2557" s="514"/>
      <c r="AB2557" s="514"/>
      <c r="AC2557" s="514"/>
      <c r="AD2557" s="514"/>
      <c r="AE2557" s="514"/>
      <c r="AF2557" s="514"/>
      <c r="AG2557" s="514"/>
      <c r="AH2557" s="514"/>
      <c r="AI2557" s="514"/>
      <c r="AJ2557" s="514"/>
      <c r="AK2557" s="514"/>
      <c r="AL2557" s="514"/>
      <c r="AM2557" s="514"/>
      <c r="AN2557" s="514"/>
      <c r="AO2557" s="514"/>
    </row>
    <row r="2558" spans="1:41" s="504" customFormat="1" thickTop="1">
      <c r="A2558" s="50"/>
      <c r="B2558" s="50"/>
      <c r="C2558" s="3"/>
      <c r="D2558" s="3"/>
      <c r="E2558" s="50"/>
      <c r="F2558" s="50"/>
      <c r="G2558" s="50"/>
      <c r="H2558" s="50"/>
      <c r="I2558" s="50"/>
      <c r="J2558" s="50"/>
      <c r="K2558" s="50" t="s">
        <v>133</v>
      </c>
      <c r="L2558" s="50"/>
      <c r="M2558" s="50"/>
      <c r="N2558" s="50"/>
      <c r="O2558" s="51"/>
      <c r="P2558" s="50"/>
      <c r="Q2558" s="50"/>
      <c r="R2558" s="50"/>
      <c r="S2558" s="50"/>
      <c r="T2558" s="50"/>
    </row>
    <row r="2559" spans="1:41" s="504" customFormat="1" ht="12">
      <c r="A2559" s="50"/>
      <c r="B2559" s="50"/>
      <c r="C2559" s="50" t="s">
        <v>134</v>
      </c>
      <c r="D2559" s="37" t="s">
        <v>880</v>
      </c>
      <c r="E2559" s="50"/>
      <c r="F2559" s="50"/>
      <c r="G2559" s="50"/>
      <c r="H2559" s="50"/>
      <c r="I2559" s="50"/>
      <c r="J2559" s="50"/>
      <c r="K2559" s="50"/>
      <c r="L2559" s="50"/>
      <c r="M2559" s="50"/>
      <c r="N2559" s="50"/>
      <c r="O2559" s="51"/>
      <c r="P2559" s="50"/>
      <c r="Q2559" s="50"/>
      <c r="R2559" s="50"/>
      <c r="S2559" s="50"/>
      <c r="T2559" s="50"/>
    </row>
    <row r="2560" spans="1:41" s="504" customFormat="1" ht="12">
      <c r="A2560" s="50"/>
      <c r="B2560" s="50"/>
      <c r="C2560" s="50"/>
      <c r="D2560" s="37" t="s">
        <v>345</v>
      </c>
      <c r="E2560" s="50"/>
      <c r="F2560" s="50"/>
      <c r="G2560" s="50"/>
      <c r="H2560" s="50"/>
      <c r="I2560" s="50"/>
      <c r="J2560" s="50"/>
      <c r="K2560" s="50"/>
      <c r="L2560" s="50"/>
      <c r="M2560" s="50"/>
      <c r="N2560" s="50"/>
      <c r="O2560" s="51"/>
      <c r="P2560" s="50"/>
      <c r="Q2560" s="50"/>
      <c r="R2560" s="50"/>
      <c r="S2560" s="38"/>
      <c r="T2560" s="38"/>
    </row>
    <row r="2561" spans="1:41" s="3" customFormat="1" thickBot="1">
      <c r="A2561" s="514"/>
      <c r="O2561" s="103"/>
    </row>
    <row r="2562" spans="1:41" s="504" customFormat="1" ht="12" thickTop="1">
      <c r="A2562" s="50"/>
      <c r="B2562" s="40"/>
      <c r="C2562" s="50"/>
      <c r="E2562" s="41" t="s">
        <v>136</v>
      </c>
      <c r="F2562" s="41" t="s">
        <v>137</v>
      </c>
      <c r="G2562" s="50"/>
      <c r="H2562" s="50"/>
      <c r="I2562" s="50"/>
      <c r="J2562" s="50"/>
      <c r="K2562" s="50" t="s">
        <v>138</v>
      </c>
      <c r="L2562" s="50"/>
      <c r="M2562" s="50"/>
      <c r="N2562" s="50"/>
      <c r="O2562" s="51"/>
      <c r="P2562" s="50"/>
      <c r="Q2562" s="50"/>
      <c r="R2562" s="50"/>
      <c r="S2562" s="50"/>
      <c r="T2562" s="40"/>
      <c r="AG2562" s="867" t="s">
        <v>241</v>
      </c>
      <c r="AH2562" s="867" t="s">
        <v>242</v>
      </c>
      <c r="AI2562" s="867" t="s">
        <v>243</v>
      </c>
      <c r="AJ2562" s="867" t="s">
        <v>244</v>
      </c>
      <c r="AK2562" s="867" t="s">
        <v>245</v>
      </c>
      <c r="AM2562" s="868" t="s">
        <v>254</v>
      </c>
      <c r="AN2562" s="869" t="s">
        <v>255</v>
      </c>
      <c r="AO2562" s="505" t="s">
        <v>251</v>
      </c>
    </row>
    <row r="2563" spans="1:41" s="504" customFormat="1" ht="12" customHeight="1">
      <c r="A2563" s="870">
        <v>11</v>
      </c>
      <c r="B2563" s="871" t="s">
        <v>335</v>
      </c>
      <c r="C2563" s="872"/>
      <c r="D2563" s="873" t="s">
        <v>804</v>
      </c>
      <c r="E2563" s="874">
        <f>IF(AND($A2563=0,$A$1="DIF"),0, ROUND(ROUND(($R2567*$S$2+($T2567*$T$2))/A2563,2)*$C$2,2))</f>
        <v>0</v>
      </c>
      <c r="F2563" s="875">
        <f>ROUND($A2563*$E2563,2)</f>
        <v>0</v>
      </c>
      <c r="G2563" s="876" t="s">
        <v>139</v>
      </c>
      <c r="H2563" s="877"/>
      <c r="I2563" s="878"/>
      <c r="J2563" s="877"/>
      <c r="K2563" s="877" t="s">
        <v>3</v>
      </c>
      <c r="L2563" s="879" t="s">
        <v>140</v>
      </c>
      <c r="M2563" s="879"/>
      <c r="N2563" s="879"/>
      <c r="O2563" s="879"/>
      <c r="P2563" s="879"/>
      <c r="Q2563" s="50" t="s">
        <v>1335</v>
      </c>
      <c r="T2563" s="880" t="str">
        <f>IF(AND($R2567=0,$T2567=0),"0.00","mu :" &amp; ROUND($F2563/$C$2/($R2567+$T2567*$D$9),2))</f>
        <v>0.00</v>
      </c>
      <c r="W2563" s="507"/>
      <c r="AG2563" s="465">
        <f>IF($E2563=0,0,ROUND($R2567*$S$2*$C$2/$A2563,2))</f>
        <v>0</v>
      </c>
      <c r="AH2563" s="465">
        <f>$AG2563*$A2563</f>
        <v>0</v>
      </c>
      <c r="AI2563" s="508">
        <f>$E2563-$AG2563</f>
        <v>0</v>
      </c>
      <c r="AJ2563" s="508">
        <f>$A2563*$AI2563</f>
        <v>0</v>
      </c>
      <c r="AK2563" s="509">
        <f>ROUND(($AG2563+$AI2563)*$A2563,2)</f>
        <v>0</v>
      </c>
      <c r="AM2563" s="510">
        <f>ROUND(R2567,2)</f>
        <v>0</v>
      </c>
      <c r="AN2563" s="511">
        <f>ROUND(T2567,2)</f>
        <v>0</v>
      </c>
      <c r="AO2563" s="512">
        <f>ROUND(AM2563+AN2563,2)*A2563</f>
        <v>0</v>
      </c>
    </row>
    <row r="2564" spans="1:41" s="504" customFormat="1" ht="13.2">
      <c r="A2564" s="872"/>
      <c r="B2564"/>
      <c r="C2564" s="872"/>
      <c r="D2564" s="873" t="s">
        <v>381</v>
      </c>
      <c r="F2564" s="877"/>
      <c r="G2564" s="3"/>
      <c r="H2564" s="877"/>
      <c r="I2564" s="878"/>
      <c r="J2564" s="877"/>
      <c r="K2564" s="877" t="s">
        <v>141</v>
      </c>
      <c r="L2564" s="877"/>
      <c r="M2564" s="877"/>
      <c r="N2564" s="877"/>
      <c r="O2564" s="877"/>
      <c r="P2564" s="877"/>
      <c r="Q2564" s="50"/>
      <c r="R2564" s="513"/>
      <c r="S2564" s="881"/>
      <c r="T2564" s="877"/>
    </row>
    <row r="2565" spans="1:41" s="1039" customFormat="1" ht="11.4">
      <c r="A2565" s="1074">
        <v>11</v>
      </c>
      <c r="B2565" s="1039" t="s">
        <v>949</v>
      </c>
      <c r="D2565" s="1039" t="s">
        <v>1284</v>
      </c>
      <c r="G2565" s="1040" t="s">
        <v>1182</v>
      </c>
      <c r="H2565" s="1041">
        <v>705</v>
      </c>
      <c r="I2565" s="1039" t="s">
        <v>1183</v>
      </c>
      <c r="J2565" s="1039" t="s">
        <v>1184</v>
      </c>
      <c r="O2565" s="1042">
        <v>3</v>
      </c>
      <c r="P2565" s="1043">
        <v>34669</v>
      </c>
      <c r="Q2565" s="1044">
        <v>0</v>
      </c>
      <c r="R2565" s="1045">
        <f>$A2565*Q2565</f>
        <v>0</v>
      </c>
      <c r="S2565" s="1044">
        <v>0</v>
      </c>
      <c r="T2565" s="1046">
        <f>$A2565*S2565*$T$1</f>
        <v>0</v>
      </c>
    </row>
    <row r="2566" spans="1:41" s="504" customFormat="1" ht="12">
      <c r="A2566" s="882"/>
      <c r="B2566" s="882"/>
      <c r="C2566" s="882"/>
      <c r="D2566" s="882"/>
      <c r="E2566" s="882"/>
      <c r="F2566" s="877"/>
      <c r="G2566" s="882"/>
      <c r="H2566" s="882"/>
      <c r="I2566" s="503"/>
      <c r="J2566" s="882"/>
      <c r="K2566" s="882"/>
      <c r="L2566" s="882"/>
      <c r="M2566" s="882"/>
      <c r="N2566" s="882"/>
      <c r="O2566" s="882"/>
      <c r="P2566" s="882"/>
      <c r="Q2566" s="503"/>
      <c r="R2566" s="883">
        <f>$A2566*Q2566</f>
        <v>0</v>
      </c>
      <c r="S2566" s="503"/>
      <c r="T2566" s="884">
        <f>$A2566*S2566*$T$1</f>
        <v>0</v>
      </c>
    </row>
    <row r="2567" spans="1:41" s="504" customFormat="1" ht="12.6" thickBot="1">
      <c r="A2567" s="885" t="s">
        <v>142</v>
      </c>
      <c r="B2567" s="886">
        <f>(R2566+T2566)</f>
        <v>0</v>
      </c>
      <c r="C2567" s="887"/>
      <c r="D2567" s="887"/>
      <c r="E2567" s="887"/>
      <c r="F2567" s="888"/>
      <c r="G2567" s="887" t="s">
        <v>143</v>
      </c>
      <c r="H2567" s="887"/>
      <c r="I2567" s="889"/>
      <c r="J2567" s="887"/>
      <c r="K2567" s="887" t="s">
        <v>3</v>
      </c>
      <c r="L2567" s="890" t="s">
        <v>140</v>
      </c>
      <c r="M2567" s="890"/>
      <c r="N2567" s="890"/>
      <c r="O2567" s="890"/>
      <c r="P2567" s="890"/>
      <c r="Q2567" s="891"/>
      <c r="R2567" s="892">
        <f>SUM(R2564:R2566)</f>
        <v>0</v>
      </c>
      <c r="S2567" s="887"/>
      <c r="T2567" s="892">
        <f>SUM(T2564:T2566)</f>
        <v>0</v>
      </c>
      <c r="U2567" s="514"/>
      <c r="V2567" s="514"/>
      <c r="W2567" s="514"/>
      <c r="X2567" s="514"/>
      <c r="Y2567" s="514"/>
      <c r="Z2567" s="514"/>
      <c r="AA2567" s="514"/>
      <c r="AB2567" s="514"/>
      <c r="AC2567" s="514"/>
      <c r="AD2567" s="514"/>
      <c r="AE2567" s="514"/>
      <c r="AF2567" s="514"/>
      <c r="AG2567" s="514"/>
      <c r="AH2567" s="514"/>
      <c r="AI2567" s="514"/>
      <c r="AJ2567" s="514"/>
      <c r="AK2567" s="514"/>
      <c r="AL2567" s="514"/>
      <c r="AM2567" s="514"/>
      <c r="AN2567" s="514"/>
      <c r="AO2567" s="514"/>
    </row>
    <row r="2568" spans="1:41" s="504" customFormat="1" ht="12" thickTop="1">
      <c r="A2568" s="50"/>
      <c r="B2568" s="40"/>
      <c r="C2568" s="50"/>
      <c r="E2568" s="41" t="s">
        <v>136</v>
      </c>
      <c r="F2568" s="41" t="s">
        <v>137</v>
      </c>
      <c r="G2568" s="50"/>
      <c r="H2568" s="50"/>
      <c r="I2568" s="50"/>
      <c r="J2568" s="50"/>
      <c r="K2568" s="50" t="s">
        <v>138</v>
      </c>
      <c r="L2568" s="50"/>
      <c r="M2568" s="50"/>
      <c r="N2568" s="50"/>
      <c r="O2568" s="51"/>
      <c r="P2568" s="50"/>
      <c r="Q2568" s="50"/>
      <c r="R2568" s="50"/>
      <c r="S2568" s="50"/>
      <c r="T2568" s="40"/>
      <c r="AG2568" s="867" t="s">
        <v>241</v>
      </c>
      <c r="AH2568" s="867" t="s">
        <v>242</v>
      </c>
      <c r="AI2568" s="867" t="s">
        <v>243</v>
      </c>
      <c r="AJ2568" s="867" t="s">
        <v>244</v>
      </c>
      <c r="AK2568" s="867" t="s">
        <v>245</v>
      </c>
      <c r="AM2568" s="868" t="s">
        <v>254</v>
      </c>
      <c r="AN2568" s="869" t="s">
        <v>255</v>
      </c>
      <c r="AO2568" s="505" t="s">
        <v>251</v>
      </c>
    </row>
    <row r="2569" spans="1:41" s="504" customFormat="1" ht="12" customHeight="1">
      <c r="A2569" s="870">
        <v>4</v>
      </c>
      <c r="B2569" s="871" t="s">
        <v>335</v>
      </c>
      <c r="C2569" s="872"/>
      <c r="D2569" s="873" t="s">
        <v>806</v>
      </c>
      <c r="E2569" s="874">
        <f ca="1">IF(AND($A2569=0,$A$1="DIF"),0, ROUND(ROUND(($R2574*$S$2+($T2574*$T$2))/A2569,2)*$C$2,2))</f>
        <v>28.98</v>
      </c>
      <c r="F2569" s="875">
        <f ca="1">ROUND($A2569*$E2569,2)</f>
        <v>115.92</v>
      </c>
      <c r="G2569" s="876" t="s">
        <v>139</v>
      </c>
      <c r="H2569" s="877"/>
      <c r="I2569" s="878"/>
      <c r="J2569" s="877"/>
      <c r="K2569" s="877" t="s">
        <v>3</v>
      </c>
      <c r="L2569" s="879" t="s">
        <v>140</v>
      </c>
      <c r="M2569" s="879"/>
      <c r="N2569" s="879"/>
      <c r="O2569" s="879"/>
      <c r="P2569" s="879"/>
      <c r="Q2569" s="50"/>
      <c r="T2569" s="880" t="str">
        <f ca="1">IF(AND($R2574=0,$T2574=0),"0.00","mu :" &amp; ROUND($F2569/$C$2/($R2574+$T2574*$D$9),2))</f>
        <v>mu :1.22</v>
      </c>
      <c r="W2569" s="507"/>
      <c r="AG2569" s="465">
        <f ca="1">IF($E2569=0,0,ROUND($R2574*$S$2*$C$2/$A2569,2))</f>
        <v>28.98</v>
      </c>
      <c r="AH2569" s="465">
        <f ca="1">$AG2569*$A2569</f>
        <v>115.92</v>
      </c>
      <c r="AI2569" s="508">
        <f ca="1">$E2569-$AG2569</f>
        <v>0</v>
      </c>
      <c r="AJ2569" s="508">
        <f ca="1">$A2569*$AI2569</f>
        <v>0</v>
      </c>
      <c r="AK2569" s="509">
        <f ca="1">ROUND(($AG2569+$AI2569)*$A2569,2)</f>
        <v>115.92</v>
      </c>
      <c r="AM2569" s="510">
        <f ca="1">ROUND(R2574,2)</f>
        <v>95</v>
      </c>
      <c r="AN2569" s="511">
        <f ca="1">ROUND(T2574,2)</f>
        <v>0</v>
      </c>
      <c r="AO2569" s="512">
        <f ca="1">ROUND(AM2569+AN2569,2)*A2569</f>
        <v>380</v>
      </c>
    </row>
    <row r="2570" spans="1:41" s="504" customFormat="1" ht="13.2">
      <c r="A2570" s="872"/>
      <c r="B2570"/>
      <c r="C2570" s="872"/>
      <c r="D2570" s="873" t="s">
        <v>348</v>
      </c>
      <c r="F2570" s="877"/>
      <c r="G2570" s="3"/>
      <c r="H2570" s="877"/>
      <c r="I2570" s="878"/>
      <c r="J2570" s="877"/>
      <c r="K2570" s="877" t="s">
        <v>141</v>
      </c>
      <c r="L2570" s="877"/>
      <c r="M2570" s="877"/>
      <c r="N2570" s="877"/>
      <c r="O2570" s="877"/>
      <c r="P2570" s="877"/>
      <c r="Q2570" s="50"/>
      <c r="R2570" s="513"/>
      <c r="S2570" s="881"/>
      <c r="T2570" s="877"/>
    </row>
    <row r="2571" spans="1:41" s="997" customFormat="1" ht="13.2">
      <c r="A2571"/>
      <c r="B2571" s="1065"/>
      <c r="C2571" s="1065" t="s">
        <v>1006</v>
      </c>
      <c r="D2571" s="1065" t="str">
        <f ca="1">CELL("Address",Elec_Rates!D$222)</f>
        <v>[EL25_0662B_Brittania_Hotel_Elec_Revised_Estim_B.xlsx]Elec_Rates!$D$222</v>
      </c>
      <c r="E2571" s="1066"/>
      <c r="F2571" s="1066"/>
      <c r="G2571" s="1067" t="s">
        <v>1007</v>
      </c>
      <c r="H2571" s="1067"/>
      <c r="I2571" s="1067"/>
      <c r="J2571" s="1067"/>
      <c r="K2571" s="1068"/>
      <c r="L2571" s="1066"/>
      <c r="M2571" s="1066"/>
      <c r="N2571" s="1066"/>
      <c r="O2571" s="1069"/>
      <c r="P2571" s="1066"/>
      <c r="Q2571" s="1070"/>
      <c r="R2571" s="1071"/>
      <c r="S2571" s="1070"/>
      <c r="T2571" s="1072"/>
      <c r="U2571" s="1073"/>
    </row>
    <row r="2572" spans="1:41" s="997" customFormat="1" ht="11.4">
      <c r="A2572" s="1074">
        <v>4</v>
      </c>
      <c r="B2572" s="1075">
        <v>1</v>
      </c>
      <c r="C2572" s="1075">
        <f>$A2572*$B2572</f>
        <v>4</v>
      </c>
      <c r="D2572" s="1076" t="str">
        <f>Elec_Rates!$D$222</f>
        <v>022# Supply Only - Type 'E1' - Single Sided, Wall Mounted, Directional Exit Signage</v>
      </c>
      <c r="E2572" s="1076"/>
      <c r="F2572" s="1076"/>
      <c r="G2572" s="1077" t="s">
        <v>1008</v>
      </c>
      <c r="H2572" s="1077"/>
      <c r="I2572" s="1077"/>
      <c r="J2572" s="1077"/>
      <c r="K2572" s="1078"/>
      <c r="L2572" s="1073"/>
      <c r="M2572" s="1073"/>
      <c r="N2572" s="1073"/>
      <c r="O2572" s="1079"/>
      <c r="P2572" s="1076"/>
      <c r="Q2572" s="1080">
        <f ca="1">$B2572*Elec_Rates!$R$222</f>
        <v>23.75</v>
      </c>
      <c r="R2572" s="1071">
        <f ca="1">$A2572*Q2572</f>
        <v>95</v>
      </c>
      <c r="S2572" s="1080">
        <f ca="1">$B2572*Elec_Rates!$T$222</f>
        <v>0</v>
      </c>
      <c r="T2572" s="1072">
        <f ca="1">$A2572*S2572</f>
        <v>0</v>
      </c>
      <c r="U2572" s="1081"/>
    </row>
    <row r="2573" spans="1:41" s="504" customFormat="1" ht="12">
      <c r="A2573" s="882"/>
      <c r="B2573" s="882"/>
      <c r="C2573" s="882"/>
      <c r="D2573" s="882"/>
      <c r="E2573" s="882"/>
      <c r="F2573" s="877"/>
      <c r="G2573" s="882"/>
      <c r="H2573" s="882"/>
      <c r="I2573" s="503"/>
      <c r="J2573" s="882"/>
      <c r="K2573" s="882"/>
      <c r="L2573" s="882"/>
      <c r="M2573" s="882"/>
      <c r="N2573" s="882"/>
      <c r="O2573" s="882"/>
      <c r="P2573" s="882"/>
      <c r="Q2573" s="503"/>
      <c r="R2573" s="883">
        <f>$A2573*Q2573</f>
        <v>0</v>
      </c>
      <c r="S2573" s="503"/>
      <c r="T2573" s="884">
        <f>$A2573*S2573*$T$1</f>
        <v>0</v>
      </c>
    </row>
    <row r="2574" spans="1:41" s="504" customFormat="1" ht="12.6" thickBot="1">
      <c r="A2574" s="885" t="s">
        <v>142</v>
      </c>
      <c r="B2574" s="886">
        <f>(R2573+T2573)</f>
        <v>0</v>
      </c>
      <c r="C2574" s="887"/>
      <c r="D2574" s="887"/>
      <c r="E2574" s="887"/>
      <c r="F2574" s="888"/>
      <c r="G2574" s="887" t="s">
        <v>143</v>
      </c>
      <c r="H2574" s="887"/>
      <c r="I2574" s="889"/>
      <c r="J2574" s="887"/>
      <c r="K2574" s="887" t="s">
        <v>3</v>
      </c>
      <c r="L2574" s="890" t="s">
        <v>140</v>
      </c>
      <c r="M2574" s="890"/>
      <c r="N2574" s="890"/>
      <c r="O2574" s="890"/>
      <c r="P2574" s="890"/>
      <c r="Q2574" s="891"/>
      <c r="R2574" s="892">
        <f ca="1">SUM(R2570:R2573)</f>
        <v>95</v>
      </c>
      <c r="S2574" s="887"/>
      <c r="T2574" s="892">
        <f ca="1">SUM(T2570:T2573)</f>
        <v>0</v>
      </c>
      <c r="U2574" s="514"/>
      <c r="V2574" s="514"/>
      <c r="W2574" s="514"/>
      <c r="X2574" s="514"/>
      <c r="Y2574" s="514"/>
      <c r="Z2574" s="514"/>
      <c r="AA2574" s="514"/>
      <c r="AB2574" s="514"/>
      <c r="AC2574" s="514"/>
      <c r="AD2574" s="514"/>
      <c r="AE2574" s="514"/>
      <c r="AF2574" s="514"/>
      <c r="AG2574" s="514"/>
      <c r="AH2574" s="514"/>
      <c r="AI2574" s="514"/>
      <c r="AJ2574" s="514"/>
      <c r="AK2574" s="514"/>
      <c r="AL2574" s="514"/>
      <c r="AM2574" s="514"/>
      <c r="AN2574" s="514"/>
      <c r="AO2574" s="514"/>
    </row>
    <row r="2575" spans="1:41" s="504" customFormat="1" thickTop="1">
      <c r="A2575" s="50"/>
      <c r="B2575" s="50"/>
      <c r="C2575" s="3"/>
      <c r="D2575" s="3"/>
      <c r="E2575" s="50"/>
      <c r="F2575" s="50"/>
      <c r="G2575" s="50"/>
      <c r="H2575" s="50"/>
      <c r="I2575" s="50"/>
      <c r="J2575" s="50"/>
      <c r="K2575" s="50" t="s">
        <v>133</v>
      </c>
      <c r="L2575" s="50"/>
      <c r="M2575" s="50"/>
      <c r="N2575" s="50"/>
      <c r="O2575" s="51"/>
      <c r="P2575" s="50"/>
      <c r="Q2575" s="50"/>
      <c r="R2575" s="50"/>
      <c r="S2575" s="50"/>
      <c r="T2575" s="50"/>
    </row>
    <row r="2576" spans="1:41" s="504" customFormat="1" ht="12">
      <c r="A2576" s="50"/>
      <c r="B2576" s="50"/>
      <c r="C2576" s="50" t="s">
        <v>134</v>
      </c>
      <c r="D2576" s="37" t="s">
        <v>881</v>
      </c>
      <c r="E2576" s="50"/>
      <c r="F2576" s="50"/>
      <c r="G2576" s="50"/>
      <c r="H2576" s="50"/>
      <c r="I2576" s="50"/>
      <c r="J2576" s="50"/>
      <c r="K2576" s="50"/>
      <c r="L2576" s="50"/>
      <c r="M2576" s="50"/>
      <c r="N2576" s="50"/>
      <c r="O2576" s="51"/>
      <c r="P2576" s="50"/>
      <c r="Q2576" s="50"/>
      <c r="R2576" s="50"/>
      <c r="S2576" s="50"/>
      <c r="T2576" s="50"/>
    </row>
    <row r="2577" spans="1:41" s="504" customFormat="1" ht="13.2">
      <c r="A2577" s="872"/>
      <c r="B2577"/>
      <c r="C2577" s="872"/>
      <c r="D2577" s="916" t="s">
        <v>351</v>
      </c>
      <c r="E2577" s="917"/>
      <c r="F2577" s="918"/>
      <c r="G2577" s="919"/>
      <c r="H2577" s="918"/>
      <c r="I2577" s="920"/>
      <c r="J2577" s="918"/>
      <c r="K2577" s="918"/>
      <c r="L2577" s="918"/>
      <c r="M2577" s="918"/>
      <c r="N2577" s="918"/>
      <c r="O2577" s="918"/>
      <c r="P2577" s="918"/>
      <c r="Q2577" s="921"/>
      <c r="R2577" s="513"/>
      <c r="S2577" s="881"/>
      <c r="T2577" s="877"/>
    </row>
    <row r="2578" spans="1:41" s="3" customFormat="1" thickBot="1">
      <c r="A2578" s="514"/>
      <c r="O2578" s="103"/>
    </row>
    <row r="2579" spans="1:41" s="504" customFormat="1" ht="12" thickTop="1">
      <c r="A2579" s="50"/>
      <c r="B2579" s="40"/>
      <c r="C2579" s="50"/>
      <c r="E2579" s="41" t="s">
        <v>136</v>
      </c>
      <c r="F2579" s="41" t="s">
        <v>137</v>
      </c>
      <c r="G2579" s="50"/>
      <c r="H2579" s="50"/>
      <c r="I2579" s="50"/>
      <c r="J2579" s="50"/>
      <c r="K2579" s="50" t="s">
        <v>138</v>
      </c>
      <c r="L2579" s="50"/>
      <c r="M2579" s="50"/>
      <c r="N2579" s="50"/>
      <c r="O2579" s="51"/>
      <c r="P2579" s="50"/>
      <c r="Q2579" s="50"/>
      <c r="R2579" s="50"/>
      <c r="S2579" s="50"/>
      <c r="T2579" s="40"/>
      <c r="AG2579" s="867" t="s">
        <v>241</v>
      </c>
      <c r="AH2579" s="867" t="s">
        <v>242</v>
      </c>
      <c r="AI2579" s="867" t="s">
        <v>243</v>
      </c>
      <c r="AJ2579" s="867" t="s">
        <v>244</v>
      </c>
      <c r="AK2579" s="867" t="s">
        <v>245</v>
      </c>
      <c r="AM2579" s="868" t="s">
        <v>254</v>
      </c>
      <c r="AN2579" s="869" t="s">
        <v>255</v>
      </c>
      <c r="AO2579" s="505" t="s">
        <v>251</v>
      </c>
    </row>
    <row r="2580" spans="1:41" s="504" customFormat="1" ht="12" customHeight="1">
      <c r="A2580" s="870">
        <v>17</v>
      </c>
      <c r="B2580" s="871" t="s">
        <v>335</v>
      </c>
      <c r="C2580" s="872"/>
      <c r="D2580" s="873" t="s">
        <v>804</v>
      </c>
      <c r="E2580" s="874">
        <f ca="1">IF(AND($A2580=0,$A$1="DIF"),0, ROUND(ROUND(($R2585*$S$2+($T2585*$T$2))/A2580,2)*$C$2,2))</f>
        <v>14.36</v>
      </c>
      <c r="F2580" s="875">
        <f ca="1">ROUND($A2580*$E2580,2)</f>
        <v>244.12</v>
      </c>
      <c r="G2580" s="876" t="s">
        <v>139</v>
      </c>
      <c r="H2580" s="877"/>
      <c r="I2580" s="878"/>
      <c r="J2580" s="877"/>
      <c r="K2580" s="877" t="s">
        <v>3</v>
      </c>
      <c r="L2580" s="879" t="s">
        <v>140</v>
      </c>
      <c r="M2580" s="879"/>
      <c r="N2580" s="879"/>
      <c r="O2580" s="879"/>
      <c r="P2580" s="879"/>
      <c r="Q2580" s="50"/>
      <c r="T2580" s="880" t="str">
        <f ca="1">IF(AND($R2585=0,$T2585=0),"0.00","mu :" &amp; ROUND($F2580/$C$2/($R2585+$T2585*$D$9),2))</f>
        <v>mu :1.22</v>
      </c>
      <c r="W2580" s="507"/>
      <c r="AG2580" s="465">
        <f ca="1">IF($E2580=0,0,ROUND($R2585*$S$2*$C$2/$A2580,2))</f>
        <v>1.34</v>
      </c>
      <c r="AH2580" s="465">
        <f ca="1">$AG2580*$A2580</f>
        <v>22.78</v>
      </c>
      <c r="AI2580" s="508">
        <f ca="1">$E2580-$AG2580</f>
        <v>13.02</v>
      </c>
      <c r="AJ2580" s="508">
        <f ca="1">$A2580*$AI2580</f>
        <v>221.34</v>
      </c>
      <c r="AK2580" s="509">
        <f ca="1">ROUND(($AG2580+$AI2580)*$A2580,2)</f>
        <v>244.12</v>
      </c>
      <c r="AM2580" s="510">
        <f ca="1">ROUND(R2585,2)</f>
        <v>18.7</v>
      </c>
      <c r="AN2580" s="511">
        <f ca="1">ROUND(T2585,2)</f>
        <v>6.29</v>
      </c>
      <c r="AO2580" s="512">
        <f ca="1">ROUND(AM2580+AN2580,2)*A2580</f>
        <v>424.83</v>
      </c>
    </row>
    <row r="2581" spans="1:41" s="504" customFormat="1" ht="13.2">
      <c r="A2581" s="872"/>
      <c r="B2581"/>
      <c r="C2581" s="872"/>
      <c r="D2581" s="873" t="s">
        <v>413</v>
      </c>
      <c r="F2581" s="877"/>
      <c r="G2581" s="3"/>
      <c r="H2581" s="877"/>
      <c r="I2581" s="878"/>
      <c r="J2581" s="877"/>
      <c r="K2581" s="877" t="s">
        <v>141</v>
      </c>
      <c r="L2581" s="877"/>
      <c r="M2581" s="877"/>
      <c r="N2581" s="877"/>
      <c r="O2581" s="877"/>
      <c r="P2581" s="877"/>
      <c r="Q2581" s="50"/>
      <c r="R2581" s="513"/>
      <c r="S2581" s="881"/>
      <c r="T2581" s="877"/>
    </row>
    <row r="2582" spans="1:41" s="997" customFormat="1" ht="13.2">
      <c r="A2582"/>
      <c r="B2582" s="1065"/>
      <c r="C2582" s="1065" t="s">
        <v>1006</v>
      </c>
      <c r="D2582" s="1065" t="str">
        <f ca="1">CELL("Address",Elec_Rates!D$369)</f>
        <v>[EL25_0662B_Brittania_Hotel_Elec_Revised_Estim_B.xlsx]Elec_Rates!$D$369</v>
      </c>
      <c r="E2582" s="1066"/>
      <c r="F2582" s="1066"/>
      <c r="G2582" s="1067" t="s">
        <v>1007</v>
      </c>
      <c r="H2582" s="1067"/>
      <c r="I2582" s="1067"/>
      <c r="J2582" s="1067"/>
      <c r="K2582" s="1068"/>
      <c r="L2582" s="1066"/>
      <c r="M2582" s="1066"/>
      <c r="N2582" s="1066"/>
      <c r="O2582" s="1069"/>
      <c r="P2582" s="1066"/>
      <c r="Q2582" s="1070"/>
      <c r="R2582" s="1071"/>
      <c r="S2582" s="1070"/>
      <c r="T2582" s="1072"/>
      <c r="U2582" s="1073"/>
    </row>
    <row r="2583" spans="1:41" s="997" customFormat="1" ht="11.4">
      <c r="A2583" s="1074">
        <v>17</v>
      </c>
      <c r="B2583" s="1075">
        <v>1</v>
      </c>
      <c r="C2583" s="1075">
        <f>$A2583*$B2583</f>
        <v>17</v>
      </c>
      <c r="D2583" s="1076" t="str">
        <f>Elec_Rates!$D$369</f>
        <v>042# Install and connect Only - Type 'LT-01' - 11W Soffit Recessed Light Fitting</v>
      </c>
      <c r="E2583" s="1076"/>
      <c r="F2583" s="1076"/>
      <c r="G2583" s="1077" t="s">
        <v>1008</v>
      </c>
      <c r="H2583" s="1077"/>
      <c r="I2583" s="1077"/>
      <c r="J2583" s="1077"/>
      <c r="K2583" s="1078"/>
      <c r="L2583" s="1073"/>
      <c r="M2583" s="1073"/>
      <c r="N2583" s="1073"/>
      <c r="O2583" s="1079"/>
      <c r="P2583" s="1076"/>
      <c r="Q2583" s="1080">
        <f ca="1">$B2583*Elec_Rates!$R$369</f>
        <v>1.1000000000000001</v>
      </c>
      <c r="R2583" s="1071">
        <f ca="1">$A2583*Q2583</f>
        <v>18.700000000000003</v>
      </c>
      <c r="S2583" s="1080">
        <f ca="1">$B2583*Elec_Rates!$T$369</f>
        <v>0.37</v>
      </c>
      <c r="T2583" s="1072">
        <f ca="1">$A2583*S2583</f>
        <v>6.29</v>
      </c>
      <c r="U2583" s="1081"/>
    </row>
    <row r="2584" spans="1:41" s="504" customFormat="1" ht="12">
      <c r="A2584" s="882"/>
      <c r="B2584" s="882"/>
      <c r="C2584" s="882"/>
      <c r="D2584" s="882"/>
      <c r="E2584" s="882"/>
      <c r="F2584" s="877"/>
      <c r="G2584" s="882"/>
      <c r="H2584" s="882"/>
      <c r="I2584" s="503"/>
      <c r="J2584" s="882"/>
      <c r="K2584" s="882"/>
      <c r="L2584" s="882"/>
      <c r="M2584" s="882"/>
      <c r="N2584" s="882"/>
      <c r="O2584" s="882"/>
      <c r="P2584" s="882"/>
      <c r="Q2584" s="503"/>
      <c r="R2584" s="883">
        <f>$A2584*Q2584</f>
        <v>0</v>
      </c>
      <c r="S2584" s="503"/>
      <c r="T2584" s="884">
        <f>$A2584*S2584*$T$1</f>
        <v>0</v>
      </c>
    </row>
    <row r="2585" spans="1:41" s="504" customFormat="1" ht="12.6" thickBot="1">
      <c r="A2585" s="885" t="s">
        <v>142</v>
      </c>
      <c r="B2585" s="886">
        <f>(R2584+T2584)</f>
        <v>0</v>
      </c>
      <c r="C2585" s="887"/>
      <c r="D2585" s="887"/>
      <c r="E2585" s="887"/>
      <c r="F2585" s="888"/>
      <c r="G2585" s="887" t="s">
        <v>143</v>
      </c>
      <c r="H2585" s="887"/>
      <c r="I2585" s="889"/>
      <c r="J2585" s="887"/>
      <c r="K2585" s="887" t="s">
        <v>3</v>
      </c>
      <c r="L2585" s="890" t="s">
        <v>140</v>
      </c>
      <c r="M2585" s="890"/>
      <c r="N2585" s="890"/>
      <c r="O2585" s="890"/>
      <c r="P2585" s="890"/>
      <c r="Q2585" s="891"/>
      <c r="R2585" s="892">
        <f ca="1">SUM(R2581:R2584)</f>
        <v>18.700000000000003</v>
      </c>
      <c r="S2585" s="887"/>
      <c r="T2585" s="892">
        <f ca="1">SUM(T2581:T2584)</f>
        <v>6.29</v>
      </c>
      <c r="U2585" s="514"/>
      <c r="V2585" s="514"/>
      <c r="W2585" s="514"/>
      <c r="X2585" s="514"/>
      <c r="Y2585" s="514"/>
      <c r="Z2585" s="514"/>
      <c r="AA2585" s="514"/>
      <c r="AB2585" s="514"/>
      <c r="AC2585" s="514"/>
      <c r="AD2585" s="514"/>
      <c r="AE2585" s="514"/>
      <c r="AF2585" s="514"/>
      <c r="AG2585" s="514"/>
      <c r="AH2585" s="514"/>
      <c r="AI2585" s="514"/>
      <c r="AJ2585" s="514"/>
      <c r="AK2585" s="514"/>
      <c r="AL2585" s="514"/>
      <c r="AM2585" s="514"/>
      <c r="AN2585" s="514"/>
      <c r="AO2585" s="514"/>
    </row>
    <row r="2586" spans="1:41" s="504" customFormat="1" ht="12" thickTop="1">
      <c r="A2586" s="50"/>
      <c r="B2586" s="40"/>
      <c r="C2586" s="50"/>
      <c r="E2586" s="41" t="s">
        <v>136</v>
      </c>
      <c r="F2586" s="41" t="s">
        <v>137</v>
      </c>
      <c r="G2586" s="50"/>
      <c r="H2586" s="50"/>
      <c r="I2586" s="50"/>
      <c r="J2586" s="50"/>
      <c r="K2586" s="50" t="s">
        <v>138</v>
      </c>
      <c r="L2586" s="50"/>
      <c r="M2586" s="50"/>
      <c r="N2586" s="50"/>
      <c r="O2586" s="51"/>
      <c r="P2586" s="50"/>
      <c r="Q2586" s="50"/>
      <c r="R2586" s="50"/>
      <c r="S2586" s="50"/>
      <c r="T2586" s="40"/>
      <c r="AG2586" s="867" t="s">
        <v>241</v>
      </c>
      <c r="AH2586" s="867" t="s">
        <v>242</v>
      </c>
      <c r="AI2586" s="867" t="s">
        <v>243</v>
      </c>
      <c r="AJ2586" s="867" t="s">
        <v>244</v>
      </c>
      <c r="AK2586" s="867" t="s">
        <v>245</v>
      </c>
      <c r="AM2586" s="868" t="s">
        <v>254</v>
      </c>
      <c r="AN2586" s="869" t="s">
        <v>255</v>
      </c>
      <c r="AO2586" s="505" t="s">
        <v>251</v>
      </c>
    </row>
    <row r="2587" spans="1:41" s="504" customFormat="1" ht="12" customHeight="1">
      <c r="A2587" s="870">
        <v>11</v>
      </c>
      <c r="B2587" s="871" t="s">
        <v>335</v>
      </c>
      <c r="C2587" s="872"/>
      <c r="D2587" s="873" t="s">
        <v>806</v>
      </c>
      <c r="E2587" s="874">
        <f ca="1">IF(AND($A2587=0,$A$1="DIF"),0, ROUND(ROUND(($R2592*$S$2+($T2592*$T$2))/A2587,2)*$C$2,2))</f>
        <v>14.36</v>
      </c>
      <c r="F2587" s="875">
        <f ca="1">ROUND($A2587*$E2587,2)</f>
        <v>157.96</v>
      </c>
      <c r="G2587" s="876" t="s">
        <v>139</v>
      </c>
      <c r="H2587" s="877"/>
      <c r="I2587" s="878"/>
      <c r="J2587" s="877"/>
      <c r="K2587" s="877" t="s">
        <v>3</v>
      </c>
      <c r="L2587" s="879" t="s">
        <v>140</v>
      </c>
      <c r="M2587" s="879"/>
      <c r="N2587" s="879"/>
      <c r="O2587" s="879"/>
      <c r="P2587" s="879"/>
      <c r="Q2587" s="50"/>
      <c r="T2587" s="880" t="str">
        <f ca="1">IF(AND($R2592=0,$T2592=0),"0.00","mu :" &amp; ROUND($F2587/$C$2/($R2592+$T2592*$D$9),2))</f>
        <v>mu :1.22</v>
      </c>
      <c r="W2587" s="507"/>
      <c r="AG2587" s="465">
        <f ca="1">IF($E2587=0,0,ROUND($R2592*$S$2*$C$2/$A2587,2))</f>
        <v>1.34</v>
      </c>
      <c r="AH2587" s="465">
        <f ca="1">$AG2587*$A2587</f>
        <v>14.74</v>
      </c>
      <c r="AI2587" s="508">
        <f ca="1">$E2587-$AG2587</f>
        <v>13.02</v>
      </c>
      <c r="AJ2587" s="508">
        <f ca="1">$A2587*$AI2587</f>
        <v>143.22</v>
      </c>
      <c r="AK2587" s="509">
        <f ca="1">ROUND(($AG2587+$AI2587)*$A2587,2)</f>
        <v>157.96</v>
      </c>
      <c r="AM2587" s="510">
        <f ca="1">ROUND(R2592,2)</f>
        <v>12.1</v>
      </c>
      <c r="AN2587" s="511">
        <f ca="1">ROUND(T2592,2)</f>
        <v>4.07</v>
      </c>
      <c r="AO2587" s="512">
        <f ca="1">ROUND(AM2587+AN2587,2)*A2587</f>
        <v>177.87</v>
      </c>
    </row>
    <row r="2588" spans="1:41" s="504" customFormat="1" ht="13.2">
      <c r="A2588" s="872"/>
      <c r="B2588"/>
      <c r="C2588" s="872"/>
      <c r="D2588" s="873" t="s">
        <v>414</v>
      </c>
      <c r="F2588" s="877"/>
      <c r="G2588" s="3"/>
      <c r="H2588" s="877"/>
      <c r="I2588" s="878"/>
      <c r="J2588" s="877"/>
      <c r="K2588" s="877" t="s">
        <v>141</v>
      </c>
      <c r="L2588" s="877"/>
      <c r="M2588" s="877"/>
      <c r="N2588" s="877"/>
      <c r="O2588" s="877"/>
      <c r="P2588" s="877"/>
      <c r="Q2588" s="50"/>
      <c r="R2588" s="513"/>
      <c r="S2588" s="881"/>
      <c r="T2588" s="877"/>
    </row>
    <row r="2589" spans="1:41" s="997" customFormat="1" ht="13.2">
      <c r="A2589"/>
      <c r="B2589" s="1065"/>
      <c r="C2589" s="1065" t="s">
        <v>1006</v>
      </c>
      <c r="D2589" s="1065" t="str">
        <f ca="1">CELL("Address",Elec_Rates!D$376)</f>
        <v>[EL25_0662B_Brittania_Hotel_Elec_Revised_Estim_B.xlsx]Elec_Rates!$D$376</v>
      </c>
      <c r="E2589" s="1066"/>
      <c r="F2589" s="1066"/>
      <c r="G2589" s="1067" t="s">
        <v>1007</v>
      </c>
      <c r="H2589" s="1067"/>
      <c r="I2589" s="1067"/>
      <c r="J2589" s="1067"/>
      <c r="K2589" s="1068"/>
      <c r="L2589" s="1066"/>
      <c r="M2589" s="1066"/>
      <c r="N2589" s="1066"/>
      <c r="O2589" s="1069"/>
      <c r="P2589" s="1066"/>
      <c r="Q2589" s="1070"/>
      <c r="R2589" s="1071"/>
      <c r="S2589" s="1070"/>
      <c r="T2589" s="1072"/>
      <c r="U2589" s="1073"/>
    </row>
    <row r="2590" spans="1:41" s="997" customFormat="1" ht="11.4">
      <c r="A2590" s="1074">
        <v>11</v>
      </c>
      <c r="B2590" s="1075">
        <v>1</v>
      </c>
      <c r="C2590" s="1075">
        <f>$A2590*$B2590</f>
        <v>11</v>
      </c>
      <c r="D2590" s="1076" t="str">
        <f>Elec_Rates!$D$376</f>
        <v>043# Install and connect Only - Type 'LT-02' - 11W Soffit Recessed Light Fitting</v>
      </c>
      <c r="E2590" s="1076"/>
      <c r="F2590" s="1076"/>
      <c r="G2590" s="1077" t="s">
        <v>1008</v>
      </c>
      <c r="H2590" s="1077"/>
      <c r="I2590" s="1077"/>
      <c r="J2590" s="1077"/>
      <c r="K2590" s="1078"/>
      <c r="L2590" s="1073"/>
      <c r="M2590" s="1073"/>
      <c r="N2590" s="1073"/>
      <c r="O2590" s="1079"/>
      <c r="P2590" s="1076"/>
      <c r="Q2590" s="1080">
        <f ca="1">$B2590*Elec_Rates!$R$376</f>
        <v>1.1000000000000001</v>
      </c>
      <c r="R2590" s="1071">
        <f ca="1">$A2590*Q2590</f>
        <v>12.100000000000001</v>
      </c>
      <c r="S2590" s="1080">
        <f ca="1">$B2590*Elec_Rates!$T$376</f>
        <v>0.37</v>
      </c>
      <c r="T2590" s="1072">
        <f ca="1">$A2590*S2590</f>
        <v>4.07</v>
      </c>
      <c r="U2590" s="1081"/>
    </row>
    <row r="2591" spans="1:41" s="504" customFormat="1" ht="12">
      <c r="A2591" s="882"/>
      <c r="B2591" s="882"/>
      <c r="C2591" s="882"/>
      <c r="D2591" s="882"/>
      <c r="E2591" s="882"/>
      <c r="F2591" s="877"/>
      <c r="G2591" s="882"/>
      <c r="H2591" s="882"/>
      <c r="I2591" s="503"/>
      <c r="J2591" s="882"/>
      <c r="K2591" s="882"/>
      <c r="L2591" s="882"/>
      <c r="M2591" s="882"/>
      <c r="N2591" s="882"/>
      <c r="O2591" s="882"/>
      <c r="P2591" s="882"/>
      <c r="Q2591" s="503"/>
      <c r="R2591" s="883">
        <f>$A2591*Q2591</f>
        <v>0</v>
      </c>
      <c r="S2591" s="503"/>
      <c r="T2591" s="884">
        <f>$A2591*S2591*$T$1</f>
        <v>0</v>
      </c>
    </row>
    <row r="2592" spans="1:41" s="504" customFormat="1" ht="12.6" thickBot="1">
      <c r="A2592" s="885" t="s">
        <v>142</v>
      </c>
      <c r="B2592" s="886">
        <f>(R2591+T2591)</f>
        <v>0</v>
      </c>
      <c r="C2592" s="887"/>
      <c r="D2592" s="887"/>
      <c r="E2592" s="887"/>
      <c r="F2592" s="888"/>
      <c r="G2592" s="887" t="s">
        <v>143</v>
      </c>
      <c r="H2592" s="887"/>
      <c r="I2592" s="889"/>
      <c r="J2592" s="887"/>
      <c r="K2592" s="887" t="s">
        <v>3</v>
      </c>
      <c r="L2592" s="890" t="s">
        <v>140</v>
      </c>
      <c r="M2592" s="890"/>
      <c r="N2592" s="890"/>
      <c r="O2592" s="890"/>
      <c r="P2592" s="890"/>
      <c r="Q2592" s="891"/>
      <c r="R2592" s="892">
        <f ca="1">SUM(R2588:R2591)</f>
        <v>12.100000000000001</v>
      </c>
      <c r="S2592" s="887"/>
      <c r="T2592" s="892">
        <f ca="1">SUM(T2588:T2591)</f>
        <v>4.07</v>
      </c>
      <c r="U2592" s="514"/>
      <c r="V2592" s="514"/>
      <c r="W2592" s="514"/>
      <c r="X2592" s="514"/>
      <c r="Y2592" s="514"/>
      <c r="Z2592" s="514"/>
      <c r="AA2592" s="514"/>
      <c r="AB2592" s="514"/>
      <c r="AC2592" s="514"/>
      <c r="AD2592" s="514"/>
      <c r="AE2592" s="514"/>
      <c r="AF2592" s="514"/>
      <c r="AG2592" s="514"/>
      <c r="AH2592" s="514"/>
      <c r="AI2592" s="514"/>
      <c r="AJ2592" s="514"/>
      <c r="AK2592" s="514"/>
      <c r="AL2592" s="514"/>
      <c r="AM2592" s="514"/>
      <c r="AN2592" s="514"/>
      <c r="AO2592" s="514"/>
    </row>
    <row r="2593" spans="1:41" s="504" customFormat="1" ht="12" thickTop="1">
      <c r="A2593" s="50"/>
      <c r="B2593" s="40"/>
      <c r="C2593" s="50"/>
      <c r="E2593" s="41" t="s">
        <v>136</v>
      </c>
      <c r="F2593" s="41" t="s">
        <v>137</v>
      </c>
      <c r="G2593" s="50"/>
      <c r="H2593" s="50"/>
      <c r="I2593" s="50"/>
      <c r="J2593" s="50"/>
      <c r="K2593" s="50" t="s">
        <v>138</v>
      </c>
      <c r="L2593" s="50"/>
      <c r="M2593" s="50"/>
      <c r="N2593" s="50"/>
      <c r="O2593" s="51"/>
      <c r="P2593" s="50"/>
      <c r="Q2593" s="50"/>
      <c r="R2593" s="50"/>
      <c r="S2593" s="50"/>
      <c r="T2593" s="40"/>
      <c r="AG2593" s="867" t="s">
        <v>241</v>
      </c>
      <c r="AH2593" s="867" t="s">
        <v>242</v>
      </c>
      <c r="AI2593" s="867" t="s">
        <v>243</v>
      </c>
      <c r="AJ2593" s="867" t="s">
        <v>244</v>
      </c>
      <c r="AK2593" s="867" t="s">
        <v>245</v>
      </c>
      <c r="AM2593" s="868" t="s">
        <v>254</v>
      </c>
      <c r="AN2593" s="869" t="s">
        <v>255</v>
      </c>
      <c r="AO2593" s="505" t="s">
        <v>251</v>
      </c>
    </row>
    <row r="2594" spans="1:41" s="504" customFormat="1" ht="12" customHeight="1">
      <c r="A2594" s="870">
        <v>25</v>
      </c>
      <c r="B2594" s="871" t="s">
        <v>335</v>
      </c>
      <c r="C2594" s="872"/>
      <c r="D2594" s="873" t="s">
        <v>808</v>
      </c>
      <c r="E2594" s="874">
        <f ca="1">IF(AND($A2594=0,$A$1="DIF"),0, ROUND(ROUND(($R2599*$S$2+($T2599*$T$2))/A2594,2)*$C$2,2))</f>
        <v>11.35</v>
      </c>
      <c r="F2594" s="875">
        <f ca="1">ROUND($A2594*$E2594,2)</f>
        <v>283.75</v>
      </c>
      <c r="G2594" s="876" t="s">
        <v>139</v>
      </c>
      <c r="H2594" s="877"/>
      <c r="I2594" s="878"/>
      <c r="J2594" s="877"/>
      <c r="K2594" s="877" t="s">
        <v>3</v>
      </c>
      <c r="L2594" s="879" t="s">
        <v>140</v>
      </c>
      <c r="M2594" s="879"/>
      <c r="N2594" s="879"/>
      <c r="O2594" s="879"/>
      <c r="P2594" s="879"/>
      <c r="Q2594" s="50"/>
      <c r="T2594" s="880" t="str">
        <f ca="1">IF(AND($R2599=0,$T2599=0),"0.00","mu :" &amp; ROUND($F2594/$C$2/($R2599+$T2599*$D$9),2))</f>
        <v>mu :1.22</v>
      </c>
      <c r="W2594" s="507"/>
      <c r="AG2594" s="465">
        <f ca="1">IF($E2594=0,0,ROUND($R2599*$S$2*$C$2/$A2594,2))</f>
        <v>0.1</v>
      </c>
      <c r="AH2594" s="465">
        <f ca="1">$AG2594*$A2594</f>
        <v>2.5</v>
      </c>
      <c r="AI2594" s="508">
        <f ca="1">$E2594-$AG2594</f>
        <v>11.25</v>
      </c>
      <c r="AJ2594" s="508">
        <f ca="1">$A2594*$AI2594</f>
        <v>281.25</v>
      </c>
      <c r="AK2594" s="509">
        <f ca="1">ROUND(($AG2594+$AI2594)*$A2594,2)</f>
        <v>283.75</v>
      </c>
      <c r="AM2594" s="510">
        <f ca="1">ROUND(R2599,2)</f>
        <v>2</v>
      </c>
      <c r="AN2594" s="511">
        <f ca="1">ROUND(T2599,2)</f>
        <v>8</v>
      </c>
      <c r="AO2594" s="512">
        <f ca="1">ROUND(AM2594+AN2594,2)*A2594</f>
        <v>250</v>
      </c>
    </row>
    <row r="2595" spans="1:41" s="504" customFormat="1" ht="13.2">
      <c r="A2595" s="872"/>
      <c r="B2595"/>
      <c r="C2595" s="872"/>
      <c r="D2595" s="873" t="s">
        <v>416</v>
      </c>
      <c r="F2595" s="877"/>
      <c r="G2595" s="3"/>
      <c r="H2595" s="877"/>
      <c r="I2595" s="878"/>
      <c r="J2595" s="877"/>
      <c r="K2595" s="877" t="s">
        <v>141</v>
      </c>
      <c r="L2595" s="877"/>
      <c r="M2595" s="877"/>
      <c r="N2595" s="877"/>
      <c r="O2595" s="877"/>
      <c r="P2595" s="877"/>
      <c r="Q2595" s="50"/>
      <c r="R2595" s="513"/>
      <c r="S2595" s="881"/>
      <c r="T2595" s="877"/>
    </row>
    <row r="2596" spans="1:41" s="997" customFormat="1" ht="13.2">
      <c r="A2596"/>
      <c r="B2596" s="1065"/>
      <c r="C2596" s="1065" t="s">
        <v>1006</v>
      </c>
      <c r="D2596" s="1065" t="str">
        <f ca="1">CELL("Address",Elec_Rates!D$399)</f>
        <v>[EL25_0662B_Brittania_Hotel_Elec_Revised_Estim_B.xlsx]Elec_Rates!$D$399</v>
      </c>
      <c r="E2596" s="1066"/>
      <c r="F2596" s="1066"/>
      <c r="G2596" s="1067" t="s">
        <v>1007</v>
      </c>
      <c r="H2596" s="1067"/>
      <c r="I2596" s="1067"/>
      <c r="J2596" s="1067"/>
      <c r="K2596" s="1068"/>
      <c r="L2596" s="1066"/>
      <c r="M2596" s="1066"/>
      <c r="N2596" s="1066"/>
      <c r="O2596" s="1069"/>
      <c r="P2596" s="1066"/>
      <c r="Q2596" s="1070"/>
      <c r="R2596" s="1071"/>
      <c r="S2596" s="1070"/>
      <c r="T2596" s="1072"/>
      <c r="U2596" s="1073"/>
    </row>
    <row r="2597" spans="1:41" s="997" customFormat="1" ht="11.4">
      <c r="A2597" s="1074">
        <v>25</v>
      </c>
      <c r="B2597" s="1075">
        <v>1</v>
      </c>
      <c r="C2597" s="1075">
        <f>$A2597*$B2597</f>
        <v>25</v>
      </c>
      <c r="D2597" s="1076" t="str">
        <f>Elec_Rates!$D$399</f>
        <v>046# Install and connect Only - Type 'LT-05' - Wall Light</v>
      </c>
      <c r="E2597" s="1076"/>
      <c r="F2597" s="1076"/>
      <c r="G2597" s="1077" t="s">
        <v>1008</v>
      </c>
      <c r="H2597" s="1077"/>
      <c r="I2597" s="1077"/>
      <c r="J2597" s="1077"/>
      <c r="K2597" s="1078"/>
      <c r="L2597" s="1073"/>
      <c r="M2597" s="1073"/>
      <c r="N2597" s="1073"/>
      <c r="O2597" s="1079"/>
      <c r="P2597" s="1076"/>
      <c r="Q2597" s="1080">
        <f ca="1">$B2597*Elec_Rates!$R$399</f>
        <v>0.08</v>
      </c>
      <c r="R2597" s="1071">
        <f ca="1">$A2597*Q2597</f>
        <v>2</v>
      </c>
      <c r="S2597" s="1080">
        <f ca="1">$B2597*Elec_Rates!$T$399</f>
        <v>0.32</v>
      </c>
      <c r="T2597" s="1072">
        <f ca="1">$A2597*S2597</f>
        <v>8</v>
      </c>
      <c r="U2597" s="1081"/>
    </row>
    <row r="2598" spans="1:41" s="504" customFormat="1" ht="12">
      <c r="A2598" s="882"/>
      <c r="B2598" s="882"/>
      <c r="C2598" s="882"/>
      <c r="D2598" s="882"/>
      <c r="E2598" s="882"/>
      <c r="F2598" s="877"/>
      <c r="G2598" s="882"/>
      <c r="H2598" s="882"/>
      <c r="I2598" s="503"/>
      <c r="J2598" s="882"/>
      <c r="K2598" s="882"/>
      <c r="L2598" s="882"/>
      <c r="M2598" s="882"/>
      <c r="N2598" s="882"/>
      <c r="O2598" s="882"/>
      <c r="P2598" s="882"/>
      <c r="Q2598" s="503"/>
      <c r="R2598" s="883">
        <f>$A2598*Q2598</f>
        <v>0</v>
      </c>
      <c r="S2598" s="503"/>
      <c r="T2598" s="884">
        <f>$A2598*S2598*$T$1</f>
        <v>0</v>
      </c>
    </row>
    <row r="2599" spans="1:41" s="504" customFormat="1" ht="12.6" thickBot="1">
      <c r="A2599" s="885" t="s">
        <v>142</v>
      </c>
      <c r="B2599" s="886">
        <f>(R2598+T2598)</f>
        <v>0</v>
      </c>
      <c r="C2599" s="887"/>
      <c r="D2599" s="887"/>
      <c r="E2599" s="887"/>
      <c r="F2599" s="888"/>
      <c r="G2599" s="887" t="s">
        <v>143</v>
      </c>
      <c r="H2599" s="887"/>
      <c r="I2599" s="889"/>
      <c r="J2599" s="887"/>
      <c r="K2599" s="887" t="s">
        <v>3</v>
      </c>
      <c r="L2599" s="890" t="s">
        <v>140</v>
      </c>
      <c r="M2599" s="890"/>
      <c r="N2599" s="890"/>
      <c r="O2599" s="890"/>
      <c r="P2599" s="890"/>
      <c r="Q2599" s="891"/>
      <c r="R2599" s="892">
        <f ca="1">SUM(R2595:R2598)</f>
        <v>2</v>
      </c>
      <c r="S2599" s="887"/>
      <c r="T2599" s="892">
        <f ca="1">SUM(T2595:T2598)</f>
        <v>8</v>
      </c>
      <c r="U2599" s="514"/>
      <c r="V2599" s="514"/>
      <c r="W2599" s="514"/>
      <c r="X2599" s="514"/>
      <c r="Y2599" s="514"/>
      <c r="Z2599" s="514"/>
      <c r="AA2599" s="514"/>
      <c r="AB2599" s="514"/>
      <c r="AC2599" s="514"/>
      <c r="AD2599" s="514"/>
      <c r="AE2599" s="514"/>
      <c r="AF2599" s="514"/>
      <c r="AG2599" s="514"/>
      <c r="AH2599" s="514"/>
      <c r="AI2599" s="514"/>
      <c r="AJ2599" s="514"/>
      <c r="AK2599" s="514"/>
      <c r="AL2599" s="514"/>
      <c r="AM2599" s="514"/>
      <c r="AN2599" s="514"/>
      <c r="AO2599" s="514"/>
    </row>
    <row r="2600" spans="1:41" s="504" customFormat="1" ht="12" thickTop="1">
      <c r="A2600" s="50"/>
      <c r="B2600" s="40"/>
      <c r="C2600" s="50"/>
      <c r="E2600" s="41" t="s">
        <v>136</v>
      </c>
      <c r="F2600" s="41" t="s">
        <v>137</v>
      </c>
      <c r="G2600" s="50"/>
      <c r="H2600" s="50"/>
      <c r="I2600" s="50"/>
      <c r="J2600" s="50"/>
      <c r="K2600" s="50" t="s">
        <v>138</v>
      </c>
      <c r="L2600" s="50"/>
      <c r="M2600" s="50"/>
      <c r="N2600" s="50"/>
      <c r="O2600" s="51"/>
      <c r="P2600" s="50"/>
      <c r="Q2600" s="50"/>
      <c r="R2600" s="50"/>
      <c r="S2600" s="50"/>
      <c r="T2600" s="40"/>
      <c r="AG2600" s="867" t="s">
        <v>241</v>
      </c>
      <c r="AH2600" s="867" t="s">
        <v>242</v>
      </c>
      <c r="AI2600" s="867" t="s">
        <v>243</v>
      </c>
      <c r="AJ2600" s="867" t="s">
        <v>244</v>
      </c>
      <c r="AK2600" s="867" t="s">
        <v>245</v>
      </c>
      <c r="AM2600" s="868" t="s">
        <v>254</v>
      </c>
      <c r="AN2600" s="869" t="s">
        <v>255</v>
      </c>
      <c r="AO2600" s="505" t="s">
        <v>251</v>
      </c>
    </row>
    <row r="2601" spans="1:41" s="504" customFormat="1" ht="12" customHeight="1">
      <c r="A2601" s="870">
        <v>1</v>
      </c>
      <c r="B2601" s="871" t="s">
        <v>335</v>
      </c>
      <c r="C2601" s="872"/>
      <c r="D2601" s="873" t="s">
        <v>810</v>
      </c>
      <c r="E2601" s="874">
        <f ca="1">IF(AND($A2601=0,$A$1="DIF"),0, ROUND(ROUND(($R2606*$S$2+($T2606*$T$2))/A2601,2)*$C$2,2))</f>
        <v>9.15</v>
      </c>
      <c r="F2601" s="875">
        <f ca="1">ROUND($A2601*$E2601,2)</f>
        <v>9.15</v>
      </c>
      <c r="G2601" s="876" t="s">
        <v>139</v>
      </c>
      <c r="H2601" s="877"/>
      <c r="I2601" s="878"/>
      <c r="J2601" s="877"/>
      <c r="K2601" s="877" t="s">
        <v>3</v>
      </c>
      <c r="L2601" s="879" t="s">
        <v>140</v>
      </c>
      <c r="M2601" s="879"/>
      <c r="N2601" s="879"/>
      <c r="O2601" s="879"/>
      <c r="P2601" s="879"/>
      <c r="Q2601" s="50"/>
      <c r="T2601" s="880" t="str">
        <f ca="1">IF(AND($R2606=0,$T2606=0),"0.00","mu :" &amp; ROUND($F2601/$C$2/($R2606+$T2606*$D$9),2))</f>
        <v>mu :1.22</v>
      </c>
      <c r="W2601" s="507"/>
      <c r="AG2601" s="465">
        <f ca="1">IF($E2601=0,0,ROUND($R2606*$S$2*$C$2/$A2601,2))</f>
        <v>0</v>
      </c>
      <c r="AH2601" s="465">
        <f ca="1">$AG2601*$A2601</f>
        <v>0</v>
      </c>
      <c r="AI2601" s="508">
        <f ca="1">$E2601-$AG2601</f>
        <v>9.15</v>
      </c>
      <c r="AJ2601" s="508">
        <f ca="1">$A2601*$AI2601</f>
        <v>9.15</v>
      </c>
      <c r="AK2601" s="509">
        <f ca="1">ROUND(($AG2601+$AI2601)*$A2601,2)</f>
        <v>9.15</v>
      </c>
      <c r="AM2601" s="510">
        <f ca="1">ROUND(R2606,2)</f>
        <v>0</v>
      </c>
      <c r="AN2601" s="511">
        <f ca="1">ROUND(T2606,2)</f>
        <v>0.26</v>
      </c>
      <c r="AO2601" s="512">
        <f ca="1">ROUND(AM2601+AN2601,2)*A2601</f>
        <v>0.26</v>
      </c>
    </row>
    <row r="2602" spans="1:41" s="504" customFormat="1" ht="13.2">
      <c r="A2602" s="872"/>
      <c r="B2602"/>
      <c r="C2602" s="872"/>
      <c r="D2602" s="873" t="s">
        <v>418</v>
      </c>
      <c r="F2602" s="877"/>
      <c r="G2602" s="3"/>
      <c r="H2602" s="877"/>
      <c r="I2602" s="878"/>
      <c r="J2602" s="877"/>
      <c r="K2602" s="877" t="s">
        <v>141</v>
      </c>
      <c r="L2602" s="877"/>
      <c r="M2602" s="877"/>
      <c r="N2602" s="877"/>
      <c r="O2602" s="877"/>
      <c r="P2602" s="877"/>
      <c r="Q2602" s="50"/>
      <c r="R2602" s="513"/>
      <c r="S2602" s="881"/>
      <c r="T2602" s="877"/>
    </row>
    <row r="2603" spans="1:41" s="997" customFormat="1" ht="13.2">
      <c r="A2603"/>
      <c r="B2603" s="1065"/>
      <c r="C2603" s="1065" t="s">
        <v>1006</v>
      </c>
      <c r="D2603" s="1065" t="str">
        <f ca="1">CELL("Address",Elec_Rates!D$423)</f>
        <v>[EL25_0662B_Brittania_Hotel_Elec_Revised_Estim_B.xlsx]Elec_Rates!$D$423</v>
      </c>
      <c r="E2603" s="1066"/>
      <c r="F2603" s="1066"/>
      <c r="G2603" s="1067" t="s">
        <v>1007</v>
      </c>
      <c r="H2603" s="1067"/>
      <c r="I2603" s="1067"/>
      <c r="J2603" s="1067"/>
      <c r="K2603" s="1068"/>
      <c r="L2603" s="1066"/>
      <c r="M2603" s="1066"/>
      <c r="N2603" s="1066"/>
      <c r="O2603" s="1069"/>
      <c r="P2603" s="1066"/>
      <c r="Q2603" s="1070"/>
      <c r="R2603" s="1071"/>
      <c r="S2603" s="1070"/>
      <c r="T2603" s="1072"/>
      <c r="U2603" s="1073"/>
    </row>
    <row r="2604" spans="1:41" s="997" customFormat="1" ht="11.4">
      <c r="A2604" s="1074">
        <v>1</v>
      </c>
      <c r="B2604" s="1075">
        <v>1</v>
      </c>
      <c r="C2604" s="1075">
        <f>$A2604*$B2604</f>
        <v>1</v>
      </c>
      <c r="D2604" s="1076" t="str">
        <f>Elec_Rates!$D$423</f>
        <v>049# Install and connect Only - Type 'LT-08' - Mini Soffit Recessed Downlighter</v>
      </c>
      <c r="E2604" s="1076"/>
      <c r="F2604" s="1076"/>
      <c r="G2604" s="1077" t="s">
        <v>1008</v>
      </c>
      <c r="H2604" s="1077"/>
      <c r="I2604" s="1077"/>
      <c r="J2604" s="1077"/>
      <c r="K2604" s="1078"/>
      <c r="L2604" s="1073"/>
      <c r="M2604" s="1073"/>
      <c r="N2604" s="1073"/>
      <c r="O2604" s="1079"/>
      <c r="P2604" s="1076"/>
      <c r="Q2604" s="1080">
        <f ca="1">$B2604*Elec_Rates!$R$423</f>
        <v>0</v>
      </c>
      <c r="R2604" s="1071">
        <f ca="1">$A2604*Q2604</f>
        <v>0</v>
      </c>
      <c r="S2604" s="1080">
        <f ca="1">$B2604*Elec_Rates!$T$423</f>
        <v>0.26</v>
      </c>
      <c r="T2604" s="1072">
        <f ca="1">$A2604*S2604</f>
        <v>0.26</v>
      </c>
      <c r="U2604" s="1081"/>
    </row>
    <row r="2605" spans="1:41" s="504" customFormat="1" ht="12">
      <c r="A2605" s="882"/>
      <c r="B2605" s="882"/>
      <c r="C2605" s="882"/>
      <c r="D2605" s="882"/>
      <c r="E2605" s="882"/>
      <c r="F2605" s="877"/>
      <c r="G2605" s="882"/>
      <c r="H2605" s="882"/>
      <c r="I2605" s="503"/>
      <c r="J2605" s="882"/>
      <c r="K2605" s="882"/>
      <c r="L2605" s="882"/>
      <c r="M2605" s="882"/>
      <c r="N2605" s="882"/>
      <c r="O2605" s="882"/>
      <c r="P2605" s="882"/>
      <c r="Q2605" s="503"/>
      <c r="R2605" s="883">
        <f>$A2605*Q2605</f>
        <v>0</v>
      </c>
      <c r="S2605" s="503"/>
      <c r="T2605" s="884">
        <f>$A2605*S2605*$T$1</f>
        <v>0</v>
      </c>
    </row>
    <row r="2606" spans="1:41" s="504" customFormat="1" ht="12.6" thickBot="1">
      <c r="A2606" s="885" t="s">
        <v>142</v>
      </c>
      <c r="B2606" s="886">
        <f>(R2605+T2605)</f>
        <v>0</v>
      </c>
      <c r="C2606" s="887"/>
      <c r="D2606" s="887"/>
      <c r="E2606" s="887"/>
      <c r="F2606" s="888"/>
      <c r="G2606" s="887" t="s">
        <v>143</v>
      </c>
      <c r="H2606" s="887"/>
      <c r="I2606" s="889"/>
      <c r="J2606" s="887"/>
      <c r="K2606" s="887" t="s">
        <v>3</v>
      </c>
      <c r="L2606" s="890" t="s">
        <v>140</v>
      </c>
      <c r="M2606" s="890"/>
      <c r="N2606" s="890"/>
      <c r="O2606" s="890"/>
      <c r="P2606" s="890"/>
      <c r="Q2606" s="891"/>
      <c r="R2606" s="892">
        <f ca="1">SUM(R2602:R2605)</f>
        <v>0</v>
      </c>
      <c r="S2606" s="887"/>
      <c r="T2606" s="892">
        <f ca="1">SUM(T2602:T2605)</f>
        <v>0.26</v>
      </c>
      <c r="U2606" s="514"/>
      <c r="V2606" s="514"/>
      <c r="W2606" s="514"/>
      <c r="X2606" s="514"/>
      <c r="Y2606" s="514"/>
      <c r="Z2606" s="514"/>
      <c r="AA2606" s="514"/>
      <c r="AB2606" s="514"/>
      <c r="AC2606" s="514"/>
      <c r="AD2606" s="514"/>
      <c r="AE2606" s="514"/>
      <c r="AF2606" s="514"/>
      <c r="AG2606" s="514"/>
      <c r="AH2606" s="514"/>
      <c r="AI2606" s="514"/>
      <c r="AJ2606" s="514"/>
      <c r="AK2606" s="514"/>
      <c r="AL2606" s="514"/>
      <c r="AM2606" s="514"/>
      <c r="AN2606" s="514"/>
      <c r="AO2606" s="514"/>
    </row>
    <row r="2607" spans="1:41" s="504" customFormat="1" ht="12" thickTop="1">
      <c r="A2607" s="50"/>
      <c r="B2607" s="40"/>
      <c r="C2607" s="50"/>
      <c r="E2607" s="41" t="s">
        <v>136</v>
      </c>
      <c r="F2607" s="41" t="s">
        <v>137</v>
      </c>
      <c r="G2607" s="50"/>
      <c r="H2607" s="50"/>
      <c r="I2607" s="50"/>
      <c r="J2607" s="50"/>
      <c r="K2607" s="50" t="s">
        <v>138</v>
      </c>
      <c r="L2607" s="50"/>
      <c r="M2607" s="50"/>
      <c r="N2607" s="50"/>
      <c r="O2607" s="51"/>
      <c r="P2607" s="50"/>
      <c r="Q2607" s="50"/>
      <c r="R2607" s="50"/>
      <c r="S2607" s="50"/>
      <c r="T2607" s="40"/>
      <c r="AG2607" s="867" t="s">
        <v>241</v>
      </c>
      <c r="AH2607" s="867" t="s">
        <v>242</v>
      </c>
      <c r="AI2607" s="867" t="s">
        <v>243</v>
      </c>
      <c r="AJ2607" s="867" t="s">
        <v>244</v>
      </c>
      <c r="AK2607" s="867" t="s">
        <v>245</v>
      </c>
      <c r="AM2607" s="868" t="s">
        <v>254</v>
      </c>
      <c r="AN2607" s="869" t="s">
        <v>255</v>
      </c>
      <c r="AO2607" s="505" t="s">
        <v>251</v>
      </c>
    </row>
    <row r="2608" spans="1:41" s="504" customFormat="1" ht="12" customHeight="1">
      <c r="A2608" s="870">
        <v>8</v>
      </c>
      <c r="B2608" s="871" t="s">
        <v>335</v>
      </c>
      <c r="C2608" s="872"/>
      <c r="D2608" s="873" t="s">
        <v>812</v>
      </c>
      <c r="E2608" s="874">
        <f ca="1">IF(AND($A2608=0,$A$1="DIF"),0, ROUND(ROUND(($R2613*$S$2+($T2613*$T$2))/A2608,2)*$C$2,2))</f>
        <v>49.48</v>
      </c>
      <c r="F2608" s="875">
        <f ca="1">ROUND($A2608*$E2608,2)</f>
        <v>395.84</v>
      </c>
      <c r="G2608" s="876" t="s">
        <v>139</v>
      </c>
      <c r="H2608" s="877"/>
      <c r="I2608" s="878"/>
      <c r="J2608" s="877"/>
      <c r="K2608" s="877" t="s">
        <v>3</v>
      </c>
      <c r="L2608" s="879" t="s">
        <v>140</v>
      </c>
      <c r="M2608" s="879"/>
      <c r="N2608" s="879"/>
      <c r="O2608" s="879"/>
      <c r="P2608" s="879"/>
      <c r="Q2608" s="50"/>
      <c r="T2608" s="880" t="str">
        <f ca="1">IF(AND($R2613=0,$T2613=0),"0.00","mu :" &amp; ROUND($F2608/$C$2/($R2613+$T2613*$D$9),2))</f>
        <v>mu :1.22</v>
      </c>
      <c r="W2608" s="507"/>
      <c r="AG2608" s="465">
        <f ca="1">IF($E2608=0,0,ROUND($R2613*$S$2*$C$2/$A2608,2))</f>
        <v>21.69</v>
      </c>
      <c r="AH2608" s="465">
        <f ca="1">$AG2608*$A2608</f>
        <v>173.52</v>
      </c>
      <c r="AI2608" s="508">
        <f ca="1">$E2608-$AG2608</f>
        <v>27.789999999999996</v>
      </c>
      <c r="AJ2608" s="508">
        <f ca="1">$A2608*$AI2608</f>
        <v>222.31999999999996</v>
      </c>
      <c r="AK2608" s="509">
        <f ca="1">ROUND(($AG2608+$AI2608)*$A2608,2)</f>
        <v>395.84</v>
      </c>
      <c r="AM2608" s="510">
        <f ca="1">ROUND(R2613,2)</f>
        <v>142.24</v>
      </c>
      <c r="AN2608" s="511">
        <f ca="1">ROUND(T2613,2)</f>
        <v>6.32</v>
      </c>
      <c r="AO2608" s="512">
        <f ca="1">ROUND(AM2608+AN2608,2)*A2608</f>
        <v>1188.48</v>
      </c>
    </row>
    <row r="2609" spans="1:41" s="504" customFormat="1" ht="13.2">
      <c r="A2609" s="872"/>
      <c r="B2609"/>
      <c r="C2609" s="872"/>
      <c r="D2609" s="873" t="s">
        <v>419</v>
      </c>
      <c r="F2609" s="877"/>
      <c r="G2609" s="3"/>
      <c r="H2609" s="877"/>
      <c r="I2609" s="878"/>
      <c r="J2609" s="877"/>
      <c r="K2609" s="877" t="s">
        <v>141</v>
      </c>
      <c r="L2609" s="877"/>
      <c r="M2609" s="877"/>
      <c r="N2609" s="877"/>
      <c r="O2609" s="877"/>
      <c r="P2609" s="877"/>
      <c r="Q2609" s="50"/>
      <c r="R2609" s="513"/>
      <c r="S2609" s="881"/>
      <c r="T2609" s="877"/>
    </row>
    <row r="2610" spans="1:41" s="997" customFormat="1" ht="13.2">
      <c r="A2610"/>
      <c r="B2610" s="1065"/>
      <c r="C2610" s="1065" t="s">
        <v>1006</v>
      </c>
      <c r="D2610" s="1065" t="str">
        <f ca="1">CELL("Address",Elec_Rates!D$444)</f>
        <v>[EL25_0662B_Brittania_Hotel_Elec_Revised_Estim_B.xlsx]Elec_Rates!$D$444</v>
      </c>
      <c r="E2610" s="1066"/>
      <c r="F2610" s="1066"/>
      <c r="G2610" s="1067" t="s">
        <v>1007</v>
      </c>
      <c r="H2610" s="1067"/>
      <c r="I2610" s="1067"/>
      <c r="J2610" s="1067"/>
      <c r="K2610" s="1068"/>
      <c r="L2610" s="1066"/>
      <c r="M2610" s="1066"/>
      <c r="N2610" s="1066"/>
      <c r="O2610" s="1069"/>
      <c r="P2610" s="1066"/>
      <c r="Q2610" s="1070"/>
      <c r="R2610" s="1071"/>
      <c r="S2610" s="1070"/>
      <c r="T2610" s="1072"/>
      <c r="U2610" s="1073"/>
    </row>
    <row r="2611" spans="1:41" s="997" customFormat="1" ht="11.4">
      <c r="A2611" s="1074">
        <v>8</v>
      </c>
      <c r="B2611" s="1075">
        <v>1</v>
      </c>
      <c r="C2611" s="1075">
        <f>$A2611*$B2611</f>
        <v>8</v>
      </c>
      <c r="D2611" s="1076" t="str">
        <f>Elec_Rates!$D$444</f>
        <v>052# Install and connect Only - Type 'LT-12' - 6W Recessed Floor Spotlight, Dimmable, IP65</v>
      </c>
      <c r="E2611" s="1076"/>
      <c r="F2611" s="1076"/>
      <c r="G2611" s="1077" t="s">
        <v>1008</v>
      </c>
      <c r="H2611" s="1077"/>
      <c r="I2611" s="1077"/>
      <c r="J2611" s="1077"/>
      <c r="K2611" s="1078"/>
      <c r="L2611" s="1073"/>
      <c r="M2611" s="1073"/>
      <c r="N2611" s="1073"/>
      <c r="O2611" s="1079"/>
      <c r="P2611" s="1076"/>
      <c r="Q2611" s="1080">
        <f ca="1">$B2611*Elec_Rates!$R$444</f>
        <v>17.78</v>
      </c>
      <c r="R2611" s="1071">
        <f ca="1">$A2611*Q2611</f>
        <v>142.24</v>
      </c>
      <c r="S2611" s="1080">
        <f ca="1">$B2611*Elec_Rates!$T$444</f>
        <v>0.79</v>
      </c>
      <c r="T2611" s="1072">
        <f ca="1">$A2611*S2611</f>
        <v>6.32</v>
      </c>
      <c r="U2611" s="1081"/>
    </row>
    <row r="2612" spans="1:41" s="504" customFormat="1" ht="12">
      <c r="A2612" s="882"/>
      <c r="B2612" s="882"/>
      <c r="C2612" s="882"/>
      <c r="D2612" s="882"/>
      <c r="E2612" s="882"/>
      <c r="F2612" s="877"/>
      <c r="G2612" s="882"/>
      <c r="H2612" s="882"/>
      <c r="I2612" s="503"/>
      <c r="J2612" s="882"/>
      <c r="K2612" s="882"/>
      <c r="L2612" s="882"/>
      <c r="M2612" s="882"/>
      <c r="N2612" s="882"/>
      <c r="O2612" s="882"/>
      <c r="P2612" s="882"/>
      <c r="Q2612" s="503"/>
      <c r="R2612" s="883">
        <f>$A2612*Q2612</f>
        <v>0</v>
      </c>
      <c r="S2612" s="503"/>
      <c r="T2612" s="884">
        <f>$A2612*S2612*$T$1</f>
        <v>0</v>
      </c>
    </row>
    <row r="2613" spans="1:41" s="504" customFormat="1" ht="12.6" thickBot="1">
      <c r="A2613" s="885" t="s">
        <v>142</v>
      </c>
      <c r="B2613" s="886">
        <f>(R2612+T2612)</f>
        <v>0</v>
      </c>
      <c r="C2613" s="887"/>
      <c r="D2613" s="887"/>
      <c r="E2613" s="887"/>
      <c r="F2613" s="888"/>
      <c r="G2613" s="887" t="s">
        <v>143</v>
      </c>
      <c r="H2613" s="887"/>
      <c r="I2613" s="889"/>
      <c r="J2613" s="887"/>
      <c r="K2613" s="887" t="s">
        <v>3</v>
      </c>
      <c r="L2613" s="890" t="s">
        <v>140</v>
      </c>
      <c r="M2613" s="890"/>
      <c r="N2613" s="890"/>
      <c r="O2613" s="890"/>
      <c r="P2613" s="890"/>
      <c r="Q2613" s="891"/>
      <c r="R2613" s="892">
        <f ca="1">SUM(R2609:R2612)</f>
        <v>142.24</v>
      </c>
      <c r="S2613" s="887"/>
      <c r="T2613" s="892">
        <f ca="1">SUM(T2609:T2612)</f>
        <v>6.32</v>
      </c>
      <c r="U2613" s="514"/>
      <c r="V2613" s="514"/>
      <c r="W2613" s="514"/>
      <c r="X2613" s="514"/>
      <c r="Y2613" s="514"/>
      <c r="Z2613" s="514"/>
      <c r="AA2613" s="514"/>
      <c r="AB2613" s="514"/>
      <c r="AC2613" s="514"/>
      <c r="AD2613" s="514"/>
      <c r="AE2613" s="514"/>
      <c r="AF2613" s="514"/>
      <c r="AG2613" s="514"/>
      <c r="AH2613" s="514"/>
      <c r="AI2613" s="514"/>
      <c r="AJ2613" s="514"/>
      <c r="AK2613" s="514"/>
      <c r="AL2613" s="514"/>
      <c r="AM2613" s="514"/>
      <c r="AN2613" s="514"/>
      <c r="AO2613" s="514"/>
    </row>
    <row r="2614" spans="1:41" s="504" customFormat="1" ht="12" thickTop="1">
      <c r="A2614" s="50"/>
      <c r="B2614" s="40"/>
      <c r="C2614" s="50"/>
      <c r="E2614" s="41" t="s">
        <v>136</v>
      </c>
      <c r="F2614" s="41" t="s">
        <v>137</v>
      </c>
      <c r="G2614" s="50"/>
      <c r="H2614" s="50"/>
      <c r="I2614" s="50"/>
      <c r="J2614" s="50"/>
      <c r="K2614" s="50" t="s">
        <v>138</v>
      </c>
      <c r="L2614" s="50"/>
      <c r="M2614" s="50"/>
      <c r="N2614" s="50"/>
      <c r="O2614" s="51"/>
      <c r="P2614" s="50"/>
      <c r="Q2614" s="50"/>
      <c r="R2614" s="50"/>
      <c r="S2614" s="50"/>
      <c r="T2614" s="40"/>
      <c r="AG2614" s="867" t="s">
        <v>241</v>
      </c>
      <c r="AH2614" s="867" t="s">
        <v>242</v>
      </c>
      <c r="AI2614" s="867" t="s">
        <v>243</v>
      </c>
      <c r="AJ2614" s="867" t="s">
        <v>244</v>
      </c>
      <c r="AK2614" s="867" t="s">
        <v>245</v>
      </c>
      <c r="AM2614" s="868" t="s">
        <v>254</v>
      </c>
      <c r="AN2614" s="869" t="s">
        <v>255</v>
      </c>
      <c r="AO2614" s="505" t="s">
        <v>251</v>
      </c>
    </row>
    <row r="2615" spans="1:41" s="504" customFormat="1" ht="12" customHeight="1">
      <c r="A2615" s="870">
        <v>5</v>
      </c>
      <c r="B2615" s="871" t="s">
        <v>326</v>
      </c>
      <c r="C2615" s="872"/>
      <c r="D2615" s="873" t="s">
        <v>819</v>
      </c>
      <c r="E2615" s="874">
        <f ca="1">IF(AND($A2615=0,$A$1="DIF"),0, ROUND(ROUND(($R2620*$S$2+($T2620*$T$2))/A2615,2)*$C$2,2))</f>
        <v>5.63</v>
      </c>
      <c r="F2615" s="875">
        <f ca="1">ROUND($A2615*$E2615,2)</f>
        <v>28.15</v>
      </c>
      <c r="G2615" s="876" t="s">
        <v>139</v>
      </c>
      <c r="H2615" s="877"/>
      <c r="I2615" s="878"/>
      <c r="J2615" s="877"/>
      <c r="K2615" s="877" t="s">
        <v>3</v>
      </c>
      <c r="L2615" s="879" t="s">
        <v>140</v>
      </c>
      <c r="M2615" s="879"/>
      <c r="N2615" s="879"/>
      <c r="O2615" s="879"/>
      <c r="P2615" s="879"/>
      <c r="Q2615" s="50"/>
      <c r="T2615" s="880" t="str">
        <f ca="1">IF(AND($R2620=0,$T2620=0),"0.00","mu :" &amp; ROUND($F2615/$C$2/($R2620+$T2620*$D$9),2))</f>
        <v>mu :1.22</v>
      </c>
      <c r="W2615" s="507"/>
      <c r="AG2615" s="465">
        <f ca="1">IF($E2615=0,0,ROUND($R2620*$S$2*$C$2/$A2615,2))</f>
        <v>0</v>
      </c>
      <c r="AH2615" s="465">
        <f ca="1">$AG2615*$A2615</f>
        <v>0</v>
      </c>
      <c r="AI2615" s="508">
        <f ca="1">$E2615-$AG2615</f>
        <v>5.63</v>
      </c>
      <c r="AJ2615" s="508">
        <f ca="1">$A2615*$AI2615</f>
        <v>28.15</v>
      </c>
      <c r="AK2615" s="509">
        <f ca="1">ROUND(($AG2615+$AI2615)*$A2615,2)</f>
        <v>28.15</v>
      </c>
      <c r="AM2615" s="510">
        <f ca="1">ROUND(R2620,2)</f>
        <v>0</v>
      </c>
      <c r="AN2615" s="511">
        <f ca="1">ROUND(T2620,2)</f>
        <v>0.8</v>
      </c>
      <c r="AO2615" s="512">
        <f ca="1">ROUND(AM2615+AN2615,2)*A2615</f>
        <v>4</v>
      </c>
    </row>
    <row r="2616" spans="1:41" s="504" customFormat="1" ht="13.2">
      <c r="A2616" s="872"/>
      <c r="B2616"/>
      <c r="C2616" s="872"/>
      <c r="D2616" s="873" t="s">
        <v>420</v>
      </c>
      <c r="F2616" s="877"/>
      <c r="G2616" s="3"/>
      <c r="H2616" s="877"/>
      <c r="I2616" s="878"/>
      <c r="J2616" s="877"/>
      <c r="K2616" s="877" t="s">
        <v>141</v>
      </c>
      <c r="L2616" s="877"/>
      <c r="M2616" s="877"/>
      <c r="N2616" s="877"/>
      <c r="O2616" s="877"/>
      <c r="P2616" s="877"/>
      <c r="Q2616" s="50"/>
      <c r="R2616" s="513"/>
      <c r="S2616" s="881"/>
      <c r="T2616" s="877"/>
    </row>
    <row r="2617" spans="1:41" s="997" customFormat="1" ht="13.2">
      <c r="A2617"/>
      <c r="B2617" s="1065"/>
      <c r="C2617" s="1065" t="s">
        <v>1006</v>
      </c>
      <c r="D2617" s="1065" t="str">
        <f ca="1">CELL("Address",Elec_Rates!D$452)</f>
        <v>[EL25_0662B_Brittania_Hotel_Elec_Revised_Estim_B.xlsx]Elec_Rates!$D$452</v>
      </c>
      <c r="E2617" s="1066"/>
      <c r="F2617" s="1066"/>
      <c r="G2617" s="1067" t="s">
        <v>1007</v>
      </c>
      <c r="H2617" s="1067"/>
      <c r="I2617" s="1067"/>
      <c r="J2617" s="1067"/>
      <c r="K2617" s="1068"/>
      <c r="L2617" s="1066"/>
      <c r="M2617" s="1066"/>
      <c r="N2617" s="1066"/>
      <c r="O2617" s="1069"/>
      <c r="P2617" s="1066"/>
      <c r="Q2617" s="1070"/>
      <c r="R2617" s="1071"/>
      <c r="S2617" s="1070"/>
      <c r="T2617" s="1072"/>
      <c r="U2617" s="1073"/>
    </row>
    <row r="2618" spans="1:41" s="997" customFormat="1" ht="11.4">
      <c r="A2618" s="1074">
        <v>5</v>
      </c>
      <c r="B2618" s="1075">
        <v>1</v>
      </c>
      <c r="C2618" s="1075">
        <f>$A2618*$B2618</f>
        <v>5</v>
      </c>
      <c r="D2618" s="1076" t="str">
        <f>Elec_Rates!$D$452</f>
        <v>053# Install and connect Only - Type 'LT-13 - Dimmable Strip Light</v>
      </c>
      <c r="E2618" s="1076"/>
      <c r="F2618" s="1076"/>
      <c r="G2618" s="1077" t="s">
        <v>1008</v>
      </c>
      <c r="H2618" s="1077"/>
      <c r="I2618" s="1077"/>
      <c r="J2618" s="1077"/>
      <c r="K2618" s="1078"/>
      <c r="L2618" s="1073"/>
      <c r="M2618" s="1073"/>
      <c r="N2618" s="1073"/>
      <c r="O2618" s="1079"/>
      <c r="P2618" s="1076"/>
      <c r="Q2618" s="1080">
        <f ca="1">$B2618*Elec_Rates!$R$452</f>
        <v>0</v>
      </c>
      <c r="R2618" s="1071">
        <f ca="1">$A2618*Q2618</f>
        <v>0</v>
      </c>
      <c r="S2618" s="1080">
        <f ca="1">$B2618*Elec_Rates!$T$452</f>
        <v>0.16</v>
      </c>
      <c r="T2618" s="1072">
        <f ca="1">$A2618*S2618</f>
        <v>0.8</v>
      </c>
      <c r="U2618" s="1081"/>
    </row>
    <row r="2619" spans="1:41" s="504" customFormat="1" ht="12">
      <c r="A2619" s="882"/>
      <c r="B2619" s="882"/>
      <c r="C2619" s="882"/>
      <c r="D2619" s="882"/>
      <c r="E2619" s="882"/>
      <c r="F2619" s="877"/>
      <c r="G2619" s="882"/>
      <c r="H2619" s="882"/>
      <c r="I2619" s="503"/>
      <c r="J2619" s="882"/>
      <c r="K2619" s="882"/>
      <c r="L2619" s="882"/>
      <c r="M2619" s="882"/>
      <c r="N2619" s="882"/>
      <c r="O2619" s="882"/>
      <c r="P2619" s="882"/>
      <c r="Q2619" s="503"/>
      <c r="R2619" s="883">
        <f>$A2619*Q2619</f>
        <v>0</v>
      </c>
      <c r="S2619" s="503"/>
      <c r="T2619" s="884">
        <f>$A2619*S2619*$T$1</f>
        <v>0</v>
      </c>
    </row>
    <row r="2620" spans="1:41" s="504" customFormat="1" ht="12.6" thickBot="1">
      <c r="A2620" s="885" t="s">
        <v>142</v>
      </c>
      <c r="B2620" s="886">
        <f>(R2619+T2619)</f>
        <v>0</v>
      </c>
      <c r="C2620" s="887"/>
      <c r="D2620" s="887"/>
      <c r="E2620" s="887"/>
      <c r="F2620" s="888"/>
      <c r="G2620" s="887" t="s">
        <v>143</v>
      </c>
      <c r="H2620" s="887"/>
      <c r="I2620" s="889"/>
      <c r="J2620" s="887"/>
      <c r="K2620" s="887" t="s">
        <v>3</v>
      </c>
      <c r="L2620" s="890" t="s">
        <v>140</v>
      </c>
      <c r="M2620" s="890"/>
      <c r="N2620" s="890"/>
      <c r="O2620" s="890"/>
      <c r="P2620" s="890"/>
      <c r="Q2620" s="891"/>
      <c r="R2620" s="892">
        <f ca="1">SUM(R2616:R2619)</f>
        <v>0</v>
      </c>
      <c r="S2620" s="887"/>
      <c r="T2620" s="892">
        <f ca="1">SUM(T2616:T2619)</f>
        <v>0.8</v>
      </c>
      <c r="U2620" s="514"/>
      <c r="V2620" s="514"/>
      <c r="W2620" s="514"/>
      <c r="X2620" s="514"/>
      <c r="Y2620" s="514"/>
      <c r="Z2620" s="514"/>
      <c r="AA2620" s="514"/>
      <c r="AB2620" s="514"/>
      <c r="AC2620" s="514"/>
      <c r="AD2620" s="514"/>
      <c r="AE2620" s="514"/>
      <c r="AF2620" s="514"/>
      <c r="AG2620" s="514"/>
      <c r="AH2620" s="514"/>
      <c r="AI2620" s="514"/>
      <c r="AJ2620" s="514"/>
      <c r="AK2620" s="514"/>
      <c r="AL2620" s="514"/>
      <c r="AM2620" s="514"/>
      <c r="AN2620" s="514"/>
      <c r="AO2620" s="514"/>
    </row>
    <row r="2621" spans="1:41" s="504" customFormat="1" ht="12" thickTop="1">
      <c r="A2621" s="50"/>
      <c r="B2621" s="40"/>
      <c r="C2621" s="50"/>
      <c r="E2621" s="41" t="s">
        <v>136</v>
      </c>
      <c r="F2621" s="41" t="s">
        <v>137</v>
      </c>
      <c r="G2621" s="50"/>
      <c r="H2621" s="50"/>
      <c r="I2621" s="50"/>
      <c r="J2621" s="50"/>
      <c r="K2621" s="50" t="s">
        <v>138</v>
      </c>
      <c r="L2621" s="50"/>
      <c r="M2621" s="50"/>
      <c r="N2621" s="50"/>
      <c r="O2621" s="51"/>
      <c r="P2621" s="50"/>
      <c r="Q2621" s="50"/>
      <c r="R2621" s="50"/>
      <c r="S2621" s="50"/>
      <c r="T2621" s="40"/>
      <c r="AG2621" s="867" t="s">
        <v>241</v>
      </c>
      <c r="AH2621" s="867" t="s">
        <v>242</v>
      </c>
      <c r="AI2621" s="867" t="s">
        <v>243</v>
      </c>
      <c r="AJ2621" s="867" t="s">
        <v>244</v>
      </c>
      <c r="AK2621" s="867" t="s">
        <v>245</v>
      </c>
      <c r="AM2621" s="868" t="s">
        <v>254</v>
      </c>
      <c r="AN2621" s="869" t="s">
        <v>255</v>
      </c>
      <c r="AO2621" s="505" t="s">
        <v>251</v>
      </c>
    </row>
    <row r="2622" spans="1:41" s="504" customFormat="1" ht="12" customHeight="1">
      <c r="A2622" s="870">
        <v>1</v>
      </c>
      <c r="B2622" s="871" t="s">
        <v>335</v>
      </c>
      <c r="C2622" s="872"/>
      <c r="D2622" s="873" t="s">
        <v>820</v>
      </c>
      <c r="E2622" s="874">
        <f ca="1">IF(AND($A2622=0,$A$1="DIF"),0, ROUND(ROUND(($R2627*$S$2+($T2627*$T$2))/A2622,2)*$C$2,2))</f>
        <v>37.51</v>
      </c>
      <c r="F2622" s="875">
        <f ca="1">ROUND($A2622*$E2622,2)</f>
        <v>37.51</v>
      </c>
      <c r="G2622" s="876" t="s">
        <v>139</v>
      </c>
      <c r="H2622" s="877"/>
      <c r="I2622" s="878"/>
      <c r="J2622" s="877"/>
      <c r="K2622" s="877" t="s">
        <v>3</v>
      </c>
      <c r="L2622" s="879" t="s">
        <v>140</v>
      </c>
      <c r="M2622" s="879"/>
      <c r="N2622" s="879"/>
      <c r="O2622" s="879"/>
      <c r="P2622" s="879"/>
      <c r="Q2622" s="50"/>
      <c r="T2622" s="880" t="str">
        <f ca="1">IF(AND($R2627=0,$T2627=0),"0.00","mu :" &amp; ROUND($F2622/$C$2/($R2627+$T2627*$D$9),2))</f>
        <v>mu :1.22</v>
      </c>
      <c r="W2622" s="507"/>
      <c r="AG2622" s="465">
        <f ca="1">IF($E2622=0,0,ROUND($R2627*$S$2*$C$2/$A2622,2))</f>
        <v>0.56999999999999995</v>
      </c>
      <c r="AH2622" s="465">
        <f ca="1">$AG2622*$A2622</f>
        <v>0.56999999999999995</v>
      </c>
      <c r="AI2622" s="508">
        <f ca="1">$E2622-$AG2622</f>
        <v>36.94</v>
      </c>
      <c r="AJ2622" s="508">
        <f ca="1">$A2622*$AI2622</f>
        <v>36.94</v>
      </c>
      <c r="AK2622" s="509">
        <f ca="1">ROUND(($AG2622+$AI2622)*$A2622,2)</f>
        <v>37.51</v>
      </c>
      <c r="AM2622" s="510">
        <f ca="1">ROUND(R2627,2)</f>
        <v>0.47</v>
      </c>
      <c r="AN2622" s="511">
        <f ca="1">ROUND(T2627,2)</f>
        <v>1.05</v>
      </c>
      <c r="AO2622" s="512">
        <f ca="1">ROUND(AM2622+AN2622,2)*A2622</f>
        <v>1.52</v>
      </c>
    </row>
    <row r="2623" spans="1:41" s="504" customFormat="1" ht="13.2">
      <c r="A2623" s="872"/>
      <c r="B2623"/>
      <c r="C2623" s="872"/>
      <c r="D2623" s="873" t="s">
        <v>439</v>
      </c>
      <c r="F2623" s="877"/>
      <c r="G2623" s="3"/>
      <c r="H2623" s="877"/>
      <c r="I2623" s="878"/>
      <c r="J2623" s="877"/>
      <c r="K2623" s="877" t="s">
        <v>141</v>
      </c>
      <c r="L2623" s="877"/>
      <c r="M2623" s="877"/>
      <c r="N2623" s="877"/>
      <c r="O2623" s="877"/>
      <c r="P2623" s="877"/>
      <c r="Q2623" s="50"/>
      <c r="R2623" s="513"/>
      <c r="S2623" s="881"/>
      <c r="T2623" s="877"/>
    </row>
    <row r="2624" spans="1:41" s="997" customFormat="1" ht="13.2">
      <c r="A2624"/>
      <c r="B2624" s="1065"/>
      <c r="C2624" s="1065" t="s">
        <v>1006</v>
      </c>
      <c r="D2624" s="1065" t="str">
        <f ca="1">CELL("Address",Elec_Rates!D$301)</f>
        <v>[EL25_0662B_Brittania_Hotel_Elec_Revised_Estim_B.xlsx]Elec_Rates!$D$301</v>
      </c>
      <c r="E2624" s="1066"/>
      <c r="F2624" s="1066"/>
      <c r="G2624" s="1067" t="s">
        <v>1007</v>
      </c>
      <c r="H2624" s="1067"/>
      <c r="I2624" s="1067"/>
      <c r="J2624" s="1067"/>
      <c r="K2624" s="1068"/>
      <c r="L2624" s="1066"/>
      <c r="M2624" s="1066"/>
      <c r="N2624" s="1066"/>
      <c r="O2624" s="1069"/>
      <c r="P2624" s="1066"/>
      <c r="Q2624" s="1070"/>
      <c r="R2624" s="1071"/>
      <c r="S2624" s="1070"/>
      <c r="T2624" s="1072"/>
      <c r="U2624" s="1073"/>
    </row>
    <row r="2625" spans="1:41" s="997" customFormat="1" ht="11.4">
      <c r="A2625" s="1074">
        <v>1</v>
      </c>
      <c r="B2625" s="1075">
        <v>1</v>
      </c>
      <c r="C2625" s="1075">
        <f>$A2625*$B2625</f>
        <v>1</v>
      </c>
      <c r="D2625" s="1076" t="str">
        <f>Elec_Rates!$D$301</f>
        <v>033# Install and connect Only - Type 'LD-5' - Lantern</v>
      </c>
      <c r="E2625" s="1076"/>
      <c r="F2625" s="1076"/>
      <c r="G2625" s="1077" t="s">
        <v>1008</v>
      </c>
      <c r="H2625" s="1077"/>
      <c r="I2625" s="1077"/>
      <c r="J2625" s="1077"/>
      <c r="K2625" s="1078"/>
      <c r="L2625" s="1073"/>
      <c r="M2625" s="1073"/>
      <c r="N2625" s="1073"/>
      <c r="O2625" s="1079"/>
      <c r="P2625" s="1076"/>
      <c r="Q2625" s="1080">
        <f ca="1">$B2625*Elec_Rates!$R$301</f>
        <v>0.47</v>
      </c>
      <c r="R2625" s="1071">
        <f ca="1">$A2625*Q2625</f>
        <v>0.47</v>
      </c>
      <c r="S2625" s="1080">
        <f ca="1">$B2625*Elec_Rates!$T$301</f>
        <v>1.05</v>
      </c>
      <c r="T2625" s="1072">
        <f ca="1">$A2625*S2625</f>
        <v>1.05</v>
      </c>
      <c r="U2625" s="1081"/>
    </row>
    <row r="2626" spans="1:41" s="504" customFormat="1" ht="12">
      <c r="A2626" s="882"/>
      <c r="B2626" s="882"/>
      <c r="C2626" s="882"/>
      <c r="D2626" s="882"/>
      <c r="E2626" s="882"/>
      <c r="F2626" s="877"/>
      <c r="G2626" s="882"/>
      <c r="H2626" s="882"/>
      <c r="I2626" s="503"/>
      <c r="J2626" s="882"/>
      <c r="K2626" s="882"/>
      <c r="L2626" s="882"/>
      <c r="M2626" s="882"/>
      <c r="N2626" s="882"/>
      <c r="O2626" s="882"/>
      <c r="P2626" s="882"/>
      <c r="Q2626" s="503"/>
      <c r="R2626" s="883">
        <f>$A2626*Q2626</f>
        <v>0</v>
      </c>
      <c r="S2626" s="503"/>
      <c r="T2626" s="884">
        <f>$A2626*S2626*$T$1</f>
        <v>0</v>
      </c>
    </row>
    <row r="2627" spans="1:41" s="504" customFormat="1" ht="12.6" thickBot="1">
      <c r="A2627" s="885" t="s">
        <v>142</v>
      </c>
      <c r="B2627" s="886">
        <f>(R2626+T2626)</f>
        <v>0</v>
      </c>
      <c r="C2627" s="887"/>
      <c r="D2627" s="887"/>
      <c r="E2627" s="887"/>
      <c r="F2627" s="888"/>
      <c r="G2627" s="887" t="s">
        <v>143</v>
      </c>
      <c r="H2627" s="887"/>
      <c r="I2627" s="889"/>
      <c r="J2627" s="887"/>
      <c r="K2627" s="887" t="s">
        <v>3</v>
      </c>
      <c r="L2627" s="890" t="s">
        <v>140</v>
      </c>
      <c r="M2627" s="890"/>
      <c r="N2627" s="890"/>
      <c r="O2627" s="890"/>
      <c r="P2627" s="890"/>
      <c r="Q2627" s="891"/>
      <c r="R2627" s="892">
        <f ca="1">SUM(R2623:R2626)</f>
        <v>0.47</v>
      </c>
      <c r="S2627" s="887"/>
      <c r="T2627" s="892">
        <f ca="1">SUM(T2623:T2626)</f>
        <v>1.05</v>
      </c>
      <c r="U2627" s="514"/>
      <c r="V2627" s="514"/>
      <c r="W2627" s="514"/>
      <c r="X2627" s="514"/>
      <c r="Y2627" s="514"/>
      <c r="Z2627" s="514"/>
      <c r="AA2627" s="514"/>
      <c r="AB2627" s="514"/>
      <c r="AC2627" s="514"/>
      <c r="AD2627" s="514"/>
      <c r="AE2627" s="514"/>
      <c r="AF2627" s="514"/>
      <c r="AG2627" s="514"/>
      <c r="AH2627" s="514"/>
      <c r="AI2627" s="514"/>
      <c r="AJ2627" s="514"/>
      <c r="AK2627" s="514"/>
      <c r="AL2627" s="514"/>
      <c r="AM2627" s="514"/>
      <c r="AN2627" s="514"/>
      <c r="AO2627" s="514"/>
    </row>
    <row r="2628" spans="1:41" s="504" customFormat="1" ht="12" thickTop="1">
      <c r="A2628" s="50"/>
      <c r="B2628" s="40"/>
      <c r="C2628" s="50"/>
      <c r="E2628" s="41" t="s">
        <v>136</v>
      </c>
      <c r="F2628" s="41" t="s">
        <v>137</v>
      </c>
      <c r="G2628" s="50"/>
      <c r="H2628" s="50"/>
      <c r="I2628" s="50"/>
      <c r="J2628" s="50"/>
      <c r="K2628" s="50" t="s">
        <v>138</v>
      </c>
      <c r="L2628" s="50"/>
      <c r="M2628" s="50"/>
      <c r="N2628" s="50"/>
      <c r="O2628" s="51"/>
      <c r="P2628" s="50"/>
      <c r="Q2628" s="50"/>
      <c r="R2628" s="50"/>
      <c r="S2628" s="50"/>
      <c r="T2628" s="40"/>
      <c r="AG2628" s="867" t="s">
        <v>241</v>
      </c>
      <c r="AH2628" s="867" t="s">
        <v>242</v>
      </c>
      <c r="AI2628" s="867" t="s">
        <v>243</v>
      </c>
      <c r="AJ2628" s="867" t="s">
        <v>244</v>
      </c>
      <c r="AK2628" s="867" t="s">
        <v>245</v>
      </c>
      <c r="AM2628" s="868" t="s">
        <v>254</v>
      </c>
      <c r="AN2628" s="869" t="s">
        <v>255</v>
      </c>
      <c r="AO2628" s="505" t="s">
        <v>251</v>
      </c>
    </row>
    <row r="2629" spans="1:41" s="504" customFormat="1" ht="12" customHeight="1">
      <c r="A2629" s="870">
        <v>3</v>
      </c>
      <c r="B2629" s="871" t="s">
        <v>335</v>
      </c>
      <c r="C2629" s="872"/>
      <c r="D2629" s="873" t="s">
        <v>821</v>
      </c>
      <c r="E2629" s="874">
        <f ca="1">IF(AND($A2629=0,$A$1="DIF"),0, ROUND(ROUND(($R2634*$S$2+($T2634*$T$2))/A2629,2)*$C$2,2))</f>
        <v>11.35</v>
      </c>
      <c r="F2629" s="875">
        <f ca="1">ROUND($A2629*$E2629,2)</f>
        <v>34.049999999999997</v>
      </c>
      <c r="G2629" s="876" t="s">
        <v>139</v>
      </c>
      <c r="H2629" s="877"/>
      <c r="I2629" s="878"/>
      <c r="J2629" s="877"/>
      <c r="K2629" s="877" t="s">
        <v>3</v>
      </c>
      <c r="L2629" s="879" t="s">
        <v>140</v>
      </c>
      <c r="M2629" s="879"/>
      <c r="N2629" s="879"/>
      <c r="O2629" s="879"/>
      <c r="P2629" s="879"/>
      <c r="Q2629" s="50"/>
      <c r="T2629" s="880" t="str">
        <f ca="1">IF(AND($R2634=0,$T2634=0),"0.00","mu :" &amp; ROUND($F2629/$C$2/($R2634+$T2634*$D$9),2))</f>
        <v>mu :1.22</v>
      </c>
      <c r="W2629" s="507"/>
      <c r="AG2629" s="465">
        <f ca="1">IF($E2629=0,0,ROUND($R2634*$S$2*$C$2/$A2629,2))</f>
        <v>0.1</v>
      </c>
      <c r="AH2629" s="465">
        <f ca="1">$AG2629*$A2629</f>
        <v>0.30000000000000004</v>
      </c>
      <c r="AI2629" s="508">
        <f ca="1">$E2629-$AG2629</f>
        <v>11.25</v>
      </c>
      <c r="AJ2629" s="508">
        <f ca="1">$A2629*$AI2629</f>
        <v>33.75</v>
      </c>
      <c r="AK2629" s="509">
        <f ca="1">ROUND(($AG2629+$AI2629)*$A2629,2)</f>
        <v>34.049999999999997</v>
      </c>
      <c r="AM2629" s="510">
        <f ca="1">ROUND(R2634,2)</f>
        <v>0.24</v>
      </c>
      <c r="AN2629" s="511">
        <f ca="1">ROUND(T2634,2)</f>
        <v>0.96</v>
      </c>
      <c r="AO2629" s="512">
        <f ca="1">ROUND(AM2629+AN2629,2)*A2629</f>
        <v>3.5999999999999996</v>
      </c>
    </row>
    <row r="2630" spans="1:41" s="504" customFormat="1" ht="13.2">
      <c r="A2630" s="872"/>
      <c r="B2630"/>
      <c r="C2630" s="872"/>
      <c r="D2630" s="873" t="s">
        <v>356</v>
      </c>
      <c r="F2630" s="877"/>
      <c r="G2630" s="3"/>
      <c r="H2630" s="877"/>
      <c r="I2630" s="878"/>
      <c r="J2630" s="877"/>
      <c r="K2630" s="877" t="s">
        <v>141</v>
      </c>
      <c r="L2630" s="877"/>
      <c r="M2630" s="877"/>
      <c r="N2630" s="877"/>
      <c r="O2630" s="877"/>
      <c r="P2630" s="877"/>
      <c r="Q2630" s="50"/>
      <c r="R2630" s="513"/>
      <c r="S2630" s="881"/>
      <c r="T2630" s="877"/>
    </row>
    <row r="2631" spans="1:41" s="997" customFormat="1" ht="13.2">
      <c r="A2631"/>
      <c r="B2631" s="1065"/>
      <c r="C2631" s="1065" t="s">
        <v>1006</v>
      </c>
      <c r="D2631" s="1065" t="str">
        <f ca="1">CELL("Address",Elec_Rates!D$322)</f>
        <v>[EL25_0662B_Brittania_Hotel_Elec_Revised_Estim_B.xlsx]Elec_Rates!$D$322</v>
      </c>
      <c r="E2631" s="1066"/>
      <c r="F2631" s="1066"/>
      <c r="G2631" s="1067" t="s">
        <v>1007</v>
      </c>
      <c r="H2631" s="1067"/>
      <c r="I2631" s="1067"/>
      <c r="J2631" s="1067"/>
      <c r="K2631" s="1068"/>
      <c r="L2631" s="1066"/>
      <c r="M2631" s="1066"/>
      <c r="N2631" s="1066"/>
      <c r="O2631" s="1069"/>
      <c r="P2631" s="1066"/>
      <c r="Q2631" s="1070"/>
      <c r="R2631" s="1071"/>
      <c r="S2631" s="1070"/>
      <c r="T2631" s="1072"/>
      <c r="U2631" s="1073"/>
    </row>
    <row r="2632" spans="1:41" s="997" customFormat="1" ht="11.4">
      <c r="A2632" s="1074">
        <v>3</v>
      </c>
      <c r="B2632" s="1075">
        <v>1</v>
      </c>
      <c r="C2632" s="1075">
        <f>$A2632*$B2632</f>
        <v>3</v>
      </c>
      <c r="D2632" s="1076" t="str">
        <f>Elec_Rates!$D$322</f>
        <v>036# Install and connect Only - Type 'LD-11' - Hallway Wall Light</v>
      </c>
      <c r="E2632" s="1076"/>
      <c r="F2632" s="1076"/>
      <c r="G2632" s="1077" t="s">
        <v>1008</v>
      </c>
      <c r="H2632" s="1077"/>
      <c r="I2632" s="1077"/>
      <c r="J2632" s="1077"/>
      <c r="K2632" s="1078"/>
      <c r="L2632" s="1073"/>
      <c r="M2632" s="1073"/>
      <c r="N2632" s="1073"/>
      <c r="O2632" s="1079"/>
      <c r="P2632" s="1076"/>
      <c r="Q2632" s="1080">
        <f ca="1">$B2632*Elec_Rates!$R$322</f>
        <v>0.08</v>
      </c>
      <c r="R2632" s="1071">
        <f ca="1">$A2632*Q2632</f>
        <v>0.24</v>
      </c>
      <c r="S2632" s="1080">
        <f ca="1">$B2632*Elec_Rates!$T$322</f>
        <v>0.32</v>
      </c>
      <c r="T2632" s="1072">
        <f ca="1">$A2632*S2632</f>
        <v>0.96</v>
      </c>
      <c r="U2632" s="1081"/>
    </row>
    <row r="2633" spans="1:41" s="504" customFormat="1" ht="12">
      <c r="A2633" s="882"/>
      <c r="B2633" s="882"/>
      <c r="C2633" s="882"/>
      <c r="D2633" s="882"/>
      <c r="E2633" s="882"/>
      <c r="F2633" s="877"/>
      <c r="G2633" s="882"/>
      <c r="H2633" s="882"/>
      <c r="I2633" s="503"/>
      <c r="J2633" s="882"/>
      <c r="K2633" s="882"/>
      <c r="L2633" s="882"/>
      <c r="M2633" s="882"/>
      <c r="N2633" s="882"/>
      <c r="O2633" s="882"/>
      <c r="P2633" s="882"/>
      <c r="Q2633" s="503"/>
      <c r="R2633" s="883">
        <f>$A2633*Q2633</f>
        <v>0</v>
      </c>
      <c r="S2633" s="503"/>
      <c r="T2633" s="884">
        <f>$A2633*S2633*$T$1</f>
        <v>0</v>
      </c>
    </row>
    <row r="2634" spans="1:41" s="504" customFormat="1" ht="12.6" thickBot="1">
      <c r="A2634" s="885" t="s">
        <v>142</v>
      </c>
      <c r="B2634" s="886">
        <f>(R2633+T2633)</f>
        <v>0</v>
      </c>
      <c r="C2634" s="887"/>
      <c r="D2634" s="887"/>
      <c r="E2634" s="887"/>
      <c r="F2634" s="888"/>
      <c r="G2634" s="887" t="s">
        <v>143</v>
      </c>
      <c r="H2634" s="887"/>
      <c r="I2634" s="889"/>
      <c r="J2634" s="887"/>
      <c r="K2634" s="887" t="s">
        <v>3</v>
      </c>
      <c r="L2634" s="890" t="s">
        <v>140</v>
      </c>
      <c r="M2634" s="890"/>
      <c r="N2634" s="890"/>
      <c r="O2634" s="890"/>
      <c r="P2634" s="890"/>
      <c r="Q2634" s="891"/>
      <c r="R2634" s="892">
        <f ca="1">SUM(R2630:R2633)</f>
        <v>0.24</v>
      </c>
      <c r="S2634" s="887"/>
      <c r="T2634" s="892">
        <f ca="1">SUM(T2630:T2633)</f>
        <v>0.96</v>
      </c>
      <c r="U2634" s="514"/>
      <c r="V2634" s="514"/>
      <c r="W2634" s="514"/>
      <c r="X2634" s="514"/>
      <c r="Y2634" s="514"/>
      <c r="Z2634" s="514"/>
      <c r="AA2634" s="514"/>
      <c r="AB2634" s="514"/>
      <c r="AC2634" s="514"/>
      <c r="AD2634" s="514"/>
      <c r="AE2634" s="514"/>
      <c r="AF2634" s="514"/>
      <c r="AG2634" s="514"/>
      <c r="AH2634" s="514"/>
      <c r="AI2634" s="514"/>
      <c r="AJ2634" s="514"/>
      <c r="AK2634" s="514"/>
      <c r="AL2634" s="514"/>
      <c r="AM2634" s="514"/>
      <c r="AN2634" s="514"/>
      <c r="AO2634" s="514"/>
    </row>
    <row r="2635" spans="1:41" s="504" customFormat="1" ht="12" thickTop="1">
      <c r="A2635" s="50"/>
      <c r="B2635" s="40"/>
      <c r="C2635" s="50"/>
      <c r="E2635" s="41" t="s">
        <v>136</v>
      </c>
      <c r="F2635" s="41" t="s">
        <v>137</v>
      </c>
      <c r="G2635" s="50"/>
      <c r="H2635" s="50"/>
      <c r="I2635" s="50"/>
      <c r="J2635" s="50"/>
      <c r="K2635" s="50" t="s">
        <v>138</v>
      </c>
      <c r="L2635" s="50"/>
      <c r="M2635" s="50"/>
      <c r="N2635" s="50"/>
      <c r="O2635" s="51"/>
      <c r="P2635" s="50"/>
      <c r="Q2635" s="50"/>
      <c r="R2635" s="50"/>
      <c r="S2635" s="50"/>
      <c r="T2635" s="40"/>
      <c r="AG2635" s="867" t="s">
        <v>241</v>
      </c>
      <c r="AH2635" s="867" t="s">
        <v>242</v>
      </c>
      <c r="AI2635" s="867" t="s">
        <v>243</v>
      </c>
      <c r="AJ2635" s="867" t="s">
        <v>244</v>
      </c>
      <c r="AK2635" s="867" t="s">
        <v>245</v>
      </c>
      <c r="AM2635" s="868" t="s">
        <v>254</v>
      </c>
      <c r="AN2635" s="869" t="s">
        <v>255</v>
      </c>
      <c r="AO2635" s="505" t="s">
        <v>251</v>
      </c>
    </row>
    <row r="2636" spans="1:41" s="504" customFormat="1" ht="12" customHeight="1">
      <c r="A2636" s="870">
        <v>6</v>
      </c>
      <c r="B2636" s="871" t="s">
        <v>335</v>
      </c>
      <c r="C2636" s="872"/>
      <c r="D2636" s="873" t="s">
        <v>822</v>
      </c>
      <c r="E2636" s="874">
        <f ca="1">IF(AND($A2636=0,$A$1="DIF"),0, ROUND(ROUND(($R2641*$S$2+($T2641*$T$2))/A2636,2)*$C$2,2))</f>
        <v>11.35</v>
      </c>
      <c r="F2636" s="875">
        <f ca="1">ROUND($A2636*$E2636,2)</f>
        <v>68.099999999999994</v>
      </c>
      <c r="G2636" s="876" t="s">
        <v>139</v>
      </c>
      <c r="H2636" s="877"/>
      <c r="I2636" s="878"/>
      <c r="J2636" s="877"/>
      <c r="K2636" s="877" t="s">
        <v>3</v>
      </c>
      <c r="L2636" s="879" t="s">
        <v>140</v>
      </c>
      <c r="M2636" s="879"/>
      <c r="N2636" s="879"/>
      <c r="O2636" s="879"/>
      <c r="P2636" s="879"/>
      <c r="Q2636" s="50"/>
      <c r="T2636" s="880" t="str">
        <f ca="1">IF(AND($R2641=0,$T2641=0),"0.00","mu :" &amp; ROUND($F2636/$C$2/($R2641+$T2641*$D$9),2))</f>
        <v>mu :1.22</v>
      </c>
      <c r="W2636" s="507"/>
      <c r="AG2636" s="465">
        <f ca="1">IF($E2636=0,0,ROUND($R2641*$S$2*$C$2/$A2636,2))</f>
        <v>0.1</v>
      </c>
      <c r="AH2636" s="465">
        <f ca="1">$AG2636*$A2636</f>
        <v>0.60000000000000009</v>
      </c>
      <c r="AI2636" s="508">
        <f ca="1">$E2636-$AG2636</f>
        <v>11.25</v>
      </c>
      <c r="AJ2636" s="508">
        <f ca="1">$A2636*$AI2636</f>
        <v>67.5</v>
      </c>
      <c r="AK2636" s="509">
        <f ca="1">ROUND(($AG2636+$AI2636)*$A2636,2)</f>
        <v>68.099999999999994</v>
      </c>
      <c r="AM2636" s="510">
        <f ca="1">ROUND(R2641,2)</f>
        <v>0.48</v>
      </c>
      <c r="AN2636" s="511">
        <f ca="1">ROUND(T2641,2)</f>
        <v>1.92</v>
      </c>
      <c r="AO2636" s="512">
        <f ca="1">ROUND(AM2636+AN2636,2)*A2636</f>
        <v>14.399999999999999</v>
      </c>
    </row>
    <row r="2637" spans="1:41" s="504" customFormat="1" ht="13.2">
      <c r="A2637" s="872"/>
      <c r="B2637"/>
      <c r="C2637" s="872"/>
      <c r="D2637" s="873" t="s">
        <v>422</v>
      </c>
      <c r="F2637" s="877"/>
      <c r="G2637" s="3"/>
      <c r="H2637" s="877"/>
      <c r="I2637" s="878"/>
      <c r="J2637" s="877"/>
      <c r="K2637" s="877" t="s">
        <v>141</v>
      </c>
      <c r="L2637" s="877"/>
      <c r="M2637" s="877"/>
      <c r="N2637" s="877"/>
      <c r="O2637" s="877"/>
      <c r="P2637" s="877"/>
      <c r="Q2637" s="50"/>
      <c r="R2637" s="513"/>
      <c r="S2637" s="881"/>
      <c r="T2637" s="877"/>
    </row>
    <row r="2638" spans="1:41" s="997" customFormat="1" ht="13.2">
      <c r="A2638"/>
      <c r="B2638" s="1065"/>
      <c r="C2638" s="1065" t="s">
        <v>1006</v>
      </c>
      <c r="D2638" s="1065" t="str">
        <f ca="1">CELL("Address",Elec_Rates!D$330)</f>
        <v>[EL25_0662B_Brittania_Hotel_Elec_Revised_Estim_B.xlsx]Elec_Rates!$D$330</v>
      </c>
      <c r="E2638" s="1066"/>
      <c r="F2638" s="1066"/>
      <c r="G2638" s="1067" t="s">
        <v>1007</v>
      </c>
      <c r="H2638" s="1067"/>
      <c r="I2638" s="1067"/>
      <c r="J2638" s="1067"/>
      <c r="K2638" s="1068"/>
      <c r="L2638" s="1066"/>
      <c r="M2638" s="1066"/>
      <c r="N2638" s="1066"/>
      <c r="O2638" s="1069"/>
      <c r="P2638" s="1066"/>
      <c r="Q2638" s="1070"/>
      <c r="R2638" s="1071"/>
      <c r="S2638" s="1070"/>
      <c r="T2638" s="1072"/>
      <c r="U2638" s="1073"/>
    </row>
    <row r="2639" spans="1:41" s="997" customFormat="1" ht="11.4">
      <c r="A2639" s="1074">
        <v>6</v>
      </c>
      <c r="B2639" s="1075">
        <v>1</v>
      </c>
      <c r="C2639" s="1075">
        <f>$A2639*$B2639</f>
        <v>6</v>
      </c>
      <c r="D2639" s="1076" t="str">
        <f>Elec_Rates!$D$330</f>
        <v>037# Install and connect Only - Type 'LD-12' - Reading Lights</v>
      </c>
      <c r="E2639" s="1076"/>
      <c r="F2639" s="1076"/>
      <c r="G2639" s="1077" t="s">
        <v>1008</v>
      </c>
      <c r="H2639" s="1077"/>
      <c r="I2639" s="1077"/>
      <c r="J2639" s="1077"/>
      <c r="K2639" s="1078"/>
      <c r="L2639" s="1073"/>
      <c r="M2639" s="1073"/>
      <c r="N2639" s="1073"/>
      <c r="O2639" s="1079"/>
      <c r="P2639" s="1076"/>
      <c r="Q2639" s="1080">
        <f ca="1">$B2639*Elec_Rates!$R$330</f>
        <v>0.08</v>
      </c>
      <c r="R2639" s="1071">
        <f ca="1">$A2639*Q2639</f>
        <v>0.48</v>
      </c>
      <c r="S2639" s="1080">
        <f ca="1">$B2639*Elec_Rates!$T$330</f>
        <v>0.32</v>
      </c>
      <c r="T2639" s="1072">
        <f ca="1">$A2639*S2639</f>
        <v>1.92</v>
      </c>
      <c r="U2639" s="1081"/>
    </row>
    <row r="2640" spans="1:41" s="504" customFormat="1" ht="12">
      <c r="A2640" s="882"/>
      <c r="B2640" s="882"/>
      <c r="C2640" s="882"/>
      <c r="D2640" s="882"/>
      <c r="E2640" s="882"/>
      <c r="F2640" s="877"/>
      <c r="G2640" s="882"/>
      <c r="H2640" s="882"/>
      <c r="I2640" s="503"/>
      <c r="J2640" s="882"/>
      <c r="K2640" s="882"/>
      <c r="L2640" s="882"/>
      <c r="M2640" s="882"/>
      <c r="N2640" s="882"/>
      <c r="O2640" s="882"/>
      <c r="P2640" s="882"/>
      <c r="Q2640" s="503"/>
      <c r="R2640" s="883">
        <f>$A2640*Q2640</f>
        <v>0</v>
      </c>
      <c r="S2640" s="503"/>
      <c r="T2640" s="884">
        <f>$A2640*S2640*$T$1</f>
        <v>0</v>
      </c>
    </row>
    <row r="2641" spans="1:41" s="504" customFormat="1" ht="12.6" thickBot="1">
      <c r="A2641" s="885" t="s">
        <v>142</v>
      </c>
      <c r="B2641" s="886">
        <f>(R2640+T2640)</f>
        <v>0</v>
      </c>
      <c r="C2641" s="887"/>
      <c r="D2641" s="887"/>
      <c r="E2641" s="887"/>
      <c r="F2641" s="888"/>
      <c r="G2641" s="887" t="s">
        <v>143</v>
      </c>
      <c r="H2641" s="887"/>
      <c r="I2641" s="889"/>
      <c r="J2641" s="887"/>
      <c r="K2641" s="887" t="s">
        <v>3</v>
      </c>
      <c r="L2641" s="890" t="s">
        <v>140</v>
      </c>
      <c r="M2641" s="890"/>
      <c r="N2641" s="890"/>
      <c r="O2641" s="890"/>
      <c r="P2641" s="890"/>
      <c r="Q2641" s="891"/>
      <c r="R2641" s="892">
        <f ca="1">SUM(R2637:R2640)</f>
        <v>0.48</v>
      </c>
      <c r="S2641" s="887"/>
      <c r="T2641" s="892">
        <f ca="1">SUM(T2637:T2640)</f>
        <v>1.92</v>
      </c>
      <c r="U2641" s="514"/>
      <c r="V2641" s="514"/>
      <c r="W2641" s="514"/>
      <c r="X2641" s="514"/>
      <c r="Y2641" s="514"/>
      <c r="Z2641" s="514"/>
      <c r="AA2641" s="514"/>
      <c r="AB2641" s="514"/>
      <c r="AC2641" s="514"/>
      <c r="AD2641" s="514"/>
      <c r="AE2641" s="514"/>
      <c r="AF2641" s="514"/>
      <c r="AG2641" s="514"/>
      <c r="AH2641" s="514"/>
      <c r="AI2641" s="514"/>
      <c r="AJ2641" s="514"/>
      <c r="AK2641" s="514"/>
      <c r="AL2641" s="514"/>
      <c r="AM2641" s="514"/>
      <c r="AN2641" s="514"/>
      <c r="AO2641" s="514"/>
    </row>
    <row r="2642" spans="1:41" s="504" customFormat="1" ht="12" thickTop="1">
      <c r="A2642" s="50"/>
      <c r="B2642" s="40"/>
      <c r="C2642" s="50"/>
      <c r="E2642" s="41" t="s">
        <v>136</v>
      </c>
      <c r="F2642" s="41" t="s">
        <v>137</v>
      </c>
      <c r="G2642" s="50"/>
      <c r="H2642" s="50"/>
      <c r="I2642" s="50"/>
      <c r="J2642" s="50"/>
      <c r="K2642" s="50" t="s">
        <v>138</v>
      </c>
      <c r="L2642" s="50"/>
      <c r="M2642" s="50"/>
      <c r="N2642" s="50"/>
      <c r="O2642" s="51"/>
      <c r="P2642" s="50"/>
      <c r="Q2642" s="50"/>
      <c r="R2642" s="50"/>
      <c r="S2642" s="50"/>
      <c r="T2642" s="40"/>
      <c r="AG2642" s="867" t="s">
        <v>241</v>
      </c>
      <c r="AH2642" s="867" t="s">
        <v>242</v>
      </c>
      <c r="AI2642" s="867" t="s">
        <v>243</v>
      </c>
      <c r="AJ2642" s="867" t="s">
        <v>244</v>
      </c>
      <c r="AK2642" s="867" t="s">
        <v>245</v>
      </c>
      <c r="AM2642" s="868" t="s">
        <v>254</v>
      </c>
      <c r="AN2642" s="869" t="s">
        <v>255</v>
      </c>
      <c r="AO2642" s="505" t="s">
        <v>251</v>
      </c>
    </row>
    <row r="2643" spans="1:41" s="504" customFormat="1" ht="12" customHeight="1">
      <c r="A2643" s="870">
        <v>5</v>
      </c>
      <c r="B2643" s="871" t="s">
        <v>335</v>
      </c>
      <c r="C2643" s="872"/>
      <c r="D2643" s="873" t="s">
        <v>823</v>
      </c>
      <c r="E2643" s="874">
        <f ca="1">IF(AND($A2643=0,$A$1="DIF"),0, ROUND(ROUND(($R2648*$S$2+($T2648*$T$2))/A2643,2)*$C$2,2))</f>
        <v>11.35</v>
      </c>
      <c r="F2643" s="875">
        <f ca="1">ROUND($A2643*$E2643,2)</f>
        <v>56.75</v>
      </c>
      <c r="G2643" s="876" t="s">
        <v>139</v>
      </c>
      <c r="H2643" s="877"/>
      <c r="I2643" s="878"/>
      <c r="J2643" s="877"/>
      <c r="K2643" s="877" t="s">
        <v>3</v>
      </c>
      <c r="L2643" s="879" t="s">
        <v>140</v>
      </c>
      <c r="M2643" s="879"/>
      <c r="N2643" s="879"/>
      <c r="O2643" s="879"/>
      <c r="P2643" s="879"/>
      <c r="Q2643" s="50"/>
      <c r="T2643" s="880" t="str">
        <f ca="1">IF(AND($R2648=0,$T2648=0),"0.00","mu :" &amp; ROUND($F2643/$C$2/($R2648+$T2648*$D$9),2))</f>
        <v>mu :1.22</v>
      </c>
      <c r="W2643" s="507"/>
      <c r="AG2643" s="465">
        <f ca="1">IF($E2643=0,0,ROUND($R2648*$S$2*$C$2/$A2643,2))</f>
        <v>0.1</v>
      </c>
      <c r="AH2643" s="465">
        <f ca="1">$AG2643*$A2643</f>
        <v>0.5</v>
      </c>
      <c r="AI2643" s="508">
        <f ca="1">$E2643-$AG2643</f>
        <v>11.25</v>
      </c>
      <c r="AJ2643" s="508">
        <f ca="1">$A2643*$AI2643</f>
        <v>56.25</v>
      </c>
      <c r="AK2643" s="509">
        <f ca="1">ROUND(($AG2643+$AI2643)*$A2643,2)</f>
        <v>56.75</v>
      </c>
      <c r="AM2643" s="510">
        <f ca="1">ROUND(R2648,2)</f>
        <v>0.4</v>
      </c>
      <c r="AN2643" s="511">
        <f ca="1">ROUND(T2648,2)</f>
        <v>1.6</v>
      </c>
      <c r="AO2643" s="512">
        <f ca="1">ROUND(AM2643+AN2643,2)*A2643</f>
        <v>10</v>
      </c>
    </row>
    <row r="2644" spans="1:41" s="504" customFormat="1" ht="13.2">
      <c r="A2644" s="872"/>
      <c r="B2644"/>
      <c r="C2644" s="872"/>
      <c r="D2644" s="873" t="s">
        <v>423</v>
      </c>
      <c r="F2644" s="877"/>
      <c r="G2644" s="3"/>
      <c r="H2644" s="877"/>
      <c r="I2644" s="878"/>
      <c r="J2644" s="877"/>
      <c r="K2644" s="877" t="s">
        <v>141</v>
      </c>
      <c r="L2644" s="877"/>
      <c r="M2644" s="877"/>
      <c r="N2644" s="877"/>
      <c r="O2644" s="877"/>
      <c r="P2644" s="877"/>
      <c r="Q2644" s="50"/>
      <c r="R2644" s="513"/>
      <c r="S2644" s="881"/>
      <c r="T2644" s="877"/>
    </row>
    <row r="2645" spans="1:41" s="997" customFormat="1" ht="13.2">
      <c r="A2645"/>
      <c r="B2645" s="1065"/>
      <c r="C2645" s="1065" t="s">
        <v>1006</v>
      </c>
      <c r="D2645" s="1065" t="str">
        <f ca="1">CELL("Address",Elec_Rates!D$353)</f>
        <v>[EL25_0662B_Brittania_Hotel_Elec_Revised_Estim_B.xlsx]Elec_Rates!$D$353</v>
      </c>
      <c r="E2645" s="1066"/>
      <c r="F2645" s="1066"/>
      <c r="G2645" s="1067" t="s">
        <v>1007</v>
      </c>
      <c r="H2645" s="1067"/>
      <c r="I2645" s="1067"/>
      <c r="J2645" s="1067"/>
      <c r="K2645" s="1068"/>
      <c r="L2645" s="1066"/>
      <c r="M2645" s="1066"/>
      <c r="N2645" s="1066"/>
      <c r="O2645" s="1069"/>
      <c r="P2645" s="1066"/>
      <c r="Q2645" s="1070"/>
      <c r="R2645" s="1071"/>
      <c r="S2645" s="1070"/>
      <c r="T2645" s="1072"/>
      <c r="U2645" s="1073"/>
    </row>
    <row r="2646" spans="1:41" s="997" customFormat="1" ht="11.4">
      <c r="A2646" s="1074">
        <v>5</v>
      </c>
      <c r="B2646" s="1075">
        <v>1</v>
      </c>
      <c r="C2646" s="1075">
        <f>$A2646*$B2646</f>
        <v>5</v>
      </c>
      <c r="D2646" s="1076" t="str">
        <f>Elec_Rates!$D$353</f>
        <v>040# Install and connect Only - Type 'LD-15' - Bathrooms Wall Light</v>
      </c>
      <c r="E2646" s="1076"/>
      <c r="F2646" s="1076"/>
      <c r="G2646" s="1077" t="s">
        <v>1008</v>
      </c>
      <c r="H2646" s="1077"/>
      <c r="I2646" s="1077"/>
      <c r="J2646" s="1077"/>
      <c r="K2646" s="1078"/>
      <c r="L2646" s="1073"/>
      <c r="M2646" s="1073"/>
      <c r="N2646" s="1073"/>
      <c r="O2646" s="1079"/>
      <c r="P2646" s="1076"/>
      <c r="Q2646" s="1080">
        <f ca="1">$B2646*Elec_Rates!$R$353</f>
        <v>0.08</v>
      </c>
      <c r="R2646" s="1071">
        <f ca="1">$A2646*Q2646</f>
        <v>0.4</v>
      </c>
      <c r="S2646" s="1080">
        <f ca="1">$B2646*Elec_Rates!$T$353</f>
        <v>0.32</v>
      </c>
      <c r="T2646" s="1072">
        <f ca="1">$A2646*S2646</f>
        <v>1.6</v>
      </c>
      <c r="U2646" s="1081"/>
    </row>
    <row r="2647" spans="1:41" s="504" customFormat="1" ht="12">
      <c r="A2647" s="882"/>
      <c r="B2647" s="882"/>
      <c r="C2647" s="882"/>
      <c r="D2647" s="882"/>
      <c r="E2647" s="882"/>
      <c r="F2647" s="877"/>
      <c r="G2647" s="882"/>
      <c r="H2647" s="882"/>
      <c r="I2647" s="503"/>
      <c r="J2647" s="882"/>
      <c r="K2647" s="882"/>
      <c r="L2647" s="882"/>
      <c r="M2647" s="882"/>
      <c r="N2647" s="882"/>
      <c r="O2647" s="882"/>
      <c r="P2647" s="882"/>
      <c r="Q2647" s="503"/>
      <c r="R2647" s="883">
        <f>$A2647*Q2647</f>
        <v>0</v>
      </c>
      <c r="S2647" s="503"/>
      <c r="T2647" s="884">
        <f>$A2647*S2647*$T$1</f>
        <v>0</v>
      </c>
    </row>
    <row r="2648" spans="1:41" s="504" customFormat="1" ht="12.6" thickBot="1">
      <c r="A2648" s="885" t="s">
        <v>142</v>
      </c>
      <c r="B2648" s="886">
        <f>(R2647+T2647)</f>
        <v>0</v>
      </c>
      <c r="C2648" s="887"/>
      <c r="D2648" s="887"/>
      <c r="E2648" s="887"/>
      <c r="F2648" s="888"/>
      <c r="G2648" s="887" t="s">
        <v>143</v>
      </c>
      <c r="H2648" s="887"/>
      <c r="I2648" s="889"/>
      <c r="J2648" s="887"/>
      <c r="K2648" s="887" t="s">
        <v>3</v>
      </c>
      <c r="L2648" s="890" t="s">
        <v>140</v>
      </c>
      <c r="M2648" s="890"/>
      <c r="N2648" s="890"/>
      <c r="O2648" s="890"/>
      <c r="P2648" s="890"/>
      <c r="Q2648" s="891"/>
      <c r="R2648" s="892">
        <f ca="1">SUM(R2644:R2647)</f>
        <v>0.4</v>
      </c>
      <c r="S2648" s="887"/>
      <c r="T2648" s="892">
        <f ca="1">SUM(T2644:T2647)</f>
        <v>1.6</v>
      </c>
      <c r="U2648" s="514"/>
      <c r="V2648" s="514"/>
      <c r="W2648" s="514"/>
      <c r="X2648" s="514"/>
      <c r="Y2648" s="514"/>
      <c r="Z2648" s="514"/>
      <c r="AA2648" s="514"/>
      <c r="AB2648" s="514"/>
      <c r="AC2648" s="514"/>
      <c r="AD2648" s="514"/>
      <c r="AE2648" s="514"/>
      <c r="AF2648" s="514"/>
      <c r="AG2648" s="514"/>
      <c r="AH2648" s="514"/>
      <c r="AI2648" s="514"/>
      <c r="AJ2648" s="514"/>
      <c r="AK2648" s="514"/>
      <c r="AL2648" s="514"/>
      <c r="AM2648" s="514"/>
      <c r="AN2648" s="514"/>
      <c r="AO2648" s="514"/>
    </row>
    <row r="2649" spans="1:41" s="504" customFormat="1" ht="12" thickTop="1">
      <c r="A2649" s="50"/>
      <c r="B2649" s="40"/>
      <c r="C2649" s="50"/>
      <c r="E2649" s="41" t="s">
        <v>136</v>
      </c>
      <c r="F2649" s="41" t="s">
        <v>137</v>
      </c>
      <c r="G2649" s="50"/>
      <c r="H2649" s="50"/>
      <c r="I2649" s="50"/>
      <c r="J2649" s="50"/>
      <c r="K2649" s="50" t="s">
        <v>138</v>
      </c>
      <c r="L2649" s="50"/>
      <c r="M2649" s="50"/>
      <c r="N2649" s="50"/>
      <c r="O2649" s="51"/>
      <c r="P2649" s="50"/>
      <c r="Q2649" s="50"/>
      <c r="R2649" s="50"/>
      <c r="S2649" s="50"/>
      <c r="T2649" s="40"/>
      <c r="AG2649" s="867" t="s">
        <v>241</v>
      </c>
      <c r="AH2649" s="867" t="s">
        <v>242</v>
      </c>
      <c r="AI2649" s="867" t="s">
        <v>243</v>
      </c>
      <c r="AJ2649" s="867" t="s">
        <v>244</v>
      </c>
      <c r="AK2649" s="867" t="s">
        <v>245</v>
      </c>
      <c r="AM2649" s="868" t="s">
        <v>254</v>
      </c>
      <c r="AN2649" s="869" t="s">
        <v>255</v>
      </c>
      <c r="AO2649" s="505" t="s">
        <v>251</v>
      </c>
    </row>
    <row r="2650" spans="1:41" s="504" customFormat="1" ht="12" customHeight="1">
      <c r="A2650" s="870">
        <v>11</v>
      </c>
      <c r="B2650" s="871" t="s">
        <v>335</v>
      </c>
      <c r="C2650" s="872"/>
      <c r="D2650" s="873" t="s">
        <v>824</v>
      </c>
      <c r="E2650" s="874">
        <f>IF(AND($A2650=0,$A$1="DIF"),0, ROUND(ROUND(($R2654*$S$2+($T2654*$T$2))/A2650,2)*$C$2,2))</f>
        <v>0</v>
      </c>
      <c r="F2650" s="875">
        <f>ROUND($A2650*$E2650,2)</f>
        <v>0</v>
      </c>
      <c r="G2650" s="876" t="s">
        <v>139</v>
      </c>
      <c r="H2650" s="877"/>
      <c r="I2650" s="878"/>
      <c r="J2650" s="877"/>
      <c r="K2650" s="877" t="s">
        <v>3</v>
      </c>
      <c r="L2650" s="879" t="s">
        <v>140</v>
      </c>
      <c r="M2650" s="879"/>
      <c r="N2650" s="879"/>
      <c r="O2650" s="879"/>
      <c r="P2650" s="879"/>
      <c r="Q2650" s="50" t="s">
        <v>1335</v>
      </c>
      <c r="T2650" s="880" t="str">
        <f>IF(AND($R2654=0,$T2654=0),"0.00","mu :" &amp; ROUND($F2650/$C$2/($R2654+$T2654*$D$9),2))</f>
        <v>0.00</v>
      </c>
      <c r="W2650" s="507"/>
      <c r="AG2650" s="465">
        <f>IF($E2650=0,0,ROUND($R2654*$S$2*$C$2/$A2650,2))</f>
        <v>0</v>
      </c>
      <c r="AH2650" s="465">
        <f>$AG2650*$A2650</f>
        <v>0</v>
      </c>
      <c r="AI2650" s="508">
        <f>$E2650-$AG2650</f>
        <v>0</v>
      </c>
      <c r="AJ2650" s="508">
        <f>$A2650*$AI2650</f>
        <v>0</v>
      </c>
      <c r="AK2650" s="509">
        <f>ROUND(($AG2650+$AI2650)*$A2650,2)</f>
        <v>0</v>
      </c>
      <c r="AM2650" s="510">
        <f>ROUND(R2654,2)</f>
        <v>0</v>
      </c>
      <c r="AN2650" s="511">
        <f>ROUND(T2654,2)</f>
        <v>0</v>
      </c>
      <c r="AO2650" s="512">
        <f>ROUND(AM2650+AN2650,2)*A2650</f>
        <v>0</v>
      </c>
    </row>
    <row r="2651" spans="1:41" s="504" customFormat="1" ht="13.2">
      <c r="A2651" s="872"/>
      <c r="B2651"/>
      <c r="C2651" s="872"/>
      <c r="D2651" s="873" t="s">
        <v>381</v>
      </c>
      <c r="F2651" s="877"/>
      <c r="G2651" s="3"/>
      <c r="H2651" s="877"/>
      <c r="I2651" s="878"/>
      <c r="J2651" s="877"/>
      <c r="K2651" s="877" t="s">
        <v>141</v>
      </c>
      <c r="L2651" s="877"/>
      <c r="M2651" s="877"/>
      <c r="N2651" s="877"/>
      <c r="O2651" s="877"/>
      <c r="P2651" s="877"/>
      <c r="Q2651" s="50"/>
      <c r="R2651" s="513"/>
      <c r="S2651" s="881"/>
      <c r="T2651" s="877"/>
    </row>
    <row r="2652" spans="1:41" s="1039" customFormat="1" ht="11.4">
      <c r="A2652" s="1074">
        <v>11</v>
      </c>
      <c r="B2652" s="1039" t="s">
        <v>949</v>
      </c>
      <c r="D2652" s="1039" t="s">
        <v>1286</v>
      </c>
      <c r="G2652" s="1040" t="s">
        <v>1182</v>
      </c>
      <c r="H2652" s="1041">
        <v>705</v>
      </c>
      <c r="I2652" s="1039" t="s">
        <v>1183</v>
      </c>
      <c r="J2652" s="1039" t="s">
        <v>1184</v>
      </c>
      <c r="O2652" s="1042">
        <v>3</v>
      </c>
      <c r="P2652" s="1043">
        <v>34669</v>
      </c>
      <c r="Q2652" s="1044">
        <v>0</v>
      </c>
      <c r="R2652" s="1045">
        <f>$A2652*Q2652</f>
        <v>0</v>
      </c>
      <c r="S2652" s="1044"/>
      <c r="T2652" s="1046">
        <f>$A2652*S2652*$T$1</f>
        <v>0</v>
      </c>
    </row>
    <row r="2653" spans="1:41" s="504" customFormat="1" ht="12">
      <c r="A2653" s="882"/>
      <c r="B2653" s="882"/>
      <c r="C2653" s="882"/>
      <c r="D2653" s="882"/>
      <c r="E2653" s="882"/>
      <c r="F2653" s="877"/>
      <c r="G2653" s="882"/>
      <c r="H2653" s="882"/>
      <c r="I2653" s="503"/>
      <c r="J2653" s="882"/>
      <c r="K2653" s="882"/>
      <c r="L2653" s="882"/>
      <c r="M2653" s="882"/>
      <c r="N2653" s="882"/>
      <c r="O2653" s="882"/>
      <c r="P2653" s="882"/>
      <c r="Q2653" s="503"/>
      <c r="R2653" s="883">
        <f>$A2653*Q2653</f>
        <v>0</v>
      </c>
      <c r="S2653" s="503"/>
      <c r="T2653" s="884">
        <f>$A2653*S2653*$T$1</f>
        <v>0</v>
      </c>
    </row>
    <row r="2654" spans="1:41" s="504" customFormat="1" ht="12.6" thickBot="1">
      <c r="A2654" s="885" t="s">
        <v>142</v>
      </c>
      <c r="B2654" s="886">
        <f>(R2653+T2653)</f>
        <v>0</v>
      </c>
      <c r="C2654" s="887"/>
      <c r="D2654" s="887"/>
      <c r="E2654" s="887"/>
      <c r="F2654" s="888"/>
      <c r="G2654" s="887" t="s">
        <v>143</v>
      </c>
      <c r="H2654" s="887"/>
      <c r="I2654" s="889"/>
      <c r="J2654" s="887"/>
      <c r="K2654" s="887" t="s">
        <v>3</v>
      </c>
      <c r="L2654" s="890" t="s">
        <v>140</v>
      </c>
      <c r="M2654" s="890"/>
      <c r="N2654" s="890"/>
      <c r="O2654" s="890"/>
      <c r="P2654" s="890"/>
      <c r="Q2654" s="891"/>
      <c r="R2654" s="892">
        <f>SUM(R2651:R2653)</f>
        <v>0</v>
      </c>
      <c r="S2654" s="887"/>
      <c r="T2654" s="892">
        <f>SUM(T2651:T2653)</f>
        <v>0</v>
      </c>
      <c r="U2654" s="514"/>
      <c r="V2654" s="514"/>
      <c r="W2654" s="514"/>
      <c r="X2654" s="514"/>
      <c r="Y2654" s="514"/>
      <c r="Z2654" s="514"/>
      <c r="AA2654" s="514"/>
      <c r="AB2654" s="514"/>
      <c r="AC2654" s="514"/>
      <c r="AD2654" s="514"/>
      <c r="AE2654" s="514"/>
      <c r="AF2654" s="514"/>
      <c r="AG2654" s="514"/>
      <c r="AH2654" s="514"/>
      <c r="AI2654" s="514"/>
      <c r="AJ2654" s="514"/>
      <c r="AK2654" s="514"/>
      <c r="AL2654" s="514"/>
      <c r="AM2654" s="514"/>
      <c r="AN2654" s="514"/>
      <c r="AO2654" s="514"/>
    </row>
    <row r="2655" spans="1:41" s="504" customFormat="1" ht="12" thickTop="1">
      <c r="A2655" s="47" t="s">
        <v>145</v>
      </c>
      <c r="D2655" s="13"/>
      <c r="E2655" s="41"/>
      <c r="O2655" s="893"/>
    </row>
    <row r="2656" spans="1:41" s="504" customFormat="1" ht="13.2">
      <c r="B2656" s="3"/>
      <c r="O2656" s="893"/>
    </row>
    <row r="2657" spans="1:41" s="504" customFormat="1" ht="12">
      <c r="B2657" s="894">
        <f ca="1">$F2657/$C$2-($R2657*$S$2+$T2657*$T$2)</f>
        <v>216.12432817000081</v>
      </c>
      <c r="D2657" s="895" t="s">
        <v>817</v>
      </c>
      <c r="E2657" s="896"/>
      <c r="F2657" s="897">
        <f ca="1">SUMIF($L2496:$L2655,"ITEM",F2496:F2655)</f>
        <v>3838.1500000000005</v>
      </c>
      <c r="G2657" s="882"/>
      <c r="H2657" s="882"/>
      <c r="I2657" s="503"/>
      <c r="J2657" s="882"/>
      <c r="K2657" s="882"/>
      <c r="L2657" s="879" t="s">
        <v>154</v>
      </c>
      <c r="M2657" s="879"/>
      <c r="N2657" s="879"/>
      <c r="O2657" s="879"/>
      <c r="P2657" s="879"/>
      <c r="R2657" s="897">
        <f ca="1">SUMIF($L2496:$L2655,"ITEM",R2496:R2655)</f>
        <v>1087.6500000000001</v>
      </c>
      <c r="S2657" s="898"/>
      <c r="T2657" s="897">
        <f ca="1">SUMIF($L2496:$L2655,"ITEM",T2496:T2655)</f>
        <v>65.245499999999993</v>
      </c>
    </row>
    <row r="2658" spans="1:41" s="504" customFormat="1" ht="13.2">
      <c r="A2658" s="50"/>
      <c r="B2658" s="48" t="s">
        <v>816</v>
      </c>
      <c r="C2658" s="50"/>
      <c r="D2658" s="3"/>
      <c r="F2658" s="899" t="s">
        <v>155</v>
      </c>
      <c r="G2658" s="882"/>
      <c r="H2658" s="882"/>
      <c r="I2658" s="503"/>
      <c r="J2658" s="882"/>
      <c r="K2658" s="882"/>
      <c r="L2658" s="882"/>
      <c r="M2658" s="882"/>
      <c r="N2658" s="882"/>
      <c r="O2658" s="882"/>
      <c r="P2658" s="882"/>
      <c r="Q2658" s="900"/>
      <c r="R2658" s="899" t="s">
        <v>156</v>
      </c>
      <c r="S2658" s="38"/>
      <c r="T2658" s="899" t="s">
        <v>157</v>
      </c>
    </row>
    <row r="2659" spans="1:41" s="504" customFormat="1" ht="13.2">
      <c r="A2659" s="882"/>
      <c r="B2659" s="3"/>
      <c r="C2659" s="882"/>
      <c r="D2659" s="3"/>
      <c r="E2659" s="3"/>
      <c r="G2659" s="3"/>
      <c r="H2659" s="3"/>
      <c r="I2659" s="3"/>
      <c r="J2659" s="3"/>
      <c r="K2659" s="3"/>
      <c r="L2659" s="3"/>
      <c r="M2659" s="3"/>
      <c r="N2659" s="3"/>
      <c r="O2659" s="103"/>
      <c r="P2659" s="3"/>
      <c r="Q2659" s="3"/>
      <c r="R2659" s="3"/>
      <c r="S2659" s="3"/>
      <c r="T2659" s="3"/>
    </row>
    <row r="2660" spans="1:41" s="504" customFormat="1" ht="12" thickBot="1">
      <c r="A2660" s="514"/>
      <c r="B2660" s="887"/>
      <c r="C2660" s="887"/>
      <c r="D2660" s="514"/>
      <c r="E2660" s="39"/>
      <c r="F2660" s="901"/>
      <c r="G2660" s="887"/>
      <c r="H2660" s="887"/>
      <c r="I2660" s="889"/>
      <c r="J2660" s="887"/>
      <c r="K2660" s="887"/>
      <c r="L2660" s="890"/>
      <c r="M2660" s="890"/>
      <c r="N2660" s="890"/>
      <c r="O2660" s="890"/>
      <c r="P2660" s="890"/>
      <c r="Q2660" s="891"/>
      <c r="R2660" s="901"/>
      <c r="S2660" s="902"/>
      <c r="T2660" s="901"/>
      <c r="U2660" s="514"/>
      <c r="V2660" s="514"/>
      <c r="W2660" s="514"/>
      <c r="X2660" s="514"/>
      <c r="Y2660" s="514"/>
      <c r="Z2660" s="514"/>
      <c r="AA2660" s="514"/>
      <c r="AB2660" s="514"/>
      <c r="AC2660" s="514"/>
      <c r="AD2660" s="514"/>
      <c r="AE2660" s="514"/>
      <c r="AF2660" s="514"/>
      <c r="AG2660" s="514"/>
      <c r="AH2660" s="514"/>
      <c r="AI2660" s="514"/>
      <c r="AJ2660" s="514"/>
      <c r="AK2660" s="514"/>
    </row>
    <row r="2661" spans="1:41" s="504" customFormat="1" ht="12" thickTop="1">
      <c r="A2661" s="50"/>
      <c r="B2661" s="40"/>
      <c r="C2661" s="50"/>
      <c r="E2661" s="41" t="s">
        <v>136</v>
      </c>
      <c r="F2661" s="41" t="s">
        <v>137</v>
      </c>
      <c r="G2661" s="50"/>
      <c r="H2661" s="50"/>
      <c r="I2661" s="50"/>
      <c r="J2661" s="50"/>
      <c r="K2661" s="50" t="s">
        <v>138</v>
      </c>
      <c r="L2661" s="50"/>
      <c r="M2661" s="50"/>
      <c r="N2661" s="50"/>
      <c r="O2661" s="51"/>
      <c r="P2661" s="50"/>
      <c r="Q2661" s="50"/>
      <c r="R2661" s="50"/>
      <c r="S2661" s="50"/>
      <c r="T2661" s="40"/>
      <c r="AG2661" s="867" t="s">
        <v>241</v>
      </c>
      <c r="AH2661" s="867" t="s">
        <v>242</v>
      </c>
      <c r="AI2661" s="867" t="s">
        <v>243</v>
      </c>
      <c r="AJ2661" s="867" t="s">
        <v>244</v>
      </c>
      <c r="AK2661" s="867" t="s">
        <v>245</v>
      </c>
      <c r="AM2661" s="868" t="s">
        <v>254</v>
      </c>
      <c r="AN2661" s="869" t="s">
        <v>255</v>
      </c>
      <c r="AO2661" s="505" t="s">
        <v>251</v>
      </c>
    </row>
    <row r="2662" spans="1:41" s="504" customFormat="1" ht="12" customHeight="1">
      <c r="A2662" s="870">
        <v>4</v>
      </c>
      <c r="B2662" s="871" t="s">
        <v>335</v>
      </c>
      <c r="C2662" s="872"/>
      <c r="D2662" s="873" t="s">
        <v>825</v>
      </c>
      <c r="E2662" s="874">
        <f ca="1">IF(AND($A2662=0,$A$1="DIF"),0, ROUND(ROUND(($R2667*$S$2+($T2667*$T$2))/A2662,2)*$C$2,2))</f>
        <v>13.21</v>
      </c>
      <c r="F2662" s="875">
        <f ca="1">ROUND($A2662*$E2662,2)</f>
        <v>52.84</v>
      </c>
      <c r="G2662" s="876" t="s">
        <v>139</v>
      </c>
      <c r="H2662" s="877"/>
      <c r="I2662" s="878"/>
      <c r="J2662" s="877"/>
      <c r="K2662" s="877" t="s">
        <v>3</v>
      </c>
      <c r="L2662" s="879" t="s">
        <v>140</v>
      </c>
      <c r="M2662" s="879"/>
      <c r="N2662" s="879"/>
      <c r="O2662" s="879"/>
      <c r="P2662" s="879"/>
      <c r="Q2662" s="50"/>
      <c r="T2662" s="880" t="str">
        <f ca="1">IF(AND($R2667=0,$T2667=0),"0.00","mu :" &amp; ROUND($F2662/$C$2/($R2667+$T2667*$D$9),2))</f>
        <v>mu :1.22</v>
      </c>
      <c r="W2662" s="507"/>
      <c r="AG2662" s="465">
        <f ca="1">IF($E2662=0,0,ROUND($R2667*$S$2*$C$2/$A2662,2))</f>
        <v>0.2</v>
      </c>
      <c r="AH2662" s="465">
        <f ca="1">$AG2662*$A2662</f>
        <v>0.8</v>
      </c>
      <c r="AI2662" s="508">
        <f ca="1">$E2662-$AG2662</f>
        <v>13.010000000000002</v>
      </c>
      <c r="AJ2662" s="508">
        <f ca="1">$A2662*$AI2662</f>
        <v>52.040000000000006</v>
      </c>
      <c r="AK2662" s="509">
        <f ca="1">ROUND(($AG2662+$AI2662)*$A2662,2)</f>
        <v>52.84</v>
      </c>
      <c r="AM2662" s="510">
        <f ca="1">ROUND(R2667,2)</f>
        <v>0.64</v>
      </c>
      <c r="AN2662" s="511">
        <f ca="1">ROUND(T2667,2)</f>
        <v>1.48</v>
      </c>
      <c r="AO2662" s="512">
        <f ca="1">ROUND(AM2662+AN2662,2)*A2662</f>
        <v>8.48</v>
      </c>
    </row>
    <row r="2663" spans="1:41" s="504" customFormat="1" ht="13.2">
      <c r="A2663" s="872"/>
      <c r="B2663"/>
      <c r="C2663" s="872"/>
      <c r="D2663" s="873" t="s">
        <v>348</v>
      </c>
      <c r="F2663" s="877"/>
      <c r="G2663" s="3"/>
      <c r="H2663" s="877"/>
      <c r="I2663" s="878"/>
      <c r="J2663" s="877"/>
      <c r="K2663" s="877" t="s">
        <v>141</v>
      </c>
      <c r="L2663" s="877"/>
      <c r="M2663" s="877"/>
      <c r="N2663" s="877"/>
      <c r="O2663" s="877"/>
      <c r="P2663" s="877"/>
      <c r="Q2663" s="50"/>
      <c r="R2663" s="513"/>
      <c r="S2663" s="881"/>
      <c r="T2663" s="877"/>
    </row>
    <row r="2664" spans="1:41" s="997" customFormat="1" ht="13.2">
      <c r="A2664"/>
      <c r="B2664" s="1065"/>
      <c r="C2664" s="1065" t="s">
        <v>1006</v>
      </c>
      <c r="D2664" s="1065" t="str">
        <f ca="1">CELL("Address",Elec_Rates!D$247)</f>
        <v>[EL25_0662B_Brittania_Hotel_Elec_Revised_Estim_B.xlsx]Elec_Rates!$D$247</v>
      </c>
      <c r="E2664" s="1066"/>
      <c r="F2664" s="1066"/>
      <c r="G2664" s="1067" t="s">
        <v>1007</v>
      </c>
      <c r="H2664" s="1067"/>
      <c r="I2664" s="1067"/>
      <c r="J2664" s="1067"/>
      <c r="K2664" s="1068"/>
      <c r="L2664" s="1066"/>
      <c r="M2664" s="1066"/>
      <c r="N2664" s="1066"/>
      <c r="O2664" s="1069"/>
      <c r="P2664" s="1066"/>
      <c r="Q2664" s="1070"/>
      <c r="R2664" s="1071"/>
      <c r="S2664" s="1070"/>
      <c r="T2664" s="1072"/>
      <c r="U2664" s="1073"/>
    </row>
    <row r="2665" spans="1:41" s="997" customFormat="1" ht="11.4">
      <c r="A2665" s="1074">
        <v>4</v>
      </c>
      <c r="B2665" s="1075">
        <v>1</v>
      </c>
      <c r="C2665" s="1075">
        <f>$A2665*$B2665</f>
        <v>4</v>
      </c>
      <c r="D2665" s="1076" t="str">
        <f>Elec_Rates!$D$247</f>
        <v>026# Install and connect Only - Type 'E1' - Single Sided, Wall Mounted, Directional Exit Signage</v>
      </c>
      <c r="E2665" s="1076"/>
      <c r="F2665" s="1076"/>
      <c r="G2665" s="1077" t="s">
        <v>1008</v>
      </c>
      <c r="H2665" s="1077"/>
      <c r="I2665" s="1077"/>
      <c r="J2665" s="1077"/>
      <c r="K2665" s="1078"/>
      <c r="L2665" s="1073"/>
      <c r="M2665" s="1073"/>
      <c r="N2665" s="1073"/>
      <c r="O2665" s="1079"/>
      <c r="P2665" s="1076"/>
      <c r="Q2665" s="1080">
        <f ca="1">$B2665*Elec_Rates!$R$247</f>
        <v>0.16</v>
      </c>
      <c r="R2665" s="1071">
        <f ca="1">$A2665*Q2665</f>
        <v>0.64</v>
      </c>
      <c r="S2665" s="1080">
        <f ca="1">$B2665*Elec_Rates!$T$247</f>
        <v>0.37</v>
      </c>
      <c r="T2665" s="1072">
        <f ca="1">$A2665*S2665</f>
        <v>1.48</v>
      </c>
      <c r="U2665" s="1081"/>
    </row>
    <row r="2666" spans="1:41" s="504" customFormat="1" ht="12">
      <c r="A2666" s="882"/>
      <c r="B2666" s="882"/>
      <c r="C2666" s="882"/>
      <c r="D2666" s="882"/>
      <c r="E2666" s="882"/>
      <c r="F2666" s="877"/>
      <c r="G2666" s="882"/>
      <c r="H2666" s="882"/>
      <c r="I2666" s="503"/>
      <c r="J2666" s="882"/>
      <c r="K2666" s="882"/>
      <c r="L2666" s="882"/>
      <c r="M2666" s="882"/>
      <c r="N2666" s="882"/>
      <c r="O2666" s="882"/>
      <c r="P2666" s="882"/>
      <c r="Q2666" s="503"/>
      <c r="R2666" s="883">
        <f>$A2666*Q2666</f>
        <v>0</v>
      </c>
      <c r="S2666" s="503"/>
      <c r="T2666" s="884">
        <f>$A2666*S2666*$T$1</f>
        <v>0</v>
      </c>
    </row>
    <row r="2667" spans="1:41" s="504" customFormat="1" ht="12.6" thickBot="1">
      <c r="A2667" s="885" t="s">
        <v>142</v>
      </c>
      <c r="B2667" s="886">
        <f>(R2666+T2666)</f>
        <v>0</v>
      </c>
      <c r="C2667" s="887"/>
      <c r="D2667" s="887"/>
      <c r="E2667" s="887"/>
      <c r="F2667" s="888"/>
      <c r="G2667" s="887" t="s">
        <v>143</v>
      </c>
      <c r="H2667" s="887"/>
      <c r="I2667" s="889"/>
      <c r="J2667" s="887"/>
      <c r="K2667" s="887" t="s">
        <v>3</v>
      </c>
      <c r="L2667" s="890" t="s">
        <v>140</v>
      </c>
      <c r="M2667" s="890"/>
      <c r="N2667" s="890"/>
      <c r="O2667" s="890"/>
      <c r="P2667" s="890"/>
      <c r="Q2667" s="891"/>
      <c r="R2667" s="892">
        <f ca="1">SUM(R2663:R2666)</f>
        <v>0.64</v>
      </c>
      <c r="S2667" s="887"/>
      <c r="T2667" s="892">
        <f ca="1">SUM(T2663:T2666)</f>
        <v>1.48</v>
      </c>
      <c r="U2667" s="514"/>
      <c r="V2667" s="514"/>
      <c r="W2667" s="514"/>
      <c r="X2667" s="514"/>
      <c r="Y2667" s="514"/>
      <c r="Z2667" s="514"/>
      <c r="AA2667" s="514"/>
      <c r="AB2667" s="514"/>
      <c r="AC2667" s="514"/>
      <c r="AD2667" s="514"/>
      <c r="AE2667" s="514"/>
      <c r="AF2667" s="514"/>
      <c r="AG2667" s="514"/>
      <c r="AH2667" s="514"/>
      <c r="AI2667" s="514"/>
      <c r="AJ2667" s="514"/>
      <c r="AK2667" s="514"/>
      <c r="AL2667" s="514"/>
      <c r="AM2667" s="514"/>
      <c r="AN2667" s="514"/>
      <c r="AO2667" s="514"/>
    </row>
    <row r="2668" spans="1:41" s="504" customFormat="1" ht="12" thickTop="1">
      <c r="A2668" s="50"/>
      <c r="B2668" s="40"/>
      <c r="C2668" s="50"/>
      <c r="E2668" s="41" t="s">
        <v>136</v>
      </c>
      <c r="F2668" s="41" t="s">
        <v>137</v>
      </c>
      <c r="G2668" s="50"/>
      <c r="H2668" s="50"/>
      <c r="I2668" s="50"/>
      <c r="J2668" s="50"/>
      <c r="K2668" s="50" t="s">
        <v>138</v>
      </c>
      <c r="L2668" s="50"/>
      <c r="M2668" s="50"/>
      <c r="N2668" s="50"/>
      <c r="O2668" s="51"/>
      <c r="P2668" s="50"/>
      <c r="Q2668" s="50"/>
      <c r="R2668" s="50"/>
      <c r="S2668" s="50"/>
      <c r="T2668" s="40"/>
      <c r="AG2668" s="867" t="s">
        <v>241</v>
      </c>
      <c r="AH2668" s="867" t="s">
        <v>242</v>
      </c>
      <c r="AI2668" s="867" t="s">
        <v>243</v>
      </c>
      <c r="AJ2668" s="867" t="s">
        <v>244</v>
      </c>
      <c r="AK2668" s="867" t="s">
        <v>245</v>
      </c>
      <c r="AM2668" s="868" t="s">
        <v>254</v>
      </c>
      <c r="AN2668" s="869" t="s">
        <v>255</v>
      </c>
      <c r="AO2668" s="505" t="s">
        <v>251</v>
      </c>
    </row>
    <row r="2669" spans="1:41" s="504" customFormat="1" ht="12" customHeight="1">
      <c r="A2669" s="870">
        <v>6</v>
      </c>
      <c r="B2669" s="871" t="s">
        <v>335</v>
      </c>
      <c r="C2669" s="872"/>
      <c r="D2669" s="873" t="s">
        <v>826</v>
      </c>
      <c r="E2669" s="874">
        <f ca="1">IF(AND($A2669=0,$A$1="DIF"),0, ROUND(ROUND(($R2674*$S$2+($T2674*$T$2))/A2669,2)*$C$2,2))</f>
        <v>16.12</v>
      </c>
      <c r="F2669" s="875">
        <f ca="1">ROUND($A2669*$E2669,2)</f>
        <v>96.72</v>
      </c>
      <c r="G2669" s="876" t="s">
        <v>139</v>
      </c>
      <c r="H2669" s="877"/>
      <c r="I2669" s="878"/>
      <c r="J2669" s="877"/>
      <c r="K2669" s="877" t="s">
        <v>3</v>
      </c>
      <c r="L2669" s="879" t="s">
        <v>140</v>
      </c>
      <c r="M2669" s="879"/>
      <c r="N2669" s="879"/>
      <c r="O2669" s="879"/>
      <c r="P2669" s="879"/>
      <c r="Q2669" s="50"/>
      <c r="T2669" s="880" t="str">
        <f ca="1">IF(AND($R2674=0,$T2674=0),"0.00","mu :" &amp; ROUND($F2669/$C$2/($R2674+$T2674*$D$9),2))</f>
        <v>mu :1.22</v>
      </c>
      <c r="W2669" s="507"/>
      <c r="AG2669" s="465">
        <f ca="1">IF($E2669=0,0,ROUND($R2674*$S$2*$C$2/$A2669,2))</f>
        <v>1.34</v>
      </c>
      <c r="AH2669" s="465">
        <f ca="1">$AG2669*$A2669</f>
        <v>8.0400000000000009</v>
      </c>
      <c r="AI2669" s="508">
        <f ca="1">$E2669-$AG2669</f>
        <v>14.780000000000001</v>
      </c>
      <c r="AJ2669" s="508">
        <f ca="1">$A2669*$AI2669</f>
        <v>88.68</v>
      </c>
      <c r="AK2669" s="509">
        <f ca="1">ROUND(($AG2669+$AI2669)*$A2669,2)</f>
        <v>96.72</v>
      </c>
      <c r="AM2669" s="510">
        <f ca="1">ROUND(R2674,2)</f>
        <v>6.6</v>
      </c>
      <c r="AN2669" s="511">
        <f ca="1">ROUND(T2674,2)</f>
        <v>2.52</v>
      </c>
      <c r="AO2669" s="512">
        <f ca="1">ROUND(AM2669+AN2669,2)*A2669</f>
        <v>54.72</v>
      </c>
    </row>
    <row r="2670" spans="1:41" s="504" customFormat="1" ht="13.2">
      <c r="A2670" s="872"/>
      <c r="B2670"/>
      <c r="C2670" s="872"/>
      <c r="D2670" s="873" t="s">
        <v>450</v>
      </c>
      <c r="F2670" s="877"/>
      <c r="G2670" s="3"/>
      <c r="H2670" s="877"/>
      <c r="I2670" s="878"/>
      <c r="J2670" s="877"/>
      <c r="K2670" s="877" t="s">
        <v>141</v>
      </c>
      <c r="L2670" s="877"/>
      <c r="M2670" s="877"/>
      <c r="N2670" s="877"/>
      <c r="O2670" s="877"/>
      <c r="P2670" s="877"/>
      <c r="Q2670" s="50"/>
      <c r="R2670" s="513"/>
      <c r="S2670" s="881"/>
      <c r="T2670" s="877"/>
    </row>
    <row r="2671" spans="1:41" s="997" customFormat="1" ht="13.2">
      <c r="A2671"/>
      <c r="B2671" s="1065"/>
      <c r="C2671" s="1065" t="s">
        <v>1006</v>
      </c>
      <c r="D2671" s="1065" t="str">
        <f ca="1">CELL("Address",Elec_Rates!D$270)</f>
        <v>[EL25_0662B_Brittania_Hotel_Elec_Revised_Estim_B.xlsx]Elec_Rates!$D$270</v>
      </c>
      <c r="E2671" s="1066"/>
      <c r="F2671" s="1066"/>
      <c r="G2671" s="1067" t="s">
        <v>1007</v>
      </c>
      <c r="H2671" s="1067"/>
      <c r="I2671" s="1067"/>
      <c r="J2671" s="1067"/>
      <c r="K2671" s="1068"/>
      <c r="L2671" s="1066"/>
      <c r="M2671" s="1066"/>
      <c r="N2671" s="1066"/>
      <c r="O2671" s="1069"/>
      <c r="P2671" s="1066"/>
      <c r="Q2671" s="1070"/>
      <c r="R2671" s="1071"/>
      <c r="S2671" s="1070"/>
      <c r="T2671" s="1072"/>
      <c r="U2671" s="1073"/>
    </row>
    <row r="2672" spans="1:41" s="997" customFormat="1" ht="11.4">
      <c r="A2672" s="1074">
        <v>6</v>
      </c>
      <c r="B2672" s="1075">
        <v>1</v>
      </c>
      <c r="C2672" s="1075">
        <f>$A2672*$B2672</f>
        <v>6</v>
      </c>
      <c r="D2672" s="1076" t="str">
        <f>Elec_Rates!$D$270</f>
        <v>029# Install and connect Only - Battery Backup Kit for the light fittings supplied by others</v>
      </c>
      <c r="E2672" s="1076"/>
      <c r="F2672" s="1076"/>
      <c r="G2672" s="1077" t="s">
        <v>1008</v>
      </c>
      <c r="H2672" s="1077"/>
      <c r="I2672" s="1077"/>
      <c r="J2672" s="1077"/>
      <c r="K2672" s="1078"/>
      <c r="L2672" s="1073"/>
      <c r="M2672" s="1073"/>
      <c r="N2672" s="1073"/>
      <c r="O2672" s="1079"/>
      <c r="P2672" s="1076"/>
      <c r="Q2672" s="1080">
        <f ca="1">$B2672*Elec_Rates!$R$270</f>
        <v>1.1000000000000001</v>
      </c>
      <c r="R2672" s="1071">
        <f ca="1">$A2672*Q2672</f>
        <v>6.6000000000000005</v>
      </c>
      <c r="S2672" s="1080">
        <f ca="1">$B2672*Elec_Rates!$T$270</f>
        <v>0.42</v>
      </c>
      <c r="T2672" s="1072">
        <f ca="1">$A2672*S2672</f>
        <v>2.52</v>
      </c>
      <c r="U2672" s="1081"/>
    </row>
    <row r="2673" spans="1:41" s="504" customFormat="1" ht="12">
      <c r="A2673" s="882"/>
      <c r="B2673" s="882"/>
      <c r="C2673" s="882"/>
      <c r="D2673" s="882"/>
      <c r="E2673" s="882"/>
      <c r="F2673" s="877"/>
      <c r="G2673" s="882"/>
      <c r="H2673" s="882"/>
      <c r="I2673" s="503"/>
      <c r="J2673" s="882"/>
      <c r="K2673" s="882"/>
      <c r="L2673" s="882"/>
      <c r="M2673" s="882"/>
      <c r="N2673" s="882"/>
      <c r="O2673" s="882"/>
      <c r="P2673" s="882"/>
      <c r="Q2673" s="503"/>
      <c r="R2673" s="883">
        <f>$A2673*Q2673</f>
        <v>0</v>
      </c>
      <c r="S2673" s="503"/>
      <c r="T2673" s="884">
        <f>$A2673*S2673*$T$1</f>
        <v>0</v>
      </c>
    </row>
    <row r="2674" spans="1:41" s="504" customFormat="1" ht="12.6" thickBot="1">
      <c r="A2674" s="885" t="s">
        <v>142</v>
      </c>
      <c r="B2674" s="886">
        <f>(R2673+T2673)</f>
        <v>0</v>
      </c>
      <c r="C2674" s="887"/>
      <c r="D2674" s="887"/>
      <c r="E2674" s="887"/>
      <c r="F2674" s="888"/>
      <c r="G2674" s="887" t="s">
        <v>143</v>
      </c>
      <c r="H2674" s="887"/>
      <c r="I2674" s="889"/>
      <c r="J2674" s="887"/>
      <c r="K2674" s="887" t="s">
        <v>3</v>
      </c>
      <c r="L2674" s="890" t="s">
        <v>140</v>
      </c>
      <c r="M2674" s="890"/>
      <c r="N2674" s="890"/>
      <c r="O2674" s="890"/>
      <c r="P2674" s="890"/>
      <c r="Q2674" s="891"/>
      <c r="R2674" s="892">
        <f ca="1">SUM(R2670:R2673)</f>
        <v>6.6000000000000005</v>
      </c>
      <c r="S2674" s="887"/>
      <c r="T2674" s="892">
        <f ca="1">SUM(T2670:T2673)</f>
        <v>2.52</v>
      </c>
      <c r="U2674" s="514"/>
      <c r="V2674" s="514"/>
      <c r="W2674" s="514"/>
      <c r="X2674" s="514"/>
      <c r="Y2674" s="514"/>
      <c r="Z2674" s="514"/>
      <c r="AA2674" s="514"/>
      <c r="AB2674" s="514"/>
      <c r="AC2674" s="514"/>
      <c r="AD2674" s="514"/>
      <c r="AE2674" s="514"/>
      <c r="AF2674" s="514"/>
      <c r="AG2674" s="514"/>
      <c r="AH2674" s="514"/>
      <c r="AI2674" s="514"/>
      <c r="AJ2674" s="514"/>
      <c r="AK2674" s="514"/>
      <c r="AL2674" s="514"/>
      <c r="AM2674" s="514"/>
      <c r="AN2674" s="514"/>
      <c r="AO2674" s="514"/>
    </row>
    <row r="2675" spans="1:41" s="504" customFormat="1" ht="12" thickTop="1">
      <c r="A2675" s="50"/>
      <c r="B2675" s="40"/>
      <c r="C2675" s="50"/>
      <c r="E2675" s="41" t="s">
        <v>136</v>
      </c>
      <c r="F2675" s="41" t="s">
        <v>137</v>
      </c>
      <c r="G2675" s="50"/>
      <c r="H2675" s="50"/>
      <c r="I2675" s="50"/>
      <c r="J2675" s="50"/>
      <c r="K2675" s="50" t="s">
        <v>138</v>
      </c>
      <c r="L2675" s="50"/>
      <c r="M2675" s="50"/>
      <c r="N2675" s="50"/>
      <c r="O2675" s="51"/>
      <c r="P2675" s="50"/>
      <c r="Q2675" s="50"/>
      <c r="R2675" s="50"/>
      <c r="S2675" s="50"/>
      <c r="T2675" s="40"/>
      <c r="AG2675" s="867" t="s">
        <v>241</v>
      </c>
      <c r="AH2675" s="867" t="s">
        <v>242</v>
      </c>
      <c r="AI2675" s="867" t="s">
        <v>243</v>
      </c>
      <c r="AJ2675" s="867" t="s">
        <v>244</v>
      </c>
      <c r="AK2675" s="867" t="s">
        <v>245</v>
      </c>
      <c r="AM2675" s="868" t="s">
        <v>254</v>
      </c>
      <c r="AN2675" s="869" t="s">
        <v>255</v>
      </c>
      <c r="AO2675" s="505" t="s">
        <v>251</v>
      </c>
    </row>
    <row r="2676" spans="1:41" s="504" customFormat="1" ht="12" customHeight="1">
      <c r="A2676" s="870">
        <v>3</v>
      </c>
      <c r="B2676" s="871" t="s">
        <v>335</v>
      </c>
      <c r="C2676" s="872"/>
      <c r="D2676" s="873" t="s">
        <v>827</v>
      </c>
      <c r="E2676" s="874">
        <f ca="1">IF(AND($A2676=0,$A$1="DIF"),0, ROUND(ROUND(($R2681*$S$2+($T2681*$T$2))/A2676,2)*$C$2,2))</f>
        <v>11.35</v>
      </c>
      <c r="F2676" s="875">
        <f ca="1">ROUND($A2676*$E2676,2)</f>
        <v>34.049999999999997</v>
      </c>
      <c r="G2676" s="876" t="s">
        <v>139</v>
      </c>
      <c r="H2676" s="877"/>
      <c r="I2676" s="878"/>
      <c r="J2676" s="877"/>
      <c r="K2676" s="877" t="s">
        <v>3</v>
      </c>
      <c r="L2676" s="879" t="s">
        <v>140</v>
      </c>
      <c r="M2676" s="879"/>
      <c r="N2676" s="879"/>
      <c r="O2676" s="879"/>
      <c r="P2676" s="879"/>
      <c r="Q2676" s="50"/>
      <c r="T2676" s="880" t="str">
        <f ca="1">IF(AND($R2681=0,$T2681=0),"0.00","mu :" &amp; ROUND($F2676/$C$2/($R2681+$T2681*$D$9),2))</f>
        <v>mu :1.22</v>
      </c>
      <c r="W2676" s="507"/>
      <c r="AG2676" s="465">
        <f ca="1">IF($E2676=0,0,ROUND($R2681*$S$2*$C$2/$A2676,2))</f>
        <v>0.1</v>
      </c>
      <c r="AH2676" s="465">
        <f ca="1">$AG2676*$A2676</f>
        <v>0.30000000000000004</v>
      </c>
      <c r="AI2676" s="508">
        <f ca="1">$E2676-$AG2676</f>
        <v>11.25</v>
      </c>
      <c r="AJ2676" s="508">
        <f ca="1">$A2676*$AI2676</f>
        <v>33.75</v>
      </c>
      <c r="AK2676" s="509">
        <f ca="1">ROUND(($AG2676+$AI2676)*$A2676,2)</f>
        <v>34.049999999999997</v>
      </c>
      <c r="AM2676" s="510">
        <f ca="1">ROUND(R2681,2)</f>
        <v>0.24</v>
      </c>
      <c r="AN2676" s="511">
        <f ca="1">ROUND(T2681,2)</f>
        <v>0.96</v>
      </c>
      <c r="AO2676" s="512">
        <f ca="1">ROUND(AM2676+AN2676,2)*A2676</f>
        <v>3.5999999999999996</v>
      </c>
    </row>
    <row r="2677" spans="1:41" s="504" customFormat="1" ht="13.2">
      <c r="A2677" s="872"/>
      <c r="B2677"/>
      <c r="C2677" s="872"/>
      <c r="D2677" s="873" t="s">
        <v>425</v>
      </c>
      <c r="F2677" s="877"/>
      <c r="G2677" s="3"/>
      <c r="H2677" s="877"/>
      <c r="I2677" s="878"/>
      <c r="J2677" s="877"/>
      <c r="K2677" s="877" t="s">
        <v>141</v>
      </c>
      <c r="L2677" s="877"/>
      <c r="M2677" s="877"/>
      <c r="N2677" s="877"/>
      <c r="O2677" s="877"/>
      <c r="P2677" s="877"/>
      <c r="Q2677" s="50"/>
      <c r="R2677" s="513"/>
      <c r="S2677" s="881"/>
      <c r="T2677" s="877"/>
    </row>
    <row r="2678" spans="1:41" s="997" customFormat="1" ht="13.2">
      <c r="A2678"/>
      <c r="B2678" s="1065"/>
      <c r="C2678" s="1065" t="s">
        <v>1006</v>
      </c>
      <c r="D2678" s="1065" t="str">
        <f ca="1">CELL("Address",Elec_Rates!D$478)</f>
        <v>[EL25_0662B_Brittania_Hotel_Elec_Revised_Estim_B.xlsx]Elec_Rates!$D$478</v>
      </c>
      <c r="E2678" s="1066"/>
      <c r="F2678" s="1066"/>
      <c r="G2678" s="1067" t="s">
        <v>1007</v>
      </c>
      <c r="H2678" s="1067"/>
      <c r="I2678" s="1067"/>
      <c r="J2678" s="1067"/>
      <c r="K2678" s="1068"/>
      <c r="L2678" s="1066"/>
      <c r="M2678" s="1066"/>
      <c r="N2678" s="1066"/>
      <c r="O2678" s="1069"/>
      <c r="P2678" s="1066"/>
      <c r="Q2678" s="1070"/>
      <c r="R2678" s="1071"/>
      <c r="S2678" s="1070"/>
      <c r="T2678" s="1072"/>
      <c r="U2678" s="1073"/>
    </row>
    <row r="2679" spans="1:41" s="997" customFormat="1" ht="11.4">
      <c r="A2679" s="1074">
        <v>3</v>
      </c>
      <c r="B2679" s="1075">
        <v>1</v>
      </c>
      <c r="C2679" s="1075">
        <f>$A2679*$B2679</f>
        <v>3</v>
      </c>
      <c r="D2679" s="1076" t="str">
        <f>Elec_Rates!$D$478</f>
        <v>057# Install and connect Only - Magnifying Mirror in Bathroom</v>
      </c>
      <c r="E2679" s="1076"/>
      <c r="F2679" s="1076"/>
      <c r="G2679" s="1077" t="s">
        <v>1008</v>
      </c>
      <c r="H2679" s="1077"/>
      <c r="I2679" s="1077"/>
      <c r="J2679" s="1077"/>
      <c r="K2679" s="1078"/>
      <c r="L2679" s="1073"/>
      <c r="M2679" s="1073"/>
      <c r="N2679" s="1073"/>
      <c r="O2679" s="1079"/>
      <c r="P2679" s="1076"/>
      <c r="Q2679" s="1080">
        <f ca="1">$B2679*Elec_Rates!$R$478</f>
        <v>0.08</v>
      </c>
      <c r="R2679" s="1071">
        <f ca="1">$A2679*Q2679</f>
        <v>0.24</v>
      </c>
      <c r="S2679" s="1080">
        <f ca="1">$B2679*Elec_Rates!$T$478</f>
        <v>0.32</v>
      </c>
      <c r="T2679" s="1072">
        <f ca="1">$A2679*S2679</f>
        <v>0.96</v>
      </c>
      <c r="U2679" s="1081"/>
    </row>
    <row r="2680" spans="1:41" s="504" customFormat="1" ht="12">
      <c r="A2680" s="882"/>
      <c r="B2680" s="882"/>
      <c r="C2680" s="882"/>
      <c r="D2680" s="882"/>
      <c r="E2680" s="882"/>
      <c r="F2680" s="877"/>
      <c r="G2680" s="882"/>
      <c r="H2680" s="882"/>
      <c r="I2680" s="503"/>
      <c r="J2680" s="882"/>
      <c r="K2680" s="882"/>
      <c r="L2680" s="882"/>
      <c r="M2680" s="882"/>
      <c r="N2680" s="882"/>
      <c r="O2680" s="882"/>
      <c r="P2680" s="882"/>
      <c r="Q2680" s="503"/>
      <c r="R2680" s="883">
        <f>$A2680*Q2680</f>
        <v>0</v>
      </c>
      <c r="S2680" s="503"/>
      <c r="T2680" s="884">
        <f>$A2680*S2680*$T$1</f>
        <v>0</v>
      </c>
    </row>
    <row r="2681" spans="1:41" s="504" customFormat="1" ht="12.6" thickBot="1">
      <c r="A2681" s="885" t="s">
        <v>142</v>
      </c>
      <c r="B2681" s="886">
        <f>(R2680+T2680)</f>
        <v>0</v>
      </c>
      <c r="C2681" s="887"/>
      <c r="D2681" s="887"/>
      <c r="E2681" s="887"/>
      <c r="F2681" s="888"/>
      <c r="G2681" s="887" t="s">
        <v>143</v>
      </c>
      <c r="H2681" s="887"/>
      <c r="I2681" s="889"/>
      <c r="J2681" s="887"/>
      <c r="K2681" s="887" t="s">
        <v>3</v>
      </c>
      <c r="L2681" s="890" t="s">
        <v>140</v>
      </c>
      <c r="M2681" s="890"/>
      <c r="N2681" s="890"/>
      <c r="O2681" s="890"/>
      <c r="P2681" s="890"/>
      <c r="Q2681" s="891"/>
      <c r="R2681" s="892">
        <f ca="1">SUM(R2677:R2680)</f>
        <v>0.24</v>
      </c>
      <c r="S2681" s="887"/>
      <c r="T2681" s="892">
        <f ca="1">SUM(T2677:T2680)</f>
        <v>0.96</v>
      </c>
      <c r="U2681" s="514"/>
      <c r="V2681" s="514"/>
      <c r="W2681" s="514"/>
      <c r="X2681" s="514"/>
      <c r="Y2681" s="514"/>
      <c r="Z2681" s="514"/>
      <c r="AA2681" s="514"/>
      <c r="AB2681" s="514"/>
      <c r="AC2681" s="514"/>
      <c r="AD2681" s="514"/>
      <c r="AE2681" s="514"/>
      <c r="AF2681" s="514"/>
      <c r="AG2681" s="514"/>
      <c r="AH2681" s="514"/>
      <c r="AI2681" s="514"/>
      <c r="AJ2681" s="514"/>
      <c r="AK2681" s="514"/>
      <c r="AL2681" s="514"/>
      <c r="AM2681" s="514"/>
      <c r="AN2681" s="514"/>
      <c r="AO2681" s="514"/>
    </row>
    <row r="2682" spans="1:41" s="504" customFormat="1" thickTop="1">
      <c r="A2682" s="50"/>
      <c r="B2682" s="50"/>
      <c r="C2682" s="3"/>
      <c r="D2682" s="3"/>
      <c r="E2682" s="50"/>
      <c r="F2682" s="50"/>
      <c r="G2682" s="50"/>
      <c r="H2682" s="50"/>
      <c r="I2682" s="50"/>
      <c r="J2682" s="50"/>
      <c r="K2682" s="50" t="s">
        <v>133</v>
      </c>
      <c r="L2682" s="50"/>
      <c r="M2682" s="50"/>
      <c r="N2682" s="50"/>
      <c r="O2682" s="51"/>
      <c r="P2682" s="50"/>
      <c r="Q2682" s="50"/>
      <c r="R2682" s="50"/>
      <c r="S2682" s="50"/>
      <c r="T2682" s="50"/>
    </row>
    <row r="2683" spans="1:41" s="504" customFormat="1" ht="12">
      <c r="A2683" s="50"/>
      <c r="B2683" s="50"/>
      <c r="C2683" s="50" t="s">
        <v>134</v>
      </c>
      <c r="D2683" s="37"/>
      <c r="E2683" s="50"/>
      <c r="F2683" s="50"/>
      <c r="G2683" s="50"/>
      <c r="H2683" s="50"/>
      <c r="I2683" s="50"/>
      <c r="J2683" s="50"/>
      <c r="K2683" s="50"/>
      <c r="L2683" s="50"/>
      <c r="M2683" s="50"/>
      <c r="N2683" s="50"/>
      <c r="O2683" s="51"/>
      <c r="P2683" s="50"/>
      <c r="Q2683" s="50"/>
      <c r="R2683" s="50"/>
      <c r="S2683" s="50"/>
      <c r="T2683" s="50"/>
    </row>
    <row r="2684" spans="1:41" s="504" customFormat="1" ht="12">
      <c r="A2684" s="50"/>
      <c r="B2684" s="50"/>
      <c r="C2684" s="50"/>
      <c r="D2684" s="37" t="s">
        <v>358</v>
      </c>
      <c r="E2684" s="50"/>
      <c r="F2684" s="50"/>
      <c r="G2684" s="50"/>
      <c r="H2684" s="50"/>
      <c r="I2684" s="50"/>
      <c r="J2684" s="50"/>
      <c r="K2684" s="50"/>
      <c r="L2684" s="50"/>
      <c r="M2684" s="50"/>
      <c r="N2684" s="50"/>
      <c r="O2684" s="51"/>
      <c r="P2684" s="50"/>
      <c r="Q2684" s="50"/>
      <c r="R2684" s="50"/>
      <c r="S2684" s="38"/>
      <c r="T2684" s="38"/>
    </row>
    <row r="2685" spans="1:41" s="3" customFormat="1" thickBot="1">
      <c r="A2685" s="514"/>
      <c r="O2685" s="103"/>
    </row>
    <row r="2686" spans="1:41" s="504" customFormat="1" thickTop="1">
      <c r="A2686" s="50"/>
      <c r="B2686" s="50"/>
      <c r="C2686" s="3"/>
      <c r="D2686" s="3"/>
      <c r="E2686" s="50"/>
      <c r="F2686" s="50"/>
      <c r="G2686" s="50"/>
      <c r="H2686" s="50"/>
      <c r="I2686" s="50"/>
      <c r="J2686" s="50"/>
      <c r="K2686" s="50" t="s">
        <v>133</v>
      </c>
      <c r="L2686" s="50"/>
      <c r="M2686" s="50"/>
      <c r="N2686" s="50"/>
      <c r="O2686" s="51"/>
      <c r="P2686" s="50"/>
      <c r="Q2686" s="50"/>
      <c r="R2686" s="50"/>
      <c r="S2686" s="50"/>
      <c r="T2686" s="50"/>
    </row>
    <row r="2687" spans="1:41" s="504" customFormat="1" ht="12">
      <c r="A2687" s="50"/>
      <c r="B2687" s="50"/>
      <c r="C2687" s="50" t="s">
        <v>134</v>
      </c>
      <c r="D2687" s="37" t="s">
        <v>882</v>
      </c>
      <c r="E2687" s="50"/>
      <c r="F2687" s="50"/>
      <c r="G2687" s="50"/>
      <c r="H2687" s="50"/>
      <c r="I2687" s="50"/>
      <c r="J2687" s="50"/>
      <c r="K2687" s="50"/>
      <c r="L2687" s="50"/>
      <c r="M2687" s="50"/>
      <c r="N2687" s="50"/>
      <c r="O2687" s="51"/>
      <c r="P2687" s="50"/>
      <c r="Q2687" s="50"/>
      <c r="R2687" s="50"/>
      <c r="S2687" s="50"/>
      <c r="T2687" s="50"/>
    </row>
    <row r="2688" spans="1:41" s="504" customFormat="1" ht="12">
      <c r="A2688" s="50"/>
      <c r="B2688" s="50"/>
      <c r="C2688" s="50"/>
      <c r="D2688" s="37" t="s">
        <v>393</v>
      </c>
      <c r="E2688" s="50"/>
      <c r="F2688" s="50"/>
      <c r="G2688" s="50"/>
      <c r="H2688" s="50"/>
      <c r="I2688" s="50"/>
      <c r="J2688" s="50"/>
      <c r="K2688" s="50"/>
      <c r="L2688" s="50"/>
      <c r="M2688" s="50"/>
      <c r="N2688" s="50"/>
      <c r="O2688" s="51"/>
      <c r="P2688" s="50"/>
      <c r="Q2688" s="50"/>
      <c r="R2688" s="50"/>
      <c r="S2688" s="38"/>
      <c r="T2688" s="38"/>
    </row>
    <row r="2689" spans="1:41" s="3" customFormat="1" thickBot="1">
      <c r="A2689" s="514"/>
      <c r="O2689" s="103"/>
    </row>
    <row r="2690" spans="1:41" s="504" customFormat="1" ht="12" thickTop="1">
      <c r="A2690" s="50"/>
      <c r="B2690" s="40"/>
      <c r="C2690" s="50"/>
      <c r="E2690" s="41" t="s">
        <v>136</v>
      </c>
      <c r="F2690" s="41" t="s">
        <v>137</v>
      </c>
      <c r="G2690" s="50"/>
      <c r="H2690" s="50"/>
      <c r="I2690" s="50"/>
      <c r="J2690" s="50"/>
      <c r="K2690" s="50" t="s">
        <v>138</v>
      </c>
      <c r="L2690" s="50"/>
      <c r="M2690" s="50"/>
      <c r="N2690" s="50"/>
      <c r="O2690" s="51"/>
      <c r="P2690" s="50"/>
      <c r="Q2690" s="50"/>
      <c r="R2690" s="50"/>
      <c r="S2690" s="50"/>
      <c r="T2690" s="40"/>
      <c r="AG2690" s="867" t="s">
        <v>241</v>
      </c>
      <c r="AH2690" s="867" t="s">
        <v>242</v>
      </c>
      <c r="AI2690" s="867" t="s">
        <v>243</v>
      </c>
      <c r="AJ2690" s="867" t="s">
        <v>244</v>
      </c>
      <c r="AK2690" s="867" t="s">
        <v>245</v>
      </c>
      <c r="AM2690" s="868" t="s">
        <v>254</v>
      </c>
      <c r="AN2690" s="869" t="s">
        <v>255</v>
      </c>
      <c r="AO2690" s="505" t="s">
        <v>251</v>
      </c>
    </row>
    <row r="2691" spans="1:41" s="504" customFormat="1" ht="12" customHeight="1">
      <c r="A2691" s="870">
        <v>7</v>
      </c>
      <c r="B2691" s="871" t="s">
        <v>335</v>
      </c>
      <c r="C2691" s="872"/>
      <c r="D2691" s="873" t="s">
        <v>804</v>
      </c>
      <c r="E2691" s="874">
        <f ca="1">IF(AND($A2691=0,$A$1="DIF"),0, ROUND(ROUND(($R2697*$S$2+($T2697*$T$2))/A2691,2)*$C$2,2))</f>
        <v>77.31</v>
      </c>
      <c r="F2691" s="875">
        <f ca="1">ROUND($A2691*$E2691,2)</f>
        <v>541.16999999999996</v>
      </c>
      <c r="G2691" s="876" t="s">
        <v>139</v>
      </c>
      <c r="H2691" s="877"/>
      <c r="I2691" s="878"/>
      <c r="J2691" s="877"/>
      <c r="K2691" s="877" t="s">
        <v>3</v>
      </c>
      <c r="L2691" s="879" t="s">
        <v>140</v>
      </c>
      <c r="M2691" s="879"/>
      <c r="N2691" s="879"/>
      <c r="O2691" s="879"/>
      <c r="P2691" s="879"/>
      <c r="Q2691" s="50"/>
      <c r="T2691" s="880" t="str">
        <f ca="1">IF(AND($R2697=0,$T2697=0),"0.00","mu :" &amp; ROUND($F2691/$C$2/($R2697+$T2697*$D$9),2))</f>
        <v>mu :1.22</v>
      </c>
      <c r="W2691" s="507"/>
      <c r="AG2691" s="465">
        <f ca="1">IF($E2691=0,0,ROUND($R2697*$S$2*$C$2/$A2691,2))</f>
        <v>20.73</v>
      </c>
      <c r="AH2691" s="465">
        <f ca="1">$AG2691*$A2691</f>
        <v>145.11000000000001</v>
      </c>
      <c r="AI2691" s="508">
        <f ca="1">$E2691-$AG2691</f>
        <v>56.58</v>
      </c>
      <c r="AJ2691" s="508">
        <f ca="1">$A2691*$AI2691</f>
        <v>396.06</v>
      </c>
      <c r="AK2691" s="509">
        <f ca="1">ROUND(($AG2691+$AI2691)*$A2691,2)</f>
        <v>541.16999999999996</v>
      </c>
      <c r="AM2691" s="510">
        <f ca="1">ROUND(R2697,2)</f>
        <v>118.93</v>
      </c>
      <c r="AN2691" s="511">
        <f ca="1">ROUND(T2697,2)</f>
        <v>11.26</v>
      </c>
      <c r="AO2691" s="512">
        <f ca="1">ROUND(AM2691+AN2691,2)*A2691</f>
        <v>911.32999999999993</v>
      </c>
    </row>
    <row r="2692" spans="1:41" s="504" customFormat="1" ht="13.2">
      <c r="A2692" s="872"/>
      <c r="B2692"/>
      <c r="C2692" s="872"/>
      <c r="D2692" s="873" t="s">
        <v>359</v>
      </c>
      <c r="F2692" s="877"/>
      <c r="G2692" s="3"/>
      <c r="H2692" s="877"/>
      <c r="I2692" s="878"/>
      <c r="J2692" s="877"/>
      <c r="K2692" s="877" t="s">
        <v>141</v>
      </c>
      <c r="L2692" s="877"/>
      <c r="M2692" s="877"/>
      <c r="N2692" s="877"/>
      <c r="O2692" s="877"/>
      <c r="P2692" s="877"/>
      <c r="Q2692" s="50"/>
      <c r="R2692" s="513"/>
      <c r="S2692" s="881"/>
      <c r="T2692" s="877"/>
    </row>
    <row r="2693" spans="1:41" s="997" customFormat="1" ht="13.2">
      <c r="A2693"/>
      <c r="B2693" s="1065"/>
      <c r="C2693" s="1065" t="s">
        <v>1006</v>
      </c>
      <c r="D2693" s="1065" t="str">
        <f ca="1">CELL("Address",Elec_Rates!D$486)</f>
        <v>[EL25_0662B_Brittania_Hotel_Elec_Revised_Estim_B.xlsx]Elec_Rates!$D$486</v>
      </c>
      <c r="E2693" s="1066"/>
      <c r="F2693" s="1066"/>
      <c r="G2693" s="1067" t="s">
        <v>1007</v>
      </c>
      <c r="H2693" s="1067"/>
      <c r="I2693" s="1067"/>
      <c r="J2693" s="1067"/>
      <c r="K2693" s="1068"/>
      <c r="L2693" s="1066"/>
      <c r="M2693" s="1066"/>
      <c r="N2693" s="1066"/>
      <c r="O2693" s="1069"/>
      <c r="P2693" s="1066"/>
      <c r="Q2693" s="1070"/>
      <c r="R2693" s="1071"/>
      <c r="S2693" s="1070"/>
      <c r="T2693" s="1072"/>
      <c r="U2693" s="1073"/>
    </row>
    <row r="2694" spans="1:41" s="997" customFormat="1" ht="11.4">
      <c r="A2694" s="1074">
        <v>7</v>
      </c>
      <c r="B2694" s="1075">
        <v>1</v>
      </c>
      <c r="C2694" s="1075">
        <f>$A2694*$B2694</f>
        <v>7</v>
      </c>
      <c r="D2694" s="1076" t="str">
        <f>Elec_Rates!$D$486</f>
        <v>058# General Power Point in LSZH Conduit</v>
      </c>
      <c r="E2694" s="1076"/>
      <c r="F2694" s="1076"/>
      <c r="G2694" s="1077" t="s">
        <v>1008</v>
      </c>
      <c r="H2694" s="1077"/>
      <c r="I2694" s="1077"/>
      <c r="J2694" s="1077"/>
      <c r="K2694" s="1078"/>
      <c r="L2694" s="1073"/>
      <c r="M2694" s="1073"/>
      <c r="N2694" s="1073"/>
      <c r="O2694" s="1079"/>
      <c r="P2694" s="1076"/>
      <c r="Q2694" s="1080">
        <f ca="1">$B2694*Elec_Rates!$R$486</f>
        <v>13.92</v>
      </c>
      <c r="R2694" s="1071">
        <f ca="1">$A2694*Q2694</f>
        <v>97.44</v>
      </c>
      <c r="S2694" s="1080">
        <f ca="1">$B2694*Elec_Rates!$T$486</f>
        <v>1.43</v>
      </c>
      <c r="T2694" s="1072">
        <f ca="1">$A2694*S2694</f>
        <v>10.01</v>
      </c>
      <c r="U2694" s="1081"/>
    </row>
    <row r="2695" spans="1:41" s="1039" customFormat="1" ht="13.2">
      <c r="A2695" s="112">
        <v>7</v>
      </c>
      <c r="B2695" s="1039" t="s">
        <v>949</v>
      </c>
      <c r="D2695" s="1039" t="s">
        <v>1233</v>
      </c>
      <c r="F2695" s="1039" t="s">
        <v>1506</v>
      </c>
      <c r="G2695" s="1040" t="s">
        <v>1231</v>
      </c>
      <c r="H2695" s="1041">
        <v>705</v>
      </c>
      <c r="I2695" s="1039" t="s">
        <v>1183</v>
      </c>
      <c r="J2695" s="1039" t="s">
        <v>1232</v>
      </c>
      <c r="O2695" s="1042">
        <v>3</v>
      </c>
      <c r="P2695" s="1043">
        <v>34669</v>
      </c>
      <c r="Q2695" s="1044">
        <v>3.07</v>
      </c>
      <c r="R2695" s="1045">
        <f>$A2695*Q2695</f>
        <v>21.49</v>
      </c>
      <c r="S2695" s="1044">
        <v>0.17</v>
      </c>
      <c r="T2695" s="1046">
        <f>$A2695*S2695*$T$1</f>
        <v>1.2495000000000003</v>
      </c>
    </row>
    <row r="2696" spans="1:41" s="504" customFormat="1" ht="12">
      <c r="A2696" s="882"/>
      <c r="B2696" s="882"/>
      <c r="C2696" s="882"/>
      <c r="D2696" s="882"/>
      <c r="E2696" s="882"/>
      <c r="F2696" s="877"/>
      <c r="G2696" s="882"/>
      <c r="H2696" s="882"/>
      <c r="I2696" s="503"/>
      <c r="J2696" s="882"/>
      <c r="K2696" s="882"/>
      <c r="L2696" s="882"/>
      <c r="M2696" s="882"/>
      <c r="N2696" s="882"/>
      <c r="O2696" s="882"/>
      <c r="P2696" s="882"/>
      <c r="Q2696" s="503"/>
      <c r="R2696" s="883">
        <f>$A2696*Q2696</f>
        <v>0</v>
      </c>
      <c r="S2696" s="503"/>
      <c r="T2696" s="884">
        <f>$A2696*S2696*$T$1</f>
        <v>0</v>
      </c>
    </row>
    <row r="2697" spans="1:41" s="504" customFormat="1" ht="12.6" thickBot="1">
      <c r="A2697" s="885" t="s">
        <v>142</v>
      </c>
      <c r="B2697" s="886">
        <f>(R2696+T2696)</f>
        <v>0</v>
      </c>
      <c r="C2697" s="887"/>
      <c r="D2697" s="887"/>
      <c r="E2697" s="887"/>
      <c r="F2697" s="888"/>
      <c r="G2697" s="887" t="s">
        <v>143</v>
      </c>
      <c r="H2697" s="887"/>
      <c r="I2697" s="889"/>
      <c r="J2697" s="887"/>
      <c r="K2697" s="887" t="s">
        <v>3</v>
      </c>
      <c r="L2697" s="890" t="s">
        <v>140</v>
      </c>
      <c r="M2697" s="890"/>
      <c r="N2697" s="890"/>
      <c r="O2697" s="890"/>
      <c r="P2697" s="890"/>
      <c r="Q2697" s="891"/>
      <c r="R2697" s="892">
        <f ca="1">SUM(R2692:R2696)</f>
        <v>118.92999999999999</v>
      </c>
      <c r="S2697" s="887"/>
      <c r="T2697" s="892">
        <f ca="1">SUM(T2692:T2696)</f>
        <v>11.259499999999999</v>
      </c>
      <c r="U2697" s="514"/>
      <c r="V2697" s="514"/>
      <c r="W2697" s="514"/>
      <c r="X2697" s="514"/>
      <c r="Y2697" s="514"/>
      <c r="Z2697" s="514"/>
      <c r="AA2697" s="514"/>
      <c r="AB2697" s="514"/>
      <c r="AC2697" s="514"/>
      <c r="AD2697" s="514"/>
      <c r="AE2697" s="514"/>
      <c r="AF2697" s="514"/>
      <c r="AG2697" s="514"/>
      <c r="AH2697" s="514"/>
      <c r="AI2697" s="514"/>
      <c r="AJ2697" s="514"/>
      <c r="AK2697" s="514"/>
      <c r="AL2697" s="514"/>
      <c r="AM2697" s="514"/>
      <c r="AN2697" s="514"/>
      <c r="AO2697" s="514"/>
    </row>
    <row r="2698" spans="1:41" s="504" customFormat="1" ht="12" thickTop="1">
      <c r="A2698" s="50"/>
      <c r="B2698" s="40"/>
      <c r="C2698" s="50"/>
      <c r="E2698" s="41" t="s">
        <v>136</v>
      </c>
      <c r="F2698" s="41" t="s">
        <v>137</v>
      </c>
      <c r="G2698" s="50"/>
      <c r="H2698" s="50"/>
      <c r="I2698" s="50"/>
      <c r="J2698" s="50"/>
      <c r="K2698" s="50" t="s">
        <v>138</v>
      </c>
      <c r="L2698" s="50"/>
      <c r="M2698" s="50"/>
      <c r="N2698" s="50"/>
      <c r="O2698" s="51"/>
      <c r="P2698" s="50"/>
      <c r="Q2698" s="50"/>
      <c r="R2698" s="50"/>
      <c r="S2698" s="50"/>
      <c r="T2698" s="40"/>
      <c r="AG2698" s="867" t="s">
        <v>241</v>
      </c>
      <c r="AH2698" s="867" t="s">
        <v>242</v>
      </c>
      <c r="AI2698" s="867" t="s">
        <v>243</v>
      </c>
      <c r="AJ2698" s="867" t="s">
        <v>244</v>
      </c>
      <c r="AK2698" s="867" t="s">
        <v>245</v>
      </c>
      <c r="AM2698" s="868" t="s">
        <v>254</v>
      </c>
      <c r="AN2698" s="869" t="s">
        <v>255</v>
      </c>
      <c r="AO2698" s="505" t="s">
        <v>251</v>
      </c>
    </row>
    <row r="2699" spans="1:41" s="504" customFormat="1" ht="12" customHeight="1">
      <c r="A2699" s="870">
        <v>4</v>
      </c>
      <c r="B2699" s="871" t="s">
        <v>335</v>
      </c>
      <c r="C2699" s="872"/>
      <c r="D2699" s="873" t="s">
        <v>806</v>
      </c>
      <c r="E2699" s="874">
        <f ca="1">IF(AND($A2699=0,$A$1="DIF"),0, ROUND(ROUND(($R2705*$S$2+($T2705*$T$2))/A2699,2)*$C$2,2))</f>
        <v>79.36</v>
      </c>
      <c r="F2699" s="875">
        <f ca="1">ROUND($A2699*$E2699,2)</f>
        <v>317.44</v>
      </c>
      <c r="G2699" s="876" t="s">
        <v>139</v>
      </c>
      <c r="H2699" s="877"/>
      <c r="I2699" s="878"/>
      <c r="J2699" s="877"/>
      <c r="K2699" s="877" t="s">
        <v>3</v>
      </c>
      <c r="L2699" s="879" t="s">
        <v>140</v>
      </c>
      <c r="M2699" s="879"/>
      <c r="N2699" s="879"/>
      <c r="O2699" s="879"/>
      <c r="P2699" s="879"/>
      <c r="Q2699" s="50"/>
      <c r="T2699" s="880" t="str">
        <f ca="1">IF(AND($R2705=0,$T2705=0),"0.00","mu :" &amp; ROUND($F2699/$C$2/($R2705+$T2705*$D$9),2))</f>
        <v>mu :1.22</v>
      </c>
      <c r="W2699" s="507"/>
      <c r="AG2699" s="465">
        <f ca="1">IF($E2699=0,0,ROUND($R2705*$S$2*$C$2/$A2699,2))</f>
        <v>22.78</v>
      </c>
      <c r="AH2699" s="465">
        <f ca="1">$AG2699*$A2699</f>
        <v>91.12</v>
      </c>
      <c r="AI2699" s="508">
        <f ca="1">$E2699-$AG2699</f>
        <v>56.58</v>
      </c>
      <c r="AJ2699" s="508">
        <f ca="1">$A2699*$AI2699</f>
        <v>226.32</v>
      </c>
      <c r="AK2699" s="509">
        <f ca="1">ROUND(($AG2699+$AI2699)*$A2699,2)</f>
        <v>317.44</v>
      </c>
      <c r="AM2699" s="510">
        <f ca="1">ROUND(R2705,2)</f>
        <v>74.680000000000007</v>
      </c>
      <c r="AN2699" s="511">
        <f ca="1">ROUND(T2705,2)</f>
        <v>6.43</v>
      </c>
      <c r="AO2699" s="512">
        <f ca="1">ROUND(AM2699+AN2699,2)*A2699</f>
        <v>324.44</v>
      </c>
    </row>
    <row r="2700" spans="1:41" s="504" customFormat="1" ht="13.2">
      <c r="A2700" s="872"/>
      <c r="B2700"/>
      <c r="C2700" s="872"/>
      <c r="D2700" s="873" t="s">
        <v>360</v>
      </c>
      <c r="F2700" s="877"/>
      <c r="G2700" s="3"/>
      <c r="H2700" s="877"/>
      <c r="I2700" s="878"/>
      <c r="J2700" s="877"/>
      <c r="K2700" s="877" t="s">
        <v>141</v>
      </c>
      <c r="L2700" s="877"/>
      <c r="M2700" s="877"/>
      <c r="N2700" s="877"/>
      <c r="O2700" s="877"/>
      <c r="P2700" s="877"/>
      <c r="Q2700" s="50"/>
      <c r="R2700" s="513"/>
      <c r="S2700" s="881"/>
      <c r="T2700" s="877"/>
    </row>
    <row r="2701" spans="1:41" s="997" customFormat="1" ht="13.2">
      <c r="A2701"/>
      <c r="B2701" s="1065"/>
      <c r="C2701" s="1065" t="s">
        <v>1006</v>
      </c>
      <c r="D2701" s="1065" t="str">
        <f ca="1">CELL("Address",Elec_Rates!D$486)</f>
        <v>[EL25_0662B_Brittania_Hotel_Elec_Revised_Estim_B.xlsx]Elec_Rates!$D$486</v>
      </c>
      <c r="E2701" s="1066"/>
      <c r="F2701" s="1066"/>
      <c r="G2701" s="1067" t="s">
        <v>1007</v>
      </c>
      <c r="H2701" s="1067"/>
      <c r="I2701" s="1067"/>
      <c r="J2701" s="1067"/>
      <c r="K2701" s="1068"/>
      <c r="L2701" s="1066"/>
      <c r="M2701" s="1066"/>
      <c r="N2701" s="1066"/>
      <c r="O2701" s="1069"/>
      <c r="P2701" s="1066"/>
      <c r="Q2701" s="1070"/>
      <c r="R2701" s="1071"/>
      <c r="S2701" s="1070"/>
      <c r="T2701" s="1072"/>
      <c r="U2701" s="1073"/>
    </row>
    <row r="2702" spans="1:41" s="997" customFormat="1" ht="11.4">
      <c r="A2702" s="1074">
        <v>4</v>
      </c>
      <c r="B2702" s="1075">
        <v>1</v>
      </c>
      <c r="C2702" s="1075">
        <f>$A2702*$B2702</f>
        <v>4</v>
      </c>
      <c r="D2702" s="1076" t="str">
        <f>Elec_Rates!$D$486</f>
        <v>058# General Power Point in LSZH Conduit</v>
      </c>
      <c r="E2702" s="1076"/>
      <c r="F2702" s="1076"/>
      <c r="G2702" s="1077" t="s">
        <v>1008</v>
      </c>
      <c r="H2702" s="1077"/>
      <c r="I2702" s="1077"/>
      <c r="J2702" s="1077"/>
      <c r="K2702" s="1078"/>
      <c r="L2702" s="1073"/>
      <c r="M2702" s="1073"/>
      <c r="N2702" s="1073"/>
      <c r="O2702" s="1079"/>
      <c r="P2702" s="1076"/>
      <c r="Q2702" s="1080">
        <f ca="1">$B2702*Elec_Rates!$R$486</f>
        <v>13.92</v>
      </c>
      <c r="R2702" s="1071">
        <f ca="1">$A2702*Q2702</f>
        <v>55.68</v>
      </c>
      <c r="S2702" s="1080">
        <f ca="1">$B2702*Elec_Rates!$T$486</f>
        <v>1.43</v>
      </c>
      <c r="T2702" s="1072">
        <f ca="1">$A2702*S2702</f>
        <v>5.72</v>
      </c>
      <c r="U2702" s="1081"/>
    </row>
    <row r="2703" spans="1:41" s="1039" customFormat="1" ht="13.2">
      <c r="A2703" s="112">
        <v>4</v>
      </c>
      <c r="B2703" s="1039" t="s">
        <v>949</v>
      </c>
      <c r="D2703" s="1039" t="s">
        <v>1234</v>
      </c>
      <c r="G2703" s="1040" t="s">
        <v>1231</v>
      </c>
      <c r="H2703" s="1041">
        <v>705</v>
      </c>
      <c r="I2703" s="1039" t="s">
        <v>1183</v>
      </c>
      <c r="J2703" s="1039" t="s">
        <v>1232</v>
      </c>
      <c r="O2703" s="1042">
        <v>3</v>
      </c>
      <c r="P2703" s="1043">
        <v>34669</v>
      </c>
      <c r="Q2703" s="1044">
        <v>4.75</v>
      </c>
      <c r="R2703" s="1045">
        <f>$A2703*Q2703</f>
        <v>19</v>
      </c>
      <c r="S2703" s="1044">
        <v>0.17</v>
      </c>
      <c r="T2703" s="1046">
        <f>$A2703*S2703*$T$1</f>
        <v>0.71400000000000008</v>
      </c>
    </row>
    <row r="2704" spans="1:41" s="504" customFormat="1" ht="12">
      <c r="A2704" s="882"/>
      <c r="B2704" s="882"/>
      <c r="C2704" s="882"/>
      <c r="D2704" s="882"/>
      <c r="E2704" s="882"/>
      <c r="F2704" s="877"/>
      <c r="G2704" s="882"/>
      <c r="H2704" s="882"/>
      <c r="I2704" s="503"/>
      <c r="J2704" s="882"/>
      <c r="K2704" s="882"/>
      <c r="L2704" s="882"/>
      <c r="M2704" s="882"/>
      <c r="N2704" s="882"/>
      <c r="O2704" s="882"/>
      <c r="P2704" s="882"/>
      <c r="Q2704" s="503"/>
      <c r="R2704" s="883">
        <f>$A2704*Q2704</f>
        <v>0</v>
      </c>
      <c r="S2704" s="503"/>
      <c r="T2704" s="884">
        <f>$A2704*S2704*$T$1</f>
        <v>0</v>
      </c>
    </row>
    <row r="2705" spans="1:41" s="504" customFormat="1" ht="12.6" thickBot="1">
      <c r="A2705" s="885" t="s">
        <v>142</v>
      </c>
      <c r="B2705" s="886">
        <f>(R2704+T2704)</f>
        <v>0</v>
      </c>
      <c r="C2705" s="887"/>
      <c r="D2705" s="887"/>
      <c r="E2705" s="887"/>
      <c r="F2705" s="888"/>
      <c r="G2705" s="887" t="s">
        <v>143</v>
      </c>
      <c r="H2705" s="887"/>
      <c r="I2705" s="889"/>
      <c r="J2705" s="887"/>
      <c r="K2705" s="887" t="s">
        <v>3</v>
      </c>
      <c r="L2705" s="890" t="s">
        <v>140</v>
      </c>
      <c r="M2705" s="890"/>
      <c r="N2705" s="890"/>
      <c r="O2705" s="890"/>
      <c r="P2705" s="890"/>
      <c r="Q2705" s="891"/>
      <c r="R2705" s="892">
        <f ca="1">SUM(R2700:R2704)</f>
        <v>74.680000000000007</v>
      </c>
      <c r="S2705" s="887"/>
      <c r="T2705" s="892">
        <f ca="1">SUM(T2700:T2704)</f>
        <v>6.4340000000000002</v>
      </c>
      <c r="U2705" s="514"/>
      <c r="V2705" s="514"/>
      <c r="W2705" s="514"/>
      <c r="X2705" s="514"/>
      <c r="Y2705" s="514"/>
      <c r="Z2705" s="514"/>
      <c r="AA2705" s="514"/>
      <c r="AB2705" s="514"/>
      <c r="AC2705" s="514"/>
      <c r="AD2705" s="514"/>
      <c r="AE2705" s="514"/>
      <c r="AF2705" s="514"/>
      <c r="AG2705" s="514"/>
      <c r="AH2705" s="514"/>
      <c r="AI2705" s="514"/>
      <c r="AJ2705" s="514"/>
      <c r="AK2705" s="514"/>
      <c r="AL2705" s="514"/>
      <c r="AM2705" s="514"/>
      <c r="AN2705" s="514"/>
      <c r="AO2705" s="514"/>
    </row>
    <row r="2706" spans="1:41" s="504" customFormat="1" ht="12" thickTop="1">
      <c r="A2706" s="50"/>
      <c r="B2706" s="40"/>
      <c r="C2706" s="50"/>
      <c r="E2706" s="41" t="s">
        <v>136</v>
      </c>
      <c r="F2706" s="41" t="s">
        <v>137</v>
      </c>
      <c r="G2706" s="50"/>
      <c r="H2706" s="50"/>
      <c r="I2706" s="50"/>
      <c r="J2706" s="50"/>
      <c r="K2706" s="50" t="s">
        <v>138</v>
      </c>
      <c r="L2706" s="50"/>
      <c r="M2706" s="50"/>
      <c r="N2706" s="50"/>
      <c r="O2706" s="51"/>
      <c r="P2706" s="50"/>
      <c r="Q2706" s="50"/>
      <c r="R2706" s="50"/>
      <c r="S2706" s="50"/>
      <c r="T2706" s="40"/>
      <c r="AG2706" s="867" t="s">
        <v>241</v>
      </c>
      <c r="AH2706" s="867" t="s">
        <v>242</v>
      </c>
      <c r="AI2706" s="867" t="s">
        <v>243</v>
      </c>
      <c r="AJ2706" s="867" t="s">
        <v>244</v>
      </c>
      <c r="AK2706" s="867" t="s">
        <v>245</v>
      </c>
      <c r="AM2706" s="868" t="s">
        <v>254</v>
      </c>
      <c r="AN2706" s="869" t="s">
        <v>255</v>
      </c>
      <c r="AO2706" s="505" t="s">
        <v>251</v>
      </c>
    </row>
    <row r="2707" spans="1:41" s="504" customFormat="1" ht="12" customHeight="1">
      <c r="A2707" s="870">
        <v>9</v>
      </c>
      <c r="B2707" s="871" t="s">
        <v>335</v>
      </c>
      <c r="C2707" s="872"/>
      <c r="D2707" s="873" t="s">
        <v>808</v>
      </c>
      <c r="E2707" s="874">
        <f ca="1">IF(AND($A2707=0,$A$1="DIF"),0, ROUND(ROUND(($R2713*$S$2+($T2713*$T$2))/A2707,2)*$C$2,2))</f>
        <v>119.8</v>
      </c>
      <c r="F2707" s="875">
        <f ca="1">ROUND($A2707*$E2707,2)</f>
        <v>1078.2</v>
      </c>
      <c r="G2707" s="876" t="s">
        <v>139</v>
      </c>
      <c r="H2707" s="877"/>
      <c r="I2707" s="878"/>
      <c r="J2707" s="877"/>
      <c r="K2707" s="877" t="s">
        <v>3</v>
      </c>
      <c r="L2707" s="879" t="s">
        <v>140</v>
      </c>
      <c r="M2707" s="879"/>
      <c r="N2707" s="879"/>
      <c r="O2707" s="879"/>
      <c r="P2707" s="879"/>
      <c r="Q2707" s="50"/>
      <c r="T2707" s="880" t="str">
        <f ca="1">IF(AND($R2713=0,$T2713=0),"0.00","mu :" &amp; ROUND($F2707/$C$2/($R2713+$T2713*$D$9),2))</f>
        <v>mu :1.22</v>
      </c>
      <c r="W2707" s="507"/>
      <c r="AG2707" s="465">
        <f ca="1">IF($E2707=0,0,ROUND($R2713*$S$2*$C$2/$A2707,2))</f>
        <v>63.22</v>
      </c>
      <c r="AH2707" s="465">
        <f ca="1">$AG2707*$A2707</f>
        <v>568.98</v>
      </c>
      <c r="AI2707" s="508">
        <f ca="1">$E2707-$AG2707</f>
        <v>56.58</v>
      </c>
      <c r="AJ2707" s="508">
        <f ca="1">$A2707*$AI2707</f>
        <v>509.21999999999997</v>
      </c>
      <c r="AK2707" s="509">
        <f ca="1">ROUND(($AG2707+$AI2707)*$A2707,2)</f>
        <v>1078.2</v>
      </c>
      <c r="AM2707" s="510">
        <f ca="1">ROUND(R2713,2)</f>
        <v>466.38</v>
      </c>
      <c r="AN2707" s="511">
        <f ca="1">ROUND(T2713,2)</f>
        <v>14.48</v>
      </c>
      <c r="AO2707" s="512">
        <f ca="1">ROUND(AM2707+AN2707,2)*A2707</f>
        <v>4327.74</v>
      </c>
    </row>
    <row r="2708" spans="1:41" s="504" customFormat="1" ht="13.2">
      <c r="A2708" s="872"/>
      <c r="B2708"/>
      <c r="C2708" s="872"/>
      <c r="D2708" s="873" t="s">
        <v>426</v>
      </c>
      <c r="F2708" s="877"/>
      <c r="G2708" s="3"/>
      <c r="H2708" s="877"/>
      <c r="I2708" s="878"/>
      <c r="J2708" s="877"/>
      <c r="K2708" s="877" t="s">
        <v>141</v>
      </c>
      <c r="L2708" s="877"/>
      <c r="M2708" s="877"/>
      <c r="N2708" s="877"/>
      <c r="O2708" s="877"/>
      <c r="P2708" s="877"/>
      <c r="Q2708" s="50"/>
      <c r="R2708" s="513"/>
      <c r="S2708" s="881"/>
      <c r="T2708" s="877"/>
    </row>
    <row r="2709" spans="1:41" s="997" customFormat="1" ht="13.2">
      <c r="A2709"/>
      <c r="B2709" s="1065"/>
      <c r="C2709" s="1065" t="s">
        <v>1006</v>
      </c>
      <c r="D2709" s="1065" t="str">
        <f ca="1">CELL("Address",Elec_Rates!D$486)</f>
        <v>[EL25_0662B_Brittania_Hotel_Elec_Revised_Estim_B.xlsx]Elec_Rates!$D$486</v>
      </c>
      <c r="E2709" s="1066"/>
      <c r="F2709" s="1066"/>
      <c r="G2709" s="1067" t="s">
        <v>1007</v>
      </c>
      <c r="H2709" s="1067"/>
      <c r="I2709" s="1067"/>
      <c r="J2709" s="1067"/>
      <c r="K2709" s="1068"/>
      <c r="L2709" s="1066"/>
      <c r="M2709" s="1066"/>
      <c r="N2709" s="1066"/>
      <c r="O2709" s="1069"/>
      <c r="P2709" s="1066"/>
      <c r="Q2709" s="1070"/>
      <c r="R2709" s="1071"/>
      <c r="S2709" s="1070"/>
      <c r="T2709" s="1072"/>
      <c r="U2709" s="1073"/>
    </row>
    <row r="2710" spans="1:41" s="997" customFormat="1" ht="11.4">
      <c r="A2710" s="1074">
        <v>9</v>
      </c>
      <c r="B2710" s="1075">
        <v>1</v>
      </c>
      <c r="C2710" s="1075">
        <f>$A2710*$B2710</f>
        <v>9</v>
      </c>
      <c r="D2710" s="1076" t="str">
        <f>Elec_Rates!$D$486</f>
        <v>058# General Power Point in LSZH Conduit</v>
      </c>
      <c r="E2710" s="1076"/>
      <c r="F2710" s="1076"/>
      <c r="G2710" s="1077" t="s">
        <v>1008</v>
      </c>
      <c r="H2710" s="1077"/>
      <c r="I2710" s="1077"/>
      <c r="J2710" s="1077"/>
      <c r="K2710" s="1078"/>
      <c r="L2710" s="1073"/>
      <c r="M2710" s="1073"/>
      <c r="N2710" s="1073"/>
      <c r="O2710" s="1079"/>
      <c r="P2710" s="1076"/>
      <c r="Q2710" s="1080">
        <f ca="1">$B2710*Elec_Rates!$R$486</f>
        <v>13.92</v>
      </c>
      <c r="R2710" s="1071">
        <f ca="1">$A2710*Q2710</f>
        <v>125.28</v>
      </c>
      <c r="S2710" s="1080">
        <f ca="1">$B2710*Elec_Rates!$T$486</f>
        <v>1.43</v>
      </c>
      <c r="T2710" s="1072">
        <f ca="1">$A2710*S2710</f>
        <v>12.87</v>
      </c>
      <c r="U2710" s="1081"/>
    </row>
    <row r="2711" spans="1:41" s="1039" customFormat="1" ht="13.2">
      <c r="A2711" s="112">
        <v>9</v>
      </c>
      <c r="B2711" s="1039" t="s">
        <v>949</v>
      </c>
      <c r="D2711" s="1039" t="s">
        <v>426</v>
      </c>
      <c r="G2711" s="1040" t="s">
        <v>1231</v>
      </c>
      <c r="H2711" s="1041">
        <v>705</v>
      </c>
      <c r="I2711" s="1039" t="s">
        <v>1183</v>
      </c>
      <c r="J2711" s="1039" t="s">
        <v>1232</v>
      </c>
      <c r="O2711" s="1042">
        <v>3</v>
      </c>
      <c r="P2711" s="1043">
        <v>34669</v>
      </c>
      <c r="Q2711" s="1044">
        <v>37.9</v>
      </c>
      <c r="R2711" s="1045">
        <f>$A2711*Q2711</f>
        <v>341.09999999999997</v>
      </c>
      <c r="S2711" s="1044">
        <v>0.17</v>
      </c>
      <c r="T2711" s="1046">
        <f>$A2711*S2711*$T$1</f>
        <v>1.6065</v>
      </c>
    </row>
    <row r="2712" spans="1:41" s="504" customFormat="1" ht="12">
      <c r="A2712" s="882"/>
      <c r="B2712" s="882"/>
      <c r="C2712" s="882"/>
      <c r="D2712" s="882"/>
      <c r="E2712" s="882"/>
      <c r="F2712" s="877"/>
      <c r="G2712" s="882"/>
      <c r="H2712" s="882"/>
      <c r="I2712" s="503"/>
      <c r="J2712" s="882"/>
      <c r="K2712" s="882"/>
      <c r="L2712" s="882"/>
      <c r="M2712" s="882"/>
      <c r="N2712" s="882"/>
      <c r="O2712" s="882"/>
      <c r="P2712" s="882"/>
      <c r="Q2712" s="503"/>
      <c r="R2712" s="883">
        <f>$A2712*Q2712</f>
        <v>0</v>
      </c>
      <c r="S2712" s="503"/>
      <c r="T2712" s="884">
        <f>$A2712*S2712*$T$1</f>
        <v>0</v>
      </c>
    </row>
    <row r="2713" spans="1:41" s="504" customFormat="1" ht="12.6" thickBot="1">
      <c r="A2713" s="885" t="s">
        <v>142</v>
      </c>
      <c r="B2713" s="886">
        <f>(R2712+T2712)</f>
        <v>0</v>
      </c>
      <c r="C2713" s="887"/>
      <c r="D2713" s="887"/>
      <c r="E2713" s="887"/>
      <c r="F2713" s="888"/>
      <c r="G2713" s="887" t="s">
        <v>143</v>
      </c>
      <c r="H2713" s="887"/>
      <c r="I2713" s="889"/>
      <c r="J2713" s="887"/>
      <c r="K2713" s="887" t="s">
        <v>3</v>
      </c>
      <c r="L2713" s="890" t="s">
        <v>140</v>
      </c>
      <c r="M2713" s="890"/>
      <c r="N2713" s="890"/>
      <c r="O2713" s="890"/>
      <c r="P2713" s="890"/>
      <c r="Q2713" s="891"/>
      <c r="R2713" s="892">
        <f ca="1">SUM(R2708:R2712)</f>
        <v>466.38</v>
      </c>
      <c r="S2713" s="887"/>
      <c r="T2713" s="892">
        <f ca="1">SUM(T2708:T2712)</f>
        <v>14.4765</v>
      </c>
      <c r="U2713" s="514"/>
      <c r="V2713" s="514"/>
      <c r="W2713" s="514"/>
      <c r="X2713" s="514"/>
      <c r="Y2713" s="514"/>
      <c r="Z2713" s="514"/>
      <c r="AA2713" s="514"/>
      <c r="AB2713" s="514"/>
      <c r="AC2713" s="514"/>
      <c r="AD2713" s="514"/>
      <c r="AE2713" s="514"/>
      <c r="AF2713" s="514"/>
      <c r="AG2713" s="514"/>
      <c r="AH2713" s="514"/>
      <c r="AI2713" s="514"/>
      <c r="AJ2713" s="514"/>
      <c r="AK2713" s="514"/>
      <c r="AL2713" s="514"/>
      <c r="AM2713" s="514"/>
      <c r="AN2713" s="514"/>
      <c r="AO2713" s="514"/>
    </row>
    <row r="2714" spans="1:41" s="504" customFormat="1" ht="12" thickTop="1">
      <c r="A2714" s="50"/>
      <c r="B2714" s="40"/>
      <c r="C2714" s="50"/>
      <c r="E2714" s="41" t="s">
        <v>136</v>
      </c>
      <c r="F2714" s="41" t="s">
        <v>137</v>
      </c>
      <c r="G2714" s="50"/>
      <c r="H2714" s="50"/>
      <c r="I2714" s="50"/>
      <c r="J2714" s="50"/>
      <c r="K2714" s="50" t="s">
        <v>138</v>
      </c>
      <c r="L2714" s="50"/>
      <c r="M2714" s="50"/>
      <c r="N2714" s="50"/>
      <c r="O2714" s="51"/>
      <c r="P2714" s="50"/>
      <c r="Q2714" s="50"/>
      <c r="R2714" s="50"/>
      <c r="S2714" s="50"/>
      <c r="T2714" s="40"/>
      <c r="AG2714" s="867" t="s">
        <v>241</v>
      </c>
      <c r="AH2714" s="867" t="s">
        <v>242</v>
      </c>
      <c r="AI2714" s="867" t="s">
        <v>243</v>
      </c>
      <c r="AJ2714" s="867" t="s">
        <v>244</v>
      </c>
      <c r="AK2714" s="867" t="s">
        <v>245</v>
      </c>
      <c r="AM2714" s="868" t="s">
        <v>254</v>
      </c>
      <c r="AN2714" s="869" t="s">
        <v>255</v>
      </c>
      <c r="AO2714" s="505" t="s">
        <v>251</v>
      </c>
    </row>
    <row r="2715" spans="1:41" s="504" customFormat="1" ht="12" customHeight="1">
      <c r="A2715" s="870">
        <v>9</v>
      </c>
      <c r="B2715" s="871" t="s">
        <v>335</v>
      </c>
      <c r="C2715" s="872"/>
      <c r="D2715" s="873" t="s">
        <v>810</v>
      </c>
      <c r="E2715" s="874">
        <f ca="1">IF(AND($A2715=0,$A$1="DIF"),0, ROUND(ROUND(($R2721*$S$2+($T2721*$T$2))/A2715,2)*$C$2,2))</f>
        <v>119.8</v>
      </c>
      <c r="F2715" s="875">
        <f ca="1">ROUND($A2715*$E2715,2)</f>
        <v>1078.2</v>
      </c>
      <c r="G2715" s="876" t="s">
        <v>139</v>
      </c>
      <c r="H2715" s="877"/>
      <c r="I2715" s="878"/>
      <c r="J2715" s="877"/>
      <c r="K2715" s="877" t="s">
        <v>3</v>
      </c>
      <c r="L2715" s="879" t="s">
        <v>140</v>
      </c>
      <c r="M2715" s="879"/>
      <c r="N2715" s="879"/>
      <c r="O2715" s="879"/>
      <c r="P2715" s="879"/>
      <c r="Q2715" s="50"/>
      <c r="T2715" s="880" t="str">
        <f ca="1">IF(AND($R2721=0,$T2721=0),"0.00","mu :" &amp; ROUND($F2715/$C$2/($R2721+$T2721*$D$9),2))</f>
        <v>mu :1.22</v>
      </c>
      <c r="W2715" s="507"/>
      <c r="AG2715" s="465">
        <f ca="1">IF($E2715=0,0,ROUND($R2721*$S$2*$C$2/$A2715,2))</f>
        <v>63.22</v>
      </c>
      <c r="AH2715" s="465">
        <f ca="1">$AG2715*$A2715</f>
        <v>568.98</v>
      </c>
      <c r="AI2715" s="508">
        <f ca="1">$E2715-$AG2715</f>
        <v>56.58</v>
      </c>
      <c r="AJ2715" s="508">
        <f ca="1">$A2715*$AI2715</f>
        <v>509.21999999999997</v>
      </c>
      <c r="AK2715" s="509">
        <f ca="1">ROUND(($AG2715+$AI2715)*$A2715,2)</f>
        <v>1078.2</v>
      </c>
      <c r="AM2715" s="510">
        <f ca="1">ROUND(R2721,2)</f>
        <v>466.38</v>
      </c>
      <c r="AN2715" s="511">
        <f ca="1">ROUND(T2721,2)</f>
        <v>14.48</v>
      </c>
      <c r="AO2715" s="512">
        <f ca="1">ROUND(AM2715+AN2715,2)*A2715</f>
        <v>4327.74</v>
      </c>
    </row>
    <row r="2716" spans="1:41" s="504" customFormat="1" ht="13.2">
      <c r="A2716" s="872"/>
      <c r="B2716"/>
      <c r="C2716" s="872"/>
      <c r="D2716" s="916" t="s">
        <v>427</v>
      </c>
      <c r="E2716" s="917"/>
      <c r="F2716" s="918"/>
      <c r="G2716" s="919"/>
      <c r="H2716" s="918"/>
      <c r="I2716" s="920"/>
      <c r="J2716" s="918"/>
      <c r="K2716" s="918" t="s">
        <v>141</v>
      </c>
      <c r="L2716" s="918"/>
      <c r="M2716" s="918"/>
      <c r="N2716" s="918"/>
      <c r="O2716" s="918"/>
      <c r="P2716" s="918"/>
      <c r="Q2716" s="921"/>
      <c r="R2716" s="513"/>
      <c r="S2716" s="881"/>
      <c r="T2716" s="877"/>
    </row>
    <row r="2717" spans="1:41" s="997" customFormat="1" ht="13.2">
      <c r="A2717"/>
      <c r="B2717" s="1065"/>
      <c r="C2717" s="1065" t="s">
        <v>1006</v>
      </c>
      <c r="D2717" s="1065" t="str">
        <f ca="1">CELL("Address",Elec_Rates!D$486)</f>
        <v>[EL25_0662B_Brittania_Hotel_Elec_Revised_Estim_B.xlsx]Elec_Rates!$D$486</v>
      </c>
      <c r="E2717" s="1066"/>
      <c r="F2717" s="1066"/>
      <c r="G2717" s="1067" t="s">
        <v>1007</v>
      </c>
      <c r="H2717" s="1067"/>
      <c r="I2717" s="1067"/>
      <c r="J2717" s="1067"/>
      <c r="K2717" s="1068"/>
      <c r="L2717" s="1066"/>
      <c r="M2717" s="1066"/>
      <c r="N2717" s="1066"/>
      <c r="O2717" s="1069"/>
      <c r="P2717" s="1066"/>
      <c r="Q2717" s="1070"/>
      <c r="R2717" s="1071"/>
      <c r="S2717" s="1070"/>
      <c r="T2717" s="1072"/>
      <c r="U2717" s="1073"/>
    </row>
    <row r="2718" spans="1:41" s="997" customFormat="1" ht="11.4">
      <c r="A2718" s="1074">
        <v>9</v>
      </c>
      <c r="B2718" s="1075">
        <v>1</v>
      </c>
      <c r="C2718" s="1075">
        <f>$A2718*$B2718</f>
        <v>9</v>
      </c>
      <c r="D2718" s="1076" t="str">
        <f>Elec_Rates!$D$486</f>
        <v>058# General Power Point in LSZH Conduit</v>
      </c>
      <c r="E2718" s="1076"/>
      <c r="F2718" s="1076"/>
      <c r="G2718" s="1077" t="s">
        <v>1008</v>
      </c>
      <c r="H2718" s="1077"/>
      <c r="I2718" s="1077"/>
      <c r="J2718" s="1077"/>
      <c r="K2718" s="1078"/>
      <c r="L2718" s="1073"/>
      <c r="M2718" s="1073"/>
      <c r="N2718" s="1073"/>
      <c r="O2718" s="1079"/>
      <c r="P2718" s="1076"/>
      <c r="Q2718" s="1080">
        <f ca="1">$B2718*Elec_Rates!$R$486</f>
        <v>13.92</v>
      </c>
      <c r="R2718" s="1071">
        <f ca="1">$A2718*Q2718</f>
        <v>125.28</v>
      </c>
      <c r="S2718" s="1080">
        <f ca="1">$B2718*Elec_Rates!$T$486</f>
        <v>1.43</v>
      </c>
      <c r="T2718" s="1072">
        <f ca="1">$A2718*S2718</f>
        <v>12.87</v>
      </c>
      <c r="U2718" s="1081"/>
    </row>
    <row r="2719" spans="1:41" s="1039" customFormat="1" ht="13.2">
      <c r="A2719" s="112">
        <v>9</v>
      </c>
      <c r="B2719" s="1039" t="s">
        <v>949</v>
      </c>
      <c r="D2719" s="1039" t="s">
        <v>427</v>
      </c>
      <c r="G2719" s="1040" t="s">
        <v>1231</v>
      </c>
      <c r="H2719" s="1041">
        <v>705</v>
      </c>
      <c r="I2719" s="1039" t="s">
        <v>1183</v>
      </c>
      <c r="J2719" s="1039" t="s">
        <v>1232</v>
      </c>
      <c r="O2719" s="1042">
        <v>3</v>
      </c>
      <c r="P2719" s="1043">
        <v>34669</v>
      </c>
      <c r="Q2719" s="1044">
        <v>37.9</v>
      </c>
      <c r="R2719" s="1045">
        <f>$A2719*Q2719</f>
        <v>341.09999999999997</v>
      </c>
      <c r="S2719" s="1044">
        <v>0.17</v>
      </c>
      <c r="T2719" s="1046">
        <f>$A2719*S2719*$T$1</f>
        <v>1.6065</v>
      </c>
    </row>
    <row r="2720" spans="1:41" s="504" customFormat="1" ht="12">
      <c r="A2720" s="882"/>
      <c r="B2720" s="882"/>
      <c r="C2720" s="882"/>
      <c r="D2720" s="882"/>
      <c r="E2720" s="882"/>
      <c r="F2720" s="877"/>
      <c r="G2720" s="882"/>
      <c r="H2720" s="882"/>
      <c r="I2720" s="503"/>
      <c r="J2720" s="882"/>
      <c r="K2720" s="882"/>
      <c r="L2720" s="882"/>
      <c r="M2720" s="882"/>
      <c r="N2720" s="882"/>
      <c r="O2720" s="882"/>
      <c r="P2720" s="882"/>
      <c r="Q2720" s="503"/>
      <c r="R2720" s="883">
        <f>$A2720*Q2720</f>
        <v>0</v>
      </c>
      <c r="S2720" s="503"/>
      <c r="T2720" s="884">
        <f>$A2720*S2720*$T$1</f>
        <v>0</v>
      </c>
    </row>
    <row r="2721" spans="1:41" s="504" customFormat="1" ht="12.6" thickBot="1">
      <c r="A2721" s="885" t="s">
        <v>142</v>
      </c>
      <c r="B2721" s="886">
        <f>(R2720+T2720)</f>
        <v>0</v>
      </c>
      <c r="C2721" s="887"/>
      <c r="D2721" s="887"/>
      <c r="E2721" s="887"/>
      <c r="F2721" s="888"/>
      <c r="G2721" s="887" t="s">
        <v>143</v>
      </c>
      <c r="H2721" s="887"/>
      <c r="I2721" s="889"/>
      <c r="J2721" s="887"/>
      <c r="K2721" s="887" t="s">
        <v>3</v>
      </c>
      <c r="L2721" s="890" t="s">
        <v>140</v>
      </c>
      <c r="M2721" s="890"/>
      <c r="N2721" s="890"/>
      <c r="O2721" s="890"/>
      <c r="P2721" s="890"/>
      <c r="Q2721" s="891"/>
      <c r="R2721" s="892">
        <f ca="1">SUM(R2716:R2720)</f>
        <v>466.38</v>
      </c>
      <c r="S2721" s="887"/>
      <c r="T2721" s="892">
        <f ca="1">SUM(T2716:T2720)</f>
        <v>14.4765</v>
      </c>
      <c r="U2721" s="514"/>
      <c r="V2721" s="514"/>
      <c r="W2721" s="514"/>
      <c r="X2721" s="514"/>
      <c r="Y2721" s="514"/>
      <c r="Z2721" s="514"/>
      <c r="AA2721" s="514"/>
      <c r="AB2721" s="514"/>
      <c r="AC2721" s="514"/>
      <c r="AD2721" s="514"/>
      <c r="AE2721" s="514"/>
      <c r="AF2721" s="514"/>
      <c r="AG2721" s="514"/>
      <c r="AH2721" s="514"/>
      <c r="AI2721" s="514"/>
      <c r="AJ2721" s="514"/>
      <c r="AK2721" s="514"/>
      <c r="AL2721" s="514"/>
      <c r="AM2721" s="514"/>
      <c r="AN2721" s="514"/>
      <c r="AO2721" s="514"/>
    </row>
    <row r="2722" spans="1:41" s="504" customFormat="1" ht="12" thickTop="1">
      <c r="A2722" s="50"/>
      <c r="B2722" s="40"/>
      <c r="C2722" s="50"/>
      <c r="E2722" s="41" t="s">
        <v>136</v>
      </c>
      <c r="F2722" s="41" t="s">
        <v>137</v>
      </c>
      <c r="G2722" s="50"/>
      <c r="H2722" s="50"/>
      <c r="I2722" s="50"/>
      <c r="J2722" s="50"/>
      <c r="K2722" s="50" t="s">
        <v>138</v>
      </c>
      <c r="L2722" s="50"/>
      <c r="M2722" s="50"/>
      <c r="N2722" s="50"/>
      <c r="O2722" s="51"/>
      <c r="P2722" s="50"/>
      <c r="Q2722" s="50"/>
      <c r="R2722" s="50"/>
      <c r="S2722" s="50"/>
      <c r="T2722" s="40"/>
      <c r="AG2722" s="867" t="s">
        <v>241</v>
      </c>
      <c r="AH2722" s="867" t="s">
        <v>242</v>
      </c>
      <c r="AI2722" s="867" t="s">
        <v>243</v>
      </c>
      <c r="AJ2722" s="867" t="s">
        <v>244</v>
      </c>
      <c r="AK2722" s="867" t="s">
        <v>245</v>
      </c>
      <c r="AM2722" s="868" t="s">
        <v>254</v>
      </c>
      <c r="AN2722" s="869" t="s">
        <v>255</v>
      </c>
      <c r="AO2722" s="505" t="s">
        <v>251</v>
      </c>
    </row>
    <row r="2723" spans="1:41" s="504" customFormat="1" ht="12" customHeight="1">
      <c r="A2723" s="870">
        <v>3</v>
      </c>
      <c r="B2723" s="871" t="s">
        <v>335</v>
      </c>
      <c r="C2723" s="872"/>
      <c r="D2723" s="873" t="s">
        <v>812</v>
      </c>
      <c r="E2723" s="874">
        <f ca="1">IF(AND($A2723=0,$A$1="DIF"),0, ROUND(ROUND(($R2729*$S$2+($T2729*$T$2))/A2723,2)*$C$2,2))</f>
        <v>115.17</v>
      </c>
      <c r="F2723" s="875">
        <f ca="1">ROUND($A2723*$E2723,2)</f>
        <v>345.51</v>
      </c>
      <c r="G2723" s="876" t="s">
        <v>139</v>
      </c>
      <c r="H2723" s="877"/>
      <c r="I2723" s="878"/>
      <c r="J2723" s="877"/>
      <c r="K2723" s="877" t="s">
        <v>3</v>
      </c>
      <c r="L2723" s="879" t="s">
        <v>140</v>
      </c>
      <c r="M2723" s="879"/>
      <c r="N2723" s="879"/>
      <c r="O2723" s="879"/>
      <c r="P2723" s="879"/>
      <c r="Q2723" s="50"/>
      <c r="T2723" s="880" t="str">
        <f ca="1">IF(AND($R2729=0,$T2729=0),"0.00","mu :" &amp; ROUND($F2723/$C$2/($R2729+$T2729*$D$9),2))</f>
        <v>mu :1.22</v>
      </c>
      <c r="W2723" s="507"/>
      <c r="AG2723" s="465">
        <f ca="1">IF($E2723=0,0,ROUND($R2729*$S$2*$C$2/$A2723,2))</f>
        <v>58.58</v>
      </c>
      <c r="AH2723" s="465">
        <f ca="1">$AG2723*$A2723</f>
        <v>175.74</v>
      </c>
      <c r="AI2723" s="508">
        <f ca="1">$E2723-$AG2723</f>
        <v>56.59</v>
      </c>
      <c r="AJ2723" s="508">
        <f ca="1">$A2723*$AI2723</f>
        <v>169.77</v>
      </c>
      <c r="AK2723" s="509">
        <f ca="1">ROUND(($AG2723+$AI2723)*$A2723,2)</f>
        <v>345.51</v>
      </c>
      <c r="AM2723" s="510">
        <f ca="1">ROUND(R2729,2)</f>
        <v>144.06</v>
      </c>
      <c r="AN2723" s="511">
        <f ca="1">ROUND(T2729,2)</f>
        <v>4.83</v>
      </c>
      <c r="AO2723" s="512">
        <f ca="1">ROUND(AM2723+AN2723,2)*A2723</f>
        <v>446.66999999999996</v>
      </c>
    </row>
    <row r="2724" spans="1:41" s="504" customFormat="1" ht="13.2">
      <c r="A2724" s="872"/>
      <c r="B2724"/>
      <c r="C2724" s="872"/>
      <c r="D2724" s="873" t="s">
        <v>362</v>
      </c>
      <c r="F2724" s="877"/>
      <c r="G2724" s="3"/>
      <c r="H2724" s="877"/>
      <c r="I2724" s="878"/>
      <c r="J2724" s="877"/>
      <c r="K2724" s="877" t="s">
        <v>141</v>
      </c>
      <c r="L2724" s="877"/>
      <c r="M2724" s="877"/>
      <c r="N2724" s="877"/>
      <c r="O2724" s="877"/>
      <c r="P2724" s="877"/>
      <c r="Q2724" s="50"/>
      <c r="R2724" s="513"/>
      <c r="S2724" s="881"/>
      <c r="T2724" s="877"/>
    </row>
    <row r="2725" spans="1:41" s="997" customFormat="1" ht="13.2">
      <c r="A2725"/>
      <c r="B2725" s="1065"/>
      <c r="C2725" s="1065" t="s">
        <v>1006</v>
      </c>
      <c r="D2725" s="1065" t="str">
        <f ca="1">CELL("Address",Elec_Rates!D$486)</f>
        <v>[EL25_0662B_Brittania_Hotel_Elec_Revised_Estim_B.xlsx]Elec_Rates!$D$486</v>
      </c>
      <c r="E2725" s="1066"/>
      <c r="F2725" s="1066"/>
      <c r="G2725" s="1067" t="s">
        <v>1007</v>
      </c>
      <c r="H2725" s="1067"/>
      <c r="I2725" s="1067"/>
      <c r="J2725" s="1067"/>
      <c r="K2725" s="1068"/>
      <c r="L2725" s="1066"/>
      <c r="M2725" s="1066"/>
      <c r="N2725" s="1066"/>
      <c r="O2725" s="1069"/>
      <c r="P2725" s="1066"/>
      <c r="Q2725" s="1070"/>
      <c r="R2725" s="1071"/>
      <c r="S2725" s="1070"/>
      <c r="T2725" s="1072"/>
      <c r="U2725" s="1073"/>
    </row>
    <row r="2726" spans="1:41" s="997" customFormat="1" ht="11.4">
      <c r="A2726" s="1074">
        <v>3</v>
      </c>
      <c r="B2726" s="1075">
        <v>1</v>
      </c>
      <c r="C2726" s="1075">
        <f>$A2726*$B2726</f>
        <v>3</v>
      </c>
      <c r="D2726" s="1076" t="str">
        <f>Elec_Rates!$D$486</f>
        <v>058# General Power Point in LSZH Conduit</v>
      </c>
      <c r="E2726" s="1076"/>
      <c r="F2726" s="1076"/>
      <c r="G2726" s="1077" t="s">
        <v>1008</v>
      </c>
      <c r="H2726" s="1077"/>
      <c r="I2726" s="1077"/>
      <c r="J2726" s="1077"/>
      <c r="K2726" s="1078"/>
      <c r="L2726" s="1073"/>
      <c r="M2726" s="1073"/>
      <c r="N2726" s="1073"/>
      <c r="O2726" s="1079"/>
      <c r="P2726" s="1076"/>
      <c r="Q2726" s="1080">
        <f ca="1">$B2726*Elec_Rates!$R$486</f>
        <v>13.92</v>
      </c>
      <c r="R2726" s="1071">
        <f ca="1">$A2726*Q2726</f>
        <v>41.76</v>
      </c>
      <c r="S2726" s="1080">
        <f ca="1">$B2726*Elec_Rates!$T$486</f>
        <v>1.43</v>
      </c>
      <c r="T2726" s="1072">
        <f ca="1">$A2726*S2726</f>
        <v>4.29</v>
      </c>
      <c r="U2726" s="1081"/>
    </row>
    <row r="2727" spans="1:41" s="1039" customFormat="1" ht="13.2">
      <c r="A2727" s="112">
        <v>3</v>
      </c>
      <c r="B2727" s="1039" t="s">
        <v>949</v>
      </c>
      <c r="D2727" s="1039" t="s">
        <v>362</v>
      </c>
      <c r="G2727" s="1040" t="s">
        <v>1231</v>
      </c>
      <c r="H2727" s="1041">
        <v>705</v>
      </c>
      <c r="I2727" s="1039" t="s">
        <v>1183</v>
      </c>
      <c r="J2727" s="1039" t="s">
        <v>1232</v>
      </c>
      <c r="O2727" s="1042">
        <v>3</v>
      </c>
      <c r="P2727" s="1043">
        <v>34669</v>
      </c>
      <c r="Q2727" s="1044">
        <v>34.1</v>
      </c>
      <c r="R2727" s="1045">
        <f>$A2727*Q2727</f>
        <v>102.30000000000001</v>
      </c>
      <c r="S2727" s="1044">
        <v>0.17</v>
      </c>
      <c r="T2727" s="1046">
        <f>$A2727*S2727*$T$1</f>
        <v>0.53550000000000009</v>
      </c>
    </row>
    <row r="2728" spans="1:41" s="504" customFormat="1" ht="12">
      <c r="A2728" s="882"/>
      <c r="B2728" s="882"/>
      <c r="C2728" s="882"/>
      <c r="D2728" s="882"/>
      <c r="E2728" s="882"/>
      <c r="F2728" s="877"/>
      <c r="G2728" s="882"/>
      <c r="H2728" s="882"/>
      <c r="I2728" s="503"/>
      <c r="J2728" s="882"/>
      <c r="K2728" s="882"/>
      <c r="L2728" s="882"/>
      <c r="M2728" s="882"/>
      <c r="N2728" s="882"/>
      <c r="O2728" s="882"/>
      <c r="P2728" s="882"/>
      <c r="Q2728" s="503"/>
      <c r="R2728" s="883">
        <f>$A2728*Q2728</f>
        <v>0</v>
      </c>
      <c r="S2728" s="503"/>
      <c r="T2728" s="884">
        <f>$A2728*S2728*$T$1</f>
        <v>0</v>
      </c>
    </row>
    <row r="2729" spans="1:41" s="504" customFormat="1" ht="12.6" thickBot="1">
      <c r="A2729" s="885" t="s">
        <v>142</v>
      </c>
      <c r="B2729" s="886">
        <f>(R2728+T2728)</f>
        <v>0</v>
      </c>
      <c r="C2729" s="887"/>
      <c r="D2729" s="887"/>
      <c r="E2729" s="887"/>
      <c r="F2729" s="888"/>
      <c r="G2729" s="887" t="s">
        <v>143</v>
      </c>
      <c r="H2729" s="887"/>
      <c r="I2729" s="889"/>
      <c r="J2729" s="887"/>
      <c r="K2729" s="887" t="s">
        <v>3</v>
      </c>
      <c r="L2729" s="890" t="s">
        <v>140</v>
      </c>
      <c r="M2729" s="890"/>
      <c r="N2729" s="890"/>
      <c r="O2729" s="890"/>
      <c r="P2729" s="890"/>
      <c r="Q2729" s="891"/>
      <c r="R2729" s="892">
        <f ca="1">SUM(R2724:R2728)</f>
        <v>144.06</v>
      </c>
      <c r="S2729" s="887"/>
      <c r="T2729" s="892">
        <f ca="1">SUM(T2724:T2728)</f>
        <v>4.8254999999999999</v>
      </c>
      <c r="U2729" s="514"/>
      <c r="V2729" s="514"/>
      <c r="W2729" s="514"/>
      <c r="X2729" s="514"/>
      <c r="Y2729" s="514"/>
      <c r="Z2729" s="514"/>
      <c r="AA2729" s="514"/>
      <c r="AB2729" s="514"/>
      <c r="AC2729" s="514"/>
      <c r="AD2729" s="514"/>
      <c r="AE2729" s="514"/>
      <c r="AF2729" s="514"/>
      <c r="AG2729" s="514"/>
      <c r="AH2729" s="514"/>
      <c r="AI2729" s="514"/>
      <c r="AJ2729" s="514"/>
      <c r="AK2729" s="514"/>
      <c r="AL2729" s="514"/>
      <c r="AM2729" s="514"/>
      <c r="AN2729" s="514"/>
      <c r="AO2729" s="514"/>
    </row>
    <row r="2730" spans="1:41" s="504" customFormat="1" ht="12" thickTop="1">
      <c r="A2730" s="50"/>
      <c r="B2730" s="40"/>
      <c r="C2730" s="50"/>
      <c r="E2730" s="41" t="s">
        <v>136</v>
      </c>
      <c r="F2730" s="41" t="s">
        <v>137</v>
      </c>
      <c r="G2730" s="50"/>
      <c r="H2730" s="50"/>
      <c r="I2730" s="50"/>
      <c r="J2730" s="50"/>
      <c r="K2730" s="50" t="s">
        <v>138</v>
      </c>
      <c r="L2730" s="50"/>
      <c r="M2730" s="50"/>
      <c r="N2730" s="50"/>
      <c r="O2730" s="51"/>
      <c r="P2730" s="50"/>
      <c r="Q2730" s="50"/>
      <c r="R2730" s="50"/>
      <c r="S2730" s="50"/>
      <c r="T2730" s="40"/>
      <c r="AG2730" s="867" t="s">
        <v>241</v>
      </c>
      <c r="AH2730" s="867" t="s">
        <v>242</v>
      </c>
      <c r="AI2730" s="867" t="s">
        <v>243</v>
      </c>
      <c r="AJ2730" s="867" t="s">
        <v>244</v>
      </c>
      <c r="AK2730" s="867" t="s">
        <v>245</v>
      </c>
      <c r="AM2730" s="868" t="s">
        <v>254</v>
      </c>
      <c r="AN2730" s="869" t="s">
        <v>255</v>
      </c>
      <c r="AO2730" s="505" t="s">
        <v>251</v>
      </c>
    </row>
    <row r="2731" spans="1:41" s="504" customFormat="1" ht="12" customHeight="1">
      <c r="A2731" s="870">
        <v>6</v>
      </c>
      <c r="B2731" s="871" t="s">
        <v>335</v>
      </c>
      <c r="C2731" s="872"/>
      <c r="D2731" s="873" t="s">
        <v>819</v>
      </c>
      <c r="E2731" s="874">
        <f ca="1">IF(AND($A2731=0,$A$1="DIF"),0, ROUND(ROUND(($R2737*$S$2+($T2737*$T$2))/A2731,2)*$C$2,2))</f>
        <v>79.88</v>
      </c>
      <c r="F2731" s="875">
        <f ca="1">ROUND($A2731*$E2731,2)</f>
        <v>479.28</v>
      </c>
      <c r="G2731" s="876" t="s">
        <v>139</v>
      </c>
      <c r="H2731" s="877"/>
      <c r="I2731" s="878"/>
      <c r="J2731" s="877"/>
      <c r="K2731" s="877" t="s">
        <v>3</v>
      </c>
      <c r="L2731" s="879" t="s">
        <v>140</v>
      </c>
      <c r="M2731" s="879"/>
      <c r="N2731" s="879"/>
      <c r="O2731" s="879"/>
      <c r="P2731" s="879"/>
      <c r="Q2731" s="50"/>
      <c r="T2731" s="880" t="str">
        <f ca="1">IF(AND($R2737=0,$T2737=0),"0.00","mu :" &amp; ROUND($F2731/$C$2/($R2737+$T2737*$D$9),2))</f>
        <v>mu :1.22</v>
      </c>
      <c r="W2731" s="507"/>
      <c r="AG2731" s="465">
        <f ca="1">IF($E2731=0,0,ROUND($R2737*$S$2*$C$2/$A2731,2))</f>
        <v>23.3</v>
      </c>
      <c r="AH2731" s="465">
        <f ca="1">$AG2731*$A2731</f>
        <v>139.80000000000001</v>
      </c>
      <c r="AI2731" s="508">
        <f ca="1">$E2731-$AG2731</f>
        <v>56.58</v>
      </c>
      <c r="AJ2731" s="508">
        <f ca="1">$A2731*$AI2731</f>
        <v>339.48</v>
      </c>
      <c r="AK2731" s="509">
        <f ca="1">ROUND(($AG2731+$AI2731)*$A2731,2)</f>
        <v>479.28</v>
      </c>
      <c r="AM2731" s="510">
        <f ca="1">ROUND(R2737,2)</f>
        <v>114.6</v>
      </c>
      <c r="AN2731" s="511">
        <f ca="1">ROUND(T2737,2)</f>
        <v>9.65</v>
      </c>
      <c r="AO2731" s="512">
        <f ca="1">ROUND(AM2731+AN2731,2)*A2731</f>
        <v>745.5</v>
      </c>
    </row>
    <row r="2732" spans="1:41" s="504" customFormat="1" ht="13.2">
      <c r="A2732" s="872"/>
      <c r="B2732"/>
      <c r="C2732" s="872"/>
      <c r="D2732" s="873" t="s">
        <v>363</v>
      </c>
      <c r="F2732" s="877"/>
      <c r="G2732" s="3"/>
      <c r="H2732" s="877"/>
      <c r="I2732" s="878"/>
      <c r="J2732" s="877"/>
      <c r="K2732" s="877" t="s">
        <v>141</v>
      </c>
      <c r="L2732" s="877"/>
      <c r="M2732" s="877"/>
      <c r="N2732" s="877"/>
      <c r="O2732" s="877"/>
      <c r="P2732" s="877"/>
      <c r="Q2732" s="50"/>
      <c r="R2732" s="513"/>
      <c r="S2732" s="881"/>
      <c r="T2732" s="877"/>
    </row>
    <row r="2733" spans="1:41" s="997" customFormat="1" ht="13.2">
      <c r="A2733"/>
      <c r="B2733" s="1065"/>
      <c r="C2733" s="1065" t="s">
        <v>1006</v>
      </c>
      <c r="D2733" s="1065" t="str">
        <f ca="1">CELL("Address",Elec_Rates!D$486)</f>
        <v>[EL25_0662B_Brittania_Hotel_Elec_Revised_Estim_B.xlsx]Elec_Rates!$D$486</v>
      </c>
      <c r="E2733" s="1066"/>
      <c r="F2733" s="1066"/>
      <c r="G2733" s="1067" t="s">
        <v>1007</v>
      </c>
      <c r="H2733" s="1067"/>
      <c r="I2733" s="1067"/>
      <c r="J2733" s="1067"/>
      <c r="K2733" s="1068"/>
      <c r="L2733" s="1066"/>
      <c r="M2733" s="1066"/>
      <c r="N2733" s="1066"/>
      <c r="O2733" s="1069"/>
      <c r="P2733" s="1066"/>
      <c r="Q2733" s="1070"/>
      <c r="R2733" s="1071"/>
      <c r="S2733" s="1070"/>
      <c r="T2733" s="1072"/>
      <c r="U2733" s="1073"/>
    </row>
    <row r="2734" spans="1:41" s="997" customFormat="1" ht="11.4">
      <c r="A2734" s="1074">
        <v>6</v>
      </c>
      <c r="B2734" s="1075">
        <v>1</v>
      </c>
      <c r="C2734" s="1075">
        <f>$A2734*$B2734</f>
        <v>6</v>
      </c>
      <c r="D2734" s="1076" t="str">
        <f>Elec_Rates!$D$486</f>
        <v>058# General Power Point in LSZH Conduit</v>
      </c>
      <c r="E2734" s="1076"/>
      <c r="F2734" s="1076"/>
      <c r="G2734" s="1077" t="s">
        <v>1008</v>
      </c>
      <c r="H2734" s="1077"/>
      <c r="I2734" s="1077"/>
      <c r="J2734" s="1077"/>
      <c r="K2734" s="1078"/>
      <c r="L2734" s="1073"/>
      <c r="M2734" s="1073"/>
      <c r="N2734" s="1073"/>
      <c r="O2734" s="1079"/>
      <c r="P2734" s="1076"/>
      <c r="Q2734" s="1080">
        <f ca="1">$B2734*Elec_Rates!$R$486</f>
        <v>13.92</v>
      </c>
      <c r="R2734" s="1071">
        <f ca="1">$A2734*Q2734</f>
        <v>83.52</v>
      </c>
      <c r="S2734" s="1080">
        <f ca="1">$B2734*Elec_Rates!$T$486</f>
        <v>1.43</v>
      </c>
      <c r="T2734" s="1072">
        <f ca="1">$A2734*S2734</f>
        <v>8.58</v>
      </c>
      <c r="U2734" s="1081"/>
    </row>
    <row r="2735" spans="1:41" s="1039" customFormat="1" ht="13.2">
      <c r="A2735" s="112">
        <v>6</v>
      </c>
      <c r="B2735" s="1039" t="s">
        <v>949</v>
      </c>
      <c r="D2735" s="1039" t="s">
        <v>1237</v>
      </c>
      <c r="G2735" s="1040" t="s">
        <v>1231</v>
      </c>
      <c r="H2735" s="1041">
        <v>705</v>
      </c>
      <c r="I2735" s="1039" t="s">
        <v>1183</v>
      </c>
      <c r="J2735" s="1039" t="s">
        <v>1232</v>
      </c>
      <c r="O2735" s="1042">
        <v>3</v>
      </c>
      <c r="P2735" s="1043">
        <v>34669</v>
      </c>
      <c r="Q2735" s="1044">
        <v>5.18</v>
      </c>
      <c r="R2735" s="1045">
        <f>$A2735*Q2735</f>
        <v>31.08</v>
      </c>
      <c r="S2735" s="1044">
        <v>0.17</v>
      </c>
      <c r="T2735" s="1046">
        <f>$A2735*S2735*$T$1</f>
        <v>1.0710000000000002</v>
      </c>
    </row>
    <row r="2736" spans="1:41" s="504" customFormat="1" ht="12">
      <c r="A2736" s="882"/>
      <c r="B2736" s="882"/>
      <c r="C2736" s="882"/>
      <c r="D2736" s="882"/>
      <c r="E2736" s="882"/>
      <c r="F2736" s="877"/>
      <c r="G2736" s="882"/>
      <c r="H2736" s="882"/>
      <c r="I2736" s="503"/>
      <c r="J2736" s="882"/>
      <c r="K2736" s="882"/>
      <c r="L2736" s="882"/>
      <c r="M2736" s="882"/>
      <c r="N2736" s="882"/>
      <c r="O2736" s="882"/>
      <c r="P2736" s="882"/>
      <c r="Q2736" s="503"/>
      <c r="R2736" s="883">
        <f>$A2736*Q2736</f>
        <v>0</v>
      </c>
      <c r="S2736" s="503"/>
      <c r="T2736" s="884">
        <f>$A2736*S2736*$T$1</f>
        <v>0</v>
      </c>
    </row>
    <row r="2737" spans="1:41" s="504" customFormat="1" ht="12.6" thickBot="1">
      <c r="A2737" s="885" t="s">
        <v>142</v>
      </c>
      <c r="B2737" s="886">
        <f>(R2736+T2736)</f>
        <v>0</v>
      </c>
      <c r="C2737" s="887"/>
      <c r="D2737" s="887"/>
      <c r="E2737" s="887"/>
      <c r="F2737" s="888"/>
      <c r="G2737" s="887" t="s">
        <v>143</v>
      </c>
      <c r="H2737" s="887"/>
      <c r="I2737" s="889"/>
      <c r="J2737" s="887"/>
      <c r="K2737" s="887" t="s">
        <v>3</v>
      </c>
      <c r="L2737" s="890" t="s">
        <v>140</v>
      </c>
      <c r="M2737" s="890"/>
      <c r="N2737" s="890"/>
      <c r="O2737" s="890"/>
      <c r="P2737" s="890"/>
      <c r="Q2737" s="891"/>
      <c r="R2737" s="892">
        <f ca="1">SUM(R2732:R2736)</f>
        <v>114.6</v>
      </c>
      <c r="S2737" s="887"/>
      <c r="T2737" s="892">
        <f ca="1">SUM(T2732:T2736)</f>
        <v>9.6509999999999998</v>
      </c>
      <c r="U2737" s="514"/>
      <c r="V2737" s="514"/>
      <c r="W2737" s="514"/>
      <c r="X2737" s="514"/>
      <c r="Y2737" s="514"/>
      <c r="Z2737" s="514"/>
      <c r="AA2737" s="514"/>
      <c r="AB2737" s="514"/>
      <c r="AC2737" s="514"/>
      <c r="AD2737" s="514"/>
      <c r="AE2737" s="514"/>
      <c r="AF2737" s="514"/>
      <c r="AG2737" s="514"/>
      <c r="AH2737" s="514"/>
      <c r="AI2737" s="514"/>
      <c r="AJ2737" s="514"/>
      <c r="AK2737" s="514"/>
      <c r="AL2737" s="514"/>
      <c r="AM2737" s="514"/>
      <c r="AN2737" s="514"/>
      <c r="AO2737" s="514"/>
    </row>
    <row r="2738" spans="1:41" s="504" customFormat="1" ht="12" thickTop="1">
      <c r="A2738" s="50"/>
      <c r="B2738" s="40"/>
      <c r="C2738" s="50"/>
      <c r="E2738" s="41" t="s">
        <v>136</v>
      </c>
      <c r="F2738" s="41" t="s">
        <v>137</v>
      </c>
      <c r="G2738" s="50"/>
      <c r="H2738" s="50"/>
      <c r="I2738" s="50"/>
      <c r="J2738" s="50"/>
      <c r="K2738" s="50" t="s">
        <v>138</v>
      </c>
      <c r="L2738" s="50"/>
      <c r="M2738" s="50"/>
      <c r="N2738" s="50"/>
      <c r="O2738" s="51"/>
      <c r="P2738" s="50"/>
      <c r="Q2738" s="50"/>
      <c r="R2738" s="50"/>
      <c r="S2738" s="50"/>
      <c r="T2738" s="40"/>
      <c r="AG2738" s="867" t="s">
        <v>241</v>
      </c>
      <c r="AH2738" s="867" t="s">
        <v>242</v>
      </c>
      <c r="AI2738" s="867" t="s">
        <v>243</v>
      </c>
      <c r="AJ2738" s="867" t="s">
        <v>244</v>
      </c>
      <c r="AK2738" s="867" t="s">
        <v>245</v>
      </c>
      <c r="AM2738" s="868" t="s">
        <v>254</v>
      </c>
      <c r="AN2738" s="869" t="s">
        <v>255</v>
      </c>
      <c r="AO2738" s="505" t="s">
        <v>251</v>
      </c>
    </row>
    <row r="2739" spans="1:41" s="504" customFormat="1" ht="12" customHeight="1">
      <c r="A2739" s="870">
        <v>5</v>
      </c>
      <c r="B2739" s="871" t="s">
        <v>335</v>
      </c>
      <c r="C2739" s="872"/>
      <c r="D2739" s="873" t="s">
        <v>820</v>
      </c>
      <c r="E2739" s="874">
        <f ca="1">IF(AND($A2739=0,$A$1="DIF"),0, ROUND(ROUND(($R2745*$S$2+($T2745*$T$2))/A2739,2)*$C$2,2))</f>
        <v>79.88</v>
      </c>
      <c r="F2739" s="875">
        <f ca="1">ROUND($A2739*$E2739,2)</f>
        <v>399.4</v>
      </c>
      <c r="G2739" s="876" t="s">
        <v>139</v>
      </c>
      <c r="H2739" s="877"/>
      <c r="I2739" s="878"/>
      <c r="J2739" s="877"/>
      <c r="K2739" s="877" t="s">
        <v>3</v>
      </c>
      <c r="L2739" s="879" t="s">
        <v>140</v>
      </c>
      <c r="M2739" s="879"/>
      <c r="N2739" s="879"/>
      <c r="O2739" s="879"/>
      <c r="P2739" s="879"/>
      <c r="Q2739" s="50"/>
      <c r="T2739" s="880" t="str">
        <f ca="1">IF(AND($R2745=0,$T2745=0),"0.00","mu :" &amp; ROUND($F2739/$C$2/($R2745+$T2745*$D$9),2))</f>
        <v>mu :1.22</v>
      </c>
      <c r="W2739" s="507"/>
      <c r="AG2739" s="465">
        <f ca="1">IF($E2739=0,0,ROUND($R2745*$S$2*$C$2/$A2739,2))</f>
        <v>23.3</v>
      </c>
      <c r="AH2739" s="465">
        <f ca="1">$AG2739*$A2739</f>
        <v>116.5</v>
      </c>
      <c r="AI2739" s="508">
        <f ca="1">$E2739-$AG2739</f>
        <v>56.58</v>
      </c>
      <c r="AJ2739" s="508">
        <f ca="1">$A2739*$AI2739</f>
        <v>282.89999999999998</v>
      </c>
      <c r="AK2739" s="509">
        <f ca="1">ROUND(($AG2739+$AI2739)*$A2739,2)</f>
        <v>399.4</v>
      </c>
      <c r="AM2739" s="510">
        <f ca="1">ROUND(R2745,2)</f>
        <v>95.5</v>
      </c>
      <c r="AN2739" s="511">
        <f ca="1">ROUND(T2745,2)</f>
        <v>8.0399999999999991</v>
      </c>
      <c r="AO2739" s="512">
        <f ca="1">ROUND(AM2739+AN2739,2)*A2739</f>
        <v>517.70000000000005</v>
      </c>
    </row>
    <row r="2740" spans="1:41" s="504" customFormat="1" ht="13.2">
      <c r="A2740" s="872"/>
      <c r="B2740"/>
      <c r="C2740" s="872"/>
      <c r="D2740" s="873" t="s">
        <v>364</v>
      </c>
      <c r="F2740" s="877"/>
      <c r="G2740" s="3"/>
      <c r="H2740" s="877"/>
      <c r="I2740" s="878"/>
      <c r="J2740" s="877"/>
      <c r="K2740" s="877" t="s">
        <v>141</v>
      </c>
      <c r="L2740" s="877"/>
      <c r="M2740" s="877"/>
      <c r="N2740" s="877"/>
      <c r="O2740" s="877"/>
      <c r="P2740" s="877"/>
      <c r="Q2740" s="50"/>
      <c r="R2740" s="513"/>
      <c r="S2740" s="881"/>
      <c r="T2740" s="877"/>
    </row>
    <row r="2741" spans="1:41" s="997" customFormat="1" ht="13.2">
      <c r="A2741"/>
      <c r="B2741" s="1065"/>
      <c r="C2741" s="1065" t="s">
        <v>1006</v>
      </c>
      <c r="D2741" s="1065" t="str">
        <f ca="1">CELL("Address",Elec_Rates!D$486)</f>
        <v>[EL25_0662B_Brittania_Hotel_Elec_Revised_Estim_B.xlsx]Elec_Rates!$D$486</v>
      </c>
      <c r="E2741" s="1066"/>
      <c r="F2741" s="1066"/>
      <c r="G2741" s="1067" t="s">
        <v>1007</v>
      </c>
      <c r="H2741" s="1067"/>
      <c r="I2741" s="1067"/>
      <c r="J2741" s="1067"/>
      <c r="K2741" s="1068"/>
      <c r="L2741" s="1066"/>
      <c r="M2741" s="1066"/>
      <c r="N2741" s="1066"/>
      <c r="O2741" s="1069"/>
      <c r="P2741" s="1066"/>
      <c r="Q2741" s="1070"/>
      <c r="R2741" s="1071"/>
      <c r="S2741" s="1070"/>
      <c r="T2741" s="1072"/>
      <c r="U2741" s="1073"/>
    </row>
    <row r="2742" spans="1:41" s="997" customFormat="1" ht="11.4">
      <c r="A2742" s="1074">
        <v>5</v>
      </c>
      <c r="B2742" s="1075">
        <v>1</v>
      </c>
      <c r="C2742" s="1075">
        <f>$A2742*$B2742</f>
        <v>5</v>
      </c>
      <c r="D2742" s="1076" t="str">
        <f>Elec_Rates!$D$486</f>
        <v>058# General Power Point in LSZH Conduit</v>
      </c>
      <c r="E2742" s="1076"/>
      <c r="F2742" s="1076"/>
      <c r="G2742" s="1077" t="s">
        <v>1008</v>
      </c>
      <c r="H2742" s="1077"/>
      <c r="I2742" s="1077"/>
      <c r="J2742" s="1077"/>
      <c r="K2742" s="1078"/>
      <c r="L2742" s="1073"/>
      <c r="M2742" s="1073"/>
      <c r="N2742" s="1073"/>
      <c r="O2742" s="1079"/>
      <c r="P2742" s="1076"/>
      <c r="Q2742" s="1080">
        <f ca="1">$B2742*Elec_Rates!$R$486</f>
        <v>13.92</v>
      </c>
      <c r="R2742" s="1071">
        <f ca="1">$A2742*Q2742</f>
        <v>69.599999999999994</v>
      </c>
      <c r="S2742" s="1080">
        <f ca="1">$B2742*Elec_Rates!$T$486</f>
        <v>1.43</v>
      </c>
      <c r="T2742" s="1072">
        <f ca="1">$A2742*S2742</f>
        <v>7.1499999999999995</v>
      </c>
      <c r="U2742" s="1081"/>
    </row>
    <row r="2743" spans="1:41" s="1039" customFormat="1" ht="13.2">
      <c r="A2743" s="112">
        <v>5</v>
      </c>
      <c r="B2743" s="1039" t="s">
        <v>949</v>
      </c>
      <c r="D2743" s="1039" t="s">
        <v>1238</v>
      </c>
      <c r="G2743" s="1040" t="s">
        <v>1231</v>
      </c>
      <c r="H2743" s="1041">
        <v>705</v>
      </c>
      <c r="I2743" s="1039" t="s">
        <v>1183</v>
      </c>
      <c r="J2743" s="1039" t="s">
        <v>1232</v>
      </c>
      <c r="O2743" s="1042">
        <v>3</v>
      </c>
      <c r="P2743" s="1043">
        <v>34669</v>
      </c>
      <c r="Q2743" s="1044">
        <v>5.18</v>
      </c>
      <c r="R2743" s="1045">
        <f>$A2743*Q2743</f>
        <v>25.9</v>
      </c>
      <c r="S2743" s="1044">
        <v>0.17</v>
      </c>
      <c r="T2743" s="1046">
        <f>$A2743*S2743*$T$1</f>
        <v>0.89250000000000018</v>
      </c>
    </row>
    <row r="2744" spans="1:41" s="504" customFormat="1" ht="12">
      <c r="A2744" s="882"/>
      <c r="B2744" s="882"/>
      <c r="C2744" s="882"/>
      <c r="D2744" s="882"/>
      <c r="E2744" s="882"/>
      <c r="F2744" s="877"/>
      <c r="G2744" s="882"/>
      <c r="H2744" s="882"/>
      <c r="I2744" s="503"/>
      <c r="J2744" s="882"/>
      <c r="K2744" s="882"/>
      <c r="L2744" s="882"/>
      <c r="M2744" s="882"/>
      <c r="N2744" s="882"/>
      <c r="O2744" s="882"/>
      <c r="P2744" s="882"/>
      <c r="Q2744" s="503"/>
      <c r="R2744" s="883">
        <f>$A2744*Q2744</f>
        <v>0</v>
      </c>
      <c r="S2744" s="503"/>
      <c r="T2744" s="884">
        <f>$A2744*S2744*$T$1</f>
        <v>0</v>
      </c>
    </row>
    <row r="2745" spans="1:41" s="504" customFormat="1" ht="12.6" thickBot="1">
      <c r="A2745" s="885" t="s">
        <v>142</v>
      </c>
      <c r="B2745" s="886">
        <f>(R2744+T2744)</f>
        <v>0</v>
      </c>
      <c r="C2745" s="887"/>
      <c r="D2745" s="887"/>
      <c r="E2745" s="887"/>
      <c r="F2745" s="888"/>
      <c r="G2745" s="887" t="s">
        <v>143</v>
      </c>
      <c r="H2745" s="887"/>
      <c r="I2745" s="889"/>
      <c r="J2745" s="887"/>
      <c r="K2745" s="887" t="s">
        <v>3</v>
      </c>
      <c r="L2745" s="890" t="s">
        <v>140</v>
      </c>
      <c r="M2745" s="890"/>
      <c r="N2745" s="890"/>
      <c r="O2745" s="890"/>
      <c r="P2745" s="890"/>
      <c r="Q2745" s="891"/>
      <c r="R2745" s="892">
        <f ca="1">SUM(R2740:R2744)</f>
        <v>95.5</v>
      </c>
      <c r="S2745" s="887"/>
      <c r="T2745" s="892">
        <f ca="1">SUM(T2740:T2744)</f>
        <v>8.0425000000000004</v>
      </c>
      <c r="U2745" s="514"/>
      <c r="V2745" s="514"/>
      <c r="W2745" s="514"/>
      <c r="X2745" s="514"/>
      <c r="Y2745" s="514"/>
      <c r="Z2745" s="514"/>
      <c r="AA2745" s="514"/>
      <c r="AB2745" s="514"/>
      <c r="AC2745" s="514"/>
      <c r="AD2745" s="514"/>
      <c r="AE2745" s="514"/>
      <c r="AF2745" s="514"/>
      <c r="AG2745" s="514"/>
      <c r="AH2745" s="514"/>
      <c r="AI2745" s="514"/>
      <c r="AJ2745" s="514"/>
      <c r="AK2745" s="514"/>
      <c r="AL2745" s="514"/>
      <c r="AM2745" s="514"/>
      <c r="AN2745" s="514"/>
      <c r="AO2745" s="514"/>
    </row>
    <row r="2746" spans="1:41" s="504" customFormat="1" ht="12" thickTop="1">
      <c r="A2746" s="50"/>
      <c r="B2746" s="40"/>
      <c r="C2746" s="50"/>
      <c r="E2746" s="41" t="s">
        <v>136</v>
      </c>
      <c r="F2746" s="41" t="s">
        <v>137</v>
      </c>
      <c r="G2746" s="50"/>
      <c r="H2746" s="50"/>
      <c r="I2746" s="50"/>
      <c r="J2746" s="50"/>
      <c r="K2746" s="50" t="s">
        <v>138</v>
      </c>
      <c r="L2746" s="50"/>
      <c r="M2746" s="50"/>
      <c r="N2746" s="50"/>
      <c r="O2746" s="51"/>
      <c r="P2746" s="50"/>
      <c r="Q2746" s="50"/>
      <c r="R2746" s="50"/>
      <c r="S2746" s="50"/>
      <c r="T2746" s="40"/>
      <c r="AG2746" s="867" t="s">
        <v>241</v>
      </c>
      <c r="AH2746" s="867" t="s">
        <v>242</v>
      </c>
      <c r="AI2746" s="867" t="s">
        <v>243</v>
      </c>
      <c r="AJ2746" s="867" t="s">
        <v>244</v>
      </c>
      <c r="AK2746" s="867" t="s">
        <v>245</v>
      </c>
      <c r="AM2746" s="868" t="s">
        <v>254</v>
      </c>
      <c r="AN2746" s="869" t="s">
        <v>255</v>
      </c>
      <c r="AO2746" s="505" t="s">
        <v>251</v>
      </c>
    </row>
    <row r="2747" spans="1:41" s="504" customFormat="1" ht="12" customHeight="1">
      <c r="A2747" s="870">
        <v>3</v>
      </c>
      <c r="B2747" s="871" t="s">
        <v>335</v>
      </c>
      <c r="C2747" s="872"/>
      <c r="D2747" s="873" t="s">
        <v>821</v>
      </c>
      <c r="E2747" s="874">
        <f ca="1">IF(AND($A2747=0,$A$1="DIF"),0, ROUND(ROUND(($R2753*$S$2+($T2753*$T$2))/A2747,2)*$C$2,2))</f>
        <v>107.8</v>
      </c>
      <c r="F2747" s="875">
        <f ca="1">ROUND($A2747*$E2747,2)</f>
        <v>323.39999999999998</v>
      </c>
      <c r="G2747" s="876" t="s">
        <v>139</v>
      </c>
      <c r="H2747" s="877"/>
      <c r="I2747" s="878"/>
      <c r="J2747" s="877"/>
      <c r="K2747" s="877" t="s">
        <v>3</v>
      </c>
      <c r="L2747" s="879" t="s">
        <v>140</v>
      </c>
      <c r="M2747" s="879"/>
      <c r="N2747" s="879"/>
      <c r="O2747" s="879"/>
      <c r="P2747" s="879"/>
      <c r="Q2747" s="50"/>
      <c r="T2747" s="880" t="str">
        <f ca="1">IF(AND($R2753=0,$T2753=0),"0.00","mu :" &amp; ROUND($F2747/$C$2/($R2753+$T2753*$D$9),2))</f>
        <v>mu :1.22</v>
      </c>
      <c r="W2747" s="507"/>
      <c r="AG2747" s="465">
        <f ca="1">IF($E2747=0,0,ROUND($R2753*$S$2*$C$2/$A2747,2))</f>
        <v>55.44</v>
      </c>
      <c r="AH2747" s="465">
        <f ca="1">$AG2747*$A2747</f>
        <v>166.32</v>
      </c>
      <c r="AI2747" s="508">
        <f ca="1">$E2747-$AG2747</f>
        <v>52.36</v>
      </c>
      <c r="AJ2747" s="508">
        <f ca="1">$A2747*$AI2747</f>
        <v>157.07999999999998</v>
      </c>
      <c r="AK2747" s="509">
        <f ca="1">ROUND(($AG2747+$AI2747)*$A2747,2)</f>
        <v>323.39999999999998</v>
      </c>
      <c r="AM2747" s="510">
        <f ca="1">ROUND(R2753,2)</f>
        <v>136.32</v>
      </c>
      <c r="AN2747" s="511">
        <f ca="1">ROUND(T2753,2)</f>
        <v>4.47</v>
      </c>
      <c r="AO2747" s="512">
        <f ca="1">ROUND(AM2747+AN2747,2)*A2747</f>
        <v>422.37</v>
      </c>
    </row>
    <row r="2748" spans="1:41" s="504" customFormat="1" ht="13.2">
      <c r="A2748" s="872"/>
      <c r="B2748"/>
      <c r="C2748" s="872"/>
      <c r="D2748" s="873" t="s">
        <v>428</v>
      </c>
      <c r="F2748" s="877"/>
      <c r="G2748" s="3"/>
      <c r="H2748" s="877"/>
      <c r="I2748" s="878"/>
      <c r="J2748" s="877"/>
      <c r="K2748" s="877" t="s">
        <v>141</v>
      </c>
      <c r="L2748" s="877"/>
      <c r="M2748" s="877"/>
      <c r="N2748" s="877"/>
      <c r="O2748" s="877"/>
      <c r="P2748" s="877"/>
      <c r="Q2748" s="50"/>
      <c r="R2748" s="513"/>
      <c r="S2748" s="881"/>
      <c r="T2748" s="877"/>
    </row>
    <row r="2749" spans="1:41" s="997" customFormat="1" ht="13.2">
      <c r="A2749"/>
      <c r="B2749" s="1065"/>
      <c r="C2749" s="1065" t="s">
        <v>1006</v>
      </c>
      <c r="D2749" s="1065" t="str">
        <f ca="1">CELL("Address",Elec_Rates!D$200)</f>
        <v>[EL25_0662B_Brittania_Hotel_Elec_Revised_Estim_B.xlsx]Elec_Rates!$D$200</v>
      </c>
      <c r="E2749" s="1066"/>
      <c r="F2749" s="1066"/>
      <c r="G2749" s="1067" t="s">
        <v>1007</v>
      </c>
      <c r="H2749" s="1067"/>
      <c r="I2749" s="1067"/>
      <c r="J2749" s="1067"/>
      <c r="K2749" s="1068"/>
      <c r="L2749" s="1066"/>
      <c r="M2749" s="1066"/>
      <c r="N2749" s="1066"/>
      <c r="O2749" s="1069"/>
      <c r="P2749" s="1066"/>
      <c r="Q2749" s="1070"/>
      <c r="R2749" s="1071"/>
      <c r="S2749" s="1070"/>
      <c r="T2749" s="1072"/>
      <c r="U2749" s="1073"/>
    </row>
    <row r="2750" spans="1:41" s="997" customFormat="1" ht="11.4">
      <c r="A2750" s="1074">
        <v>3</v>
      </c>
      <c r="B2750" s="1075">
        <v>1</v>
      </c>
      <c r="C2750" s="1075">
        <f>$A2750*$B2750</f>
        <v>3</v>
      </c>
      <c r="D2750" s="1076" t="str">
        <f>Elec_Rates!$D$200</f>
        <v>019# Lighting point in LSZH Conduit</v>
      </c>
      <c r="E2750" s="1076"/>
      <c r="F2750" s="1076"/>
      <c r="G2750" s="1077" t="s">
        <v>1008</v>
      </c>
      <c r="H2750" s="1077"/>
      <c r="I2750" s="1077"/>
      <c r="J2750" s="1077"/>
      <c r="K2750" s="1078"/>
      <c r="L2750" s="1073"/>
      <c r="M2750" s="1073"/>
      <c r="N2750" s="1073"/>
      <c r="O2750" s="1079"/>
      <c r="P2750" s="1076"/>
      <c r="Q2750" s="1080">
        <f ca="1">$B2750*Elec_Rates!$R$200</f>
        <v>9.65</v>
      </c>
      <c r="R2750" s="1071">
        <f ca="1">$A2750*Q2750</f>
        <v>28.950000000000003</v>
      </c>
      <c r="S2750" s="1080">
        <f ca="1">$B2750*Elec_Rates!$T$200</f>
        <v>1.31</v>
      </c>
      <c r="T2750" s="1072">
        <f ca="1">$A2750*S2750</f>
        <v>3.93</v>
      </c>
      <c r="U2750" s="1081"/>
    </row>
    <row r="2751" spans="1:41" s="1039" customFormat="1" ht="13.2">
      <c r="A2751" s="112">
        <v>3</v>
      </c>
      <c r="B2751" s="1039" t="s">
        <v>949</v>
      </c>
      <c r="D2751" s="1039" t="s">
        <v>428</v>
      </c>
      <c r="G2751" s="1040" t="s">
        <v>1231</v>
      </c>
      <c r="H2751" s="1041">
        <v>705</v>
      </c>
      <c r="I2751" s="1039" t="s">
        <v>1183</v>
      </c>
      <c r="J2751" s="1039" t="s">
        <v>1232</v>
      </c>
      <c r="O2751" s="1042">
        <v>3</v>
      </c>
      <c r="P2751" s="1043">
        <v>34669</v>
      </c>
      <c r="Q2751" s="1044">
        <v>35.79</v>
      </c>
      <c r="R2751" s="1045">
        <f>$A2751*Q2751</f>
        <v>107.37</v>
      </c>
      <c r="S2751" s="1044">
        <v>0.17</v>
      </c>
      <c r="T2751" s="1046">
        <f>$A2751*S2751*$T$1</f>
        <v>0.53550000000000009</v>
      </c>
    </row>
    <row r="2752" spans="1:41" s="504" customFormat="1" ht="12">
      <c r="A2752" s="882"/>
      <c r="B2752" s="882"/>
      <c r="C2752" s="882"/>
      <c r="D2752" s="882"/>
      <c r="E2752" s="882"/>
      <c r="F2752" s="877"/>
      <c r="G2752" s="882"/>
      <c r="H2752" s="882"/>
      <c r="I2752" s="503"/>
      <c r="J2752" s="882"/>
      <c r="K2752" s="882"/>
      <c r="L2752" s="882"/>
      <c r="M2752" s="882"/>
      <c r="N2752" s="882"/>
      <c r="O2752" s="882"/>
      <c r="P2752" s="882"/>
      <c r="Q2752" s="503"/>
      <c r="R2752" s="883">
        <f>$A2752*Q2752</f>
        <v>0</v>
      </c>
      <c r="S2752" s="503"/>
      <c r="T2752" s="884">
        <f>$A2752*S2752*$T$1</f>
        <v>0</v>
      </c>
    </row>
    <row r="2753" spans="1:41" s="504" customFormat="1" ht="12.6" thickBot="1">
      <c r="A2753" s="885" t="s">
        <v>142</v>
      </c>
      <c r="B2753" s="886">
        <f>(R2752+T2752)</f>
        <v>0</v>
      </c>
      <c r="C2753" s="887"/>
      <c r="D2753" s="887"/>
      <c r="E2753" s="887"/>
      <c r="F2753" s="888"/>
      <c r="G2753" s="887" t="s">
        <v>143</v>
      </c>
      <c r="H2753" s="887"/>
      <c r="I2753" s="889"/>
      <c r="J2753" s="887"/>
      <c r="K2753" s="887" t="s">
        <v>3</v>
      </c>
      <c r="L2753" s="890" t="s">
        <v>140</v>
      </c>
      <c r="M2753" s="890"/>
      <c r="N2753" s="890"/>
      <c r="O2753" s="890"/>
      <c r="P2753" s="890"/>
      <c r="Q2753" s="891"/>
      <c r="R2753" s="892">
        <f ca="1">SUM(R2748:R2752)</f>
        <v>136.32</v>
      </c>
      <c r="S2753" s="887"/>
      <c r="T2753" s="892">
        <f ca="1">SUM(T2748:T2752)</f>
        <v>4.4655000000000005</v>
      </c>
      <c r="U2753" s="514"/>
      <c r="V2753" s="514"/>
      <c r="W2753" s="514"/>
      <c r="X2753" s="514"/>
      <c r="Y2753" s="514"/>
      <c r="Z2753" s="514"/>
      <c r="AA2753" s="514"/>
      <c r="AB2753" s="514"/>
      <c r="AC2753" s="514"/>
      <c r="AD2753" s="514"/>
      <c r="AE2753" s="514"/>
      <c r="AF2753" s="514"/>
      <c r="AG2753" s="514"/>
      <c r="AH2753" s="514"/>
      <c r="AI2753" s="514"/>
      <c r="AJ2753" s="514"/>
      <c r="AK2753" s="514"/>
      <c r="AL2753" s="514"/>
      <c r="AM2753" s="514"/>
      <c r="AN2753" s="514"/>
      <c r="AO2753" s="514"/>
    </row>
    <row r="2754" spans="1:41" s="504" customFormat="1" thickTop="1">
      <c r="A2754" s="50"/>
      <c r="B2754" s="50"/>
      <c r="C2754" s="3"/>
      <c r="D2754" s="3"/>
      <c r="E2754" s="50"/>
      <c r="F2754" s="50"/>
      <c r="G2754" s="50"/>
      <c r="H2754" s="50"/>
      <c r="I2754" s="50"/>
      <c r="J2754" s="50"/>
      <c r="K2754" s="50" t="s">
        <v>133</v>
      </c>
      <c r="L2754" s="50"/>
      <c r="M2754" s="50"/>
      <c r="N2754" s="50"/>
      <c r="O2754" s="51"/>
      <c r="P2754" s="50"/>
      <c r="Q2754" s="50"/>
      <c r="R2754" s="50"/>
      <c r="S2754" s="50"/>
      <c r="T2754" s="50"/>
    </row>
    <row r="2755" spans="1:41" s="504" customFormat="1" ht="12">
      <c r="A2755" s="50"/>
      <c r="B2755" s="50"/>
      <c r="C2755" s="50" t="s">
        <v>134</v>
      </c>
      <c r="D2755" s="37"/>
      <c r="E2755" s="50"/>
      <c r="F2755" s="50"/>
      <c r="G2755" s="50"/>
      <c r="H2755" s="50"/>
      <c r="I2755" s="50"/>
      <c r="J2755" s="50"/>
      <c r="K2755" s="50"/>
      <c r="L2755" s="50"/>
      <c r="M2755" s="50"/>
      <c r="N2755" s="50"/>
      <c r="O2755" s="51"/>
      <c r="P2755" s="50"/>
      <c r="Q2755" s="50"/>
      <c r="R2755" s="50"/>
      <c r="S2755" s="50"/>
      <c r="T2755" s="50"/>
    </row>
    <row r="2756" spans="1:41" s="504" customFormat="1" ht="12">
      <c r="A2756" s="50"/>
      <c r="B2756" s="50"/>
      <c r="C2756" s="50"/>
      <c r="D2756" s="37" t="s">
        <v>802</v>
      </c>
      <c r="E2756" s="50"/>
      <c r="F2756" s="50"/>
      <c r="G2756" s="50"/>
      <c r="H2756" s="50"/>
      <c r="I2756" s="50"/>
      <c r="J2756" s="50"/>
      <c r="K2756" s="50"/>
      <c r="L2756" s="50"/>
      <c r="M2756" s="50"/>
      <c r="N2756" s="50"/>
      <c r="O2756" s="51"/>
      <c r="P2756" s="50"/>
      <c r="Q2756" s="50"/>
      <c r="R2756" s="50"/>
      <c r="S2756" s="38"/>
      <c r="T2756" s="38"/>
    </row>
    <row r="2757" spans="1:41" s="3" customFormat="1" thickBot="1">
      <c r="A2757" s="514"/>
      <c r="O2757" s="103"/>
    </row>
    <row r="2758" spans="1:41" s="504" customFormat="1" thickTop="1">
      <c r="A2758" s="50"/>
      <c r="B2758" s="50"/>
      <c r="C2758" s="3"/>
      <c r="D2758" s="3"/>
      <c r="E2758" s="50"/>
      <c r="F2758" s="50"/>
      <c r="G2758" s="50"/>
      <c r="H2758" s="50"/>
      <c r="I2758" s="50"/>
      <c r="J2758" s="50"/>
      <c r="K2758" s="50" t="s">
        <v>133</v>
      </c>
      <c r="L2758" s="50"/>
      <c r="M2758" s="50"/>
      <c r="N2758" s="50"/>
      <c r="O2758" s="51"/>
      <c r="P2758" s="50"/>
      <c r="Q2758" s="50"/>
      <c r="R2758" s="50"/>
      <c r="S2758" s="50"/>
      <c r="T2758" s="50"/>
    </row>
    <row r="2759" spans="1:41" s="504" customFormat="1" ht="12">
      <c r="A2759" s="50"/>
      <c r="B2759" s="50"/>
      <c r="C2759" s="50" t="s">
        <v>134</v>
      </c>
      <c r="D2759" s="37" t="s">
        <v>883</v>
      </c>
      <c r="E2759" s="50"/>
      <c r="F2759" s="50"/>
      <c r="G2759" s="50"/>
      <c r="H2759" s="50"/>
      <c r="I2759" s="50"/>
      <c r="J2759" s="50"/>
      <c r="K2759" s="50"/>
      <c r="L2759" s="50"/>
      <c r="M2759" s="50"/>
      <c r="N2759" s="50"/>
      <c r="O2759" s="51"/>
      <c r="P2759" s="50"/>
      <c r="Q2759" s="50"/>
      <c r="R2759" s="50"/>
      <c r="S2759" s="50"/>
      <c r="T2759" s="50"/>
    </row>
    <row r="2760" spans="1:41" s="504" customFormat="1" ht="12">
      <c r="A2760" s="50"/>
      <c r="B2760" s="50"/>
      <c r="C2760" s="50"/>
      <c r="D2760" s="37" t="s">
        <v>293</v>
      </c>
      <c r="E2760" s="50"/>
      <c r="F2760" s="50"/>
      <c r="G2760" s="50"/>
      <c r="H2760" s="50"/>
      <c r="I2760" s="50"/>
      <c r="J2760" s="50"/>
      <c r="K2760" s="50"/>
      <c r="L2760" s="50"/>
      <c r="M2760" s="50"/>
      <c r="N2760" s="50"/>
      <c r="O2760" s="51"/>
      <c r="P2760" s="50"/>
      <c r="Q2760" s="50"/>
      <c r="R2760" s="50"/>
      <c r="S2760" s="38"/>
      <c r="T2760" s="38"/>
    </row>
    <row r="2761" spans="1:41" s="3" customFormat="1" thickBot="1">
      <c r="A2761" s="514"/>
      <c r="O2761" s="103"/>
    </row>
    <row r="2762" spans="1:41" s="504" customFormat="1" ht="12" thickTop="1">
      <c r="A2762" s="50"/>
      <c r="B2762" s="40"/>
      <c r="C2762" s="50"/>
      <c r="E2762" s="41" t="s">
        <v>136</v>
      </c>
      <c r="F2762" s="41" t="s">
        <v>137</v>
      </c>
      <c r="G2762" s="50"/>
      <c r="H2762" s="50"/>
      <c r="I2762" s="50"/>
      <c r="J2762" s="50"/>
      <c r="K2762" s="50" t="s">
        <v>138</v>
      </c>
      <c r="L2762" s="50"/>
      <c r="M2762" s="50"/>
      <c r="N2762" s="50"/>
      <c r="O2762" s="51"/>
      <c r="P2762" s="50"/>
      <c r="Q2762" s="50"/>
      <c r="R2762" s="50"/>
      <c r="S2762" s="50"/>
      <c r="T2762" s="40"/>
      <c r="AG2762" s="867" t="s">
        <v>241</v>
      </c>
      <c r="AH2762" s="867" t="s">
        <v>242</v>
      </c>
      <c r="AI2762" s="867" t="s">
        <v>243</v>
      </c>
      <c r="AJ2762" s="867" t="s">
        <v>244</v>
      </c>
      <c r="AK2762" s="867" t="s">
        <v>245</v>
      </c>
      <c r="AM2762" s="868" t="s">
        <v>254</v>
      </c>
      <c r="AN2762" s="869" t="s">
        <v>255</v>
      </c>
      <c r="AO2762" s="505" t="s">
        <v>251</v>
      </c>
    </row>
    <row r="2763" spans="1:41" s="504" customFormat="1" ht="12" customHeight="1">
      <c r="A2763" s="870">
        <v>1</v>
      </c>
      <c r="B2763" s="871" t="s">
        <v>335</v>
      </c>
      <c r="C2763" s="872"/>
      <c r="D2763" s="873" t="s">
        <v>804</v>
      </c>
      <c r="E2763" s="874">
        <f>IF(AND($A2763=0,$A$1="DIF"),0, ROUND(ROUND(($R2767*$S$2+($T2767*$T$2))/A2763,2)*$C$2,2))</f>
        <v>900.69</v>
      </c>
      <c r="F2763" s="875">
        <f>ROUND($A2763*$E2763,2)</f>
        <v>900.69</v>
      </c>
      <c r="G2763" s="876" t="s">
        <v>139</v>
      </c>
      <c r="H2763" s="877"/>
      <c r="I2763" s="878"/>
      <c r="J2763" s="877"/>
      <c r="K2763" s="877" t="s">
        <v>3</v>
      </c>
      <c r="L2763" s="879" t="s">
        <v>140</v>
      </c>
      <c r="M2763" s="879"/>
      <c r="N2763" s="879"/>
      <c r="O2763" s="879"/>
      <c r="P2763" s="879"/>
      <c r="Q2763" s="50"/>
      <c r="T2763" s="880" t="str">
        <f>IF(AND($R2767=0,$T2767=0),"0.00","mu :" &amp; ROUND($F2763/$C$2/($R2767+$T2767*$D$9),2))</f>
        <v>mu :1.22</v>
      </c>
      <c r="W2763" s="507"/>
      <c r="AG2763" s="465">
        <f>IF($E2763=0,0,ROUND($R2767*$S$2*$C$2/$A2763,2))</f>
        <v>900.69</v>
      </c>
      <c r="AH2763" s="465">
        <f>$AG2763*$A2763</f>
        <v>900.69</v>
      </c>
      <c r="AI2763" s="508">
        <f>$E2763-$AG2763</f>
        <v>0</v>
      </c>
      <c r="AJ2763" s="508">
        <f>$A2763*$AI2763</f>
        <v>0</v>
      </c>
      <c r="AK2763" s="509">
        <f>ROUND(($AG2763+$AI2763)*$A2763,2)</f>
        <v>900.69</v>
      </c>
      <c r="AM2763" s="510">
        <f>ROUND(R2767,2)</f>
        <v>738.27</v>
      </c>
      <c r="AN2763" s="511">
        <f>ROUND(T2767,2)</f>
        <v>0</v>
      </c>
      <c r="AO2763" s="512">
        <f>ROUND(AM2763+AN2763,2)*A2763</f>
        <v>738.27</v>
      </c>
    </row>
    <row r="2764" spans="1:41" s="504" customFormat="1" ht="13.2">
      <c r="A2764" s="872"/>
      <c r="B2764"/>
      <c r="C2764" s="872"/>
      <c r="D2764" s="873" t="s">
        <v>451</v>
      </c>
      <c r="F2764" s="877"/>
      <c r="G2764" s="3"/>
      <c r="H2764" s="877"/>
      <c r="I2764" s="878"/>
      <c r="J2764" s="877"/>
      <c r="K2764" s="877" t="s">
        <v>141</v>
      </c>
      <c r="L2764" s="877"/>
      <c r="M2764" s="877"/>
      <c r="N2764" s="877"/>
      <c r="O2764" s="877"/>
      <c r="P2764" s="877"/>
      <c r="Q2764" s="50"/>
      <c r="R2764" s="513"/>
      <c r="S2764" s="881"/>
      <c r="T2764" s="877"/>
    </row>
    <row r="2765" spans="1:41" s="504" customFormat="1" ht="13.2">
      <c r="A2765">
        <v>1</v>
      </c>
      <c r="B2765" s="1039" t="s">
        <v>949</v>
      </c>
      <c r="C2765" s="1039"/>
      <c r="D2765" s="1039" t="s">
        <v>1348</v>
      </c>
      <c r="E2765" s="1039"/>
      <c r="F2765" s="1039"/>
      <c r="G2765" s="1040" t="s">
        <v>950</v>
      </c>
      <c r="H2765" s="1041">
        <v>510</v>
      </c>
      <c r="I2765" s="1039" t="s">
        <v>951</v>
      </c>
      <c r="J2765" s="1039"/>
      <c r="K2765" s="882"/>
      <c r="L2765" s="1039"/>
      <c r="M2765" s="1039"/>
      <c r="N2765" s="1039"/>
      <c r="O2765" s="1042">
        <v>2</v>
      </c>
      <c r="P2765" s="1043"/>
      <c r="Q2765" s="1044">
        <v>738.27</v>
      </c>
      <c r="R2765" s="883">
        <f>$A2765*Q2765</f>
        <v>738.27</v>
      </c>
      <c r="S2765" s="1044"/>
      <c r="T2765" s="1046">
        <f>$A2765*S2765*$T$1</f>
        <v>0</v>
      </c>
    </row>
    <row r="2766" spans="1:41" s="504" customFormat="1" ht="12">
      <c r="A2766" s="882"/>
      <c r="B2766" s="882"/>
      <c r="C2766" s="882"/>
      <c r="D2766" s="882"/>
      <c r="E2766" s="882"/>
      <c r="F2766" s="877"/>
      <c r="G2766" s="882"/>
      <c r="H2766" s="882"/>
      <c r="I2766" s="503"/>
      <c r="J2766" s="882"/>
      <c r="K2766" s="882"/>
      <c r="L2766" s="882"/>
      <c r="M2766" s="882"/>
      <c r="N2766" s="882"/>
      <c r="O2766" s="882"/>
      <c r="P2766" s="882"/>
      <c r="Q2766" s="503"/>
      <c r="R2766" s="883">
        <f>$A2766*Q2766</f>
        <v>0</v>
      </c>
      <c r="S2766" s="503"/>
      <c r="T2766" s="884">
        <f>$A2766*S2766*$T$1</f>
        <v>0</v>
      </c>
    </row>
    <row r="2767" spans="1:41" s="504" customFormat="1" ht="12.6" thickBot="1">
      <c r="A2767" s="885" t="s">
        <v>142</v>
      </c>
      <c r="B2767" s="886">
        <f>(R2766+T2766)</f>
        <v>0</v>
      </c>
      <c r="C2767" s="887"/>
      <c r="D2767" s="887"/>
      <c r="E2767" s="887"/>
      <c r="F2767" s="888"/>
      <c r="G2767" s="887" t="s">
        <v>143</v>
      </c>
      <c r="H2767" s="887"/>
      <c r="I2767" s="889"/>
      <c r="J2767" s="887"/>
      <c r="K2767" s="887" t="s">
        <v>3</v>
      </c>
      <c r="L2767" s="890" t="s">
        <v>140</v>
      </c>
      <c r="M2767" s="890"/>
      <c r="N2767" s="890"/>
      <c r="O2767" s="890"/>
      <c r="P2767" s="890"/>
      <c r="Q2767" s="891"/>
      <c r="R2767" s="892">
        <f>SUM(R2764:R2766)</f>
        <v>738.27</v>
      </c>
      <c r="S2767" s="887"/>
      <c r="T2767" s="892">
        <f>SUM(T2764:T2766)</f>
        <v>0</v>
      </c>
      <c r="U2767" s="514"/>
      <c r="V2767" s="514"/>
      <c r="W2767" s="514"/>
      <c r="X2767" s="514"/>
      <c r="Y2767" s="514"/>
      <c r="Z2767" s="514"/>
      <c r="AA2767" s="514"/>
      <c r="AB2767" s="514"/>
      <c r="AC2767" s="514"/>
      <c r="AD2767" s="514"/>
      <c r="AE2767" s="514"/>
      <c r="AF2767" s="514"/>
      <c r="AG2767" s="514"/>
      <c r="AH2767" s="514"/>
      <c r="AI2767" s="514"/>
      <c r="AJ2767" s="514"/>
      <c r="AK2767" s="514"/>
      <c r="AL2767" s="514"/>
      <c r="AM2767" s="514"/>
      <c r="AN2767" s="514"/>
      <c r="AO2767" s="514"/>
    </row>
    <row r="2768" spans="1:41" s="504" customFormat="1" ht="12" thickTop="1">
      <c r="A2768" s="50"/>
      <c r="B2768" s="40"/>
      <c r="C2768" s="50"/>
      <c r="E2768" s="41" t="s">
        <v>136</v>
      </c>
      <c r="F2768" s="41" t="s">
        <v>137</v>
      </c>
      <c r="G2768" s="50"/>
      <c r="H2768" s="50"/>
      <c r="I2768" s="50"/>
      <c r="J2768" s="50"/>
      <c r="K2768" s="50" t="s">
        <v>138</v>
      </c>
      <c r="L2768" s="50"/>
      <c r="M2768" s="50"/>
      <c r="N2768" s="50"/>
      <c r="O2768" s="51"/>
      <c r="P2768" s="50"/>
      <c r="Q2768" s="50"/>
      <c r="R2768" s="50"/>
      <c r="S2768" s="50"/>
      <c r="T2768" s="40"/>
      <c r="AG2768" s="867" t="s">
        <v>241</v>
      </c>
      <c r="AH2768" s="867" t="s">
        <v>242</v>
      </c>
      <c r="AI2768" s="867" t="s">
        <v>243</v>
      </c>
      <c r="AJ2768" s="867" t="s">
        <v>244</v>
      </c>
      <c r="AK2768" s="867" t="s">
        <v>245</v>
      </c>
      <c r="AM2768" s="868" t="s">
        <v>254</v>
      </c>
      <c r="AN2768" s="869" t="s">
        <v>255</v>
      </c>
      <c r="AO2768" s="505" t="s">
        <v>251</v>
      </c>
    </row>
    <row r="2769" spans="1:41" s="504" customFormat="1" ht="12" customHeight="1">
      <c r="A2769" s="870">
        <v>1</v>
      </c>
      <c r="B2769" s="871" t="s">
        <v>335</v>
      </c>
      <c r="C2769" s="872"/>
      <c r="D2769" s="873" t="s">
        <v>806</v>
      </c>
      <c r="E2769" s="874">
        <f>IF(AND($A2769=0,$A$1="DIF"),0, ROUND(ROUND(($R2773*$S$2+($T2773*$T$2))/A2769,2)*$C$2,2))</f>
        <v>124.4</v>
      </c>
      <c r="F2769" s="875">
        <f>ROUND($A2769*$E2769,2)</f>
        <v>124.4</v>
      </c>
      <c r="G2769" s="876" t="s">
        <v>139</v>
      </c>
      <c r="H2769" s="877"/>
      <c r="I2769" s="878"/>
      <c r="J2769" s="877"/>
      <c r="K2769" s="877" t="s">
        <v>3</v>
      </c>
      <c r="L2769" s="879" t="s">
        <v>140</v>
      </c>
      <c r="M2769" s="879"/>
      <c r="N2769" s="879"/>
      <c r="O2769" s="879"/>
      <c r="P2769" s="879"/>
      <c r="Q2769" s="50"/>
      <c r="T2769" s="880" t="str">
        <f>IF(AND($R2773=0,$T2773=0),"0.00","mu :" &amp; ROUND($F2769/$C$2/($R2773+$T2773*$D$9),2))</f>
        <v>mu :1.22</v>
      </c>
      <c r="W2769" s="507"/>
      <c r="AG2769" s="465">
        <f>IF($E2769=0,0,ROUND($R2773*$S$2*$C$2/$A2769,2))</f>
        <v>124.4</v>
      </c>
      <c r="AH2769" s="465">
        <f>$AG2769*$A2769</f>
        <v>124.4</v>
      </c>
      <c r="AI2769" s="508">
        <f>$E2769-$AG2769</f>
        <v>0</v>
      </c>
      <c r="AJ2769" s="508">
        <f>$A2769*$AI2769</f>
        <v>0</v>
      </c>
      <c r="AK2769" s="509">
        <f>ROUND(($AG2769+$AI2769)*$A2769,2)</f>
        <v>124.4</v>
      </c>
      <c r="AM2769" s="510">
        <f>ROUND(R2773,2)</f>
        <v>101.97</v>
      </c>
      <c r="AN2769" s="511">
        <f>ROUND(T2773,2)</f>
        <v>0</v>
      </c>
      <c r="AO2769" s="512">
        <f>ROUND(AM2769+AN2769,2)*A2769</f>
        <v>101.97</v>
      </c>
    </row>
    <row r="2770" spans="1:41" s="504" customFormat="1" ht="13.2">
      <c r="A2770" s="872"/>
      <c r="B2770"/>
      <c r="C2770" s="872"/>
      <c r="D2770" s="873" t="s">
        <v>452</v>
      </c>
      <c r="F2770" s="877"/>
      <c r="G2770" s="3"/>
      <c r="H2770" s="877"/>
      <c r="I2770" s="878"/>
      <c r="J2770" s="877"/>
      <c r="K2770" s="877" t="s">
        <v>141</v>
      </c>
      <c r="L2770" s="877"/>
      <c r="M2770" s="877"/>
      <c r="N2770" s="877"/>
      <c r="O2770" s="877"/>
      <c r="P2770" s="877"/>
      <c r="Q2770" s="50"/>
      <c r="R2770" s="513"/>
      <c r="S2770" s="881"/>
      <c r="T2770" s="877"/>
    </row>
    <row r="2771" spans="1:41" s="504" customFormat="1" ht="13.2">
      <c r="A2771">
        <v>1</v>
      </c>
      <c r="B2771" s="1039" t="s">
        <v>949</v>
      </c>
      <c r="C2771" s="1039"/>
      <c r="D2771" s="1039" t="s">
        <v>1345</v>
      </c>
      <c r="E2771" s="1039"/>
      <c r="F2771" s="1039"/>
      <c r="G2771" s="1040" t="s">
        <v>950</v>
      </c>
      <c r="H2771" s="1041">
        <v>510</v>
      </c>
      <c r="I2771" s="1039" t="s">
        <v>951</v>
      </c>
      <c r="J2771" s="1039"/>
      <c r="K2771" s="882"/>
      <c r="L2771" s="1039"/>
      <c r="M2771" s="1039"/>
      <c r="N2771" s="1039"/>
      <c r="O2771" s="1042">
        <v>2</v>
      </c>
      <c r="P2771" s="1043"/>
      <c r="Q2771" s="1044">
        <f>95.2+6.77</f>
        <v>101.97</v>
      </c>
      <c r="R2771" s="883">
        <f>$A2771*Q2771</f>
        <v>101.97</v>
      </c>
      <c r="S2771" s="1044"/>
      <c r="T2771" s="1046">
        <f>$A2771*S2771*$T$1</f>
        <v>0</v>
      </c>
    </row>
    <row r="2772" spans="1:41" s="504" customFormat="1" ht="12">
      <c r="A2772" s="882"/>
      <c r="B2772" s="882"/>
      <c r="C2772" s="882"/>
      <c r="D2772" s="882"/>
      <c r="E2772" s="882"/>
      <c r="F2772" s="877"/>
      <c r="G2772" s="882"/>
      <c r="H2772" s="882"/>
      <c r="I2772" s="503"/>
      <c r="J2772" s="882"/>
      <c r="K2772" s="882"/>
      <c r="L2772" s="882"/>
      <c r="M2772" s="882"/>
      <c r="N2772" s="882"/>
      <c r="O2772" s="882"/>
      <c r="P2772" s="882"/>
      <c r="Q2772" s="503"/>
      <c r="R2772" s="883">
        <f>$A2772*Q2772</f>
        <v>0</v>
      </c>
      <c r="S2772" s="503"/>
      <c r="T2772" s="884">
        <f>$A2772*S2772*$T$1</f>
        <v>0</v>
      </c>
    </row>
    <row r="2773" spans="1:41" s="504" customFormat="1" ht="12.6" thickBot="1">
      <c r="A2773" s="885" t="s">
        <v>142</v>
      </c>
      <c r="B2773" s="886">
        <f>(R2772+T2772)</f>
        <v>0</v>
      </c>
      <c r="C2773" s="887"/>
      <c r="D2773" s="887"/>
      <c r="E2773" s="887"/>
      <c r="F2773" s="888"/>
      <c r="G2773" s="887" t="s">
        <v>143</v>
      </c>
      <c r="H2773" s="887"/>
      <c r="I2773" s="889"/>
      <c r="J2773" s="887"/>
      <c r="K2773" s="887" t="s">
        <v>3</v>
      </c>
      <c r="L2773" s="890" t="s">
        <v>140</v>
      </c>
      <c r="M2773" s="890"/>
      <c r="N2773" s="890"/>
      <c r="O2773" s="890"/>
      <c r="P2773" s="890"/>
      <c r="Q2773" s="891"/>
      <c r="R2773" s="892">
        <f>SUM(R2770:R2772)</f>
        <v>101.97</v>
      </c>
      <c r="S2773" s="887"/>
      <c r="T2773" s="892">
        <f>SUM(T2770:T2772)</f>
        <v>0</v>
      </c>
      <c r="U2773" s="514"/>
      <c r="V2773" s="514"/>
      <c r="W2773" s="514"/>
      <c r="X2773" s="514"/>
      <c r="Y2773" s="514"/>
      <c r="Z2773" s="514"/>
      <c r="AA2773" s="514"/>
      <c r="AB2773" s="514"/>
      <c r="AC2773" s="514"/>
      <c r="AD2773" s="514"/>
      <c r="AE2773" s="514"/>
      <c r="AF2773" s="514"/>
      <c r="AG2773" s="514"/>
      <c r="AH2773" s="514"/>
      <c r="AI2773" s="514"/>
      <c r="AJ2773" s="514"/>
      <c r="AK2773" s="514"/>
      <c r="AL2773" s="514"/>
      <c r="AM2773" s="514"/>
      <c r="AN2773" s="514"/>
      <c r="AO2773" s="514"/>
    </row>
    <row r="2774" spans="1:41" s="504" customFormat="1" ht="12" thickTop="1">
      <c r="A2774" s="50"/>
      <c r="B2774" s="40"/>
      <c r="C2774" s="50"/>
      <c r="E2774" s="41" t="s">
        <v>136</v>
      </c>
      <c r="F2774" s="41" t="s">
        <v>137</v>
      </c>
      <c r="G2774" s="50"/>
      <c r="H2774" s="50"/>
      <c r="I2774" s="50"/>
      <c r="J2774" s="50"/>
      <c r="K2774" s="50" t="s">
        <v>138</v>
      </c>
      <c r="L2774" s="50"/>
      <c r="M2774" s="50"/>
      <c r="N2774" s="50"/>
      <c r="O2774" s="51"/>
      <c r="P2774" s="50"/>
      <c r="Q2774" s="50"/>
      <c r="R2774" s="50"/>
      <c r="S2774" s="50"/>
      <c r="T2774" s="40"/>
      <c r="AG2774" s="867" t="s">
        <v>241</v>
      </c>
      <c r="AH2774" s="867" t="s">
        <v>242</v>
      </c>
      <c r="AI2774" s="867" t="s">
        <v>243</v>
      </c>
      <c r="AJ2774" s="867" t="s">
        <v>244</v>
      </c>
      <c r="AK2774" s="867" t="s">
        <v>245</v>
      </c>
      <c r="AM2774" s="868" t="s">
        <v>254</v>
      </c>
      <c r="AN2774" s="869" t="s">
        <v>255</v>
      </c>
      <c r="AO2774" s="505" t="s">
        <v>251</v>
      </c>
    </row>
    <row r="2775" spans="1:41" s="504" customFormat="1" ht="12" customHeight="1">
      <c r="A2775" s="870">
        <v>1</v>
      </c>
      <c r="B2775" s="871" t="s">
        <v>335</v>
      </c>
      <c r="C2775" s="872"/>
      <c r="D2775" s="873" t="s">
        <v>808</v>
      </c>
      <c r="E2775" s="874">
        <f>IF(AND($A2775=0,$A$1="DIF"),0, ROUND(ROUND(($R2779*$S$2+($T2779*$T$2))/A2775,2)*$C$2,2))</f>
        <v>124.4</v>
      </c>
      <c r="F2775" s="875">
        <f>ROUND($A2775*$E2775,2)</f>
        <v>124.4</v>
      </c>
      <c r="G2775" s="876" t="s">
        <v>139</v>
      </c>
      <c r="H2775" s="877"/>
      <c r="I2775" s="878"/>
      <c r="J2775" s="877"/>
      <c r="K2775" s="877" t="s">
        <v>3</v>
      </c>
      <c r="L2775" s="879" t="s">
        <v>140</v>
      </c>
      <c r="M2775" s="879"/>
      <c r="N2775" s="879"/>
      <c r="O2775" s="879"/>
      <c r="P2775" s="879"/>
      <c r="Q2775" s="50"/>
      <c r="T2775" s="880" t="str">
        <f>IF(AND($R2779=0,$T2779=0),"0.00","mu :" &amp; ROUND($F2775/$C$2/($R2779+$T2779*$D$9),2))</f>
        <v>mu :1.22</v>
      </c>
      <c r="W2775" s="507"/>
      <c r="AG2775" s="465">
        <f>IF($E2775=0,0,ROUND($R2779*$S$2*$C$2/$A2775,2))</f>
        <v>124.4</v>
      </c>
      <c r="AH2775" s="465">
        <f>$AG2775*$A2775</f>
        <v>124.4</v>
      </c>
      <c r="AI2775" s="508">
        <f>$E2775-$AG2775</f>
        <v>0</v>
      </c>
      <c r="AJ2775" s="508">
        <f>$A2775*$AI2775</f>
        <v>0</v>
      </c>
      <c r="AK2775" s="509">
        <f>ROUND(($AG2775+$AI2775)*$A2775,2)</f>
        <v>124.4</v>
      </c>
      <c r="AM2775" s="510">
        <f>ROUND(R2779,2)</f>
        <v>101.97</v>
      </c>
      <c r="AN2775" s="511">
        <f>ROUND(T2779,2)</f>
        <v>0</v>
      </c>
      <c r="AO2775" s="512">
        <f>ROUND(AM2775+AN2775,2)*A2775</f>
        <v>101.97</v>
      </c>
    </row>
    <row r="2776" spans="1:41" s="504" customFormat="1" ht="13.2">
      <c r="A2776" s="872"/>
      <c r="B2776"/>
      <c r="C2776" s="872"/>
      <c r="D2776" s="873" t="s">
        <v>453</v>
      </c>
      <c r="F2776" s="877"/>
      <c r="G2776" s="3"/>
      <c r="H2776" s="877"/>
      <c r="I2776" s="878"/>
      <c r="J2776" s="877"/>
      <c r="K2776" s="877" t="s">
        <v>141</v>
      </c>
      <c r="L2776" s="877"/>
      <c r="M2776" s="877"/>
      <c r="N2776" s="877"/>
      <c r="O2776" s="877"/>
      <c r="P2776" s="877"/>
      <c r="Q2776" s="50"/>
      <c r="R2776" s="513"/>
      <c r="S2776" s="881"/>
      <c r="T2776" s="877"/>
    </row>
    <row r="2777" spans="1:41" s="504" customFormat="1" ht="13.2">
      <c r="A2777">
        <v>1</v>
      </c>
      <c r="B2777" s="1039" t="s">
        <v>949</v>
      </c>
      <c r="C2777" s="1039"/>
      <c r="D2777" s="1039" t="s">
        <v>1340</v>
      </c>
      <c r="E2777" s="1039"/>
      <c r="F2777" s="1039"/>
      <c r="G2777" s="1040" t="s">
        <v>950</v>
      </c>
      <c r="H2777" s="1041">
        <v>510</v>
      </c>
      <c r="I2777" s="1039" t="s">
        <v>951</v>
      </c>
      <c r="J2777" s="1039"/>
      <c r="K2777" s="882"/>
      <c r="L2777" s="1039"/>
      <c r="M2777" s="1039"/>
      <c r="N2777" s="1039"/>
      <c r="O2777" s="1042">
        <v>2</v>
      </c>
      <c r="P2777" s="1043"/>
      <c r="Q2777" s="1044">
        <f>95.2+6.77</f>
        <v>101.97</v>
      </c>
      <c r="R2777" s="883">
        <f>$A2777*Q2777</f>
        <v>101.97</v>
      </c>
      <c r="S2777" s="1044"/>
      <c r="T2777" s="1046">
        <f>$A2777*S2777*$T$1</f>
        <v>0</v>
      </c>
    </row>
    <row r="2778" spans="1:41" s="504" customFormat="1" ht="12">
      <c r="A2778" s="882"/>
      <c r="B2778" s="882"/>
      <c r="C2778" s="882"/>
      <c r="D2778" s="882"/>
      <c r="E2778" s="882"/>
      <c r="F2778" s="877"/>
      <c r="G2778" s="882"/>
      <c r="H2778" s="882"/>
      <c r="I2778" s="503"/>
      <c r="J2778" s="882"/>
      <c r="K2778" s="882"/>
      <c r="L2778" s="882"/>
      <c r="M2778" s="882"/>
      <c r="N2778" s="882"/>
      <c r="O2778" s="882"/>
      <c r="P2778" s="882"/>
      <c r="Q2778" s="503"/>
      <c r="R2778" s="883">
        <f>$A2778*Q2778</f>
        <v>0</v>
      </c>
      <c r="S2778" s="503"/>
      <c r="T2778" s="884">
        <f>$A2778*S2778*$T$1</f>
        <v>0</v>
      </c>
    </row>
    <row r="2779" spans="1:41" s="504" customFormat="1" ht="12.6" thickBot="1">
      <c r="A2779" s="885" t="s">
        <v>142</v>
      </c>
      <c r="B2779" s="886">
        <f>(R2778+T2778)</f>
        <v>0</v>
      </c>
      <c r="C2779" s="887"/>
      <c r="D2779" s="887"/>
      <c r="E2779" s="887"/>
      <c r="F2779" s="888"/>
      <c r="G2779" s="887" t="s">
        <v>143</v>
      </c>
      <c r="H2779" s="887"/>
      <c r="I2779" s="889"/>
      <c r="J2779" s="887"/>
      <c r="K2779" s="887" t="s">
        <v>3</v>
      </c>
      <c r="L2779" s="890" t="s">
        <v>140</v>
      </c>
      <c r="M2779" s="890"/>
      <c r="N2779" s="890"/>
      <c r="O2779" s="890"/>
      <c r="P2779" s="890"/>
      <c r="Q2779" s="891"/>
      <c r="R2779" s="892">
        <f>SUM(R2776:R2778)</f>
        <v>101.97</v>
      </c>
      <c r="S2779" s="887"/>
      <c r="T2779" s="892">
        <f>SUM(T2776:T2778)</f>
        <v>0</v>
      </c>
      <c r="U2779" s="514"/>
      <c r="V2779" s="514"/>
      <c r="W2779" s="514"/>
      <c r="X2779" s="514"/>
      <c r="Y2779" s="514"/>
      <c r="Z2779" s="514"/>
      <c r="AA2779" s="514"/>
      <c r="AB2779" s="514"/>
      <c r="AC2779" s="514"/>
      <c r="AD2779" s="514"/>
      <c r="AE2779" s="514"/>
      <c r="AF2779" s="514"/>
      <c r="AG2779" s="514"/>
      <c r="AH2779" s="514"/>
      <c r="AI2779" s="514"/>
      <c r="AJ2779" s="514"/>
      <c r="AK2779" s="514"/>
      <c r="AL2779" s="514"/>
      <c r="AM2779" s="514"/>
      <c r="AN2779" s="514"/>
      <c r="AO2779" s="514"/>
    </row>
    <row r="2780" spans="1:41" s="504" customFormat="1" ht="12" thickTop="1">
      <c r="A2780" s="50"/>
      <c r="B2780" s="40"/>
      <c r="C2780" s="50"/>
      <c r="E2780" s="41" t="s">
        <v>136</v>
      </c>
      <c r="F2780" s="41" t="s">
        <v>137</v>
      </c>
      <c r="G2780" s="50"/>
      <c r="H2780" s="50"/>
      <c r="I2780" s="50"/>
      <c r="J2780" s="50"/>
      <c r="K2780" s="50" t="s">
        <v>138</v>
      </c>
      <c r="L2780" s="50"/>
      <c r="M2780" s="50"/>
      <c r="N2780" s="50"/>
      <c r="O2780" s="51"/>
      <c r="P2780" s="50"/>
      <c r="Q2780" s="50"/>
      <c r="R2780" s="50"/>
      <c r="S2780" s="50"/>
      <c r="T2780" s="40"/>
      <c r="AG2780" s="867" t="s">
        <v>241</v>
      </c>
      <c r="AH2780" s="867" t="s">
        <v>242</v>
      </c>
      <c r="AI2780" s="867" t="s">
        <v>243</v>
      </c>
      <c r="AJ2780" s="867" t="s">
        <v>244</v>
      </c>
      <c r="AK2780" s="867" t="s">
        <v>245</v>
      </c>
      <c r="AM2780" s="868" t="s">
        <v>254</v>
      </c>
      <c r="AN2780" s="869" t="s">
        <v>255</v>
      </c>
      <c r="AO2780" s="505" t="s">
        <v>251</v>
      </c>
    </row>
    <row r="2781" spans="1:41" s="504" customFormat="1" ht="12" customHeight="1">
      <c r="A2781" s="870">
        <v>1</v>
      </c>
      <c r="B2781" s="871" t="s">
        <v>335</v>
      </c>
      <c r="C2781" s="872"/>
      <c r="D2781" s="873" t="s">
        <v>810</v>
      </c>
      <c r="E2781" s="874">
        <f>IF(AND($A2781=0,$A$1="DIF"),0, ROUND(ROUND(($R2785*$S$2+($T2785*$T$2))/A2781,2)*$C$2,2))</f>
        <v>124.4</v>
      </c>
      <c r="F2781" s="875">
        <f>ROUND($A2781*$E2781,2)</f>
        <v>124.4</v>
      </c>
      <c r="G2781" s="876" t="s">
        <v>139</v>
      </c>
      <c r="H2781" s="877"/>
      <c r="I2781" s="878"/>
      <c r="J2781" s="877"/>
      <c r="K2781" s="877" t="s">
        <v>3</v>
      </c>
      <c r="L2781" s="879" t="s">
        <v>140</v>
      </c>
      <c r="M2781" s="879"/>
      <c r="N2781" s="879"/>
      <c r="O2781" s="879"/>
      <c r="P2781" s="879"/>
      <c r="Q2781" s="50"/>
      <c r="T2781" s="880" t="str">
        <f>IF(AND($R2785=0,$T2785=0),"0.00","mu :" &amp; ROUND($F2781/$C$2/($R2785+$T2785*$D$9),2))</f>
        <v>mu :1.22</v>
      </c>
      <c r="W2781" s="507"/>
      <c r="AG2781" s="465">
        <f>IF($E2781=0,0,ROUND($R2785*$S$2*$C$2/$A2781,2))</f>
        <v>124.4</v>
      </c>
      <c r="AH2781" s="465">
        <f>$AG2781*$A2781</f>
        <v>124.4</v>
      </c>
      <c r="AI2781" s="508">
        <f>$E2781-$AG2781</f>
        <v>0</v>
      </c>
      <c r="AJ2781" s="508">
        <f>$A2781*$AI2781</f>
        <v>0</v>
      </c>
      <c r="AK2781" s="509">
        <f>ROUND(($AG2781+$AI2781)*$A2781,2)</f>
        <v>124.4</v>
      </c>
      <c r="AM2781" s="510">
        <f>ROUND(R2785,2)</f>
        <v>101.97</v>
      </c>
      <c r="AN2781" s="511">
        <f>ROUND(T2785,2)</f>
        <v>0</v>
      </c>
      <c r="AO2781" s="512">
        <f>ROUND(AM2781+AN2781,2)*A2781</f>
        <v>101.97</v>
      </c>
    </row>
    <row r="2782" spans="1:41" s="504" customFormat="1" ht="13.2">
      <c r="A2782" s="872"/>
      <c r="B2782"/>
      <c r="C2782" s="872"/>
      <c r="D2782" s="873" t="s">
        <v>454</v>
      </c>
      <c r="F2782" s="877"/>
      <c r="G2782" s="3"/>
      <c r="H2782" s="877"/>
      <c r="I2782" s="878"/>
      <c r="J2782" s="877"/>
      <c r="K2782" s="877" t="s">
        <v>141</v>
      </c>
      <c r="L2782" s="877"/>
      <c r="M2782" s="877"/>
      <c r="N2782" s="877"/>
      <c r="O2782" s="877"/>
      <c r="P2782" s="877"/>
      <c r="Q2782" s="50"/>
      <c r="R2782" s="513"/>
      <c r="S2782" s="881"/>
      <c r="T2782" s="877"/>
    </row>
    <row r="2783" spans="1:41" s="504" customFormat="1" ht="13.2">
      <c r="A2783">
        <v>1</v>
      </c>
      <c r="B2783" s="1039" t="s">
        <v>949</v>
      </c>
      <c r="C2783" s="1039"/>
      <c r="D2783" s="1039" t="s">
        <v>1338</v>
      </c>
      <c r="E2783" s="1039"/>
      <c r="F2783" s="1039"/>
      <c r="G2783" s="1040" t="s">
        <v>950</v>
      </c>
      <c r="H2783" s="1041">
        <v>510</v>
      </c>
      <c r="I2783" s="1039" t="s">
        <v>951</v>
      </c>
      <c r="J2783" s="1039"/>
      <c r="K2783" s="882"/>
      <c r="L2783" s="1039"/>
      <c r="M2783" s="1039"/>
      <c r="N2783" s="1039"/>
      <c r="O2783" s="1042">
        <v>2</v>
      </c>
      <c r="P2783" s="1043"/>
      <c r="Q2783" s="1044">
        <f>95.2+6.77</f>
        <v>101.97</v>
      </c>
      <c r="R2783" s="883">
        <f>$A2783*Q2783</f>
        <v>101.97</v>
      </c>
      <c r="S2783" s="1044"/>
      <c r="T2783" s="1046">
        <f>$A2783*S2783*$T$1</f>
        <v>0</v>
      </c>
    </row>
    <row r="2784" spans="1:41" s="504" customFormat="1" ht="12">
      <c r="A2784" s="882"/>
      <c r="B2784" s="882"/>
      <c r="C2784" s="882"/>
      <c r="D2784" s="882"/>
      <c r="E2784" s="882"/>
      <c r="F2784" s="877"/>
      <c r="G2784" s="882"/>
      <c r="H2784" s="882"/>
      <c r="I2784" s="503"/>
      <c r="J2784" s="882"/>
      <c r="K2784" s="882"/>
      <c r="L2784" s="882"/>
      <c r="M2784" s="882"/>
      <c r="N2784" s="882"/>
      <c r="O2784" s="882"/>
      <c r="P2784" s="882"/>
      <c r="Q2784" s="503"/>
      <c r="R2784" s="883">
        <f>$A2784*Q2784</f>
        <v>0</v>
      </c>
      <c r="S2784" s="503"/>
      <c r="T2784" s="884">
        <f>$A2784*S2784*$T$1</f>
        <v>0</v>
      </c>
    </row>
    <row r="2785" spans="1:41" s="504" customFormat="1" ht="12.6" thickBot="1">
      <c r="A2785" s="885" t="s">
        <v>142</v>
      </c>
      <c r="B2785" s="886">
        <f>(R2784+T2784)</f>
        <v>0</v>
      </c>
      <c r="C2785" s="887"/>
      <c r="D2785" s="887"/>
      <c r="E2785" s="887"/>
      <c r="F2785" s="888"/>
      <c r="G2785" s="887" t="s">
        <v>143</v>
      </c>
      <c r="H2785" s="887"/>
      <c r="I2785" s="889"/>
      <c r="J2785" s="887"/>
      <c r="K2785" s="887" t="s">
        <v>3</v>
      </c>
      <c r="L2785" s="890" t="s">
        <v>140</v>
      </c>
      <c r="M2785" s="890"/>
      <c r="N2785" s="890"/>
      <c r="O2785" s="890"/>
      <c r="P2785" s="890"/>
      <c r="Q2785" s="891"/>
      <c r="R2785" s="892">
        <f>SUM(R2782:R2784)</f>
        <v>101.97</v>
      </c>
      <c r="S2785" s="887"/>
      <c r="T2785" s="892">
        <f>SUM(T2782:T2784)</f>
        <v>0</v>
      </c>
      <c r="U2785" s="514"/>
      <c r="V2785" s="514"/>
      <c r="W2785" s="514"/>
      <c r="X2785" s="514"/>
      <c r="Y2785" s="514"/>
      <c r="Z2785" s="514"/>
      <c r="AA2785" s="514"/>
      <c r="AB2785" s="514"/>
      <c r="AC2785" s="514"/>
      <c r="AD2785" s="514"/>
      <c r="AE2785" s="514"/>
      <c r="AF2785" s="514"/>
      <c r="AG2785" s="514"/>
      <c r="AH2785" s="514"/>
      <c r="AI2785" s="514"/>
      <c r="AJ2785" s="514"/>
      <c r="AK2785" s="514"/>
      <c r="AL2785" s="514"/>
      <c r="AM2785" s="514"/>
      <c r="AN2785" s="514"/>
      <c r="AO2785" s="514"/>
    </row>
    <row r="2786" spans="1:41" s="504" customFormat="1" ht="12" thickTop="1">
      <c r="A2786" s="50"/>
      <c r="B2786" s="40"/>
      <c r="C2786" s="50"/>
      <c r="E2786" s="41" t="s">
        <v>136</v>
      </c>
      <c r="F2786" s="41" t="s">
        <v>137</v>
      </c>
      <c r="G2786" s="50"/>
      <c r="H2786" s="50"/>
      <c r="I2786" s="50"/>
      <c r="J2786" s="50"/>
      <c r="K2786" s="50" t="s">
        <v>138</v>
      </c>
      <c r="L2786" s="50"/>
      <c r="M2786" s="50"/>
      <c r="N2786" s="50"/>
      <c r="O2786" s="51"/>
      <c r="P2786" s="50"/>
      <c r="Q2786" s="50"/>
      <c r="R2786" s="50"/>
      <c r="S2786" s="50"/>
      <c r="T2786" s="40"/>
      <c r="AG2786" s="867" t="s">
        <v>241</v>
      </c>
      <c r="AH2786" s="867" t="s">
        <v>242</v>
      </c>
      <c r="AI2786" s="867" t="s">
        <v>243</v>
      </c>
      <c r="AJ2786" s="867" t="s">
        <v>244</v>
      </c>
      <c r="AK2786" s="867" t="s">
        <v>245</v>
      </c>
      <c r="AM2786" s="868" t="s">
        <v>254</v>
      </c>
      <c r="AN2786" s="869" t="s">
        <v>255</v>
      </c>
      <c r="AO2786" s="505" t="s">
        <v>251</v>
      </c>
    </row>
    <row r="2787" spans="1:41" s="504" customFormat="1" ht="12" customHeight="1">
      <c r="A2787" s="870">
        <v>2</v>
      </c>
      <c r="B2787" s="871" t="s">
        <v>335</v>
      </c>
      <c r="C2787" s="872"/>
      <c r="D2787" s="873" t="s">
        <v>812</v>
      </c>
      <c r="E2787" s="874">
        <f>IF(AND($A2787=0,$A$1="DIF"),0, ROUND(ROUND(($R2791*$S$2+($T2791*$T$2))/A2787,2)*$C$2,2))</f>
        <v>23.42</v>
      </c>
      <c r="F2787" s="875">
        <f>ROUND($A2787*$E2787,2)</f>
        <v>46.84</v>
      </c>
      <c r="G2787" s="876" t="s">
        <v>139</v>
      </c>
      <c r="H2787" s="877"/>
      <c r="I2787" s="878"/>
      <c r="J2787" s="877"/>
      <c r="K2787" s="877" t="s">
        <v>3</v>
      </c>
      <c r="L2787" s="879" t="s">
        <v>140</v>
      </c>
      <c r="M2787" s="879"/>
      <c r="N2787" s="879"/>
      <c r="O2787" s="879"/>
      <c r="P2787" s="879"/>
      <c r="Q2787" s="50"/>
      <c r="T2787" s="880" t="str">
        <f>IF(AND($R2791=0,$T2791=0),"0.00","mu :" &amp; ROUND($F2787/$C$2/($R2791+$T2791*$D$9),2))</f>
        <v>mu :1.22</v>
      </c>
      <c r="W2787" s="507"/>
      <c r="AG2787" s="465">
        <f>IF($E2787=0,0,ROUND($R2791*$S$2*$C$2/$A2787,2))</f>
        <v>23.42</v>
      </c>
      <c r="AH2787" s="465">
        <f>$AG2787*$A2787</f>
        <v>46.84</v>
      </c>
      <c r="AI2787" s="508">
        <f>$E2787-$AG2787</f>
        <v>0</v>
      </c>
      <c r="AJ2787" s="508">
        <f>$A2787*$AI2787</f>
        <v>0</v>
      </c>
      <c r="AK2787" s="509">
        <f>ROUND(($AG2787+$AI2787)*$A2787,2)</f>
        <v>46.84</v>
      </c>
      <c r="AM2787" s="510">
        <f>ROUND(R2791,2)</f>
        <v>38.4</v>
      </c>
      <c r="AN2787" s="511">
        <f>ROUND(T2791,2)</f>
        <v>0</v>
      </c>
      <c r="AO2787" s="512">
        <f>ROUND(AM2787+AN2787,2)*A2787</f>
        <v>76.8</v>
      </c>
    </row>
    <row r="2788" spans="1:41" s="504" customFormat="1" ht="13.2">
      <c r="A2788" s="872"/>
      <c r="B2788"/>
      <c r="C2788" s="872"/>
      <c r="D2788" s="873" t="s">
        <v>367</v>
      </c>
      <c r="F2788" s="877"/>
      <c r="G2788" s="3"/>
      <c r="H2788" s="877"/>
      <c r="I2788" s="878"/>
      <c r="J2788" s="877"/>
      <c r="K2788" s="877" t="s">
        <v>141</v>
      </c>
      <c r="L2788" s="877"/>
      <c r="M2788" s="877"/>
      <c r="N2788" s="877"/>
      <c r="O2788" s="877"/>
      <c r="P2788" s="877"/>
      <c r="Q2788" s="50"/>
      <c r="R2788" s="513"/>
      <c r="S2788" s="881"/>
      <c r="T2788" s="877"/>
    </row>
    <row r="2789" spans="1:41" s="504" customFormat="1" ht="13.2">
      <c r="A2789" s="112">
        <v>2</v>
      </c>
      <c r="B2789" s="1039" t="s">
        <v>949</v>
      </c>
      <c r="C2789" s="1039"/>
      <c r="D2789" s="1039" t="s">
        <v>1260</v>
      </c>
      <c r="E2789" s="1039" t="s">
        <v>1251</v>
      </c>
      <c r="F2789" s="1039" t="s">
        <v>1252</v>
      </c>
      <c r="G2789" s="1040" t="s">
        <v>1245</v>
      </c>
      <c r="H2789" s="1041">
        <v>510</v>
      </c>
      <c r="I2789" s="1039" t="s">
        <v>1246</v>
      </c>
      <c r="J2789" s="1039" t="s">
        <v>1247</v>
      </c>
      <c r="K2789" s="882"/>
      <c r="L2789" s="1039"/>
      <c r="M2789" s="1039"/>
      <c r="N2789" s="1039"/>
      <c r="O2789" s="1042">
        <v>2</v>
      </c>
      <c r="P2789" s="1043">
        <v>36880</v>
      </c>
      <c r="Q2789" s="1044">
        <v>19.2</v>
      </c>
      <c r="R2789" s="1072">
        <f>$A2789*Q2789</f>
        <v>38.4</v>
      </c>
      <c r="S2789" s="1044"/>
      <c r="T2789" s="1046">
        <f>$A2789*S2789*$T$1</f>
        <v>0</v>
      </c>
    </row>
    <row r="2790" spans="1:41" s="504" customFormat="1" ht="12">
      <c r="A2790" s="882"/>
      <c r="B2790" s="882"/>
      <c r="C2790" s="882"/>
      <c r="D2790" s="882"/>
      <c r="E2790" s="882"/>
      <c r="F2790" s="877"/>
      <c r="G2790" s="882"/>
      <c r="H2790" s="882"/>
      <c r="I2790" s="503"/>
      <c r="J2790" s="882"/>
      <c r="K2790" s="882"/>
      <c r="L2790" s="882"/>
      <c r="M2790" s="882"/>
      <c r="N2790" s="882"/>
      <c r="O2790" s="882"/>
      <c r="P2790" s="882"/>
      <c r="Q2790" s="503"/>
      <c r="R2790" s="883">
        <f>$A2790*Q2790</f>
        <v>0</v>
      </c>
      <c r="S2790" s="503"/>
      <c r="T2790" s="884">
        <f>$A2790*S2790*$T$1</f>
        <v>0</v>
      </c>
    </row>
    <row r="2791" spans="1:41" s="504" customFormat="1" ht="12.6" thickBot="1">
      <c r="A2791" s="885" t="s">
        <v>142</v>
      </c>
      <c r="B2791" s="886">
        <f>(R2790+T2790)</f>
        <v>0</v>
      </c>
      <c r="C2791" s="887"/>
      <c r="D2791" s="887"/>
      <c r="E2791" s="887"/>
      <c r="F2791" s="888"/>
      <c r="G2791" s="887" t="s">
        <v>143</v>
      </c>
      <c r="H2791" s="887"/>
      <c r="I2791" s="889"/>
      <c r="J2791" s="887"/>
      <c r="K2791" s="887" t="s">
        <v>3</v>
      </c>
      <c r="L2791" s="890" t="s">
        <v>140</v>
      </c>
      <c r="M2791" s="890"/>
      <c r="N2791" s="890"/>
      <c r="O2791" s="890"/>
      <c r="P2791" s="890"/>
      <c r="Q2791" s="891"/>
      <c r="R2791" s="892">
        <f>SUM(R2788:R2790)</f>
        <v>38.4</v>
      </c>
      <c r="S2791" s="887"/>
      <c r="T2791" s="892">
        <f>SUM(T2788:T2790)</f>
        <v>0</v>
      </c>
      <c r="U2791" s="514"/>
      <c r="V2791" s="514"/>
      <c r="W2791" s="514"/>
      <c r="X2791" s="514"/>
      <c r="Y2791" s="514"/>
      <c r="Z2791" s="514"/>
      <c r="AA2791" s="514"/>
      <c r="AB2791" s="514"/>
      <c r="AC2791" s="514"/>
      <c r="AD2791" s="514"/>
      <c r="AE2791" s="514"/>
      <c r="AF2791" s="514"/>
      <c r="AG2791" s="514"/>
      <c r="AH2791" s="514"/>
      <c r="AI2791" s="514"/>
      <c r="AJ2791" s="514"/>
      <c r="AK2791" s="514"/>
      <c r="AL2791" s="514"/>
      <c r="AM2791" s="514"/>
      <c r="AN2791" s="514"/>
      <c r="AO2791" s="514"/>
    </row>
    <row r="2792" spans="1:41" s="504" customFormat="1" ht="12" thickTop="1">
      <c r="A2792" s="47" t="s">
        <v>145</v>
      </c>
      <c r="D2792" s="13"/>
      <c r="E2792" s="41"/>
      <c r="O2792" s="893"/>
    </row>
    <row r="2793" spans="1:41" s="504" customFormat="1" ht="13.2">
      <c r="B2793" s="3"/>
      <c r="O2793" s="893"/>
    </row>
    <row r="2794" spans="1:41" s="504" customFormat="1" ht="12">
      <c r="B2794" s="894">
        <f ca="1">$F2794/$C$2-($R2794*$S$2+$T2794*$T$2)</f>
        <v>-2.7649659999951837E-2</v>
      </c>
      <c r="D2794" s="895" t="s">
        <v>817</v>
      </c>
      <c r="E2794" s="896"/>
      <c r="F2794" s="897">
        <f ca="1">SUMIF($L2661:$L2792,"ITEM",F2661:F2792)</f>
        <v>6066.9399999999987</v>
      </c>
      <c r="G2794" s="882"/>
      <c r="H2794" s="882"/>
      <c r="I2794" s="503"/>
      <c r="J2794" s="882"/>
      <c r="K2794" s="882"/>
      <c r="L2794" s="879" t="s">
        <v>154</v>
      </c>
      <c r="M2794" s="879"/>
      <c r="N2794" s="879"/>
      <c r="O2794" s="879"/>
      <c r="P2794" s="879"/>
      <c r="R2794" s="897">
        <f ca="1">SUMIF($L2661:$L2792,"ITEM",R2661:R2792)</f>
        <v>2706.9099999999989</v>
      </c>
      <c r="S2794" s="898"/>
      <c r="T2794" s="897">
        <f ca="1">SUMIF($L2661:$L2792,"ITEM",T2661:T2792)</f>
        <v>78.591000000000008</v>
      </c>
    </row>
    <row r="2795" spans="1:41" s="504" customFormat="1" ht="13.2">
      <c r="A2795" s="50"/>
      <c r="B2795" s="48" t="s">
        <v>816</v>
      </c>
      <c r="C2795" s="50"/>
      <c r="D2795" s="3"/>
      <c r="F2795" s="899" t="s">
        <v>155</v>
      </c>
      <c r="G2795" s="882"/>
      <c r="H2795" s="882"/>
      <c r="I2795" s="503"/>
      <c r="J2795" s="882"/>
      <c r="K2795" s="882"/>
      <c r="L2795" s="882"/>
      <c r="M2795" s="882"/>
      <c r="N2795" s="882"/>
      <c r="O2795" s="882"/>
      <c r="P2795" s="882"/>
      <c r="Q2795" s="900"/>
      <c r="R2795" s="899" t="s">
        <v>156</v>
      </c>
      <c r="S2795" s="38"/>
      <c r="T2795" s="899" t="s">
        <v>157</v>
      </c>
    </row>
    <row r="2796" spans="1:41" s="504" customFormat="1" ht="13.2">
      <c r="A2796" s="882"/>
      <c r="B2796" s="3"/>
      <c r="C2796" s="882"/>
      <c r="D2796" s="3"/>
      <c r="E2796" s="3"/>
      <c r="G2796" s="3"/>
      <c r="H2796" s="3"/>
      <c r="I2796" s="3"/>
      <c r="J2796" s="3"/>
      <c r="K2796" s="3"/>
      <c r="L2796" s="3"/>
      <c r="M2796" s="3"/>
      <c r="N2796" s="3"/>
      <c r="O2796" s="103"/>
      <c r="P2796" s="3"/>
      <c r="Q2796" s="3"/>
      <c r="R2796" s="3"/>
      <c r="S2796" s="3"/>
      <c r="T2796" s="3"/>
    </row>
    <row r="2797" spans="1:41" s="504" customFormat="1" ht="12" thickBot="1">
      <c r="A2797" s="514"/>
      <c r="B2797" s="887"/>
      <c r="C2797" s="887"/>
      <c r="D2797" s="514"/>
      <c r="E2797" s="39"/>
      <c r="F2797" s="901"/>
      <c r="G2797" s="887"/>
      <c r="H2797" s="887"/>
      <c r="I2797" s="889"/>
      <c r="J2797" s="887"/>
      <c r="K2797" s="887"/>
      <c r="L2797" s="890"/>
      <c r="M2797" s="890"/>
      <c r="N2797" s="890"/>
      <c r="O2797" s="890"/>
      <c r="P2797" s="890"/>
      <c r="Q2797" s="891"/>
      <c r="R2797" s="901"/>
      <c r="S2797" s="902"/>
      <c r="T2797" s="901"/>
      <c r="U2797" s="514"/>
      <c r="V2797" s="514"/>
      <c r="W2797" s="514"/>
      <c r="X2797" s="514"/>
      <c r="Y2797" s="514"/>
      <c r="Z2797" s="514"/>
      <c r="AA2797" s="514"/>
      <c r="AB2797" s="514"/>
      <c r="AC2797" s="514"/>
      <c r="AD2797" s="514"/>
      <c r="AE2797" s="514"/>
      <c r="AF2797" s="514"/>
      <c r="AG2797" s="514"/>
      <c r="AH2797" s="514"/>
      <c r="AI2797" s="514"/>
      <c r="AJ2797" s="514"/>
      <c r="AK2797" s="514"/>
    </row>
    <row r="2798" spans="1:41" s="504" customFormat="1" thickTop="1">
      <c r="A2798" s="50"/>
      <c r="B2798" s="50"/>
      <c r="C2798" s="3"/>
      <c r="D2798" s="3"/>
      <c r="E2798" s="50"/>
      <c r="F2798" s="50"/>
      <c r="G2798" s="50"/>
      <c r="H2798" s="50"/>
      <c r="I2798" s="50"/>
      <c r="J2798" s="50"/>
      <c r="K2798" s="50" t="s">
        <v>133</v>
      </c>
      <c r="L2798" s="50"/>
      <c r="M2798" s="50"/>
      <c r="N2798" s="50"/>
      <c r="O2798" s="51"/>
      <c r="P2798" s="50"/>
      <c r="Q2798" s="50"/>
      <c r="R2798" s="50"/>
      <c r="S2798" s="50"/>
      <c r="T2798" s="50"/>
    </row>
    <row r="2799" spans="1:41" s="504" customFormat="1" ht="12">
      <c r="A2799" s="50"/>
      <c r="B2799" s="50"/>
      <c r="C2799" s="50" t="s">
        <v>134</v>
      </c>
      <c r="D2799" s="37" t="s">
        <v>884</v>
      </c>
      <c r="E2799" s="50"/>
      <c r="F2799" s="50"/>
      <c r="G2799" s="50"/>
      <c r="H2799" s="50"/>
      <c r="I2799" s="50"/>
      <c r="J2799" s="50"/>
      <c r="K2799" s="50"/>
      <c r="L2799" s="50"/>
      <c r="M2799" s="50"/>
      <c r="N2799" s="50"/>
      <c r="O2799" s="51"/>
      <c r="P2799" s="50"/>
      <c r="Q2799" s="50"/>
      <c r="R2799" s="50"/>
      <c r="S2799" s="50"/>
      <c r="T2799" s="50"/>
    </row>
    <row r="2800" spans="1:41" s="504" customFormat="1" ht="12">
      <c r="A2800" s="50"/>
      <c r="B2800" s="50"/>
      <c r="C2800" s="50"/>
      <c r="D2800" s="37" t="s">
        <v>304</v>
      </c>
      <c r="E2800" s="50"/>
      <c r="F2800" s="50"/>
      <c r="G2800" s="50"/>
      <c r="H2800" s="50"/>
      <c r="I2800" s="50"/>
      <c r="J2800" s="50"/>
      <c r="K2800" s="50"/>
      <c r="L2800" s="50"/>
      <c r="M2800" s="50"/>
      <c r="N2800" s="50"/>
      <c r="O2800" s="51"/>
      <c r="P2800" s="50"/>
      <c r="Q2800" s="50"/>
      <c r="R2800" s="50"/>
      <c r="S2800" s="38"/>
      <c r="T2800" s="38"/>
    </row>
    <row r="2801" spans="1:41" s="3" customFormat="1" thickBot="1">
      <c r="A2801" s="514"/>
      <c r="O2801" s="103"/>
    </row>
    <row r="2802" spans="1:41" s="504" customFormat="1" ht="12" thickTop="1">
      <c r="A2802" s="50"/>
      <c r="B2802" s="40"/>
      <c r="C2802" s="50"/>
      <c r="E2802" s="41" t="s">
        <v>136</v>
      </c>
      <c r="F2802" s="41" t="s">
        <v>137</v>
      </c>
      <c r="G2802" s="50"/>
      <c r="H2802" s="50"/>
      <c r="I2802" s="50"/>
      <c r="J2802" s="50"/>
      <c r="K2802" s="50" t="s">
        <v>138</v>
      </c>
      <c r="L2802" s="50"/>
      <c r="M2802" s="50"/>
      <c r="N2802" s="50"/>
      <c r="O2802" s="51"/>
      <c r="P2802" s="50"/>
      <c r="Q2802" s="50"/>
      <c r="R2802" s="50"/>
      <c r="S2802" s="50"/>
      <c r="T2802" s="40"/>
      <c r="AG2802" s="867" t="s">
        <v>241</v>
      </c>
      <c r="AH2802" s="867" t="s">
        <v>242</v>
      </c>
      <c r="AI2802" s="867" t="s">
        <v>243</v>
      </c>
      <c r="AJ2802" s="867" t="s">
        <v>244</v>
      </c>
      <c r="AK2802" s="867" t="s">
        <v>245</v>
      </c>
      <c r="AM2802" s="868" t="s">
        <v>254</v>
      </c>
      <c r="AN2802" s="869" t="s">
        <v>255</v>
      </c>
      <c r="AO2802" s="505" t="s">
        <v>251</v>
      </c>
    </row>
    <row r="2803" spans="1:41" s="504" customFormat="1" ht="12" customHeight="1">
      <c r="A2803" s="870">
        <v>1</v>
      </c>
      <c r="B2803" s="871" t="s">
        <v>335</v>
      </c>
      <c r="C2803" s="872"/>
      <c r="D2803" s="873" t="s">
        <v>804</v>
      </c>
      <c r="E2803" s="874">
        <f>IF(AND($A2803=0,$A$1="DIF"),0, ROUND(ROUND(($R2810*$S$2+($T2810*$T$2))/A2803,2)*$C$2,2))</f>
        <v>309.48</v>
      </c>
      <c r="F2803" s="875">
        <f>ROUND($A2803*$E2803,2)</f>
        <v>309.48</v>
      </c>
      <c r="G2803" s="876" t="s">
        <v>139</v>
      </c>
      <c r="H2803" s="877"/>
      <c r="I2803" s="878"/>
      <c r="J2803" s="877"/>
      <c r="K2803" s="877" t="s">
        <v>3</v>
      </c>
      <c r="L2803" s="879" t="s">
        <v>140</v>
      </c>
      <c r="M2803" s="879"/>
      <c r="N2803" s="879"/>
      <c r="O2803" s="879"/>
      <c r="P2803" s="879"/>
      <c r="Q2803" s="50"/>
      <c r="T2803" s="880" t="str">
        <f>IF(AND($R2810=0,$T2810=0),"0.00","mu :" &amp; ROUND($F2803/$C$2/($R2810+$T2810*$D$9),2))</f>
        <v>mu :1.22</v>
      </c>
      <c r="W2803" s="507"/>
      <c r="AG2803" s="465">
        <f>IF($E2803=0,0,ROUND($R2810*$S$2*$C$2/$A2803,2))</f>
        <v>12.34</v>
      </c>
      <c r="AH2803" s="465">
        <f>$AG2803*$A2803</f>
        <v>12.34</v>
      </c>
      <c r="AI2803" s="508">
        <f>$E2803-$AG2803</f>
        <v>297.14000000000004</v>
      </c>
      <c r="AJ2803" s="508">
        <f>$A2803*$AI2803</f>
        <v>297.14000000000004</v>
      </c>
      <c r="AK2803" s="509">
        <f>ROUND(($AG2803+$AI2803)*$A2803,2)</f>
        <v>309.48</v>
      </c>
      <c r="AM2803" s="510">
        <f>ROUND(R2810,2)</f>
        <v>10.119999999999999</v>
      </c>
      <c r="AN2803" s="511">
        <f>ROUND(T2810,2)</f>
        <v>8.4499999999999993</v>
      </c>
      <c r="AO2803" s="512">
        <f>ROUND(AM2803+AN2803,2)*A2803</f>
        <v>18.57</v>
      </c>
    </row>
    <row r="2804" spans="1:41" s="504" customFormat="1" ht="13.2">
      <c r="A2804" s="872"/>
      <c r="B2804"/>
      <c r="C2804" s="872"/>
      <c r="D2804" s="873" t="s">
        <v>451</v>
      </c>
      <c r="F2804" s="877"/>
      <c r="G2804" s="3"/>
      <c r="H2804" s="877"/>
      <c r="I2804" s="878"/>
      <c r="J2804" s="877"/>
      <c r="K2804" s="877" t="s">
        <v>141</v>
      </c>
      <c r="L2804" s="877"/>
      <c r="M2804" s="877"/>
      <c r="N2804" s="877"/>
      <c r="O2804" s="877"/>
      <c r="P2804" s="877"/>
      <c r="Q2804" s="50"/>
      <c r="R2804" s="513"/>
      <c r="S2804" s="881"/>
      <c r="T2804" s="877"/>
    </row>
    <row r="2805" spans="1:41" s="504" customFormat="1" ht="13.2">
      <c r="A2805">
        <v>1</v>
      </c>
      <c r="B2805" s="1039" t="s">
        <v>949</v>
      </c>
      <c r="C2805" s="1039"/>
      <c r="D2805" s="1039" t="s">
        <v>1341</v>
      </c>
      <c r="E2805" s="1039"/>
      <c r="F2805" s="1039"/>
      <c r="G2805" s="1040" t="s">
        <v>950</v>
      </c>
      <c r="H2805" s="1041">
        <v>510</v>
      </c>
      <c r="I2805" s="1039" t="s">
        <v>951</v>
      </c>
      <c r="J2805" s="1039"/>
      <c r="K2805" s="882"/>
      <c r="L2805" s="1039"/>
      <c r="M2805" s="1039"/>
      <c r="N2805" s="1039"/>
      <c r="O2805" s="1042">
        <v>2</v>
      </c>
      <c r="P2805" s="1043"/>
      <c r="Q2805" s="1044">
        <v>0</v>
      </c>
      <c r="R2805" s="883">
        <f>$A2805*Q2805</f>
        <v>0</v>
      </c>
      <c r="S2805" s="1044">
        <f>2+(12*0.5)</f>
        <v>8</v>
      </c>
      <c r="T2805" s="1046">
        <f>$A2805*S2805*$T$1</f>
        <v>8.4</v>
      </c>
    </row>
    <row r="2806" spans="1:41" s="504" customFormat="1" ht="13.2">
      <c r="A2806" s="112">
        <v>1</v>
      </c>
      <c r="B2806" s="1039" t="s">
        <v>949</v>
      </c>
      <c r="C2806" s="1039"/>
      <c r="D2806" s="1039" t="s">
        <v>957</v>
      </c>
      <c r="E2806" s="1039"/>
      <c r="F2806" s="1039"/>
      <c r="G2806" s="1040" t="s">
        <v>958</v>
      </c>
      <c r="H2806" s="1041">
        <v>875</v>
      </c>
      <c r="I2806" s="1039" t="s">
        <v>951</v>
      </c>
      <c r="J2806" s="1039"/>
      <c r="K2806" s="882"/>
      <c r="L2806" s="1039"/>
      <c r="M2806" s="1039"/>
      <c r="N2806" s="1039"/>
      <c r="O2806" s="1042">
        <v>3</v>
      </c>
      <c r="P2806" s="1043">
        <v>34820</v>
      </c>
      <c r="Q2806" s="1044">
        <f>0.9 *(5.82)</f>
        <v>5.2380000000000004</v>
      </c>
      <c r="R2806" s="883">
        <f>$A2806*Q2806</f>
        <v>5.2380000000000004</v>
      </c>
      <c r="S2806" s="1044">
        <f>0.9 *(0.05)</f>
        <v>4.5000000000000005E-2</v>
      </c>
      <c r="T2806" s="1046">
        <f>$A2806*S2806*$T$1</f>
        <v>4.7250000000000007E-2</v>
      </c>
    </row>
    <row r="2807" spans="1:41" s="504" customFormat="1" ht="13.2">
      <c r="A2807" s="112">
        <v>1</v>
      </c>
      <c r="B2807" s="1039" t="s">
        <v>949</v>
      </c>
      <c r="C2807" s="1039"/>
      <c r="D2807" s="1039" t="s">
        <v>1239</v>
      </c>
      <c r="E2807" s="1039"/>
      <c r="F2807" s="1039"/>
      <c r="G2807" s="1040" t="s">
        <v>1240</v>
      </c>
      <c r="H2807" s="1041">
        <v>880</v>
      </c>
      <c r="I2807" s="1039" t="s">
        <v>951</v>
      </c>
      <c r="J2807" s="1039"/>
      <c r="K2807" s="882"/>
      <c r="L2807" s="1039"/>
      <c r="M2807" s="1039"/>
      <c r="N2807" s="1039"/>
      <c r="O2807" s="1042">
        <v>3</v>
      </c>
      <c r="P2807" s="1043">
        <v>35443</v>
      </c>
      <c r="Q2807" s="1044">
        <f>0.9 *(4.66)</f>
        <v>4.194</v>
      </c>
      <c r="R2807" s="883">
        <f>$A2807*Q2807</f>
        <v>4.194</v>
      </c>
      <c r="S2807" s="1044"/>
      <c r="T2807" s="1046">
        <f>$A2807*S2807*$T$1</f>
        <v>0</v>
      </c>
    </row>
    <row r="2808" spans="1:41" s="504" customFormat="1" ht="13.2">
      <c r="A2808" s="112">
        <v>4</v>
      </c>
      <c r="B2808" s="1039" t="s">
        <v>949</v>
      </c>
      <c r="C2808" s="1039"/>
      <c r="D2808" s="1039" t="s">
        <v>1241</v>
      </c>
      <c r="E2808" s="1039"/>
      <c r="F2808" s="1039"/>
      <c r="G2808" s="1040" t="s">
        <v>1242</v>
      </c>
      <c r="H2808" s="1041">
        <v>875</v>
      </c>
      <c r="I2808" s="1039" t="s">
        <v>1243</v>
      </c>
      <c r="J2808" s="1039" t="s">
        <v>1244</v>
      </c>
      <c r="K2808" s="882"/>
      <c r="L2808" s="1039"/>
      <c r="M2808" s="1039"/>
      <c r="N2808" s="1039"/>
      <c r="O2808" s="1042">
        <v>1</v>
      </c>
      <c r="P2808" s="1043">
        <v>36175</v>
      </c>
      <c r="Q2808" s="1044">
        <f>0.9 *(0.19)</f>
        <v>0.17100000000000001</v>
      </c>
      <c r="R2808" s="883">
        <f>$A2808*Q2808</f>
        <v>0.68400000000000005</v>
      </c>
      <c r="S2808" s="1044"/>
      <c r="T2808" s="1046">
        <f>$A2808*S2808*$T$1</f>
        <v>0</v>
      </c>
    </row>
    <row r="2809" spans="1:41" s="504" customFormat="1" ht="12">
      <c r="A2809" s="882"/>
      <c r="B2809" s="882"/>
      <c r="C2809" s="882"/>
      <c r="D2809" s="882"/>
      <c r="E2809" s="882"/>
      <c r="F2809" s="877"/>
      <c r="G2809" s="882"/>
      <c r="H2809" s="882"/>
      <c r="I2809" s="503"/>
      <c r="J2809" s="882"/>
      <c r="K2809" s="882"/>
      <c r="L2809" s="882"/>
      <c r="M2809" s="882"/>
      <c r="N2809" s="882"/>
      <c r="O2809" s="882"/>
      <c r="P2809" s="882"/>
      <c r="Q2809" s="503"/>
      <c r="R2809" s="883">
        <f>$A2809*Q2809</f>
        <v>0</v>
      </c>
      <c r="S2809" s="503"/>
      <c r="T2809" s="884">
        <f>$A2809*S2809*$T$1</f>
        <v>0</v>
      </c>
    </row>
    <row r="2810" spans="1:41" s="504" customFormat="1" ht="12.6" thickBot="1">
      <c r="A2810" s="885" t="s">
        <v>142</v>
      </c>
      <c r="B2810" s="886">
        <f>(R2809+T2809)</f>
        <v>0</v>
      </c>
      <c r="C2810" s="887"/>
      <c r="D2810" s="887"/>
      <c r="E2810" s="887"/>
      <c r="F2810" s="888"/>
      <c r="G2810" s="887" t="s">
        <v>143</v>
      </c>
      <c r="H2810" s="887"/>
      <c r="I2810" s="889"/>
      <c r="J2810" s="887"/>
      <c r="K2810" s="887" t="s">
        <v>3</v>
      </c>
      <c r="L2810" s="890" t="s">
        <v>140</v>
      </c>
      <c r="M2810" s="890"/>
      <c r="N2810" s="890"/>
      <c r="O2810" s="890"/>
      <c r="P2810" s="890"/>
      <c r="Q2810" s="891"/>
      <c r="R2810" s="892">
        <f>SUM(R2804:R2809)</f>
        <v>10.116</v>
      </c>
      <c r="S2810" s="887"/>
      <c r="T2810" s="892">
        <f>SUM(T2804:T2809)</f>
        <v>8.4472500000000004</v>
      </c>
      <c r="U2810" s="514"/>
      <c r="V2810" s="514"/>
      <c r="W2810" s="514"/>
      <c r="X2810" s="514"/>
      <c r="Y2810" s="514"/>
      <c r="Z2810" s="514"/>
      <c r="AA2810" s="514"/>
      <c r="AB2810" s="514"/>
      <c r="AC2810" s="514"/>
      <c r="AD2810" s="514"/>
      <c r="AE2810" s="514"/>
      <c r="AF2810" s="514"/>
      <c r="AG2810" s="514"/>
      <c r="AH2810" s="514"/>
      <c r="AI2810" s="514"/>
      <c r="AJ2810" s="514"/>
      <c r="AK2810" s="514"/>
      <c r="AL2810" s="514"/>
      <c r="AM2810" s="514"/>
      <c r="AN2810" s="514"/>
      <c r="AO2810" s="514"/>
    </row>
    <row r="2811" spans="1:41" s="504" customFormat="1" ht="12" thickTop="1">
      <c r="A2811" s="50"/>
      <c r="B2811" s="40"/>
      <c r="C2811" s="50"/>
      <c r="E2811" s="41" t="s">
        <v>136</v>
      </c>
      <c r="F2811" s="41" t="s">
        <v>137</v>
      </c>
      <c r="G2811" s="50"/>
      <c r="H2811" s="50"/>
      <c r="I2811" s="50"/>
      <c r="J2811" s="50"/>
      <c r="K2811" s="50" t="s">
        <v>138</v>
      </c>
      <c r="L2811" s="50"/>
      <c r="M2811" s="50"/>
      <c r="N2811" s="50"/>
      <c r="O2811" s="51"/>
      <c r="P2811" s="50"/>
      <c r="Q2811" s="50"/>
      <c r="R2811" s="50"/>
      <c r="S2811" s="50"/>
      <c r="T2811" s="40"/>
      <c r="AG2811" s="867" t="s">
        <v>241</v>
      </c>
      <c r="AH2811" s="867" t="s">
        <v>242</v>
      </c>
      <c r="AI2811" s="867" t="s">
        <v>243</v>
      </c>
      <c r="AJ2811" s="867" t="s">
        <v>244</v>
      </c>
      <c r="AK2811" s="867" t="s">
        <v>245</v>
      </c>
      <c r="AM2811" s="868" t="s">
        <v>254</v>
      </c>
      <c r="AN2811" s="869" t="s">
        <v>255</v>
      </c>
      <c r="AO2811" s="505" t="s">
        <v>251</v>
      </c>
    </row>
    <row r="2812" spans="1:41" s="504" customFormat="1" ht="12" customHeight="1">
      <c r="A2812" s="870">
        <v>1</v>
      </c>
      <c r="B2812" s="871" t="s">
        <v>335</v>
      </c>
      <c r="C2812" s="872"/>
      <c r="D2812" s="873" t="s">
        <v>806</v>
      </c>
      <c r="E2812" s="874">
        <f>IF(AND($A2812=0,$A$1="DIF"),0, ROUND(ROUND(($R2820*$S$2+($T2820*$T$2))/A2812,2)*$C$2,2))</f>
        <v>161.1</v>
      </c>
      <c r="F2812" s="875">
        <f>ROUND($A2812*$E2812,2)</f>
        <v>161.1</v>
      </c>
      <c r="G2812" s="876" t="s">
        <v>139</v>
      </c>
      <c r="H2812" s="877"/>
      <c r="I2812" s="878"/>
      <c r="J2812" s="877"/>
      <c r="K2812" s="877" t="s">
        <v>3</v>
      </c>
      <c r="L2812" s="879" t="s">
        <v>140</v>
      </c>
      <c r="M2812" s="879"/>
      <c r="N2812" s="879"/>
      <c r="O2812" s="879"/>
      <c r="P2812" s="879"/>
      <c r="Q2812" s="50"/>
      <c r="T2812" s="880" t="str">
        <f>IF(AND($R2820=0,$T2820=0),"0.00","mu :" &amp; ROUND($F2812/$C$2/($R2820+$T2820*$D$9),2))</f>
        <v>mu :1.22</v>
      </c>
      <c r="W2812" s="507"/>
      <c r="AG2812" s="465">
        <f>IF($E2812=0,0,ROUND($R2820*$S$2*$C$2/$A2812,2))</f>
        <v>11.7</v>
      </c>
      <c r="AH2812" s="465">
        <f>$AG2812*$A2812</f>
        <v>11.7</v>
      </c>
      <c r="AI2812" s="508">
        <f>$E2812-$AG2812</f>
        <v>149.4</v>
      </c>
      <c r="AJ2812" s="508">
        <f>$A2812*$AI2812</f>
        <v>149.4</v>
      </c>
      <c r="AK2812" s="509">
        <f>ROUND(($AG2812+$AI2812)*$A2812,2)</f>
        <v>161.1</v>
      </c>
      <c r="AM2812" s="510">
        <f>ROUND(R2820,2)</f>
        <v>9.59</v>
      </c>
      <c r="AN2812" s="511">
        <f>ROUND(T2820,2)</f>
        <v>4.25</v>
      </c>
      <c r="AO2812" s="512">
        <f>ROUND(AM2812+AN2812,2)*A2812</f>
        <v>13.84</v>
      </c>
    </row>
    <row r="2813" spans="1:41" s="504" customFormat="1" ht="13.2">
      <c r="A2813" s="872"/>
      <c r="B2813"/>
      <c r="C2813" s="872"/>
      <c r="D2813" s="873" t="s">
        <v>452</v>
      </c>
      <c r="F2813" s="877"/>
      <c r="G2813" s="3"/>
      <c r="H2813" s="877"/>
      <c r="I2813" s="878"/>
      <c r="J2813" s="877"/>
      <c r="K2813" s="877" t="s">
        <v>141</v>
      </c>
      <c r="L2813" s="877"/>
      <c r="M2813" s="877"/>
      <c r="N2813" s="877"/>
      <c r="O2813" s="877"/>
      <c r="P2813" s="877"/>
      <c r="Q2813" s="50"/>
      <c r="R2813" s="513"/>
      <c r="S2813" s="881"/>
      <c r="T2813" s="877"/>
    </row>
    <row r="2814" spans="1:41" s="504" customFormat="1" ht="13.2">
      <c r="A2814">
        <v>1</v>
      </c>
      <c r="B2814" s="1039" t="s">
        <v>949</v>
      </c>
      <c r="C2814" s="1039"/>
      <c r="D2814" s="1039" t="s">
        <v>1342</v>
      </c>
      <c r="E2814" s="1039"/>
      <c r="F2814" s="1039"/>
      <c r="G2814" s="1040" t="s">
        <v>950</v>
      </c>
      <c r="H2814" s="1041">
        <v>510</v>
      </c>
      <c r="I2814" s="1039" t="s">
        <v>951</v>
      </c>
      <c r="J2814" s="1039"/>
      <c r="K2814" s="882"/>
      <c r="L2814" s="1039"/>
      <c r="M2814" s="1039"/>
      <c r="N2814" s="1039"/>
      <c r="O2814" s="1042">
        <v>2</v>
      </c>
      <c r="P2814" s="1043"/>
      <c r="Q2814" s="1044">
        <v>0</v>
      </c>
      <c r="R2814" s="883">
        <f t="shared" ref="R2814:R2819" si="34">$A2814*Q2814</f>
        <v>0</v>
      </c>
      <c r="S2814" s="1044">
        <f>2+(4*0.5)</f>
        <v>4</v>
      </c>
      <c r="T2814" s="1046">
        <f t="shared" ref="T2814:T2819" si="35">$A2814*S2814*$T$1</f>
        <v>4.2</v>
      </c>
    </row>
    <row r="2815" spans="1:41" s="504" customFormat="1" ht="13.2">
      <c r="A2815" s="112">
        <v>1</v>
      </c>
      <c r="B2815" s="1039" t="s">
        <v>949</v>
      </c>
      <c r="C2815" s="1039"/>
      <c r="D2815" s="1039" t="s">
        <v>957</v>
      </c>
      <c r="E2815" s="1039"/>
      <c r="F2815" s="1039"/>
      <c r="G2815" s="1040" t="s">
        <v>958</v>
      </c>
      <c r="H2815" s="1041">
        <v>875</v>
      </c>
      <c r="I2815" s="1039" t="s">
        <v>951</v>
      </c>
      <c r="J2815" s="1039"/>
      <c r="K2815" s="882"/>
      <c r="L2815" s="1039"/>
      <c r="M2815" s="1039"/>
      <c r="N2815" s="1039"/>
      <c r="O2815" s="1042">
        <v>3</v>
      </c>
      <c r="P2815" s="1043">
        <v>34820</v>
      </c>
      <c r="Q2815" s="1044">
        <f>0.9 *(5.82)</f>
        <v>5.2380000000000004</v>
      </c>
      <c r="R2815" s="883">
        <f t="shared" si="34"/>
        <v>5.2380000000000004</v>
      </c>
      <c r="S2815" s="1044">
        <f>0.9 *(0.05)</f>
        <v>4.5000000000000005E-2</v>
      </c>
      <c r="T2815" s="1046">
        <f t="shared" si="35"/>
        <v>4.7250000000000007E-2</v>
      </c>
    </row>
    <row r="2816" spans="1:41" s="1039" customFormat="1" ht="13.2">
      <c r="A2816" s="112">
        <v>1</v>
      </c>
      <c r="B2816" s="1039" t="s">
        <v>949</v>
      </c>
      <c r="D2816" s="1039" t="s">
        <v>1311</v>
      </c>
      <c r="G2816" s="1040" t="s">
        <v>1312</v>
      </c>
      <c r="H2816" s="1041">
        <v>880</v>
      </c>
      <c r="I2816" s="1039" t="s">
        <v>951</v>
      </c>
      <c r="O2816" s="1042">
        <v>3</v>
      </c>
      <c r="P2816" s="1043">
        <v>35443</v>
      </c>
      <c r="Q2816" s="1044">
        <f>0.9 *(4.66)</f>
        <v>4.194</v>
      </c>
      <c r="R2816" s="1045">
        <f t="shared" si="34"/>
        <v>4.194</v>
      </c>
      <c r="S2816" s="1044"/>
      <c r="T2816" s="1046">
        <f t="shared" si="35"/>
        <v>0</v>
      </c>
    </row>
    <row r="2817" spans="1:41" s="1039" customFormat="1" ht="13.2">
      <c r="A2817" s="112">
        <v>4</v>
      </c>
      <c r="B2817" s="1039" t="s">
        <v>949</v>
      </c>
      <c r="D2817" s="1039" t="s">
        <v>965</v>
      </c>
      <c r="G2817" s="1040" t="s">
        <v>966</v>
      </c>
      <c r="H2817" s="1041">
        <v>875</v>
      </c>
      <c r="I2817" s="1039" t="s">
        <v>951</v>
      </c>
      <c r="K2817" s="1039" t="s">
        <v>967</v>
      </c>
      <c r="O2817" s="1042">
        <v>1</v>
      </c>
      <c r="P2817" s="1043">
        <v>34669</v>
      </c>
      <c r="Q2817" s="1044">
        <v>0.02</v>
      </c>
      <c r="R2817" s="1045">
        <f t="shared" si="34"/>
        <v>0.08</v>
      </c>
      <c r="S2817" s="1044"/>
      <c r="T2817" s="1046">
        <f t="shared" si="35"/>
        <v>0</v>
      </c>
    </row>
    <row r="2818" spans="1:41" s="1039" customFormat="1" ht="13.2">
      <c r="A2818" s="112">
        <v>4</v>
      </c>
      <c r="B2818" s="1039" t="s">
        <v>949</v>
      </c>
      <c r="D2818" s="1039" t="s">
        <v>968</v>
      </c>
      <c r="G2818" s="1040" t="s">
        <v>969</v>
      </c>
      <c r="H2818" s="1041">
        <v>875</v>
      </c>
      <c r="I2818" s="1039" t="s">
        <v>951</v>
      </c>
      <c r="K2818" s="1039" t="s">
        <v>970</v>
      </c>
      <c r="O2818" s="1042">
        <v>1</v>
      </c>
      <c r="P2818" s="1043">
        <v>34669</v>
      </c>
      <c r="Q2818" s="1044">
        <v>0.02</v>
      </c>
      <c r="R2818" s="1045">
        <f t="shared" si="34"/>
        <v>0.08</v>
      </c>
      <c r="S2818" s="1044"/>
      <c r="T2818" s="1046">
        <f t="shared" si="35"/>
        <v>0</v>
      </c>
    </row>
    <row r="2819" spans="1:41" s="504" customFormat="1" ht="12">
      <c r="A2819" s="882"/>
      <c r="B2819" s="882"/>
      <c r="C2819" s="882"/>
      <c r="D2819" s="882"/>
      <c r="E2819" s="882"/>
      <c r="F2819" s="877"/>
      <c r="G2819" s="882"/>
      <c r="H2819" s="882"/>
      <c r="I2819" s="503"/>
      <c r="J2819" s="882"/>
      <c r="K2819" s="882"/>
      <c r="L2819" s="882"/>
      <c r="M2819" s="882"/>
      <c r="N2819" s="882"/>
      <c r="O2819" s="882"/>
      <c r="P2819" s="882"/>
      <c r="Q2819" s="503"/>
      <c r="R2819" s="883">
        <f t="shared" si="34"/>
        <v>0</v>
      </c>
      <c r="S2819" s="503"/>
      <c r="T2819" s="884">
        <f t="shared" si="35"/>
        <v>0</v>
      </c>
    </row>
    <row r="2820" spans="1:41" s="504" customFormat="1" ht="12.6" thickBot="1">
      <c r="A2820" s="885" t="s">
        <v>142</v>
      </c>
      <c r="B2820" s="886">
        <f>(R2819+T2819)</f>
        <v>0</v>
      </c>
      <c r="C2820" s="887"/>
      <c r="D2820" s="887"/>
      <c r="E2820" s="887"/>
      <c r="F2820" s="888"/>
      <c r="G2820" s="887" t="s">
        <v>143</v>
      </c>
      <c r="H2820" s="887"/>
      <c r="I2820" s="889"/>
      <c r="J2820" s="887"/>
      <c r="K2820" s="887" t="s">
        <v>3</v>
      </c>
      <c r="L2820" s="890" t="s">
        <v>140</v>
      </c>
      <c r="M2820" s="890"/>
      <c r="N2820" s="890"/>
      <c r="O2820" s="890"/>
      <c r="P2820" s="890"/>
      <c r="Q2820" s="891"/>
      <c r="R2820" s="892">
        <f>SUM(R2813:R2819)</f>
        <v>9.5920000000000005</v>
      </c>
      <c r="S2820" s="887"/>
      <c r="T2820" s="892">
        <f>SUM(T2813:T2819)</f>
        <v>4.2472500000000002</v>
      </c>
      <c r="U2820" s="514"/>
      <c r="V2820" s="514"/>
      <c r="W2820" s="514"/>
      <c r="X2820" s="514"/>
      <c r="Y2820" s="514"/>
      <c r="Z2820" s="514"/>
      <c r="AA2820" s="514"/>
      <c r="AB2820" s="514"/>
      <c r="AC2820" s="514"/>
      <c r="AD2820" s="514"/>
      <c r="AE2820" s="514"/>
      <c r="AF2820" s="514"/>
      <c r="AG2820" s="514"/>
      <c r="AH2820" s="514"/>
      <c r="AI2820" s="514"/>
      <c r="AJ2820" s="514"/>
      <c r="AK2820" s="514"/>
      <c r="AL2820" s="514"/>
      <c r="AM2820" s="514"/>
      <c r="AN2820" s="514"/>
      <c r="AO2820" s="514"/>
    </row>
    <row r="2821" spans="1:41" s="504" customFormat="1" ht="12" thickTop="1">
      <c r="A2821" s="50"/>
      <c r="B2821" s="40"/>
      <c r="C2821" s="50"/>
      <c r="E2821" s="41" t="s">
        <v>136</v>
      </c>
      <c r="F2821" s="41" t="s">
        <v>137</v>
      </c>
      <c r="G2821" s="50"/>
      <c r="H2821" s="50"/>
      <c r="I2821" s="50"/>
      <c r="J2821" s="50"/>
      <c r="K2821" s="50" t="s">
        <v>138</v>
      </c>
      <c r="L2821" s="50"/>
      <c r="M2821" s="50"/>
      <c r="N2821" s="50"/>
      <c r="O2821" s="51"/>
      <c r="P2821" s="50"/>
      <c r="Q2821" s="50"/>
      <c r="R2821" s="50"/>
      <c r="S2821" s="50"/>
      <c r="T2821" s="40"/>
      <c r="AG2821" s="867" t="s">
        <v>241</v>
      </c>
      <c r="AH2821" s="867" t="s">
        <v>242</v>
      </c>
      <c r="AI2821" s="867" t="s">
        <v>243</v>
      </c>
      <c r="AJ2821" s="867" t="s">
        <v>244</v>
      </c>
      <c r="AK2821" s="867" t="s">
        <v>245</v>
      </c>
      <c r="AM2821" s="868" t="s">
        <v>254</v>
      </c>
      <c r="AN2821" s="869" t="s">
        <v>255</v>
      </c>
      <c r="AO2821" s="505" t="s">
        <v>251</v>
      </c>
    </row>
    <row r="2822" spans="1:41" s="504" customFormat="1" ht="12" customHeight="1">
      <c r="A2822" s="870">
        <v>1</v>
      </c>
      <c r="B2822" s="871" t="s">
        <v>335</v>
      </c>
      <c r="C2822" s="872"/>
      <c r="D2822" s="873" t="s">
        <v>808</v>
      </c>
      <c r="E2822" s="874">
        <f>IF(AND($A2822=0,$A$1="DIF"),0, ROUND(ROUND(($R2830*$S$2+($T2830*$T$2))/A2822,2)*$C$2,2))</f>
        <v>161.1</v>
      </c>
      <c r="F2822" s="875">
        <f>ROUND($A2822*$E2822,2)</f>
        <v>161.1</v>
      </c>
      <c r="G2822" s="876" t="s">
        <v>139</v>
      </c>
      <c r="H2822" s="877"/>
      <c r="I2822" s="878"/>
      <c r="J2822" s="877"/>
      <c r="K2822" s="877" t="s">
        <v>3</v>
      </c>
      <c r="L2822" s="879" t="s">
        <v>140</v>
      </c>
      <c r="M2822" s="879"/>
      <c r="N2822" s="879"/>
      <c r="O2822" s="879"/>
      <c r="P2822" s="879"/>
      <c r="Q2822" s="50"/>
      <c r="T2822" s="880" t="str">
        <f>IF(AND($R2830=0,$T2830=0),"0.00","mu :" &amp; ROUND($F2822/$C$2/($R2830+$T2830*$D$9),2))</f>
        <v>mu :1.22</v>
      </c>
      <c r="W2822" s="507"/>
      <c r="AG2822" s="465">
        <f>IF($E2822=0,0,ROUND($R2830*$S$2*$C$2/$A2822,2))</f>
        <v>11.7</v>
      </c>
      <c r="AH2822" s="465">
        <f>$AG2822*$A2822</f>
        <v>11.7</v>
      </c>
      <c r="AI2822" s="508">
        <f>$E2822-$AG2822</f>
        <v>149.4</v>
      </c>
      <c r="AJ2822" s="508">
        <f>$A2822*$AI2822</f>
        <v>149.4</v>
      </c>
      <c r="AK2822" s="509">
        <f>ROUND(($AG2822+$AI2822)*$A2822,2)</f>
        <v>161.1</v>
      </c>
      <c r="AM2822" s="510">
        <f>ROUND(R2830,2)</f>
        <v>9.59</v>
      </c>
      <c r="AN2822" s="511">
        <f>ROUND(T2830,2)</f>
        <v>4.25</v>
      </c>
      <c r="AO2822" s="512">
        <f>ROUND(AM2822+AN2822,2)*A2822</f>
        <v>13.84</v>
      </c>
    </row>
    <row r="2823" spans="1:41" s="504" customFormat="1" ht="13.2">
      <c r="A2823" s="872"/>
      <c r="B2823"/>
      <c r="C2823" s="872"/>
      <c r="D2823" s="873" t="s">
        <v>453</v>
      </c>
      <c r="F2823" s="877"/>
      <c r="G2823" s="3"/>
      <c r="H2823" s="877"/>
      <c r="I2823" s="878"/>
      <c r="J2823" s="877"/>
      <c r="K2823" s="877" t="s">
        <v>141</v>
      </c>
      <c r="L2823" s="877"/>
      <c r="M2823" s="877"/>
      <c r="N2823" s="877"/>
      <c r="O2823" s="877"/>
      <c r="P2823" s="877"/>
      <c r="Q2823" s="50"/>
      <c r="R2823" s="513"/>
      <c r="S2823" s="881"/>
      <c r="T2823" s="877"/>
    </row>
    <row r="2824" spans="1:41" s="504" customFormat="1" ht="13.2">
      <c r="A2824">
        <v>1</v>
      </c>
      <c r="B2824" s="1039" t="s">
        <v>949</v>
      </c>
      <c r="C2824" s="1039"/>
      <c r="D2824" s="1039" t="s">
        <v>1343</v>
      </c>
      <c r="E2824" s="1039"/>
      <c r="F2824" s="1039"/>
      <c r="G2824" s="1040" t="s">
        <v>950</v>
      </c>
      <c r="H2824" s="1041">
        <v>510</v>
      </c>
      <c r="I2824" s="1039" t="s">
        <v>951</v>
      </c>
      <c r="J2824" s="1039"/>
      <c r="K2824" s="882"/>
      <c r="L2824" s="1039"/>
      <c r="M2824" s="1039"/>
      <c r="N2824" s="1039"/>
      <c r="O2824" s="1042">
        <v>2</v>
      </c>
      <c r="P2824" s="1043"/>
      <c r="Q2824" s="1044">
        <v>0</v>
      </c>
      <c r="R2824" s="883">
        <f t="shared" ref="R2824:R2829" si="36">$A2824*Q2824</f>
        <v>0</v>
      </c>
      <c r="S2824" s="1044">
        <f>2+(4*0.5)</f>
        <v>4</v>
      </c>
      <c r="T2824" s="1046">
        <f t="shared" ref="T2824:T2829" si="37">$A2824*S2824*$T$1</f>
        <v>4.2</v>
      </c>
    </row>
    <row r="2825" spans="1:41" s="504" customFormat="1" ht="13.2">
      <c r="A2825" s="112">
        <v>1</v>
      </c>
      <c r="B2825" s="1039" t="s">
        <v>949</v>
      </c>
      <c r="C2825" s="1039"/>
      <c r="D2825" s="1039" t="s">
        <v>957</v>
      </c>
      <c r="E2825" s="1039"/>
      <c r="F2825" s="1039"/>
      <c r="G2825" s="1040" t="s">
        <v>958</v>
      </c>
      <c r="H2825" s="1041">
        <v>875</v>
      </c>
      <c r="I2825" s="1039" t="s">
        <v>951</v>
      </c>
      <c r="J2825" s="1039"/>
      <c r="K2825" s="882"/>
      <c r="L2825" s="1039"/>
      <c r="M2825" s="1039"/>
      <c r="N2825" s="1039"/>
      <c r="O2825" s="1042">
        <v>3</v>
      </c>
      <c r="P2825" s="1043">
        <v>34820</v>
      </c>
      <c r="Q2825" s="1044">
        <f>0.9 *(5.82)</f>
        <v>5.2380000000000004</v>
      </c>
      <c r="R2825" s="883">
        <f t="shared" si="36"/>
        <v>5.2380000000000004</v>
      </c>
      <c r="S2825" s="1044">
        <f>0.9 *(0.05)</f>
        <v>4.5000000000000005E-2</v>
      </c>
      <c r="T2825" s="1046">
        <f t="shared" si="37"/>
        <v>4.7250000000000007E-2</v>
      </c>
    </row>
    <row r="2826" spans="1:41" s="1039" customFormat="1" ht="13.2">
      <c r="A2826" s="112">
        <v>1</v>
      </c>
      <c r="B2826" s="1039" t="s">
        <v>949</v>
      </c>
      <c r="D2826" s="1039" t="s">
        <v>1311</v>
      </c>
      <c r="G2826" s="1040" t="s">
        <v>1312</v>
      </c>
      <c r="H2826" s="1041">
        <v>880</v>
      </c>
      <c r="I2826" s="1039" t="s">
        <v>951</v>
      </c>
      <c r="O2826" s="1042">
        <v>3</v>
      </c>
      <c r="P2826" s="1043">
        <v>35443</v>
      </c>
      <c r="Q2826" s="1044">
        <f>0.9 *(4.66)</f>
        <v>4.194</v>
      </c>
      <c r="R2826" s="1045">
        <f t="shared" si="36"/>
        <v>4.194</v>
      </c>
      <c r="S2826" s="1044"/>
      <c r="T2826" s="1046">
        <f t="shared" si="37"/>
        <v>0</v>
      </c>
    </row>
    <row r="2827" spans="1:41" s="1039" customFormat="1" ht="13.2">
      <c r="A2827" s="112">
        <v>4</v>
      </c>
      <c r="B2827" s="1039" t="s">
        <v>949</v>
      </c>
      <c r="D2827" s="1039" t="s">
        <v>965</v>
      </c>
      <c r="G2827" s="1040" t="s">
        <v>966</v>
      </c>
      <c r="H2827" s="1041">
        <v>875</v>
      </c>
      <c r="I2827" s="1039" t="s">
        <v>951</v>
      </c>
      <c r="K2827" s="1039" t="s">
        <v>967</v>
      </c>
      <c r="O2827" s="1042">
        <v>1</v>
      </c>
      <c r="P2827" s="1043">
        <v>34669</v>
      </c>
      <c r="Q2827" s="1044">
        <v>0.02</v>
      </c>
      <c r="R2827" s="1045">
        <f t="shared" si="36"/>
        <v>0.08</v>
      </c>
      <c r="S2827" s="1044"/>
      <c r="T2827" s="1046">
        <f t="shared" si="37"/>
        <v>0</v>
      </c>
    </row>
    <row r="2828" spans="1:41" s="1039" customFormat="1" ht="13.2">
      <c r="A2828" s="112">
        <v>4</v>
      </c>
      <c r="B2828" s="1039" t="s">
        <v>949</v>
      </c>
      <c r="D2828" s="1039" t="s">
        <v>968</v>
      </c>
      <c r="G2828" s="1040" t="s">
        <v>969</v>
      </c>
      <c r="H2828" s="1041">
        <v>875</v>
      </c>
      <c r="I2828" s="1039" t="s">
        <v>951</v>
      </c>
      <c r="K2828" s="1039" t="s">
        <v>970</v>
      </c>
      <c r="O2828" s="1042">
        <v>1</v>
      </c>
      <c r="P2828" s="1043">
        <v>34669</v>
      </c>
      <c r="Q2828" s="1044">
        <v>0.02</v>
      </c>
      <c r="R2828" s="1045">
        <f t="shared" si="36"/>
        <v>0.08</v>
      </c>
      <c r="S2828" s="1044"/>
      <c r="T2828" s="1046">
        <f t="shared" si="37"/>
        <v>0</v>
      </c>
    </row>
    <row r="2829" spans="1:41" s="504" customFormat="1" ht="12">
      <c r="A2829" s="882"/>
      <c r="B2829" s="882"/>
      <c r="C2829" s="882"/>
      <c r="D2829" s="882"/>
      <c r="E2829" s="882"/>
      <c r="F2829" s="877"/>
      <c r="G2829" s="882"/>
      <c r="H2829" s="882"/>
      <c r="I2829" s="503"/>
      <c r="J2829" s="882"/>
      <c r="K2829" s="882"/>
      <c r="L2829" s="882"/>
      <c r="M2829" s="882"/>
      <c r="N2829" s="882"/>
      <c r="O2829" s="882"/>
      <c r="P2829" s="882"/>
      <c r="Q2829" s="503"/>
      <c r="R2829" s="883">
        <f t="shared" si="36"/>
        <v>0</v>
      </c>
      <c r="S2829" s="503"/>
      <c r="T2829" s="884">
        <f t="shared" si="37"/>
        <v>0</v>
      </c>
    </row>
    <row r="2830" spans="1:41" s="504" customFormat="1" ht="12.6" thickBot="1">
      <c r="A2830" s="885" t="s">
        <v>142</v>
      </c>
      <c r="B2830" s="886">
        <f>(R2829+T2829)</f>
        <v>0</v>
      </c>
      <c r="C2830" s="887"/>
      <c r="D2830" s="887"/>
      <c r="E2830" s="887"/>
      <c r="F2830" s="888"/>
      <c r="G2830" s="887" t="s">
        <v>143</v>
      </c>
      <c r="H2830" s="887"/>
      <c r="I2830" s="889"/>
      <c r="J2830" s="887"/>
      <c r="K2830" s="887" t="s">
        <v>3</v>
      </c>
      <c r="L2830" s="890" t="s">
        <v>140</v>
      </c>
      <c r="M2830" s="890"/>
      <c r="N2830" s="890"/>
      <c r="O2830" s="890"/>
      <c r="P2830" s="890"/>
      <c r="Q2830" s="891"/>
      <c r="R2830" s="892">
        <f>SUM(R2823:R2829)</f>
        <v>9.5920000000000005</v>
      </c>
      <c r="S2830" s="887"/>
      <c r="T2830" s="892">
        <f>SUM(T2823:T2829)</f>
        <v>4.2472500000000002</v>
      </c>
      <c r="U2830" s="514"/>
      <c r="V2830" s="514"/>
      <c r="W2830" s="514"/>
      <c r="X2830" s="514"/>
      <c r="Y2830" s="514"/>
      <c r="Z2830" s="514"/>
      <c r="AA2830" s="514"/>
      <c r="AB2830" s="514"/>
      <c r="AC2830" s="514"/>
      <c r="AD2830" s="514"/>
      <c r="AE2830" s="514"/>
      <c r="AF2830" s="514"/>
      <c r="AG2830" s="514"/>
      <c r="AH2830" s="514"/>
      <c r="AI2830" s="514"/>
      <c r="AJ2830" s="514"/>
      <c r="AK2830" s="514"/>
      <c r="AL2830" s="514"/>
      <c r="AM2830" s="514"/>
      <c r="AN2830" s="514"/>
      <c r="AO2830" s="514"/>
    </row>
    <row r="2831" spans="1:41" s="504" customFormat="1" ht="12" thickTop="1">
      <c r="A2831" s="50"/>
      <c r="B2831" s="40"/>
      <c r="C2831" s="50"/>
      <c r="E2831" s="41" t="s">
        <v>136</v>
      </c>
      <c r="F2831" s="41" t="s">
        <v>137</v>
      </c>
      <c r="G2831" s="50"/>
      <c r="H2831" s="50"/>
      <c r="I2831" s="50"/>
      <c r="J2831" s="50"/>
      <c r="K2831" s="50" t="s">
        <v>138</v>
      </c>
      <c r="L2831" s="50"/>
      <c r="M2831" s="50"/>
      <c r="N2831" s="50"/>
      <c r="O2831" s="51"/>
      <c r="P2831" s="50"/>
      <c r="Q2831" s="50"/>
      <c r="R2831" s="50"/>
      <c r="S2831" s="50"/>
      <c r="T2831" s="40"/>
      <c r="AG2831" s="867" t="s">
        <v>241</v>
      </c>
      <c r="AH2831" s="867" t="s">
        <v>242</v>
      </c>
      <c r="AI2831" s="867" t="s">
        <v>243</v>
      </c>
      <c r="AJ2831" s="867" t="s">
        <v>244</v>
      </c>
      <c r="AK2831" s="867" t="s">
        <v>245</v>
      </c>
      <c r="AM2831" s="868" t="s">
        <v>254</v>
      </c>
      <c r="AN2831" s="869" t="s">
        <v>255</v>
      </c>
      <c r="AO2831" s="505" t="s">
        <v>251</v>
      </c>
    </row>
    <row r="2832" spans="1:41" s="504" customFormat="1" ht="12" customHeight="1">
      <c r="A2832" s="870">
        <v>1</v>
      </c>
      <c r="B2832" s="871" t="s">
        <v>335</v>
      </c>
      <c r="C2832" s="872"/>
      <c r="D2832" s="873" t="s">
        <v>810</v>
      </c>
      <c r="E2832" s="874">
        <f>IF(AND($A2832=0,$A$1="DIF"),0, ROUND(ROUND(($R2840*$S$2+($T2840*$T$2))/A2832,2)*$C$2,2))</f>
        <v>161.1</v>
      </c>
      <c r="F2832" s="875">
        <f>ROUND($A2832*$E2832,2)</f>
        <v>161.1</v>
      </c>
      <c r="G2832" s="876" t="s">
        <v>139</v>
      </c>
      <c r="H2832" s="877"/>
      <c r="I2832" s="878"/>
      <c r="J2832" s="877"/>
      <c r="K2832" s="877" t="s">
        <v>3</v>
      </c>
      <c r="L2832" s="879" t="s">
        <v>140</v>
      </c>
      <c r="M2832" s="879"/>
      <c r="N2832" s="879"/>
      <c r="O2832" s="879"/>
      <c r="P2832" s="879"/>
      <c r="Q2832" s="50"/>
      <c r="T2832" s="880" t="str">
        <f>IF(AND($R2840=0,$T2840=0),"0.00","mu :" &amp; ROUND($F2832/$C$2/($R2840+$T2840*$D$9),2))</f>
        <v>mu :1.22</v>
      </c>
      <c r="W2832" s="507"/>
      <c r="AG2832" s="465">
        <f>IF($E2832=0,0,ROUND($R2840*$S$2*$C$2/$A2832,2))</f>
        <v>11.7</v>
      </c>
      <c r="AH2832" s="465">
        <f>$AG2832*$A2832</f>
        <v>11.7</v>
      </c>
      <c r="AI2832" s="508">
        <f>$E2832-$AG2832</f>
        <v>149.4</v>
      </c>
      <c r="AJ2832" s="508">
        <f>$A2832*$AI2832</f>
        <v>149.4</v>
      </c>
      <c r="AK2832" s="509">
        <f>ROUND(($AG2832+$AI2832)*$A2832,2)</f>
        <v>161.1</v>
      </c>
      <c r="AM2832" s="510">
        <f>ROUND(R2840,2)</f>
        <v>9.59</v>
      </c>
      <c r="AN2832" s="511">
        <f>ROUND(T2840,2)</f>
        <v>4.25</v>
      </c>
      <c r="AO2832" s="512">
        <f>ROUND(AM2832+AN2832,2)*A2832</f>
        <v>13.84</v>
      </c>
    </row>
    <row r="2833" spans="1:41" s="504" customFormat="1" ht="13.2">
      <c r="A2833" s="872"/>
      <c r="B2833"/>
      <c r="C2833" s="872"/>
      <c r="D2833" s="873" t="s">
        <v>454</v>
      </c>
      <c r="F2833" s="877"/>
      <c r="G2833" s="3"/>
      <c r="H2833" s="877"/>
      <c r="I2833" s="878"/>
      <c r="J2833" s="877"/>
      <c r="K2833" s="877" t="s">
        <v>141</v>
      </c>
      <c r="L2833" s="877"/>
      <c r="M2833" s="877"/>
      <c r="N2833" s="877"/>
      <c r="O2833" s="877"/>
      <c r="P2833" s="877"/>
      <c r="Q2833" s="50"/>
      <c r="R2833" s="513"/>
      <c r="S2833" s="881"/>
      <c r="T2833" s="877"/>
    </row>
    <row r="2834" spans="1:41" s="504" customFormat="1" ht="13.2">
      <c r="A2834">
        <v>1</v>
      </c>
      <c r="B2834" s="1039" t="s">
        <v>949</v>
      </c>
      <c r="C2834" s="1039"/>
      <c r="D2834" s="1039" t="s">
        <v>1344</v>
      </c>
      <c r="E2834" s="1039"/>
      <c r="F2834" s="1039"/>
      <c r="G2834" s="1040" t="s">
        <v>950</v>
      </c>
      <c r="H2834" s="1041">
        <v>510</v>
      </c>
      <c r="I2834" s="1039" t="s">
        <v>951</v>
      </c>
      <c r="J2834" s="1039"/>
      <c r="K2834" s="882"/>
      <c r="L2834" s="1039"/>
      <c r="M2834" s="1039"/>
      <c r="N2834" s="1039"/>
      <c r="O2834" s="1042">
        <v>2</v>
      </c>
      <c r="P2834" s="1043"/>
      <c r="Q2834" s="1044">
        <v>0</v>
      </c>
      <c r="R2834" s="883">
        <f t="shared" ref="R2834:R2839" si="38">$A2834*Q2834</f>
        <v>0</v>
      </c>
      <c r="S2834" s="1044">
        <f>2+(4*0.5)</f>
        <v>4</v>
      </c>
      <c r="T2834" s="1046">
        <f t="shared" ref="T2834:T2839" si="39">$A2834*S2834*$T$1</f>
        <v>4.2</v>
      </c>
    </row>
    <row r="2835" spans="1:41" s="504" customFormat="1" ht="13.2">
      <c r="A2835" s="112">
        <v>1</v>
      </c>
      <c r="B2835" s="1039" t="s">
        <v>949</v>
      </c>
      <c r="C2835" s="1039"/>
      <c r="D2835" s="1039" t="s">
        <v>957</v>
      </c>
      <c r="E2835" s="1039"/>
      <c r="F2835" s="1039"/>
      <c r="G2835" s="1040" t="s">
        <v>958</v>
      </c>
      <c r="H2835" s="1041">
        <v>875</v>
      </c>
      <c r="I2835" s="1039" t="s">
        <v>951</v>
      </c>
      <c r="J2835" s="1039"/>
      <c r="K2835" s="882"/>
      <c r="L2835" s="1039"/>
      <c r="M2835" s="1039"/>
      <c r="N2835" s="1039"/>
      <c r="O2835" s="1042">
        <v>3</v>
      </c>
      <c r="P2835" s="1043">
        <v>34820</v>
      </c>
      <c r="Q2835" s="1044">
        <f>0.9 *(5.82)</f>
        <v>5.2380000000000004</v>
      </c>
      <c r="R2835" s="883">
        <f t="shared" si="38"/>
        <v>5.2380000000000004</v>
      </c>
      <c r="S2835" s="1044">
        <f>0.9 *(0.05)</f>
        <v>4.5000000000000005E-2</v>
      </c>
      <c r="T2835" s="1046">
        <f t="shared" si="39"/>
        <v>4.7250000000000007E-2</v>
      </c>
    </row>
    <row r="2836" spans="1:41" s="1039" customFormat="1" ht="13.2">
      <c r="A2836" s="112">
        <v>1</v>
      </c>
      <c r="B2836" s="1039" t="s">
        <v>949</v>
      </c>
      <c r="D2836" s="1039" t="s">
        <v>1311</v>
      </c>
      <c r="G2836" s="1040" t="s">
        <v>1312</v>
      </c>
      <c r="H2836" s="1041">
        <v>880</v>
      </c>
      <c r="I2836" s="1039" t="s">
        <v>951</v>
      </c>
      <c r="O2836" s="1042">
        <v>3</v>
      </c>
      <c r="P2836" s="1043">
        <v>35443</v>
      </c>
      <c r="Q2836" s="1044">
        <f>0.9 *(4.66)</f>
        <v>4.194</v>
      </c>
      <c r="R2836" s="1045">
        <f t="shared" si="38"/>
        <v>4.194</v>
      </c>
      <c r="S2836" s="1044"/>
      <c r="T2836" s="1046">
        <f t="shared" si="39"/>
        <v>0</v>
      </c>
    </row>
    <row r="2837" spans="1:41" s="1039" customFormat="1" ht="13.2">
      <c r="A2837" s="112">
        <v>4</v>
      </c>
      <c r="B2837" s="1039" t="s">
        <v>949</v>
      </c>
      <c r="D2837" s="1039" t="s">
        <v>965</v>
      </c>
      <c r="G2837" s="1040" t="s">
        <v>966</v>
      </c>
      <c r="H2837" s="1041">
        <v>875</v>
      </c>
      <c r="I2837" s="1039" t="s">
        <v>951</v>
      </c>
      <c r="K2837" s="1039" t="s">
        <v>967</v>
      </c>
      <c r="O2837" s="1042">
        <v>1</v>
      </c>
      <c r="P2837" s="1043">
        <v>34669</v>
      </c>
      <c r="Q2837" s="1044">
        <v>0.02</v>
      </c>
      <c r="R2837" s="1045">
        <f t="shared" si="38"/>
        <v>0.08</v>
      </c>
      <c r="S2837" s="1044"/>
      <c r="T2837" s="1046">
        <f t="shared" si="39"/>
        <v>0</v>
      </c>
    </row>
    <row r="2838" spans="1:41" s="1039" customFormat="1" ht="13.2">
      <c r="A2838" s="112">
        <v>4</v>
      </c>
      <c r="B2838" s="1039" t="s">
        <v>949</v>
      </c>
      <c r="D2838" s="1039" t="s">
        <v>968</v>
      </c>
      <c r="G2838" s="1040" t="s">
        <v>969</v>
      </c>
      <c r="H2838" s="1041">
        <v>875</v>
      </c>
      <c r="I2838" s="1039" t="s">
        <v>951</v>
      </c>
      <c r="K2838" s="1039" t="s">
        <v>970</v>
      </c>
      <c r="O2838" s="1042">
        <v>1</v>
      </c>
      <c r="P2838" s="1043">
        <v>34669</v>
      </c>
      <c r="Q2838" s="1044">
        <v>0.02</v>
      </c>
      <c r="R2838" s="1045">
        <f t="shared" si="38"/>
        <v>0.08</v>
      </c>
      <c r="S2838" s="1044"/>
      <c r="T2838" s="1046">
        <f t="shared" si="39"/>
        <v>0</v>
      </c>
    </row>
    <row r="2839" spans="1:41" s="504" customFormat="1" ht="12">
      <c r="A2839" s="882"/>
      <c r="B2839" s="882"/>
      <c r="C2839" s="882"/>
      <c r="D2839" s="882"/>
      <c r="E2839" s="882"/>
      <c r="F2839" s="877"/>
      <c r="G2839" s="882"/>
      <c r="H2839" s="882"/>
      <c r="I2839" s="503"/>
      <c r="J2839" s="882"/>
      <c r="K2839" s="882"/>
      <c r="L2839" s="882"/>
      <c r="M2839" s="882"/>
      <c r="N2839" s="882"/>
      <c r="O2839" s="882"/>
      <c r="P2839" s="882"/>
      <c r="Q2839" s="503"/>
      <c r="R2839" s="883">
        <f t="shared" si="38"/>
        <v>0</v>
      </c>
      <c r="S2839" s="503"/>
      <c r="T2839" s="884">
        <f t="shared" si="39"/>
        <v>0</v>
      </c>
    </row>
    <row r="2840" spans="1:41" s="504" customFormat="1" ht="12.6" thickBot="1">
      <c r="A2840" s="885" t="s">
        <v>142</v>
      </c>
      <c r="B2840" s="886">
        <f>(R2839+T2839)</f>
        <v>0</v>
      </c>
      <c r="C2840" s="887"/>
      <c r="D2840" s="887"/>
      <c r="E2840" s="887"/>
      <c r="F2840" s="888"/>
      <c r="G2840" s="887" t="s">
        <v>143</v>
      </c>
      <c r="H2840" s="887"/>
      <c r="I2840" s="889"/>
      <c r="J2840" s="887"/>
      <c r="K2840" s="887" t="s">
        <v>3</v>
      </c>
      <c r="L2840" s="890" t="s">
        <v>140</v>
      </c>
      <c r="M2840" s="890"/>
      <c r="N2840" s="890"/>
      <c r="O2840" s="890"/>
      <c r="P2840" s="890"/>
      <c r="Q2840" s="891"/>
      <c r="R2840" s="892">
        <f>SUM(R2833:R2839)</f>
        <v>9.5920000000000005</v>
      </c>
      <c r="S2840" s="887"/>
      <c r="T2840" s="892">
        <f>SUM(T2833:T2839)</f>
        <v>4.2472500000000002</v>
      </c>
      <c r="U2840" s="514"/>
      <c r="V2840" s="514"/>
      <c r="W2840" s="514"/>
      <c r="X2840" s="514"/>
      <c r="Y2840" s="514"/>
      <c r="Z2840" s="514"/>
      <c r="AA2840" s="514"/>
      <c r="AB2840" s="514"/>
      <c r="AC2840" s="514"/>
      <c r="AD2840" s="514"/>
      <c r="AE2840" s="514"/>
      <c r="AF2840" s="514"/>
      <c r="AG2840" s="514"/>
      <c r="AH2840" s="514"/>
      <c r="AI2840" s="514"/>
      <c r="AJ2840" s="514"/>
      <c r="AK2840" s="514"/>
      <c r="AL2840" s="514"/>
      <c r="AM2840" s="514"/>
      <c r="AN2840" s="514"/>
      <c r="AO2840" s="514"/>
    </row>
    <row r="2841" spans="1:41" s="504" customFormat="1" ht="12" thickTop="1">
      <c r="A2841" s="50"/>
      <c r="B2841" s="40"/>
      <c r="C2841" s="50"/>
      <c r="E2841" s="41" t="s">
        <v>136</v>
      </c>
      <c r="F2841" s="41" t="s">
        <v>137</v>
      </c>
      <c r="G2841" s="50"/>
      <c r="H2841" s="50"/>
      <c r="I2841" s="50"/>
      <c r="J2841" s="50"/>
      <c r="K2841" s="50" t="s">
        <v>138</v>
      </c>
      <c r="L2841" s="50"/>
      <c r="M2841" s="50"/>
      <c r="N2841" s="50"/>
      <c r="O2841" s="51"/>
      <c r="P2841" s="50"/>
      <c r="Q2841" s="50"/>
      <c r="R2841" s="50"/>
      <c r="S2841" s="50"/>
      <c r="T2841" s="40"/>
      <c r="AG2841" s="867" t="s">
        <v>241</v>
      </c>
      <c r="AH2841" s="867" t="s">
        <v>242</v>
      </c>
      <c r="AI2841" s="867" t="s">
        <v>243</v>
      </c>
      <c r="AJ2841" s="867" t="s">
        <v>244</v>
      </c>
      <c r="AK2841" s="867" t="s">
        <v>245</v>
      </c>
      <c r="AM2841" s="868" t="s">
        <v>254</v>
      </c>
      <c r="AN2841" s="869" t="s">
        <v>255</v>
      </c>
      <c r="AO2841" s="505" t="s">
        <v>251</v>
      </c>
    </row>
    <row r="2842" spans="1:41" s="504" customFormat="1" ht="12" customHeight="1">
      <c r="A2842" s="870">
        <v>2</v>
      </c>
      <c r="B2842" s="871" t="s">
        <v>335</v>
      </c>
      <c r="C2842" s="872"/>
      <c r="D2842" s="873" t="s">
        <v>812</v>
      </c>
      <c r="E2842" s="874">
        <f>IF(AND($A2842=0,$A$1="DIF"),0, ROUND(ROUND(($R2849*$S$2+($T2849*$T$2))/A2842,2)*$C$2,2))</f>
        <v>13.69</v>
      </c>
      <c r="F2842" s="875">
        <f>ROUND($A2842*$E2842,2)</f>
        <v>27.38</v>
      </c>
      <c r="G2842" s="876" t="s">
        <v>139</v>
      </c>
      <c r="H2842" s="877"/>
      <c r="I2842" s="878"/>
      <c r="J2842" s="877"/>
      <c r="K2842" s="877" t="s">
        <v>3</v>
      </c>
      <c r="L2842" s="879" t="s">
        <v>140</v>
      </c>
      <c r="M2842" s="879"/>
      <c r="N2842" s="879"/>
      <c r="O2842" s="879"/>
      <c r="P2842" s="879"/>
      <c r="Q2842" s="50"/>
      <c r="T2842" s="880" t="str">
        <f>IF(AND($R2849=0,$T2849=0),"0.00","mu :" &amp; ROUND($F2842/$C$2/($R2849+$T2849*$D$9),2))</f>
        <v>mu :1.22</v>
      </c>
      <c r="W2842" s="507"/>
      <c r="AG2842" s="465">
        <f>IF($E2842=0,0,ROUND($R2849*$S$2*$C$2/$A2842,2))</f>
        <v>4.45</v>
      </c>
      <c r="AH2842" s="465">
        <f>$AG2842*$A2842</f>
        <v>8.9</v>
      </c>
      <c r="AI2842" s="508">
        <f>$E2842-$AG2842</f>
        <v>9.2399999999999984</v>
      </c>
      <c r="AJ2842" s="508">
        <f>$A2842*$AI2842</f>
        <v>18.479999999999997</v>
      </c>
      <c r="AK2842" s="509">
        <f>ROUND(($AG2842+$AI2842)*$A2842,2)</f>
        <v>27.38</v>
      </c>
      <c r="AM2842" s="510">
        <f>ROUND(R2849,2)</f>
        <v>7.3</v>
      </c>
      <c r="AN2842" s="511">
        <f>ROUND(T2849,2)</f>
        <v>0.53</v>
      </c>
      <c r="AO2842" s="512">
        <f>ROUND(AM2842+AN2842,2)*A2842</f>
        <v>15.66</v>
      </c>
    </row>
    <row r="2843" spans="1:41" s="504" customFormat="1" ht="13.2">
      <c r="A2843" s="872"/>
      <c r="B2843"/>
      <c r="C2843" s="872"/>
      <c r="D2843" s="873" t="s">
        <v>367</v>
      </c>
      <c r="F2843" s="877"/>
      <c r="G2843" s="3"/>
      <c r="H2843" s="877"/>
      <c r="I2843" s="878"/>
      <c r="J2843" s="877"/>
      <c r="K2843" s="877" t="s">
        <v>141</v>
      </c>
      <c r="L2843" s="877"/>
      <c r="M2843" s="877"/>
      <c r="N2843" s="877"/>
      <c r="O2843" s="877"/>
      <c r="P2843" s="877"/>
      <c r="Q2843" s="50"/>
      <c r="R2843" s="513"/>
      <c r="S2843" s="881"/>
      <c r="T2843" s="877"/>
    </row>
    <row r="2844" spans="1:41" s="504" customFormat="1" ht="13.2">
      <c r="A2844" s="112">
        <v>2</v>
      </c>
      <c r="B2844" s="1039" t="s">
        <v>949</v>
      </c>
      <c r="C2844" s="1039"/>
      <c r="D2844" s="1039" t="s">
        <v>1262</v>
      </c>
      <c r="E2844" s="1039" t="s">
        <v>1251</v>
      </c>
      <c r="F2844" s="1039" t="s">
        <v>1252</v>
      </c>
      <c r="G2844" s="1040" t="s">
        <v>1245</v>
      </c>
      <c r="H2844" s="1041">
        <v>510</v>
      </c>
      <c r="I2844" s="1039" t="s">
        <v>1246</v>
      </c>
      <c r="J2844" s="1039" t="s">
        <v>1247</v>
      </c>
      <c r="K2844" s="882"/>
      <c r="L2844" s="1039"/>
      <c r="M2844" s="1039"/>
      <c r="N2844" s="1039"/>
      <c r="O2844" s="1042">
        <v>2</v>
      </c>
      <c r="P2844" s="1043">
        <v>36880</v>
      </c>
      <c r="Q2844" s="1044">
        <v>0</v>
      </c>
      <c r="R2844" s="1072">
        <f>$A2844*Q2844</f>
        <v>0</v>
      </c>
      <c r="S2844" s="1044">
        <v>0.25</v>
      </c>
      <c r="T2844" s="1046">
        <f>$A2844*S2844*$T$1</f>
        <v>0.52500000000000002</v>
      </c>
    </row>
    <row r="2845" spans="1:41" s="504" customFormat="1" ht="13.2">
      <c r="A2845" s="112">
        <v>8</v>
      </c>
      <c r="B2845" s="1039" t="s">
        <v>949</v>
      </c>
      <c r="C2845" s="1039"/>
      <c r="D2845" s="1039" t="s">
        <v>965</v>
      </c>
      <c r="E2845" s="1039"/>
      <c r="F2845" s="1039"/>
      <c r="G2845" s="1040" t="s">
        <v>966</v>
      </c>
      <c r="H2845" s="1041">
        <v>875</v>
      </c>
      <c r="I2845" s="1039" t="s">
        <v>951</v>
      </c>
      <c r="J2845" s="1039"/>
      <c r="K2845" s="882"/>
      <c r="L2845" s="1039"/>
      <c r="M2845" s="1039"/>
      <c r="N2845" s="1039"/>
      <c r="O2845" s="1042">
        <v>1</v>
      </c>
      <c r="P2845" s="1043">
        <v>34669</v>
      </c>
      <c r="Q2845" s="1044">
        <v>0.02</v>
      </c>
      <c r="R2845" s="1072">
        <f>$A2845*Q2845</f>
        <v>0.16</v>
      </c>
      <c r="S2845" s="1044"/>
      <c r="T2845" s="1046">
        <f>$A2845*S2845*$T$1</f>
        <v>0</v>
      </c>
    </row>
    <row r="2846" spans="1:41" s="504" customFormat="1" ht="13.2">
      <c r="A2846" s="112">
        <v>8</v>
      </c>
      <c r="B2846" s="1039" t="s">
        <v>949</v>
      </c>
      <c r="C2846" s="1039"/>
      <c r="D2846" s="1039" t="s">
        <v>968</v>
      </c>
      <c r="E2846" s="1039"/>
      <c r="F2846" s="1039"/>
      <c r="G2846" s="1040" t="s">
        <v>969</v>
      </c>
      <c r="H2846" s="1041">
        <v>875</v>
      </c>
      <c r="I2846" s="1039" t="s">
        <v>951</v>
      </c>
      <c r="J2846" s="1039"/>
      <c r="K2846" s="882"/>
      <c r="L2846" s="1039"/>
      <c r="M2846" s="1039"/>
      <c r="N2846" s="1039"/>
      <c r="O2846" s="1042">
        <v>1</v>
      </c>
      <c r="P2846" s="1043">
        <v>34669</v>
      </c>
      <c r="Q2846" s="1044">
        <v>0.02</v>
      </c>
      <c r="R2846" s="1072">
        <f>$A2846*Q2846</f>
        <v>0.16</v>
      </c>
      <c r="S2846" s="1044"/>
      <c r="T2846" s="1046">
        <f>$A2846*S2846*$T$1</f>
        <v>0</v>
      </c>
    </row>
    <row r="2847" spans="1:41" s="504" customFormat="1" ht="13.2">
      <c r="A2847" s="112">
        <v>2</v>
      </c>
      <c r="B2847" s="1039" t="s">
        <v>949</v>
      </c>
      <c r="C2847" s="1039"/>
      <c r="D2847" s="1039" t="s">
        <v>961</v>
      </c>
      <c r="E2847" s="1039"/>
      <c r="F2847" s="1039"/>
      <c r="G2847" s="1040" t="s">
        <v>962</v>
      </c>
      <c r="H2847" s="1041">
        <v>875</v>
      </c>
      <c r="I2847" s="1039" t="s">
        <v>951</v>
      </c>
      <c r="J2847" s="1039"/>
      <c r="K2847" s="882"/>
      <c r="L2847" s="1039"/>
      <c r="M2847" s="1039"/>
      <c r="N2847" s="1039"/>
      <c r="O2847" s="1042">
        <v>3</v>
      </c>
      <c r="P2847" s="1043">
        <v>34820</v>
      </c>
      <c r="Q2847" s="1044">
        <v>3.49</v>
      </c>
      <c r="R2847" s="1072">
        <f>$A2847*Q2847</f>
        <v>6.98</v>
      </c>
      <c r="S2847" s="1044"/>
      <c r="T2847" s="1046">
        <f>$A2847*S2847*$T$1</f>
        <v>0</v>
      </c>
    </row>
    <row r="2848" spans="1:41" s="504" customFormat="1" ht="12">
      <c r="A2848" s="882"/>
      <c r="B2848" s="882"/>
      <c r="C2848" s="882"/>
      <c r="D2848" s="882"/>
      <c r="E2848" s="882"/>
      <c r="F2848" s="877"/>
      <c r="G2848" s="882"/>
      <c r="H2848" s="882"/>
      <c r="I2848" s="503"/>
      <c r="J2848" s="882"/>
      <c r="K2848" s="882"/>
      <c r="L2848" s="882"/>
      <c r="M2848" s="882"/>
      <c r="N2848" s="882"/>
      <c r="O2848" s="882"/>
      <c r="P2848" s="882"/>
      <c r="Q2848" s="503"/>
      <c r="R2848" s="883">
        <f>$A2848*Q2848</f>
        <v>0</v>
      </c>
      <c r="S2848" s="503"/>
      <c r="T2848" s="884">
        <f>$A2848*S2848*$T$1</f>
        <v>0</v>
      </c>
    </row>
    <row r="2849" spans="1:41" s="504" customFormat="1" ht="12.6" thickBot="1">
      <c r="A2849" s="885" t="s">
        <v>142</v>
      </c>
      <c r="B2849" s="886">
        <f>(R2848+T2848)</f>
        <v>0</v>
      </c>
      <c r="C2849" s="887"/>
      <c r="D2849" s="887"/>
      <c r="E2849" s="887"/>
      <c r="F2849" s="888"/>
      <c r="G2849" s="887" t="s">
        <v>143</v>
      </c>
      <c r="H2849" s="887"/>
      <c r="I2849" s="889"/>
      <c r="J2849" s="887"/>
      <c r="K2849" s="887" t="s">
        <v>3</v>
      </c>
      <c r="L2849" s="890" t="s">
        <v>140</v>
      </c>
      <c r="M2849" s="890"/>
      <c r="N2849" s="890"/>
      <c r="O2849" s="890"/>
      <c r="P2849" s="890"/>
      <c r="Q2849" s="891"/>
      <c r="R2849" s="892">
        <f>SUM(R2843:R2848)</f>
        <v>7.3000000000000007</v>
      </c>
      <c r="S2849" s="887"/>
      <c r="T2849" s="892">
        <f>SUM(T2843:T2848)</f>
        <v>0.52500000000000002</v>
      </c>
      <c r="U2849" s="514"/>
      <c r="V2849" s="514"/>
      <c r="W2849" s="514"/>
      <c r="X2849" s="514"/>
      <c r="Y2849" s="514"/>
      <c r="Z2849" s="514"/>
      <c r="AA2849" s="514"/>
      <c r="AB2849" s="514"/>
      <c r="AC2849" s="514"/>
      <c r="AD2849" s="514"/>
      <c r="AE2849" s="514"/>
      <c r="AF2849" s="514"/>
      <c r="AG2849" s="514"/>
      <c r="AH2849" s="514"/>
      <c r="AI2849" s="514"/>
      <c r="AJ2849" s="514"/>
      <c r="AK2849" s="514"/>
      <c r="AL2849" s="514"/>
      <c r="AM2849" s="514"/>
      <c r="AN2849" s="514"/>
      <c r="AO2849" s="514"/>
    </row>
    <row r="2850" spans="1:41" s="504" customFormat="1" thickTop="1">
      <c r="A2850" s="50"/>
      <c r="B2850" s="50"/>
      <c r="C2850" s="3"/>
      <c r="D2850" s="3"/>
      <c r="E2850" s="50"/>
      <c r="F2850" s="50"/>
      <c r="G2850" s="50"/>
      <c r="H2850" s="50"/>
      <c r="I2850" s="50"/>
      <c r="J2850" s="50"/>
      <c r="K2850" s="50" t="s">
        <v>133</v>
      </c>
      <c r="L2850" s="50"/>
      <c r="M2850" s="50"/>
      <c r="N2850" s="50"/>
      <c r="O2850" s="51"/>
      <c r="P2850" s="50"/>
      <c r="Q2850" s="50"/>
      <c r="R2850" s="50"/>
      <c r="S2850" s="50"/>
      <c r="T2850" s="50"/>
    </row>
    <row r="2851" spans="1:41" s="504" customFormat="1" ht="12">
      <c r="A2851" s="50"/>
      <c r="B2851" s="50"/>
      <c r="C2851" s="50" t="s">
        <v>134</v>
      </c>
      <c r="D2851" s="37"/>
      <c r="E2851" s="50"/>
      <c r="F2851" s="50"/>
      <c r="G2851" s="50"/>
      <c r="H2851" s="50"/>
      <c r="I2851" s="50"/>
      <c r="J2851" s="50"/>
      <c r="K2851" s="50"/>
      <c r="L2851" s="50"/>
      <c r="M2851" s="50"/>
      <c r="N2851" s="50"/>
      <c r="O2851" s="51"/>
      <c r="P2851" s="50"/>
      <c r="Q2851" s="50"/>
      <c r="R2851" s="50"/>
      <c r="S2851" s="50"/>
      <c r="T2851" s="50"/>
    </row>
    <row r="2852" spans="1:41" s="504" customFormat="1" ht="12">
      <c r="A2852" s="50"/>
      <c r="B2852" s="50"/>
      <c r="C2852" s="50"/>
      <c r="D2852" s="37" t="s">
        <v>305</v>
      </c>
      <c r="E2852" s="50"/>
      <c r="F2852" s="50"/>
      <c r="G2852" s="50"/>
      <c r="H2852" s="50"/>
      <c r="I2852" s="50"/>
      <c r="J2852" s="50"/>
      <c r="K2852" s="50"/>
      <c r="L2852" s="50"/>
      <c r="M2852" s="50"/>
      <c r="N2852" s="50"/>
      <c r="O2852" s="51"/>
      <c r="P2852" s="50"/>
      <c r="Q2852" s="50"/>
      <c r="R2852" s="50"/>
      <c r="S2852" s="38"/>
      <c r="T2852" s="38"/>
    </row>
    <row r="2853" spans="1:41" s="3" customFormat="1" thickBot="1">
      <c r="A2853" s="514"/>
      <c r="O2853" s="103"/>
    </row>
    <row r="2854" spans="1:41" s="504" customFormat="1" thickTop="1">
      <c r="A2854" s="50"/>
      <c r="B2854" s="50"/>
      <c r="C2854" s="3"/>
      <c r="D2854" s="3"/>
      <c r="E2854" s="50"/>
      <c r="F2854" s="50"/>
      <c r="G2854" s="50"/>
      <c r="H2854" s="50"/>
      <c r="I2854" s="50"/>
      <c r="J2854" s="50"/>
      <c r="K2854" s="50" t="s">
        <v>133</v>
      </c>
      <c r="L2854" s="50"/>
      <c r="M2854" s="50"/>
      <c r="N2854" s="50"/>
      <c r="O2854" s="51"/>
      <c r="P2854" s="50"/>
      <c r="Q2854" s="50"/>
      <c r="R2854" s="50"/>
      <c r="S2854" s="50"/>
      <c r="T2854" s="50"/>
    </row>
    <row r="2855" spans="1:41" s="504" customFormat="1" ht="12">
      <c r="A2855" s="50"/>
      <c r="B2855" s="50"/>
      <c r="C2855" s="50" t="s">
        <v>134</v>
      </c>
      <c r="D2855" s="37" t="s">
        <v>885</v>
      </c>
      <c r="E2855" s="50"/>
      <c r="F2855" s="50"/>
      <c r="G2855" s="50"/>
      <c r="H2855" s="50"/>
      <c r="I2855" s="50"/>
      <c r="J2855" s="50"/>
      <c r="K2855" s="50"/>
      <c r="L2855" s="50"/>
      <c r="M2855" s="50"/>
      <c r="N2855" s="50"/>
      <c r="O2855" s="51"/>
      <c r="P2855" s="50"/>
      <c r="Q2855" s="50"/>
      <c r="R2855" s="50"/>
      <c r="S2855" s="50"/>
      <c r="T2855" s="50"/>
    </row>
    <row r="2856" spans="1:41" s="504" customFormat="1" ht="13.2">
      <c r="A2856" s="872"/>
      <c r="B2856"/>
      <c r="C2856" s="872"/>
      <c r="D2856" s="916" t="s">
        <v>687</v>
      </c>
      <c r="E2856" s="917"/>
      <c r="F2856" s="918"/>
      <c r="G2856" s="919"/>
      <c r="H2856" s="918"/>
      <c r="I2856" s="920"/>
      <c r="J2856" s="918"/>
      <c r="K2856" s="918"/>
      <c r="L2856" s="918"/>
      <c r="M2856" s="918"/>
      <c r="N2856" s="918"/>
      <c r="O2856" s="918"/>
      <c r="P2856" s="918"/>
      <c r="Q2856" s="921"/>
      <c r="R2856" s="513"/>
      <c r="S2856" s="881"/>
      <c r="T2856" s="877"/>
    </row>
    <row r="2857" spans="1:41" s="3" customFormat="1" thickBot="1">
      <c r="A2857" s="514"/>
      <c r="O2857" s="103"/>
    </row>
    <row r="2858" spans="1:41" s="504" customFormat="1" ht="12" thickTop="1">
      <c r="A2858" s="50"/>
      <c r="B2858" s="40"/>
      <c r="C2858" s="50"/>
      <c r="E2858" s="41" t="s">
        <v>136</v>
      </c>
      <c r="F2858" s="41" t="s">
        <v>137</v>
      </c>
      <c r="G2858" s="50"/>
      <c r="H2858" s="50"/>
      <c r="I2858" s="50"/>
      <c r="J2858" s="50"/>
      <c r="K2858" s="50" t="s">
        <v>138</v>
      </c>
      <c r="L2858" s="50"/>
      <c r="M2858" s="50"/>
      <c r="N2858" s="50"/>
      <c r="O2858" s="51"/>
      <c r="P2858" s="50"/>
      <c r="Q2858" s="50"/>
      <c r="R2858" s="50"/>
      <c r="S2858" s="50"/>
      <c r="T2858" s="40"/>
      <c r="AG2858" s="867" t="s">
        <v>241</v>
      </c>
      <c r="AH2858" s="867" t="s">
        <v>242</v>
      </c>
      <c r="AI2858" s="867" t="s">
        <v>243</v>
      </c>
      <c r="AJ2858" s="867" t="s">
        <v>244</v>
      </c>
      <c r="AK2858" s="867" t="s">
        <v>245</v>
      </c>
      <c r="AM2858" s="868" t="s">
        <v>254</v>
      </c>
      <c r="AN2858" s="869" t="s">
        <v>255</v>
      </c>
      <c r="AO2858" s="505" t="s">
        <v>251</v>
      </c>
    </row>
    <row r="2859" spans="1:41" s="504" customFormat="1" ht="12" customHeight="1">
      <c r="A2859" s="870">
        <v>10</v>
      </c>
      <c r="B2859" s="871" t="s">
        <v>306</v>
      </c>
      <c r="C2859" s="872"/>
      <c r="D2859" s="873" t="s">
        <v>804</v>
      </c>
      <c r="E2859" s="874">
        <f ca="1">IF(AND($A2859=0,$A$1="DIF"),0, ROUND(ROUND(($R2864*$S$2+($T2864*$T$2))/A2859,2)*$C$2,2))</f>
        <v>6.75</v>
      </c>
      <c r="F2859" s="875">
        <f ca="1">ROUND($A2859*$E2859,2)</f>
        <v>67.5</v>
      </c>
      <c r="G2859" s="876" t="s">
        <v>139</v>
      </c>
      <c r="H2859" s="877"/>
      <c r="I2859" s="878"/>
      <c r="J2859" s="877"/>
      <c r="K2859" s="877" t="s">
        <v>3</v>
      </c>
      <c r="L2859" s="879" t="s">
        <v>140</v>
      </c>
      <c r="M2859" s="879"/>
      <c r="N2859" s="879"/>
      <c r="O2859" s="879"/>
      <c r="P2859" s="879"/>
      <c r="Q2859" s="50"/>
      <c r="T2859" s="880" t="str">
        <f ca="1">IF(AND($R2864=0,$T2864=0),"0.00","mu :" &amp; ROUND($F2859/$C$2/($R2864+$T2864*$D$9),2))</f>
        <v>mu :1.22</v>
      </c>
      <c r="W2859" s="507"/>
      <c r="AG2859" s="465">
        <f ca="1">IF($E2859=0,0,ROUND($R2864*$S$2*$C$2/$A2859,2))</f>
        <v>2.5299999999999998</v>
      </c>
      <c r="AH2859" s="465">
        <f ca="1">$AG2859*$A2859</f>
        <v>25.299999999999997</v>
      </c>
      <c r="AI2859" s="508">
        <f ca="1">$E2859-$AG2859</f>
        <v>4.2200000000000006</v>
      </c>
      <c r="AJ2859" s="508">
        <f ca="1">$A2859*$AI2859</f>
        <v>42.2</v>
      </c>
      <c r="AK2859" s="509">
        <f ca="1">ROUND(($AG2859+$AI2859)*$A2859,2)</f>
        <v>67.5</v>
      </c>
      <c r="AM2859" s="510">
        <f ca="1">ROUND(R2864,2)</f>
        <v>20.7</v>
      </c>
      <c r="AN2859" s="511">
        <f ca="1">ROUND(T2864,2)</f>
        <v>1.2</v>
      </c>
      <c r="AO2859" s="512">
        <f ca="1">ROUND(AM2859+AN2859,2)*A2859</f>
        <v>219</v>
      </c>
    </row>
    <row r="2860" spans="1:41" s="504" customFormat="1" ht="13.2">
      <c r="A2860" s="872"/>
      <c r="B2860"/>
      <c r="C2860" s="872"/>
      <c r="D2860" s="873" t="s">
        <v>798</v>
      </c>
      <c r="F2860" s="877"/>
      <c r="G2860" s="3"/>
      <c r="H2860" s="877"/>
      <c r="I2860" s="878"/>
      <c r="J2860" s="877"/>
      <c r="K2860" s="877" t="s">
        <v>141</v>
      </c>
      <c r="L2860" s="877"/>
      <c r="M2860" s="877"/>
      <c r="N2860" s="877"/>
      <c r="O2860" s="877"/>
      <c r="P2860" s="877"/>
      <c r="Q2860" s="50"/>
      <c r="R2860" s="513"/>
      <c r="S2860" s="881"/>
      <c r="T2860" s="877"/>
    </row>
    <row r="2861" spans="1:41" s="997" customFormat="1" ht="13.2">
      <c r="A2861"/>
      <c r="B2861" s="1065"/>
      <c r="C2861" s="1065" t="s">
        <v>1006</v>
      </c>
      <c r="D2861" s="1065" t="str">
        <f ca="1">CELL("Address",Elec_Rates!D$95)</f>
        <v>[EL25_0662B_Brittania_Hotel_Elec_Revised_Estim_B.xlsx]Elec_Rates!$D$95</v>
      </c>
      <c r="E2861" s="1066"/>
      <c r="F2861" s="1066"/>
      <c r="G2861" s="1067" t="s">
        <v>1007</v>
      </c>
      <c r="H2861" s="1067"/>
      <c r="I2861" s="1067"/>
      <c r="J2861" s="1067"/>
      <c r="K2861" s="1068"/>
      <c r="L2861" s="1066"/>
      <c r="M2861" s="1066"/>
      <c r="N2861" s="1066"/>
      <c r="O2861" s="1069"/>
      <c r="P2861" s="1066"/>
      <c r="Q2861" s="1070"/>
      <c r="R2861" s="1071"/>
      <c r="S2861" s="1070"/>
      <c r="T2861" s="1072"/>
      <c r="U2861" s="1073"/>
    </row>
    <row r="2862" spans="1:41" s="997" customFormat="1" ht="11.4">
      <c r="A2862" s="1074">
        <v>10</v>
      </c>
      <c r="B2862" s="1075">
        <v>1</v>
      </c>
      <c r="C2862" s="1075">
        <f>$A2862*$B2862</f>
        <v>10</v>
      </c>
      <c r="D2862" s="1076" t="str">
        <f>Elec_Rates!$D$95</f>
        <v>009# 3 core x 4.0 mm2 FG16(O)M16 Cable</v>
      </c>
      <c r="E2862" s="1076"/>
      <c r="F2862" s="1076"/>
      <c r="G2862" s="1077" t="s">
        <v>1008</v>
      </c>
      <c r="H2862" s="1077"/>
      <c r="I2862" s="1077"/>
      <c r="J2862" s="1077"/>
      <c r="K2862" s="1078"/>
      <c r="L2862" s="1073"/>
      <c r="M2862" s="1073"/>
      <c r="N2862" s="1073"/>
      <c r="O2862" s="1079"/>
      <c r="P2862" s="1076"/>
      <c r="Q2862" s="1080">
        <f ca="1">$B2862*Elec_Rates!$R$95</f>
        <v>2.0699999999999998</v>
      </c>
      <c r="R2862" s="1071">
        <f ca="1">$A2862*Q2862</f>
        <v>20.7</v>
      </c>
      <c r="S2862" s="1080">
        <f ca="1">$B2862*Elec_Rates!$T$95</f>
        <v>0.12</v>
      </c>
      <c r="T2862" s="1072">
        <f ca="1">$A2862*S2862</f>
        <v>1.2</v>
      </c>
      <c r="U2862" s="1081"/>
    </row>
    <row r="2863" spans="1:41" s="504" customFormat="1" ht="12">
      <c r="A2863" s="882"/>
      <c r="B2863" s="882"/>
      <c r="C2863" s="882"/>
      <c r="D2863" s="882"/>
      <c r="E2863" s="882"/>
      <c r="F2863" s="877"/>
      <c r="G2863" s="882"/>
      <c r="H2863" s="882"/>
      <c r="I2863" s="503"/>
      <c r="J2863" s="882"/>
      <c r="K2863" s="882"/>
      <c r="L2863" s="882"/>
      <c r="M2863" s="882"/>
      <c r="N2863" s="882"/>
      <c r="O2863" s="882"/>
      <c r="P2863" s="882"/>
      <c r="Q2863" s="503"/>
      <c r="R2863" s="883">
        <f>$A2863*Q2863</f>
        <v>0</v>
      </c>
      <c r="S2863" s="503"/>
      <c r="T2863" s="884">
        <f>$A2863*S2863*$T$1</f>
        <v>0</v>
      </c>
    </row>
    <row r="2864" spans="1:41" s="504" customFormat="1" ht="12.6" thickBot="1">
      <c r="A2864" s="885" t="s">
        <v>142</v>
      </c>
      <c r="B2864" s="886">
        <f>(R2863+T2863)</f>
        <v>0</v>
      </c>
      <c r="C2864" s="887"/>
      <c r="D2864" s="887"/>
      <c r="E2864" s="887"/>
      <c r="F2864" s="888"/>
      <c r="G2864" s="887" t="s">
        <v>143</v>
      </c>
      <c r="H2864" s="887"/>
      <c r="I2864" s="889"/>
      <c r="J2864" s="887"/>
      <c r="K2864" s="887" t="s">
        <v>3</v>
      </c>
      <c r="L2864" s="890" t="s">
        <v>140</v>
      </c>
      <c r="M2864" s="890"/>
      <c r="N2864" s="890"/>
      <c r="O2864" s="890"/>
      <c r="P2864" s="890"/>
      <c r="Q2864" s="891"/>
      <c r="R2864" s="892">
        <f ca="1">SUM(R2860:R2863)</f>
        <v>20.7</v>
      </c>
      <c r="S2864" s="887"/>
      <c r="T2864" s="892">
        <f ca="1">SUM(T2860:T2863)</f>
        <v>1.2</v>
      </c>
      <c r="U2864" s="514"/>
      <c r="V2864" s="514"/>
      <c r="W2864" s="514"/>
      <c r="X2864" s="514"/>
      <c r="Y2864" s="514"/>
      <c r="Z2864" s="514"/>
      <c r="AA2864" s="514"/>
      <c r="AB2864" s="514"/>
      <c r="AC2864" s="514"/>
      <c r="AD2864" s="514"/>
      <c r="AE2864" s="514"/>
      <c r="AF2864" s="514"/>
      <c r="AG2864" s="514"/>
      <c r="AH2864" s="514"/>
      <c r="AI2864" s="514"/>
      <c r="AJ2864" s="514"/>
      <c r="AK2864" s="514"/>
      <c r="AL2864" s="514"/>
      <c r="AM2864" s="514"/>
      <c r="AN2864" s="514"/>
      <c r="AO2864" s="514"/>
    </row>
    <row r="2865" spans="1:41" s="504" customFormat="1" ht="12" thickTop="1">
      <c r="A2865" s="50"/>
      <c r="B2865" s="40"/>
      <c r="C2865" s="50"/>
      <c r="E2865" s="41" t="s">
        <v>136</v>
      </c>
      <c r="F2865" s="41" t="s">
        <v>137</v>
      </c>
      <c r="G2865" s="50"/>
      <c r="H2865" s="50"/>
      <c r="I2865" s="50"/>
      <c r="J2865" s="50"/>
      <c r="K2865" s="50" t="s">
        <v>138</v>
      </c>
      <c r="L2865" s="50"/>
      <c r="M2865" s="50"/>
      <c r="N2865" s="50"/>
      <c r="O2865" s="51"/>
      <c r="P2865" s="50"/>
      <c r="Q2865" s="50"/>
      <c r="R2865" s="50"/>
      <c r="S2865" s="50"/>
      <c r="T2865" s="40"/>
      <c r="AG2865" s="867" t="s">
        <v>241</v>
      </c>
      <c r="AH2865" s="867" t="s">
        <v>242</v>
      </c>
      <c r="AI2865" s="867" t="s">
        <v>243</v>
      </c>
      <c r="AJ2865" s="867" t="s">
        <v>244</v>
      </c>
      <c r="AK2865" s="867" t="s">
        <v>245</v>
      </c>
      <c r="AM2865" s="868" t="s">
        <v>254</v>
      </c>
      <c r="AN2865" s="869" t="s">
        <v>255</v>
      </c>
      <c r="AO2865" s="505" t="s">
        <v>251</v>
      </c>
    </row>
    <row r="2866" spans="1:41" s="504" customFormat="1" ht="12" customHeight="1">
      <c r="A2866" s="870">
        <v>14</v>
      </c>
      <c r="B2866" s="871" t="s">
        <v>306</v>
      </c>
      <c r="C2866" s="872"/>
      <c r="D2866" s="873" t="s">
        <v>806</v>
      </c>
      <c r="E2866" s="874">
        <f ca="1">IF(AND($A2866=0,$A$1="DIF"),0, ROUND(ROUND(($R2871*$S$2+($T2871*$T$2))/A2866,2)*$C$2,2))</f>
        <v>6.75</v>
      </c>
      <c r="F2866" s="875">
        <f ca="1">ROUND($A2866*$E2866,2)</f>
        <v>94.5</v>
      </c>
      <c r="G2866" s="876" t="s">
        <v>139</v>
      </c>
      <c r="H2866" s="877"/>
      <c r="I2866" s="878"/>
      <c r="J2866" s="877"/>
      <c r="K2866" s="877" t="s">
        <v>3</v>
      </c>
      <c r="L2866" s="879" t="s">
        <v>140</v>
      </c>
      <c r="M2866" s="879"/>
      <c r="N2866" s="879"/>
      <c r="O2866" s="879"/>
      <c r="P2866" s="879"/>
      <c r="Q2866" s="50"/>
      <c r="T2866" s="880" t="str">
        <f ca="1">IF(AND($R2871=0,$T2871=0),"0.00","mu :" &amp; ROUND($F2866/$C$2/($R2871+$T2871*$D$9),2))</f>
        <v>mu :1.22</v>
      </c>
      <c r="W2866" s="507"/>
      <c r="AG2866" s="465">
        <f ca="1">IF($E2866=0,0,ROUND($R2871*$S$2*$C$2/$A2866,2))</f>
        <v>2.5299999999999998</v>
      </c>
      <c r="AH2866" s="465">
        <f ca="1">$AG2866*$A2866</f>
        <v>35.419999999999995</v>
      </c>
      <c r="AI2866" s="508">
        <f ca="1">$E2866-$AG2866</f>
        <v>4.2200000000000006</v>
      </c>
      <c r="AJ2866" s="508">
        <f ca="1">$A2866*$AI2866</f>
        <v>59.080000000000013</v>
      </c>
      <c r="AK2866" s="509">
        <f ca="1">ROUND(($AG2866+$AI2866)*$A2866,2)</f>
        <v>94.5</v>
      </c>
      <c r="AM2866" s="510">
        <f ca="1">ROUND(R2871,2)</f>
        <v>28.98</v>
      </c>
      <c r="AN2866" s="511">
        <f ca="1">ROUND(T2871,2)</f>
        <v>1.68</v>
      </c>
      <c r="AO2866" s="512">
        <f ca="1">ROUND(AM2866+AN2866,2)*A2866</f>
        <v>429.24</v>
      </c>
    </row>
    <row r="2867" spans="1:41" s="504" customFormat="1" ht="13.2">
      <c r="A2867" s="872"/>
      <c r="B2867"/>
      <c r="C2867" s="872"/>
      <c r="D2867" s="873" t="s">
        <v>799</v>
      </c>
      <c r="F2867" s="877"/>
      <c r="G2867" s="3"/>
      <c r="H2867" s="877"/>
      <c r="I2867" s="878"/>
      <c r="J2867" s="877"/>
      <c r="K2867" s="877" t="s">
        <v>141</v>
      </c>
      <c r="L2867" s="877"/>
      <c r="M2867" s="877"/>
      <c r="N2867" s="877"/>
      <c r="O2867" s="877"/>
      <c r="P2867" s="877"/>
      <c r="Q2867" s="50"/>
      <c r="R2867" s="513"/>
      <c r="S2867" s="881"/>
      <c r="T2867" s="877"/>
    </row>
    <row r="2868" spans="1:41" s="997" customFormat="1" ht="13.2">
      <c r="A2868"/>
      <c r="B2868" s="1065"/>
      <c r="C2868" s="1065" t="s">
        <v>1006</v>
      </c>
      <c r="D2868" s="1065" t="str">
        <f ca="1">CELL("Address",Elec_Rates!D$95)</f>
        <v>[EL25_0662B_Brittania_Hotel_Elec_Revised_Estim_B.xlsx]Elec_Rates!$D$95</v>
      </c>
      <c r="E2868" s="1066"/>
      <c r="F2868" s="1066"/>
      <c r="G2868" s="1067" t="s">
        <v>1007</v>
      </c>
      <c r="H2868" s="1067"/>
      <c r="I2868" s="1067"/>
      <c r="J2868" s="1067"/>
      <c r="K2868" s="1068"/>
      <c r="L2868" s="1066"/>
      <c r="M2868" s="1066"/>
      <c r="N2868" s="1066"/>
      <c r="O2868" s="1069"/>
      <c r="P2868" s="1066"/>
      <c r="Q2868" s="1070"/>
      <c r="R2868" s="1071"/>
      <c r="S2868" s="1070"/>
      <c r="T2868" s="1072"/>
      <c r="U2868" s="1073"/>
    </row>
    <row r="2869" spans="1:41" s="997" customFormat="1" ht="11.4">
      <c r="A2869" s="1074">
        <v>14</v>
      </c>
      <c r="B2869" s="1075">
        <v>1</v>
      </c>
      <c r="C2869" s="1075">
        <f>$A2869*$B2869</f>
        <v>14</v>
      </c>
      <c r="D2869" s="1076" t="str">
        <f>Elec_Rates!$D$95</f>
        <v>009# 3 core x 4.0 mm2 FG16(O)M16 Cable</v>
      </c>
      <c r="E2869" s="1076"/>
      <c r="F2869" s="1076"/>
      <c r="G2869" s="1077" t="s">
        <v>1008</v>
      </c>
      <c r="H2869" s="1077"/>
      <c r="I2869" s="1077"/>
      <c r="J2869" s="1077"/>
      <c r="K2869" s="1078"/>
      <c r="L2869" s="1073"/>
      <c r="M2869" s="1073"/>
      <c r="N2869" s="1073"/>
      <c r="O2869" s="1079"/>
      <c r="P2869" s="1076"/>
      <c r="Q2869" s="1080">
        <f ca="1">$B2869*Elec_Rates!$R$95</f>
        <v>2.0699999999999998</v>
      </c>
      <c r="R2869" s="1071">
        <f ca="1">$A2869*Q2869</f>
        <v>28.979999999999997</v>
      </c>
      <c r="S2869" s="1080">
        <f ca="1">$B2869*Elec_Rates!$T$95</f>
        <v>0.12</v>
      </c>
      <c r="T2869" s="1072">
        <f ca="1">$A2869*S2869</f>
        <v>1.68</v>
      </c>
      <c r="U2869" s="1081"/>
    </row>
    <row r="2870" spans="1:41" s="504" customFormat="1" ht="12">
      <c r="A2870" s="882"/>
      <c r="B2870" s="882"/>
      <c r="C2870" s="882"/>
      <c r="D2870" s="882"/>
      <c r="E2870" s="882"/>
      <c r="F2870" s="877"/>
      <c r="G2870" s="882"/>
      <c r="H2870" s="882"/>
      <c r="I2870" s="503"/>
      <c r="J2870" s="882"/>
      <c r="K2870" s="882"/>
      <c r="L2870" s="882"/>
      <c r="M2870" s="882"/>
      <c r="N2870" s="882"/>
      <c r="O2870" s="882"/>
      <c r="P2870" s="882"/>
      <c r="Q2870" s="503"/>
      <c r="R2870" s="883">
        <f>$A2870*Q2870</f>
        <v>0</v>
      </c>
      <c r="S2870" s="503"/>
      <c r="T2870" s="884">
        <f>$A2870*S2870*$T$1</f>
        <v>0</v>
      </c>
    </row>
    <row r="2871" spans="1:41" s="504" customFormat="1" ht="12.6" thickBot="1">
      <c r="A2871" s="885" t="s">
        <v>142</v>
      </c>
      <c r="B2871" s="886">
        <f>(R2870+T2870)</f>
        <v>0</v>
      </c>
      <c r="C2871" s="887"/>
      <c r="D2871" s="887"/>
      <c r="E2871" s="887"/>
      <c r="F2871" s="888"/>
      <c r="G2871" s="887" t="s">
        <v>143</v>
      </c>
      <c r="H2871" s="887"/>
      <c r="I2871" s="889"/>
      <c r="J2871" s="887"/>
      <c r="K2871" s="887" t="s">
        <v>3</v>
      </c>
      <c r="L2871" s="890" t="s">
        <v>140</v>
      </c>
      <c r="M2871" s="890"/>
      <c r="N2871" s="890"/>
      <c r="O2871" s="890"/>
      <c r="P2871" s="890"/>
      <c r="Q2871" s="891"/>
      <c r="R2871" s="892">
        <f ca="1">SUM(R2867:R2870)</f>
        <v>28.979999999999997</v>
      </c>
      <c r="S2871" s="887"/>
      <c r="T2871" s="892">
        <f ca="1">SUM(T2867:T2870)</f>
        <v>1.68</v>
      </c>
      <c r="U2871" s="514"/>
      <c r="V2871" s="514"/>
      <c r="W2871" s="514"/>
      <c r="X2871" s="514"/>
      <c r="Y2871" s="514"/>
      <c r="Z2871" s="514"/>
      <c r="AA2871" s="514"/>
      <c r="AB2871" s="514"/>
      <c r="AC2871" s="514"/>
      <c r="AD2871" s="514"/>
      <c r="AE2871" s="514"/>
      <c r="AF2871" s="514"/>
      <c r="AG2871" s="514"/>
      <c r="AH2871" s="514"/>
      <c r="AI2871" s="514"/>
      <c r="AJ2871" s="514"/>
      <c r="AK2871" s="514"/>
      <c r="AL2871" s="514"/>
      <c r="AM2871" s="514"/>
      <c r="AN2871" s="514"/>
      <c r="AO2871" s="514"/>
    </row>
    <row r="2872" spans="1:41" s="504" customFormat="1" ht="12" thickTop="1">
      <c r="A2872" s="50"/>
      <c r="B2872" s="40"/>
      <c r="C2872" s="50"/>
      <c r="E2872" s="41" t="s">
        <v>136</v>
      </c>
      <c r="F2872" s="41" t="s">
        <v>137</v>
      </c>
      <c r="G2872" s="50"/>
      <c r="H2872" s="50"/>
      <c r="I2872" s="50"/>
      <c r="J2872" s="50"/>
      <c r="K2872" s="50" t="s">
        <v>138</v>
      </c>
      <c r="L2872" s="50"/>
      <c r="M2872" s="50"/>
      <c r="N2872" s="50"/>
      <c r="O2872" s="51"/>
      <c r="P2872" s="50"/>
      <c r="Q2872" s="50"/>
      <c r="R2872" s="50"/>
      <c r="S2872" s="50"/>
      <c r="T2872" s="40"/>
      <c r="AG2872" s="867" t="s">
        <v>241</v>
      </c>
      <c r="AH2872" s="867" t="s">
        <v>242</v>
      </c>
      <c r="AI2872" s="867" t="s">
        <v>243</v>
      </c>
      <c r="AJ2872" s="867" t="s">
        <v>244</v>
      </c>
      <c r="AK2872" s="867" t="s">
        <v>245</v>
      </c>
      <c r="AM2872" s="868" t="s">
        <v>254</v>
      </c>
      <c r="AN2872" s="869" t="s">
        <v>255</v>
      </c>
      <c r="AO2872" s="505" t="s">
        <v>251</v>
      </c>
    </row>
    <row r="2873" spans="1:41" s="504" customFormat="1" ht="12" customHeight="1">
      <c r="A2873" s="870">
        <v>17</v>
      </c>
      <c r="B2873" s="871" t="s">
        <v>306</v>
      </c>
      <c r="C2873" s="872"/>
      <c r="D2873" s="873" t="s">
        <v>808</v>
      </c>
      <c r="E2873" s="874">
        <f ca="1">IF(AND($A2873=0,$A$1="DIF"),0, ROUND(ROUND(($R2878*$S$2+($T2878*$T$2))/A2873,2)*$C$2,2))</f>
        <v>6.75</v>
      </c>
      <c r="F2873" s="875">
        <f ca="1">ROUND($A2873*$E2873,2)</f>
        <v>114.75</v>
      </c>
      <c r="G2873" s="876" t="s">
        <v>139</v>
      </c>
      <c r="H2873" s="877"/>
      <c r="I2873" s="878"/>
      <c r="J2873" s="877"/>
      <c r="K2873" s="877" t="s">
        <v>3</v>
      </c>
      <c r="L2873" s="879" t="s">
        <v>140</v>
      </c>
      <c r="M2873" s="879"/>
      <c r="N2873" s="879"/>
      <c r="O2873" s="879"/>
      <c r="P2873" s="879"/>
      <c r="Q2873" s="50"/>
      <c r="T2873" s="880" t="str">
        <f ca="1">IF(AND($R2878=0,$T2878=0),"0.00","mu :" &amp; ROUND($F2873/$C$2/($R2878+$T2878*$D$9),2))</f>
        <v>mu :1.22</v>
      </c>
      <c r="W2873" s="507"/>
      <c r="AG2873" s="465">
        <f ca="1">IF($E2873=0,0,ROUND($R2878*$S$2*$C$2/$A2873,2))</f>
        <v>2.5299999999999998</v>
      </c>
      <c r="AH2873" s="465">
        <f ca="1">$AG2873*$A2873</f>
        <v>43.01</v>
      </c>
      <c r="AI2873" s="508">
        <f ca="1">$E2873-$AG2873</f>
        <v>4.2200000000000006</v>
      </c>
      <c r="AJ2873" s="508">
        <f ca="1">$A2873*$AI2873</f>
        <v>71.740000000000009</v>
      </c>
      <c r="AK2873" s="509">
        <f ca="1">ROUND(($AG2873+$AI2873)*$A2873,2)</f>
        <v>114.75</v>
      </c>
      <c r="AM2873" s="510">
        <f ca="1">ROUND(R2878,2)</f>
        <v>35.19</v>
      </c>
      <c r="AN2873" s="511">
        <f ca="1">ROUND(T2878,2)</f>
        <v>2.04</v>
      </c>
      <c r="AO2873" s="512">
        <f ca="1">ROUND(AM2873+AN2873,2)*A2873</f>
        <v>632.91</v>
      </c>
    </row>
    <row r="2874" spans="1:41" s="504" customFormat="1" ht="13.2">
      <c r="A2874" s="872"/>
      <c r="B2874"/>
      <c r="C2874" s="872"/>
      <c r="D2874" s="873" t="s">
        <v>800</v>
      </c>
      <c r="F2874" s="877"/>
      <c r="G2874" s="3"/>
      <c r="H2874" s="877"/>
      <c r="I2874" s="878"/>
      <c r="J2874" s="877"/>
      <c r="K2874" s="877" t="s">
        <v>141</v>
      </c>
      <c r="L2874" s="877"/>
      <c r="M2874" s="877"/>
      <c r="N2874" s="877"/>
      <c r="O2874" s="877"/>
      <c r="P2874" s="877"/>
      <c r="Q2874" s="50"/>
      <c r="R2874" s="513"/>
      <c r="S2874" s="881"/>
      <c r="T2874" s="877"/>
    </row>
    <row r="2875" spans="1:41" s="997" customFormat="1" ht="13.2">
      <c r="A2875"/>
      <c r="B2875" s="1065"/>
      <c r="C2875" s="1065" t="s">
        <v>1006</v>
      </c>
      <c r="D2875" s="1065" t="str">
        <f ca="1">CELL("Address",Elec_Rates!D$95)</f>
        <v>[EL25_0662B_Brittania_Hotel_Elec_Revised_Estim_B.xlsx]Elec_Rates!$D$95</v>
      </c>
      <c r="E2875" s="1066"/>
      <c r="F2875" s="1066"/>
      <c r="G2875" s="1067" t="s">
        <v>1007</v>
      </c>
      <c r="H2875" s="1067"/>
      <c r="I2875" s="1067"/>
      <c r="J2875" s="1067"/>
      <c r="K2875" s="1068"/>
      <c r="L2875" s="1066"/>
      <c r="M2875" s="1066"/>
      <c r="N2875" s="1066"/>
      <c r="O2875" s="1069"/>
      <c r="P2875" s="1066"/>
      <c r="Q2875" s="1070"/>
      <c r="R2875" s="1071"/>
      <c r="S2875" s="1070"/>
      <c r="T2875" s="1072"/>
      <c r="U2875" s="1073"/>
    </row>
    <row r="2876" spans="1:41" s="997" customFormat="1" ht="11.4">
      <c r="A2876" s="1074">
        <v>17</v>
      </c>
      <c r="B2876" s="1075">
        <v>1</v>
      </c>
      <c r="C2876" s="1075">
        <f>$A2876*$B2876</f>
        <v>17</v>
      </c>
      <c r="D2876" s="1076" t="str">
        <f>Elec_Rates!$D$95</f>
        <v>009# 3 core x 4.0 mm2 FG16(O)M16 Cable</v>
      </c>
      <c r="E2876" s="1076"/>
      <c r="F2876" s="1076"/>
      <c r="G2876" s="1077" t="s">
        <v>1008</v>
      </c>
      <c r="H2876" s="1077"/>
      <c r="I2876" s="1077"/>
      <c r="J2876" s="1077"/>
      <c r="K2876" s="1078"/>
      <c r="L2876" s="1073"/>
      <c r="M2876" s="1073"/>
      <c r="N2876" s="1073"/>
      <c r="O2876" s="1079"/>
      <c r="P2876" s="1076"/>
      <c r="Q2876" s="1080">
        <f ca="1">$B2876*Elec_Rates!$R$95</f>
        <v>2.0699999999999998</v>
      </c>
      <c r="R2876" s="1071">
        <f ca="1">$A2876*Q2876</f>
        <v>35.19</v>
      </c>
      <c r="S2876" s="1080">
        <f ca="1">$B2876*Elec_Rates!$T$95</f>
        <v>0.12</v>
      </c>
      <c r="T2876" s="1072">
        <f ca="1">$A2876*S2876</f>
        <v>2.04</v>
      </c>
      <c r="U2876" s="1081"/>
    </row>
    <row r="2877" spans="1:41" s="504" customFormat="1" ht="12">
      <c r="A2877" s="882"/>
      <c r="B2877" s="882"/>
      <c r="C2877" s="882"/>
      <c r="D2877" s="882"/>
      <c r="E2877" s="882"/>
      <c r="F2877" s="877"/>
      <c r="G2877" s="882"/>
      <c r="H2877" s="882"/>
      <c r="I2877" s="503"/>
      <c r="J2877" s="882"/>
      <c r="K2877" s="882"/>
      <c r="L2877" s="882"/>
      <c r="M2877" s="882"/>
      <c r="N2877" s="882"/>
      <c r="O2877" s="882"/>
      <c r="P2877" s="882"/>
      <c r="Q2877" s="503"/>
      <c r="R2877" s="883">
        <f>$A2877*Q2877</f>
        <v>0</v>
      </c>
      <c r="S2877" s="503"/>
      <c r="T2877" s="884">
        <f>$A2877*S2877*$T$1</f>
        <v>0</v>
      </c>
    </row>
    <row r="2878" spans="1:41" s="504" customFormat="1" ht="12.6" thickBot="1">
      <c r="A2878" s="885" t="s">
        <v>142</v>
      </c>
      <c r="B2878" s="886">
        <f>(R2877+T2877)</f>
        <v>0</v>
      </c>
      <c r="C2878" s="887"/>
      <c r="D2878" s="887"/>
      <c r="E2878" s="887"/>
      <c r="F2878" s="888"/>
      <c r="G2878" s="887" t="s">
        <v>143</v>
      </c>
      <c r="H2878" s="887"/>
      <c r="I2878" s="889"/>
      <c r="J2878" s="887"/>
      <c r="K2878" s="887" t="s">
        <v>3</v>
      </c>
      <c r="L2878" s="890" t="s">
        <v>140</v>
      </c>
      <c r="M2878" s="890"/>
      <c r="N2878" s="890"/>
      <c r="O2878" s="890"/>
      <c r="P2878" s="890"/>
      <c r="Q2878" s="891"/>
      <c r="R2878" s="892">
        <f ca="1">SUM(R2874:R2877)</f>
        <v>35.19</v>
      </c>
      <c r="S2878" s="887"/>
      <c r="T2878" s="892">
        <f ca="1">SUM(T2874:T2877)</f>
        <v>2.04</v>
      </c>
      <c r="U2878" s="514"/>
      <c r="V2878" s="514"/>
      <c r="W2878" s="514"/>
      <c r="X2878" s="514"/>
      <c r="Y2878" s="514"/>
      <c r="Z2878" s="514"/>
      <c r="AA2878" s="514"/>
      <c r="AB2878" s="514"/>
      <c r="AC2878" s="514"/>
      <c r="AD2878" s="514"/>
      <c r="AE2878" s="514"/>
      <c r="AF2878" s="514"/>
      <c r="AG2878" s="514"/>
      <c r="AH2878" s="514"/>
      <c r="AI2878" s="514"/>
      <c r="AJ2878" s="514"/>
      <c r="AK2878" s="514"/>
      <c r="AL2878" s="514"/>
      <c r="AM2878" s="514"/>
      <c r="AN2878" s="514"/>
      <c r="AO2878" s="514"/>
    </row>
    <row r="2879" spans="1:41" s="504" customFormat="1" ht="12" thickTop="1">
      <c r="A2879" s="47" t="s">
        <v>145</v>
      </c>
      <c r="D2879" s="13"/>
      <c r="E2879" s="41"/>
      <c r="O2879" s="893"/>
    </row>
    <row r="2880" spans="1:41" s="504" customFormat="1" ht="13.2">
      <c r="B2880" s="3"/>
      <c r="O2880" s="893"/>
    </row>
    <row r="2881" spans="1:37" s="504" customFormat="1" ht="12">
      <c r="B2881" s="894">
        <f ca="1">$F2881/$C$2-($R2881*$S$2+$T2881*$T$2)</f>
        <v>0.12985116000004382</v>
      </c>
      <c r="D2881" s="895" t="s">
        <v>815</v>
      </c>
      <c r="E2881" s="896"/>
      <c r="F2881" s="897">
        <f ca="1">SUMIF($L2798:$L2879,"ITEM",F2798:F2879)</f>
        <v>1096.9100000000001</v>
      </c>
      <c r="G2881" s="882"/>
      <c r="H2881" s="882"/>
      <c r="I2881" s="503"/>
      <c r="J2881" s="882"/>
      <c r="K2881" s="882"/>
      <c r="L2881" s="879" t="s">
        <v>154</v>
      </c>
      <c r="M2881" s="879"/>
      <c r="N2881" s="879"/>
      <c r="O2881" s="879"/>
      <c r="P2881" s="879"/>
      <c r="R2881" s="897">
        <f ca="1">SUMIF($L2798:$L2879,"ITEM",R2798:R2879)</f>
        <v>131.06199999999998</v>
      </c>
      <c r="S2881" s="898"/>
      <c r="T2881" s="897">
        <f ca="1">SUMIF($L2798:$L2879,"ITEM",T2798:T2879)</f>
        <v>26.634</v>
      </c>
    </row>
    <row r="2882" spans="1:37" s="504" customFormat="1" ht="13.2">
      <c r="A2882" s="50"/>
      <c r="B2882" s="48" t="s">
        <v>816</v>
      </c>
      <c r="C2882" s="50"/>
      <c r="D2882" s="3"/>
      <c r="F2882" s="899" t="s">
        <v>155</v>
      </c>
      <c r="G2882" s="882"/>
      <c r="H2882" s="882"/>
      <c r="I2882" s="503"/>
      <c r="J2882" s="882"/>
      <c r="K2882" s="882"/>
      <c r="L2882" s="882"/>
      <c r="M2882" s="882"/>
      <c r="N2882" s="882"/>
      <c r="O2882" s="882"/>
      <c r="P2882" s="882"/>
      <c r="Q2882" s="900"/>
      <c r="R2882" s="899" t="s">
        <v>156</v>
      </c>
      <c r="S2882" s="38"/>
      <c r="T2882" s="899" t="s">
        <v>157</v>
      </c>
    </row>
    <row r="2883" spans="1:37" s="504" customFormat="1" ht="13.2">
      <c r="A2883" s="882"/>
      <c r="B2883" s="3"/>
      <c r="C2883" s="882"/>
      <c r="D2883" s="3"/>
      <c r="E2883" s="3"/>
      <c r="G2883" s="3"/>
      <c r="H2883" s="3"/>
      <c r="I2883" s="3"/>
      <c r="J2883" s="3"/>
      <c r="K2883" s="3"/>
      <c r="L2883" s="3"/>
      <c r="M2883" s="3"/>
      <c r="N2883" s="3"/>
      <c r="O2883" s="103"/>
      <c r="P2883" s="3"/>
      <c r="Q2883" s="3"/>
      <c r="R2883" s="3"/>
      <c r="S2883" s="3"/>
      <c r="T2883" s="3"/>
    </row>
    <row r="2884" spans="1:37" s="504" customFormat="1" ht="12" thickBot="1">
      <c r="A2884" s="514"/>
      <c r="B2884" s="887"/>
      <c r="C2884" s="887"/>
      <c r="D2884" s="514"/>
      <c r="E2884" s="39"/>
      <c r="F2884" s="901"/>
      <c r="G2884" s="887"/>
      <c r="H2884" s="887"/>
      <c r="I2884" s="889"/>
      <c r="J2884" s="887"/>
      <c r="K2884" s="887"/>
      <c r="L2884" s="890"/>
      <c r="M2884" s="890"/>
      <c r="N2884" s="890"/>
      <c r="O2884" s="890"/>
      <c r="P2884" s="890"/>
      <c r="Q2884" s="891"/>
      <c r="R2884" s="901"/>
      <c r="S2884" s="902"/>
      <c r="T2884" s="901"/>
      <c r="U2884" s="514"/>
      <c r="V2884" s="514"/>
      <c r="W2884" s="514"/>
      <c r="X2884" s="514"/>
      <c r="Y2884" s="514"/>
      <c r="Z2884" s="514"/>
      <c r="AA2884" s="514"/>
      <c r="AB2884" s="514"/>
      <c r="AC2884" s="514"/>
      <c r="AD2884" s="514"/>
      <c r="AE2884" s="514"/>
      <c r="AF2884" s="514"/>
      <c r="AG2884" s="514"/>
      <c r="AH2884" s="514"/>
      <c r="AI2884" s="514"/>
      <c r="AJ2884" s="514"/>
      <c r="AK2884" s="514"/>
    </row>
    <row r="2885" spans="1:37" s="504" customFormat="1" thickTop="1">
      <c r="A2885" s="50"/>
      <c r="B2885" s="50"/>
      <c r="C2885" s="3"/>
      <c r="D2885" s="3"/>
      <c r="E2885" s="50"/>
      <c r="F2885" s="50"/>
      <c r="G2885" s="50"/>
      <c r="H2885" s="50"/>
      <c r="I2885" s="50"/>
      <c r="J2885" s="50"/>
      <c r="K2885" s="50" t="s">
        <v>133</v>
      </c>
      <c r="L2885" s="50"/>
      <c r="M2885" s="50"/>
      <c r="N2885" s="50"/>
      <c r="O2885" s="51"/>
      <c r="P2885" s="50"/>
      <c r="Q2885" s="50"/>
      <c r="R2885" s="50"/>
      <c r="S2885" s="50"/>
      <c r="T2885" s="50"/>
    </row>
    <row r="2886" spans="1:37" s="504" customFormat="1" ht="12">
      <c r="A2886" s="50"/>
      <c r="B2886" s="50"/>
      <c r="C2886" s="50" t="s">
        <v>134</v>
      </c>
      <c r="D2886" s="37"/>
      <c r="E2886" s="50"/>
      <c r="F2886" s="50"/>
      <c r="G2886" s="50"/>
      <c r="H2886" s="50"/>
      <c r="I2886" s="50"/>
      <c r="J2886" s="50"/>
      <c r="K2886" s="50"/>
      <c r="L2886" s="50"/>
      <c r="M2886" s="50"/>
      <c r="N2886" s="50"/>
      <c r="O2886" s="51"/>
      <c r="P2886" s="50"/>
      <c r="Q2886" s="50"/>
      <c r="R2886" s="50"/>
      <c r="S2886" s="50"/>
      <c r="T2886" s="50"/>
    </row>
    <row r="2887" spans="1:37" s="504" customFormat="1" ht="12">
      <c r="A2887" s="50"/>
      <c r="B2887" s="50"/>
      <c r="C2887" s="50"/>
      <c r="D2887" s="37" t="s">
        <v>455</v>
      </c>
      <c r="E2887" s="50"/>
      <c r="F2887" s="50"/>
      <c r="G2887" s="50"/>
      <c r="H2887" s="50"/>
      <c r="I2887" s="50"/>
      <c r="J2887" s="50"/>
      <c r="K2887" s="50"/>
      <c r="L2887" s="50"/>
      <c r="M2887" s="50"/>
      <c r="N2887" s="50"/>
      <c r="O2887" s="51"/>
      <c r="P2887" s="50"/>
      <c r="Q2887" s="50"/>
      <c r="R2887" s="50"/>
      <c r="S2887" s="38"/>
      <c r="T2887" s="38"/>
    </row>
    <row r="2888" spans="1:37" s="3" customFormat="1" thickBot="1">
      <c r="A2888" s="514"/>
      <c r="O2888" s="103"/>
    </row>
    <row r="2889" spans="1:37" s="504" customFormat="1" thickTop="1">
      <c r="A2889" s="50"/>
      <c r="B2889" s="50"/>
      <c r="C2889" s="3"/>
      <c r="D2889" s="3"/>
      <c r="E2889" s="50"/>
      <c r="F2889" s="50"/>
      <c r="G2889" s="50"/>
      <c r="H2889" s="50"/>
      <c r="I2889" s="50"/>
      <c r="J2889" s="50"/>
      <c r="K2889" s="50" t="s">
        <v>133</v>
      </c>
      <c r="L2889" s="50"/>
      <c r="M2889" s="50"/>
      <c r="N2889" s="50"/>
      <c r="O2889" s="51"/>
      <c r="P2889" s="50"/>
      <c r="Q2889" s="50"/>
      <c r="R2889" s="50"/>
      <c r="S2889" s="50"/>
      <c r="T2889" s="50"/>
    </row>
    <row r="2890" spans="1:37" s="504" customFormat="1" ht="12">
      <c r="A2890" s="50"/>
      <c r="B2890" s="50"/>
      <c r="C2890" s="50" t="s">
        <v>134</v>
      </c>
      <c r="D2890" s="37"/>
      <c r="E2890" s="50"/>
      <c r="F2890" s="50"/>
      <c r="G2890" s="50"/>
      <c r="H2890" s="50"/>
      <c r="I2890" s="50"/>
      <c r="J2890" s="50"/>
      <c r="K2890" s="50"/>
      <c r="L2890" s="50"/>
      <c r="M2890" s="50"/>
      <c r="N2890" s="50"/>
      <c r="O2890" s="51"/>
      <c r="P2890" s="50"/>
      <c r="Q2890" s="50"/>
      <c r="R2890" s="50"/>
      <c r="S2890" s="50"/>
      <c r="T2890" s="50"/>
    </row>
    <row r="2891" spans="1:37" s="504" customFormat="1" ht="12">
      <c r="A2891" s="50"/>
      <c r="B2891" s="50"/>
      <c r="C2891" s="50"/>
      <c r="D2891" s="37" t="s">
        <v>332</v>
      </c>
      <c r="E2891" s="50"/>
      <c r="F2891" s="50"/>
      <c r="G2891" s="50"/>
      <c r="H2891" s="50"/>
      <c r="I2891" s="50"/>
      <c r="J2891" s="50"/>
      <c r="K2891" s="50"/>
      <c r="L2891" s="50"/>
      <c r="M2891" s="50"/>
      <c r="N2891" s="50"/>
      <c r="O2891" s="51"/>
      <c r="P2891" s="50"/>
      <c r="Q2891" s="50"/>
      <c r="R2891" s="50"/>
      <c r="S2891" s="38"/>
      <c r="T2891" s="38"/>
    </row>
    <row r="2892" spans="1:37" s="3" customFormat="1" thickBot="1">
      <c r="A2892" s="514"/>
      <c r="O2892" s="103"/>
    </row>
    <row r="2893" spans="1:37" s="504" customFormat="1" thickTop="1">
      <c r="A2893" s="50"/>
      <c r="B2893" s="50"/>
      <c r="C2893" s="3"/>
      <c r="D2893" s="3"/>
      <c r="E2893" s="50"/>
      <c r="F2893" s="50"/>
      <c r="G2893" s="50"/>
      <c r="H2893" s="50"/>
      <c r="I2893" s="50"/>
      <c r="J2893" s="50"/>
      <c r="K2893" s="50" t="s">
        <v>133</v>
      </c>
      <c r="L2893" s="50"/>
      <c r="M2893" s="50"/>
      <c r="N2893" s="50"/>
      <c r="O2893" s="51"/>
      <c r="P2893" s="50"/>
      <c r="Q2893" s="50"/>
      <c r="R2893" s="50"/>
      <c r="S2893" s="50"/>
      <c r="T2893" s="50"/>
    </row>
    <row r="2894" spans="1:37" s="504" customFormat="1" ht="12">
      <c r="A2894" s="50"/>
      <c r="B2894" s="50"/>
      <c r="C2894" s="50" t="s">
        <v>134</v>
      </c>
      <c r="D2894" s="37" t="s">
        <v>886</v>
      </c>
      <c r="E2894" s="50"/>
      <c r="F2894" s="50"/>
      <c r="G2894" s="50"/>
      <c r="H2894" s="50"/>
      <c r="I2894" s="50"/>
      <c r="J2894" s="50"/>
      <c r="K2894" s="50"/>
      <c r="L2894" s="50"/>
      <c r="M2894" s="50"/>
      <c r="N2894" s="50"/>
      <c r="O2894" s="51"/>
      <c r="P2894" s="50"/>
      <c r="Q2894" s="50"/>
      <c r="R2894" s="50"/>
      <c r="S2894" s="50"/>
      <c r="T2894" s="50"/>
    </row>
    <row r="2895" spans="1:37" s="504" customFormat="1" ht="13.2">
      <c r="A2895" s="872"/>
      <c r="B2895"/>
      <c r="C2895" s="872"/>
      <c r="D2895" s="916" t="s">
        <v>839</v>
      </c>
      <c r="E2895" s="917"/>
      <c r="F2895" s="918"/>
      <c r="G2895" s="919"/>
      <c r="H2895" s="918"/>
      <c r="I2895" s="920"/>
      <c r="J2895" s="918"/>
      <c r="K2895" s="918"/>
      <c r="L2895" s="918"/>
      <c r="M2895" s="918"/>
      <c r="N2895" s="918"/>
      <c r="O2895" s="918"/>
      <c r="P2895" s="918"/>
      <c r="Q2895" s="921"/>
      <c r="R2895" s="513"/>
      <c r="S2895" s="881"/>
      <c r="T2895" s="877"/>
    </row>
    <row r="2896" spans="1:37" s="3" customFormat="1" thickBot="1">
      <c r="A2896" s="514"/>
      <c r="O2896" s="103"/>
    </row>
    <row r="2897" spans="1:41" s="504" customFormat="1" ht="12" thickTop="1">
      <c r="A2897" s="50"/>
      <c r="B2897" s="40"/>
      <c r="C2897" s="50"/>
      <c r="E2897" s="41" t="s">
        <v>136</v>
      </c>
      <c r="F2897" s="41" t="s">
        <v>137</v>
      </c>
      <c r="G2897" s="50"/>
      <c r="H2897" s="50"/>
      <c r="I2897" s="50"/>
      <c r="J2897" s="50"/>
      <c r="K2897" s="50" t="s">
        <v>138</v>
      </c>
      <c r="L2897" s="50"/>
      <c r="M2897" s="50"/>
      <c r="N2897" s="50"/>
      <c r="O2897" s="51"/>
      <c r="P2897" s="50"/>
      <c r="Q2897" s="50"/>
      <c r="R2897" s="50"/>
      <c r="S2897" s="50"/>
      <c r="T2897" s="40"/>
      <c r="AG2897" s="867" t="s">
        <v>241</v>
      </c>
      <c r="AH2897" s="867" t="s">
        <v>242</v>
      </c>
      <c r="AI2897" s="867" t="s">
        <v>243</v>
      </c>
      <c r="AJ2897" s="867" t="s">
        <v>244</v>
      </c>
      <c r="AK2897" s="867" t="s">
        <v>245</v>
      </c>
      <c r="AM2897" s="868" t="s">
        <v>254</v>
      </c>
      <c r="AN2897" s="869" t="s">
        <v>255</v>
      </c>
      <c r="AO2897" s="505" t="s">
        <v>251</v>
      </c>
    </row>
    <row r="2898" spans="1:41" s="504" customFormat="1" ht="12" customHeight="1">
      <c r="A2898" s="870">
        <v>2</v>
      </c>
      <c r="B2898" s="871" t="s">
        <v>335</v>
      </c>
      <c r="C2898" s="872"/>
      <c r="D2898" s="873" t="s">
        <v>804</v>
      </c>
      <c r="E2898" s="874">
        <f ca="1">IF(AND($A2898=0,$A$1="DIF"),0, ROUND(ROUND(($R2903*$S$2+($T2903*$T$2))/A2898,2)*$C$2,2))</f>
        <v>57.85</v>
      </c>
      <c r="F2898" s="875">
        <f ca="1">ROUND($A2898*$E2898,2)</f>
        <v>115.7</v>
      </c>
      <c r="G2898" s="876" t="s">
        <v>139</v>
      </c>
      <c r="H2898" s="877"/>
      <c r="I2898" s="878"/>
      <c r="J2898" s="877"/>
      <c r="K2898" s="877" t="s">
        <v>3</v>
      </c>
      <c r="L2898" s="879" t="s">
        <v>140</v>
      </c>
      <c r="M2898" s="879"/>
      <c r="N2898" s="879"/>
      <c r="O2898" s="879"/>
      <c r="P2898" s="879"/>
      <c r="Q2898" s="50"/>
      <c r="T2898" s="880" t="str">
        <f ca="1">IF(AND($R2903=0,$T2903=0),"0.00","mu :" &amp; ROUND($F2898/$C$2/($R2903+$T2903*$D$9),2))</f>
        <v>mu :1.22</v>
      </c>
      <c r="W2898" s="507"/>
      <c r="AG2898" s="465">
        <f ca="1">IF($E2898=0,0,ROUND($R2903*$S$2*$C$2/$A2898,2))</f>
        <v>11.77</v>
      </c>
      <c r="AH2898" s="465">
        <f ca="1">$AG2898*$A2898</f>
        <v>23.54</v>
      </c>
      <c r="AI2898" s="508">
        <f ca="1">$E2898-$AG2898</f>
        <v>46.08</v>
      </c>
      <c r="AJ2898" s="508">
        <f ca="1">$A2898*$AI2898</f>
        <v>92.16</v>
      </c>
      <c r="AK2898" s="509">
        <f ca="1">ROUND(($AG2898+$AI2898)*$A2898,2)</f>
        <v>115.7</v>
      </c>
      <c r="AM2898" s="510">
        <f ca="1">ROUND(R2903,2)</f>
        <v>19.3</v>
      </c>
      <c r="AN2898" s="511">
        <f ca="1">ROUND(T2903,2)</f>
        <v>2.62</v>
      </c>
      <c r="AO2898" s="512">
        <f ca="1">ROUND(AM2898+AN2898,2)*A2898</f>
        <v>43.84</v>
      </c>
    </row>
    <row r="2899" spans="1:41" s="504" customFormat="1" ht="13.2">
      <c r="A2899" s="872"/>
      <c r="B2899"/>
      <c r="C2899" s="872"/>
      <c r="D2899" s="873" t="s">
        <v>334</v>
      </c>
      <c r="F2899" s="877"/>
      <c r="G2899" s="3"/>
      <c r="H2899" s="877"/>
      <c r="I2899" s="878"/>
      <c r="J2899" s="877"/>
      <c r="K2899" s="877" t="s">
        <v>141</v>
      </c>
      <c r="L2899" s="877"/>
      <c r="M2899" s="877"/>
      <c r="N2899" s="877"/>
      <c r="O2899" s="877"/>
      <c r="P2899" s="877"/>
      <c r="Q2899" s="50"/>
      <c r="R2899" s="513"/>
      <c r="S2899" s="881"/>
      <c r="T2899" s="877"/>
    </row>
    <row r="2900" spans="1:41" s="997" customFormat="1" ht="13.2">
      <c r="A2900"/>
      <c r="B2900" s="1065"/>
      <c r="C2900" s="1065" t="s">
        <v>1006</v>
      </c>
      <c r="D2900" s="1065" t="str">
        <f ca="1">CELL("Address",Elec_Rates!D$200)</f>
        <v>[EL25_0662B_Brittania_Hotel_Elec_Revised_Estim_B.xlsx]Elec_Rates!$D$200</v>
      </c>
      <c r="E2900" s="1066"/>
      <c r="F2900" s="1066"/>
      <c r="G2900" s="1067" t="s">
        <v>1007</v>
      </c>
      <c r="H2900" s="1067"/>
      <c r="I2900" s="1067"/>
      <c r="J2900" s="1067"/>
      <c r="K2900" s="1068"/>
      <c r="L2900" s="1066"/>
      <c r="M2900" s="1066"/>
      <c r="N2900" s="1066"/>
      <c r="O2900" s="1069"/>
      <c r="P2900" s="1066"/>
      <c r="Q2900" s="1070"/>
      <c r="R2900" s="1071"/>
      <c r="S2900" s="1070"/>
      <c r="T2900" s="1072"/>
      <c r="U2900" s="1073"/>
    </row>
    <row r="2901" spans="1:41" s="997" customFormat="1" ht="11.4">
      <c r="A2901" s="1074">
        <v>2</v>
      </c>
      <c r="B2901" s="1075">
        <v>1</v>
      </c>
      <c r="C2901" s="1075">
        <f>$A2901*$B2901</f>
        <v>2</v>
      </c>
      <c r="D2901" s="1076" t="str">
        <f>Elec_Rates!$D$200</f>
        <v>019# Lighting point in LSZH Conduit</v>
      </c>
      <c r="E2901" s="1076"/>
      <c r="F2901" s="1076" t="s">
        <v>1293</v>
      </c>
      <c r="G2901" s="1077" t="s">
        <v>1008</v>
      </c>
      <c r="H2901" s="1077"/>
      <c r="I2901" s="1077"/>
      <c r="J2901" s="1077"/>
      <c r="K2901" s="1078"/>
      <c r="L2901" s="1073"/>
      <c r="M2901" s="1073"/>
      <c r="N2901" s="1073"/>
      <c r="O2901" s="1079"/>
      <c r="P2901" s="1076"/>
      <c r="Q2901" s="1080">
        <f ca="1">$B2901*Elec_Rates!$R$200</f>
        <v>9.65</v>
      </c>
      <c r="R2901" s="1071">
        <f ca="1">$A2901*Q2901</f>
        <v>19.3</v>
      </c>
      <c r="S2901" s="1080">
        <f ca="1">$B2901*Elec_Rates!$T$200</f>
        <v>1.31</v>
      </c>
      <c r="T2901" s="1072">
        <f ca="1">$A2901*S2901</f>
        <v>2.62</v>
      </c>
      <c r="U2901" s="1081"/>
    </row>
    <row r="2902" spans="1:41" s="504" customFormat="1" ht="12">
      <c r="A2902" s="882"/>
      <c r="B2902" s="882"/>
      <c r="C2902" s="882"/>
      <c r="D2902" s="882"/>
      <c r="E2902" s="882"/>
      <c r="F2902" s="877"/>
      <c r="G2902" s="882"/>
      <c r="H2902" s="882"/>
      <c r="I2902" s="503"/>
      <c r="J2902" s="882"/>
      <c r="K2902" s="882"/>
      <c r="L2902" s="882"/>
      <c r="M2902" s="882"/>
      <c r="N2902" s="882"/>
      <c r="O2902" s="882"/>
      <c r="P2902" s="882"/>
      <c r="Q2902" s="503"/>
      <c r="R2902" s="883">
        <f>$A2902*Q2902</f>
        <v>0</v>
      </c>
      <c r="S2902" s="503"/>
      <c r="T2902" s="884">
        <f>$A2902*S2902*$T$1</f>
        <v>0</v>
      </c>
    </row>
    <row r="2903" spans="1:41" s="504" customFormat="1" ht="12.6" thickBot="1">
      <c r="A2903" s="885" t="s">
        <v>142</v>
      </c>
      <c r="B2903" s="886">
        <f>(R2902+T2902)</f>
        <v>0</v>
      </c>
      <c r="C2903" s="887"/>
      <c r="D2903" s="887"/>
      <c r="E2903" s="887"/>
      <c r="F2903" s="888"/>
      <c r="G2903" s="887" t="s">
        <v>143</v>
      </c>
      <c r="H2903" s="887"/>
      <c r="I2903" s="889"/>
      <c r="J2903" s="887"/>
      <c r="K2903" s="887" t="s">
        <v>3</v>
      </c>
      <c r="L2903" s="890" t="s">
        <v>140</v>
      </c>
      <c r="M2903" s="890"/>
      <c r="N2903" s="890"/>
      <c r="O2903" s="890"/>
      <c r="P2903" s="890"/>
      <c r="Q2903" s="891"/>
      <c r="R2903" s="892">
        <f ca="1">SUM(R2899:R2902)</f>
        <v>19.3</v>
      </c>
      <c r="S2903" s="887"/>
      <c r="T2903" s="892">
        <f ca="1">SUM(T2899:T2902)</f>
        <v>2.62</v>
      </c>
      <c r="U2903" s="514"/>
      <c r="V2903" s="514"/>
      <c r="W2903" s="514"/>
      <c r="X2903" s="514"/>
      <c r="Y2903" s="514"/>
      <c r="Z2903" s="514"/>
      <c r="AA2903" s="514"/>
      <c r="AB2903" s="514"/>
      <c r="AC2903" s="514"/>
      <c r="AD2903" s="514"/>
      <c r="AE2903" s="514"/>
      <c r="AF2903" s="514"/>
      <c r="AG2903" s="514"/>
      <c r="AH2903" s="514"/>
      <c r="AI2903" s="514"/>
      <c r="AJ2903" s="514"/>
      <c r="AK2903" s="514"/>
      <c r="AL2903" s="514"/>
      <c r="AM2903" s="514"/>
      <c r="AN2903" s="514"/>
      <c r="AO2903" s="514"/>
    </row>
    <row r="2904" spans="1:41" s="504" customFormat="1" ht="12" thickTop="1">
      <c r="A2904" s="50"/>
      <c r="B2904" s="40"/>
      <c r="C2904" s="50"/>
      <c r="E2904" s="41" t="s">
        <v>136</v>
      </c>
      <c r="F2904" s="41" t="s">
        <v>137</v>
      </c>
      <c r="G2904" s="50"/>
      <c r="H2904" s="50"/>
      <c r="I2904" s="50"/>
      <c r="J2904" s="50"/>
      <c r="K2904" s="50" t="s">
        <v>138</v>
      </c>
      <c r="L2904" s="50"/>
      <c r="M2904" s="50"/>
      <c r="N2904" s="50"/>
      <c r="O2904" s="51"/>
      <c r="P2904" s="50"/>
      <c r="Q2904" s="50"/>
      <c r="R2904" s="50"/>
      <c r="S2904" s="50"/>
      <c r="T2904" s="40"/>
      <c r="AG2904" s="867" t="s">
        <v>241</v>
      </c>
      <c r="AH2904" s="867" t="s">
        <v>242</v>
      </c>
      <c r="AI2904" s="867" t="s">
        <v>243</v>
      </c>
      <c r="AJ2904" s="867" t="s">
        <v>244</v>
      </c>
      <c r="AK2904" s="867" t="s">
        <v>245</v>
      </c>
      <c r="AM2904" s="868" t="s">
        <v>254</v>
      </c>
      <c r="AN2904" s="869" t="s">
        <v>255</v>
      </c>
      <c r="AO2904" s="505" t="s">
        <v>251</v>
      </c>
    </row>
    <row r="2905" spans="1:41" s="504" customFormat="1" ht="12" customHeight="1">
      <c r="A2905" s="870">
        <v>3</v>
      </c>
      <c r="B2905" s="871" t="s">
        <v>335</v>
      </c>
      <c r="C2905" s="872"/>
      <c r="D2905" s="873" t="s">
        <v>806</v>
      </c>
      <c r="E2905" s="874">
        <f ca="1">IF(AND($A2905=0,$A$1="DIF"),0, ROUND(ROUND(($R2910*$S$2+($T2910*$T$2))/A2905,2)*$C$2,2))</f>
        <v>86.78</v>
      </c>
      <c r="F2905" s="875">
        <f ca="1">ROUND($A2905*$E2905,2)</f>
        <v>260.33999999999997</v>
      </c>
      <c r="G2905" s="876" t="s">
        <v>139</v>
      </c>
      <c r="H2905" s="877"/>
      <c r="I2905" s="878"/>
      <c r="J2905" s="877"/>
      <c r="K2905" s="877" t="s">
        <v>3</v>
      </c>
      <c r="L2905" s="879" t="s">
        <v>140</v>
      </c>
      <c r="M2905" s="879"/>
      <c r="N2905" s="879"/>
      <c r="O2905" s="879"/>
      <c r="P2905" s="879"/>
      <c r="Q2905" s="50"/>
      <c r="T2905" s="880" t="str">
        <f ca="1">IF(AND($R2910=0,$T2910=0),"0.00","mu :" &amp; ROUND($F2905/$C$2/($R2910+$T2910*$D$9),2))</f>
        <v>mu :1.22</v>
      </c>
      <c r="W2905" s="507"/>
      <c r="AG2905" s="465">
        <f ca="1">IF($E2905=0,0,ROUND($R2910*$S$2*$C$2/$A2905,2))</f>
        <v>17.66</v>
      </c>
      <c r="AH2905" s="465">
        <f ca="1">$AG2905*$A2905</f>
        <v>52.980000000000004</v>
      </c>
      <c r="AI2905" s="508">
        <f ca="1">$E2905-$AG2905</f>
        <v>69.12</v>
      </c>
      <c r="AJ2905" s="508">
        <f ca="1">$A2905*$AI2905</f>
        <v>207.36</v>
      </c>
      <c r="AK2905" s="509">
        <f ca="1">ROUND(($AG2905+$AI2905)*$A2905,2)</f>
        <v>260.33999999999997</v>
      </c>
      <c r="AM2905" s="510">
        <f ca="1">ROUND(R2910,2)</f>
        <v>43.43</v>
      </c>
      <c r="AN2905" s="511">
        <f ca="1">ROUND(T2910,2)</f>
        <v>5.9</v>
      </c>
      <c r="AO2905" s="512">
        <f ca="1">ROUND(AM2905+AN2905,2)*A2905</f>
        <v>147.99</v>
      </c>
    </row>
    <row r="2906" spans="1:41" s="504" customFormat="1" ht="13.2">
      <c r="A2906" s="872"/>
      <c r="B2906"/>
      <c r="C2906" s="872"/>
      <c r="D2906" s="873" t="s">
        <v>401</v>
      </c>
      <c r="F2906" s="877"/>
      <c r="G2906" s="3"/>
      <c r="H2906" s="877"/>
      <c r="I2906" s="878"/>
      <c r="J2906" s="877"/>
      <c r="K2906" s="877" t="s">
        <v>141</v>
      </c>
      <c r="L2906" s="877"/>
      <c r="M2906" s="877"/>
      <c r="N2906" s="877"/>
      <c r="O2906" s="877"/>
      <c r="P2906" s="877"/>
      <c r="Q2906" s="50"/>
      <c r="R2906" s="513"/>
      <c r="S2906" s="881"/>
      <c r="T2906" s="877"/>
    </row>
    <row r="2907" spans="1:41" s="997" customFormat="1" ht="13.2">
      <c r="A2907"/>
      <c r="B2907" s="1065"/>
      <c r="C2907" s="1065" t="s">
        <v>1006</v>
      </c>
      <c r="D2907" s="1065" t="str">
        <f ca="1">CELL("Address",Elec_Rates!D$200)</f>
        <v>[EL25_0662B_Brittania_Hotel_Elec_Revised_Estim_B.xlsx]Elec_Rates!$D$200</v>
      </c>
      <c r="E2907" s="1066"/>
      <c r="F2907" s="1066"/>
      <c r="G2907" s="1067" t="s">
        <v>1007</v>
      </c>
      <c r="H2907" s="1067"/>
      <c r="I2907" s="1067"/>
      <c r="J2907" s="1067"/>
      <c r="K2907" s="1068"/>
      <c r="L2907" s="1066"/>
      <c r="M2907" s="1066"/>
      <c r="N2907" s="1066"/>
      <c r="O2907" s="1069"/>
      <c r="P2907" s="1066"/>
      <c r="Q2907" s="1070"/>
      <c r="R2907" s="1071"/>
      <c r="S2907" s="1070"/>
      <c r="T2907" s="1072"/>
      <c r="U2907" s="1073"/>
    </row>
    <row r="2908" spans="1:41" s="997" customFormat="1" ht="11.4">
      <c r="A2908" s="1074">
        <v>3</v>
      </c>
      <c r="B2908" s="1075">
        <v>1.5</v>
      </c>
      <c r="C2908" s="1075">
        <f>$A2908*$B2908</f>
        <v>4.5</v>
      </c>
      <c r="D2908" s="1076" t="str">
        <f>Elec_Rates!$D$200</f>
        <v>019# Lighting point in LSZH Conduit</v>
      </c>
      <c r="E2908" s="1076"/>
      <c r="F2908" s="1076" t="s">
        <v>1294</v>
      </c>
      <c r="G2908" s="1077" t="s">
        <v>1008</v>
      </c>
      <c r="H2908" s="1077"/>
      <c r="I2908" s="1077"/>
      <c r="J2908" s="1077"/>
      <c r="K2908" s="1078"/>
      <c r="L2908" s="1073"/>
      <c r="M2908" s="1073"/>
      <c r="N2908" s="1073"/>
      <c r="O2908" s="1079"/>
      <c r="P2908" s="1076"/>
      <c r="Q2908" s="1080">
        <f ca="1">$B2908*Elec_Rates!$R$200</f>
        <v>14.475000000000001</v>
      </c>
      <c r="R2908" s="1071">
        <f ca="1">$A2908*Q2908</f>
        <v>43.425000000000004</v>
      </c>
      <c r="S2908" s="1080">
        <f ca="1">$B2908*Elec_Rates!$T$200</f>
        <v>1.9650000000000001</v>
      </c>
      <c r="T2908" s="1072">
        <f ca="1">$A2908*S2908</f>
        <v>5.8950000000000005</v>
      </c>
      <c r="U2908" s="1081"/>
    </row>
    <row r="2909" spans="1:41" s="504" customFormat="1" ht="12">
      <c r="A2909" s="882"/>
      <c r="B2909" s="882"/>
      <c r="C2909" s="882"/>
      <c r="D2909" s="882"/>
      <c r="E2909" s="882"/>
      <c r="F2909" s="877"/>
      <c r="G2909" s="882"/>
      <c r="H2909" s="882"/>
      <c r="I2909" s="503"/>
      <c r="J2909" s="882"/>
      <c r="K2909" s="882"/>
      <c r="L2909" s="882"/>
      <c r="M2909" s="882"/>
      <c r="N2909" s="882"/>
      <c r="O2909" s="882"/>
      <c r="P2909" s="882"/>
      <c r="Q2909" s="503"/>
      <c r="R2909" s="883">
        <f>$A2909*Q2909</f>
        <v>0</v>
      </c>
      <c r="S2909" s="503"/>
      <c r="T2909" s="884">
        <f>$A2909*S2909*$T$1</f>
        <v>0</v>
      </c>
    </row>
    <row r="2910" spans="1:41" s="504" customFormat="1" ht="12.6" thickBot="1">
      <c r="A2910" s="885" t="s">
        <v>142</v>
      </c>
      <c r="B2910" s="886">
        <f>(R2909+T2909)</f>
        <v>0</v>
      </c>
      <c r="C2910" s="887"/>
      <c r="D2910" s="887"/>
      <c r="E2910" s="887"/>
      <c r="F2910" s="888"/>
      <c r="G2910" s="887" t="s">
        <v>143</v>
      </c>
      <c r="H2910" s="887"/>
      <c r="I2910" s="889"/>
      <c r="J2910" s="887"/>
      <c r="K2910" s="887" t="s">
        <v>3</v>
      </c>
      <c r="L2910" s="890" t="s">
        <v>140</v>
      </c>
      <c r="M2910" s="890"/>
      <c r="N2910" s="890"/>
      <c r="O2910" s="890"/>
      <c r="P2910" s="890"/>
      <c r="Q2910" s="891"/>
      <c r="R2910" s="892">
        <f ca="1">SUM(R2906:R2909)</f>
        <v>43.425000000000004</v>
      </c>
      <c r="S2910" s="887"/>
      <c r="T2910" s="892">
        <f ca="1">SUM(T2906:T2909)</f>
        <v>5.8950000000000005</v>
      </c>
      <c r="U2910" s="514"/>
      <c r="V2910" s="514"/>
      <c r="W2910" s="514"/>
      <c r="X2910" s="514"/>
      <c r="Y2910" s="514"/>
      <c r="Z2910" s="514"/>
      <c r="AA2910" s="514"/>
      <c r="AB2910" s="514"/>
      <c r="AC2910" s="514"/>
      <c r="AD2910" s="514"/>
      <c r="AE2910" s="514"/>
      <c r="AF2910" s="514"/>
      <c r="AG2910" s="514"/>
      <c r="AH2910" s="514"/>
      <c r="AI2910" s="514"/>
      <c r="AJ2910" s="514"/>
      <c r="AK2910" s="514"/>
      <c r="AL2910" s="514"/>
      <c r="AM2910" s="514"/>
      <c r="AN2910" s="514"/>
      <c r="AO2910" s="514"/>
    </row>
    <row r="2911" spans="1:41" s="504" customFormat="1" ht="12" thickTop="1">
      <c r="A2911" s="50"/>
      <c r="B2911" s="40"/>
      <c r="C2911" s="50"/>
      <c r="E2911" s="41" t="s">
        <v>136</v>
      </c>
      <c r="F2911" s="41" t="s">
        <v>137</v>
      </c>
      <c r="G2911" s="50"/>
      <c r="H2911" s="50"/>
      <c r="I2911" s="50"/>
      <c r="J2911" s="50"/>
      <c r="K2911" s="50" t="s">
        <v>138</v>
      </c>
      <c r="L2911" s="50"/>
      <c r="M2911" s="50"/>
      <c r="N2911" s="50"/>
      <c r="O2911" s="51"/>
      <c r="P2911" s="50"/>
      <c r="Q2911" s="50"/>
      <c r="R2911" s="50"/>
      <c r="S2911" s="50"/>
      <c r="T2911" s="40"/>
      <c r="AG2911" s="867" t="s">
        <v>241</v>
      </c>
      <c r="AH2911" s="867" t="s">
        <v>242</v>
      </c>
      <c r="AI2911" s="867" t="s">
        <v>243</v>
      </c>
      <c r="AJ2911" s="867" t="s">
        <v>244</v>
      </c>
      <c r="AK2911" s="867" t="s">
        <v>245</v>
      </c>
      <c r="AM2911" s="868" t="s">
        <v>254</v>
      </c>
      <c r="AN2911" s="869" t="s">
        <v>255</v>
      </c>
      <c r="AO2911" s="505" t="s">
        <v>251</v>
      </c>
    </row>
    <row r="2912" spans="1:41" s="504" customFormat="1" ht="12" customHeight="1">
      <c r="A2912" s="870">
        <v>1</v>
      </c>
      <c r="B2912" s="871" t="s">
        <v>335</v>
      </c>
      <c r="C2912" s="872"/>
      <c r="D2912" s="873" t="s">
        <v>808</v>
      </c>
      <c r="E2912" s="874">
        <f ca="1">IF(AND($A2912=0,$A$1="DIF"),0, ROUND(ROUND(($R2917*$S$2+($T2917*$T$2))/A2912,2)*$C$2,2))</f>
        <v>202.49</v>
      </c>
      <c r="F2912" s="875">
        <f ca="1">ROUND($A2912*$E2912,2)</f>
        <v>202.49</v>
      </c>
      <c r="G2912" s="876" t="s">
        <v>139</v>
      </c>
      <c r="H2912" s="877"/>
      <c r="I2912" s="878"/>
      <c r="J2912" s="877"/>
      <c r="K2912" s="877" t="s">
        <v>3</v>
      </c>
      <c r="L2912" s="879" t="s">
        <v>140</v>
      </c>
      <c r="M2912" s="879"/>
      <c r="N2912" s="879"/>
      <c r="O2912" s="879"/>
      <c r="P2912" s="879"/>
      <c r="Q2912" s="50"/>
      <c r="T2912" s="880" t="str">
        <f ca="1">IF(AND($R2917=0,$T2917=0),"0.00","mu :" &amp; ROUND($F2912/$C$2/($R2917+$T2917*$D$9),2))</f>
        <v>mu :1.22</v>
      </c>
      <c r="W2912" s="507"/>
      <c r="AG2912" s="465">
        <f ca="1">IF($E2912=0,0,ROUND($R2917*$S$2*$C$2/$A2912,2))</f>
        <v>41.21</v>
      </c>
      <c r="AH2912" s="465">
        <f ca="1">$AG2912*$A2912</f>
        <v>41.21</v>
      </c>
      <c r="AI2912" s="508">
        <f ca="1">$E2912-$AG2912</f>
        <v>161.28</v>
      </c>
      <c r="AJ2912" s="508">
        <f ca="1">$A2912*$AI2912</f>
        <v>161.28</v>
      </c>
      <c r="AK2912" s="509">
        <f ca="1">ROUND(($AG2912+$AI2912)*$A2912,2)</f>
        <v>202.49</v>
      </c>
      <c r="AM2912" s="510">
        <f ca="1">ROUND(R2917,2)</f>
        <v>33.78</v>
      </c>
      <c r="AN2912" s="511">
        <f ca="1">ROUND(T2917,2)</f>
        <v>4.59</v>
      </c>
      <c r="AO2912" s="512">
        <f ca="1">ROUND(AM2912+AN2912,2)*A2912</f>
        <v>38.369999999999997</v>
      </c>
    </row>
    <row r="2913" spans="1:41" s="504" customFormat="1" ht="13.2">
      <c r="A2913" s="872"/>
      <c r="B2913"/>
      <c r="C2913" s="872"/>
      <c r="D2913" s="873" t="s">
        <v>456</v>
      </c>
      <c r="F2913" s="877"/>
      <c r="G2913" s="3"/>
      <c r="H2913" s="877"/>
      <c r="I2913" s="878"/>
      <c r="J2913" s="877"/>
      <c r="K2913" s="877" t="s">
        <v>141</v>
      </c>
      <c r="L2913" s="877"/>
      <c r="M2913" s="877"/>
      <c r="N2913" s="877"/>
      <c r="O2913" s="877"/>
      <c r="P2913" s="877"/>
      <c r="Q2913" s="50"/>
      <c r="R2913" s="513"/>
      <c r="S2913" s="881"/>
      <c r="T2913" s="877"/>
    </row>
    <row r="2914" spans="1:41" s="997" customFormat="1" ht="13.2">
      <c r="A2914"/>
      <c r="B2914" s="1065"/>
      <c r="C2914" s="1065" t="s">
        <v>1006</v>
      </c>
      <c r="D2914" s="1065" t="str">
        <f ca="1">CELL("Address",Elec_Rates!D$200)</f>
        <v>[EL25_0662B_Brittania_Hotel_Elec_Revised_Estim_B.xlsx]Elec_Rates!$D$200</v>
      </c>
      <c r="E2914" s="1066"/>
      <c r="F2914" s="1066"/>
      <c r="G2914" s="1067" t="s">
        <v>1007</v>
      </c>
      <c r="H2914" s="1067"/>
      <c r="I2914" s="1067"/>
      <c r="J2914" s="1067"/>
      <c r="K2914" s="1068"/>
      <c r="L2914" s="1066"/>
      <c r="M2914" s="1066"/>
      <c r="N2914" s="1066"/>
      <c r="O2914" s="1069"/>
      <c r="P2914" s="1066"/>
      <c r="Q2914" s="1070"/>
      <c r="R2914" s="1071"/>
      <c r="S2914" s="1070"/>
      <c r="T2914" s="1072"/>
      <c r="U2914" s="1073"/>
    </row>
    <row r="2915" spans="1:41" s="997" customFormat="1" ht="11.4">
      <c r="A2915" s="1074">
        <v>1</v>
      </c>
      <c r="B2915" s="1075">
        <v>3.5</v>
      </c>
      <c r="C2915" s="1075">
        <f>$A2915*$B2915</f>
        <v>3.5</v>
      </c>
      <c r="D2915" s="1076" t="str">
        <f>Elec_Rates!$D$200</f>
        <v>019# Lighting point in LSZH Conduit</v>
      </c>
      <c r="E2915" s="1076"/>
      <c r="F2915" s="1076" t="s">
        <v>1296</v>
      </c>
      <c r="G2915" s="1077" t="s">
        <v>1008</v>
      </c>
      <c r="H2915" s="1077"/>
      <c r="I2915" s="1077"/>
      <c r="J2915" s="1077"/>
      <c r="K2915" s="1078"/>
      <c r="L2915" s="1073"/>
      <c r="M2915" s="1073"/>
      <c r="N2915" s="1073"/>
      <c r="O2915" s="1079"/>
      <c r="P2915" s="1076"/>
      <c r="Q2915" s="1080">
        <f ca="1">$B2915*Elec_Rates!$R$200</f>
        <v>33.774999999999999</v>
      </c>
      <c r="R2915" s="1071">
        <f ca="1">$A2915*Q2915</f>
        <v>33.774999999999999</v>
      </c>
      <c r="S2915" s="1080">
        <f ca="1">$B2915*Elec_Rates!$T$200</f>
        <v>4.585</v>
      </c>
      <c r="T2915" s="1072">
        <f ca="1">$A2915*S2915</f>
        <v>4.585</v>
      </c>
      <c r="U2915" s="1081"/>
    </row>
    <row r="2916" spans="1:41" s="504" customFormat="1" ht="12">
      <c r="A2916" s="882"/>
      <c r="B2916" s="882"/>
      <c r="C2916" s="882"/>
      <c r="D2916" s="882"/>
      <c r="E2916" s="882"/>
      <c r="F2916" s="877"/>
      <c r="G2916" s="882"/>
      <c r="H2916" s="882"/>
      <c r="I2916" s="503"/>
      <c r="J2916" s="882"/>
      <c r="K2916" s="882"/>
      <c r="L2916" s="882"/>
      <c r="M2916" s="882"/>
      <c r="N2916" s="882"/>
      <c r="O2916" s="882"/>
      <c r="P2916" s="882"/>
      <c r="Q2916" s="503"/>
      <c r="R2916" s="883">
        <f>$A2916*Q2916</f>
        <v>0</v>
      </c>
      <c r="S2916" s="503"/>
      <c r="T2916" s="884">
        <f>$A2916*S2916*$T$1</f>
        <v>0</v>
      </c>
    </row>
    <row r="2917" spans="1:41" s="504" customFormat="1" ht="12.6" thickBot="1">
      <c r="A2917" s="885" t="s">
        <v>142</v>
      </c>
      <c r="B2917" s="886">
        <f>(R2916+T2916)</f>
        <v>0</v>
      </c>
      <c r="C2917" s="887"/>
      <c r="D2917" s="887"/>
      <c r="E2917" s="887"/>
      <c r="F2917" s="888"/>
      <c r="G2917" s="887" t="s">
        <v>143</v>
      </c>
      <c r="H2917" s="887"/>
      <c r="I2917" s="889"/>
      <c r="J2917" s="887"/>
      <c r="K2917" s="887" t="s">
        <v>3</v>
      </c>
      <c r="L2917" s="890" t="s">
        <v>140</v>
      </c>
      <c r="M2917" s="890"/>
      <c r="N2917" s="890"/>
      <c r="O2917" s="890"/>
      <c r="P2917" s="890"/>
      <c r="Q2917" s="891"/>
      <c r="R2917" s="892">
        <f ca="1">SUM(R2913:R2916)</f>
        <v>33.774999999999999</v>
      </c>
      <c r="S2917" s="887"/>
      <c r="T2917" s="892">
        <f ca="1">SUM(T2913:T2916)</f>
        <v>4.585</v>
      </c>
      <c r="U2917" s="514"/>
      <c r="V2917" s="514"/>
      <c r="W2917" s="514"/>
      <c r="X2917" s="514"/>
      <c r="Y2917" s="514"/>
      <c r="Z2917" s="514"/>
      <c r="AA2917" s="514"/>
      <c r="AB2917" s="514"/>
      <c r="AC2917" s="514"/>
      <c r="AD2917" s="514"/>
      <c r="AE2917" s="514"/>
      <c r="AF2917" s="514"/>
      <c r="AG2917" s="514"/>
      <c r="AH2917" s="514"/>
      <c r="AI2917" s="514"/>
      <c r="AJ2917" s="514"/>
      <c r="AK2917" s="514"/>
      <c r="AL2917" s="514"/>
      <c r="AM2917" s="514"/>
      <c r="AN2917" s="514"/>
      <c r="AO2917" s="514"/>
    </row>
    <row r="2918" spans="1:41" s="504" customFormat="1" ht="12" thickTop="1">
      <c r="A2918" s="50"/>
      <c r="B2918" s="40"/>
      <c r="C2918" s="50"/>
      <c r="E2918" s="41" t="s">
        <v>136</v>
      </c>
      <c r="F2918" s="41" t="s">
        <v>137</v>
      </c>
      <c r="G2918" s="50"/>
      <c r="H2918" s="50"/>
      <c r="I2918" s="50"/>
      <c r="J2918" s="50"/>
      <c r="K2918" s="50" t="s">
        <v>138</v>
      </c>
      <c r="L2918" s="50"/>
      <c r="M2918" s="50"/>
      <c r="N2918" s="50"/>
      <c r="O2918" s="51"/>
      <c r="P2918" s="50"/>
      <c r="Q2918" s="50"/>
      <c r="R2918" s="50"/>
      <c r="S2918" s="50"/>
      <c r="T2918" s="40"/>
      <c r="AG2918" s="867" t="s">
        <v>241</v>
      </c>
      <c r="AH2918" s="867" t="s">
        <v>242</v>
      </c>
      <c r="AI2918" s="867" t="s">
        <v>243</v>
      </c>
      <c r="AJ2918" s="867" t="s">
        <v>244</v>
      </c>
      <c r="AK2918" s="867" t="s">
        <v>245</v>
      </c>
      <c r="AM2918" s="868" t="s">
        <v>254</v>
      </c>
      <c r="AN2918" s="869" t="s">
        <v>255</v>
      </c>
      <c r="AO2918" s="505" t="s">
        <v>251</v>
      </c>
    </row>
    <row r="2919" spans="1:41" s="504" customFormat="1" ht="12" customHeight="1">
      <c r="A2919" s="870">
        <v>1</v>
      </c>
      <c r="B2919" s="871" t="s">
        <v>335</v>
      </c>
      <c r="C2919" s="872"/>
      <c r="D2919" s="873" t="s">
        <v>810</v>
      </c>
      <c r="E2919" s="874">
        <f ca="1">IF(AND($A2919=0,$A$1="DIF"),0, ROUND(ROUND(($R2924*$S$2+($T2924*$T$2))/A2919,2)*$C$2,2))</f>
        <v>144.63</v>
      </c>
      <c r="F2919" s="875">
        <f ca="1">ROUND($A2919*$E2919,2)</f>
        <v>144.63</v>
      </c>
      <c r="G2919" s="876" t="s">
        <v>139</v>
      </c>
      <c r="H2919" s="877"/>
      <c r="I2919" s="878"/>
      <c r="J2919" s="877"/>
      <c r="K2919" s="877" t="s">
        <v>3</v>
      </c>
      <c r="L2919" s="879" t="s">
        <v>140</v>
      </c>
      <c r="M2919" s="879"/>
      <c r="N2919" s="879"/>
      <c r="O2919" s="879"/>
      <c r="P2919" s="879"/>
      <c r="Q2919" s="50"/>
      <c r="T2919" s="880" t="str">
        <f ca="1">IF(AND($R2924=0,$T2924=0),"0.00","mu :" &amp; ROUND($F2919/$C$2/($R2924+$T2924*$D$9),2))</f>
        <v>mu :1.22</v>
      </c>
      <c r="W2919" s="507"/>
      <c r="AG2919" s="465">
        <f ca="1">IF($E2919=0,0,ROUND($R2924*$S$2*$C$2/$A2919,2))</f>
        <v>29.43</v>
      </c>
      <c r="AH2919" s="465">
        <f ca="1">$AG2919*$A2919</f>
        <v>29.43</v>
      </c>
      <c r="AI2919" s="508">
        <f ca="1">$E2919-$AG2919</f>
        <v>115.19999999999999</v>
      </c>
      <c r="AJ2919" s="508">
        <f ca="1">$A2919*$AI2919</f>
        <v>115.19999999999999</v>
      </c>
      <c r="AK2919" s="509">
        <f ca="1">ROUND(($AG2919+$AI2919)*$A2919,2)</f>
        <v>144.63</v>
      </c>
      <c r="AM2919" s="510">
        <f ca="1">ROUND(R2924,2)</f>
        <v>24.13</v>
      </c>
      <c r="AN2919" s="511">
        <f ca="1">ROUND(T2924,2)</f>
        <v>3.28</v>
      </c>
      <c r="AO2919" s="512">
        <f ca="1">ROUND(AM2919+AN2919,2)*A2919</f>
        <v>27.41</v>
      </c>
    </row>
    <row r="2920" spans="1:41" s="504" customFormat="1" ht="13.2">
      <c r="A2920" s="872"/>
      <c r="B2920"/>
      <c r="C2920" s="872"/>
      <c r="D2920" s="873" t="s">
        <v>448</v>
      </c>
      <c r="F2920" s="877"/>
      <c r="G2920" s="3"/>
      <c r="H2920" s="877"/>
      <c r="I2920" s="878"/>
      <c r="J2920" s="877"/>
      <c r="K2920" s="877" t="s">
        <v>141</v>
      </c>
      <c r="L2920" s="877"/>
      <c r="M2920" s="877"/>
      <c r="N2920" s="877"/>
      <c r="O2920" s="877"/>
      <c r="P2920" s="877"/>
      <c r="Q2920" s="50"/>
      <c r="R2920" s="513"/>
      <c r="S2920" s="881"/>
      <c r="T2920" s="877"/>
    </row>
    <row r="2921" spans="1:41" s="997" customFormat="1" ht="13.2">
      <c r="A2921"/>
      <c r="B2921" s="1065"/>
      <c r="C2921" s="1065" t="s">
        <v>1006</v>
      </c>
      <c r="D2921" s="1065" t="str">
        <f ca="1">CELL("Address",Elec_Rates!D$200)</f>
        <v>[EL25_0662B_Brittania_Hotel_Elec_Revised_Estim_B.xlsx]Elec_Rates!$D$200</v>
      </c>
      <c r="E2921" s="1066"/>
      <c r="F2921" s="1066"/>
      <c r="G2921" s="1067" t="s">
        <v>1007</v>
      </c>
      <c r="H2921" s="1067"/>
      <c r="I2921" s="1067"/>
      <c r="J2921" s="1067"/>
      <c r="K2921" s="1068"/>
      <c r="L2921" s="1066"/>
      <c r="M2921" s="1066"/>
      <c r="N2921" s="1066"/>
      <c r="O2921" s="1069"/>
      <c r="P2921" s="1066"/>
      <c r="Q2921" s="1070"/>
      <c r="R2921" s="1071"/>
      <c r="S2921" s="1070"/>
      <c r="T2921" s="1072"/>
      <c r="U2921" s="1073"/>
    </row>
    <row r="2922" spans="1:41" s="997" customFormat="1" ht="11.4">
      <c r="A2922" s="1074">
        <v>1</v>
      </c>
      <c r="B2922" s="1075">
        <v>2.5</v>
      </c>
      <c r="C2922" s="1075">
        <f>$A2922*$B2922</f>
        <v>2.5</v>
      </c>
      <c r="D2922" s="1076" t="str">
        <f>Elec_Rates!$D$200</f>
        <v>019# Lighting point in LSZH Conduit</v>
      </c>
      <c r="E2922" s="1076"/>
      <c r="F2922" s="1076" t="s">
        <v>1330</v>
      </c>
      <c r="G2922" s="1077" t="s">
        <v>1008</v>
      </c>
      <c r="H2922" s="1077"/>
      <c r="I2922" s="1077"/>
      <c r="J2922" s="1077"/>
      <c r="K2922" s="1078"/>
      <c r="L2922" s="1073"/>
      <c r="M2922" s="1073"/>
      <c r="N2922" s="1073"/>
      <c r="O2922" s="1079"/>
      <c r="P2922" s="1076"/>
      <c r="Q2922" s="1080">
        <f ca="1">$B2922*Elec_Rates!$R$200</f>
        <v>24.125</v>
      </c>
      <c r="R2922" s="1071">
        <f ca="1">$A2922*Q2922</f>
        <v>24.125</v>
      </c>
      <c r="S2922" s="1080">
        <f ca="1">$B2922*Elec_Rates!$T$200</f>
        <v>3.2750000000000004</v>
      </c>
      <c r="T2922" s="1072">
        <f ca="1">$A2922*S2922</f>
        <v>3.2750000000000004</v>
      </c>
      <c r="U2922" s="1081"/>
    </row>
    <row r="2923" spans="1:41" s="504" customFormat="1" ht="12">
      <c r="A2923" s="882"/>
      <c r="B2923" s="882"/>
      <c r="C2923" s="882"/>
      <c r="D2923" s="882"/>
      <c r="E2923" s="882"/>
      <c r="F2923" s="877"/>
      <c r="G2923" s="882"/>
      <c r="H2923" s="882"/>
      <c r="I2923" s="503"/>
      <c r="J2923" s="882"/>
      <c r="K2923" s="882"/>
      <c r="L2923" s="882"/>
      <c r="M2923" s="882"/>
      <c r="N2923" s="882"/>
      <c r="O2923" s="882"/>
      <c r="P2923" s="882"/>
      <c r="Q2923" s="503"/>
      <c r="R2923" s="883">
        <f>$A2923*Q2923</f>
        <v>0</v>
      </c>
      <c r="S2923" s="503"/>
      <c r="T2923" s="884">
        <f>$A2923*S2923*$T$1</f>
        <v>0</v>
      </c>
    </row>
    <row r="2924" spans="1:41" s="504" customFormat="1" ht="12.6" thickBot="1">
      <c r="A2924" s="885" t="s">
        <v>142</v>
      </c>
      <c r="B2924" s="886">
        <f>(R2923+T2923)</f>
        <v>0</v>
      </c>
      <c r="C2924" s="887"/>
      <c r="D2924" s="887"/>
      <c r="E2924" s="887"/>
      <c r="F2924" s="888"/>
      <c r="G2924" s="887" t="s">
        <v>143</v>
      </c>
      <c r="H2924" s="887"/>
      <c r="I2924" s="889"/>
      <c r="J2924" s="887"/>
      <c r="K2924" s="887" t="s">
        <v>3</v>
      </c>
      <c r="L2924" s="890" t="s">
        <v>140</v>
      </c>
      <c r="M2924" s="890"/>
      <c r="N2924" s="890"/>
      <c r="O2924" s="890"/>
      <c r="P2924" s="890"/>
      <c r="Q2924" s="891"/>
      <c r="R2924" s="892">
        <f ca="1">SUM(R2920:R2923)</f>
        <v>24.125</v>
      </c>
      <c r="S2924" s="887"/>
      <c r="T2924" s="892">
        <f ca="1">SUM(T2920:T2923)</f>
        <v>3.2750000000000004</v>
      </c>
      <c r="U2924" s="514"/>
      <c r="V2924" s="514"/>
      <c r="W2924" s="514"/>
      <c r="X2924" s="514"/>
      <c r="Y2924" s="514"/>
      <c r="Z2924" s="514"/>
      <c r="AA2924" s="514"/>
      <c r="AB2924" s="514"/>
      <c r="AC2924" s="514"/>
      <c r="AD2924" s="514"/>
      <c r="AE2924" s="514"/>
      <c r="AF2924" s="514"/>
      <c r="AG2924" s="514"/>
      <c r="AH2924" s="514"/>
      <c r="AI2924" s="514"/>
      <c r="AJ2924" s="514"/>
      <c r="AK2924" s="514"/>
      <c r="AL2924" s="514"/>
      <c r="AM2924" s="514"/>
      <c r="AN2924" s="514"/>
      <c r="AO2924" s="514"/>
    </row>
    <row r="2925" spans="1:41" s="504" customFormat="1" ht="12" thickTop="1">
      <c r="A2925" s="50"/>
      <c r="B2925" s="40"/>
      <c r="C2925" s="50"/>
      <c r="E2925" s="41" t="s">
        <v>136</v>
      </c>
      <c r="F2925" s="41" t="s">
        <v>137</v>
      </c>
      <c r="G2925" s="50"/>
      <c r="H2925" s="50"/>
      <c r="I2925" s="50"/>
      <c r="J2925" s="50"/>
      <c r="K2925" s="50" t="s">
        <v>138</v>
      </c>
      <c r="L2925" s="50"/>
      <c r="M2925" s="50"/>
      <c r="N2925" s="50"/>
      <c r="O2925" s="51"/>
      <c r="P2925" s="50"/>
      <c r="Q2925" s="50"/>
      <c r="R2925" s="50"/>
      <c r="S2925" s="50"/>
      <c r="T2925" s="40"/>
      <c r="AG2925" s="867" t="s">
        <v>241</v>
      </c>
      <c r="AH2925" s="867" t="s">
        <v>242</v>
      </c>
      <c r="AI2925" s="867" t="s">
        <v>243</v>
      </c>
      <c r="AJ2925" s="867" t="s">
        <v>244</v>
      </c>
      <c r="AK2925" s="867" t="s">
        <v>245</v>
      </c>
      <c r="AM2925" s="868" t="s">
        <v>254</v>
      </c>
      <c r="AN2925" s="869" t="s">
        <v>255</v>
      </c>
      <c r="AO2925" s="505" t="s">
        <v>251</v>
      </c>
    </row>
    <row r="2926" spans="1:41" s="504" customFormat="1" ht="12" customHeight="1">
      <c r="A2926" s="870">
        <v>1</v>
      </c>
      <c r="B2926" s="871" t="s">
        <v>335</v>
      </c>
      <c r="C2926" s="872"/>
      <c r="D2926" s="873" t="s">
        <v>812</v>
      </c>
      <c r="E2926" s="874">
        <f ca="1">IF(AND($A2926=0,$A$1="DIF"),0, ROUND(ROUND(($R2931*$S$2+($T2931*$T$2))/A2926,2)*$C$2,2))</f>
        <v>202.49</v>
      </c>
      <c r="F2926" s="875">
        <f ca="1">ROUND($A2926*$E2926,2)</f>
        <v>202.49</v>
      </c>
      <c r="G2926" s="876" t="s">
        <v>139</v>
      </c>
      <c r="H2926" s="877"/>
      <c r="I2926" s="878"/>
      <c r="J2926" s="877"/>
      <c r="K2926" s="877" t="s">
        <v>3</v>
      </c>
      <c r="L2926" s="879" t="s">
        <v>140</v>
      </c>
      <c r="M2926" s="879"/>
      <c r="N2926" s="879"/>
      <c r="O2926" s="879"/>
      <c r="P2926" s="879"/>
      <c r="Q2926" s="50"/>
      <c r="T2926" s="880" t="str">
        <f ca="1">IF(AND($R2931=0,$T2931=0),"0.00","mu :" &amp; ROUND($F2926/$C$2/($R2931+$T2931*$D$9),2))</f>
        <v>mu :1.22</v>
      </c>
      <c r="W2926" s="507"/>
      <c r="AG2926" s="465">
        <f ca="1">IF($E2926=0,0,ROUND($R2931*$S$2*$C$2/$A2926,2))</f>
        <v>41.21</v>
      </c>
      <c r="AH2926" s="465">
        <f ca="1">$AG2926*$A2926</f>
        <v>41.21</v>
      </c>
      <c r="AI2926" s="508">
        <f ca="1">$E2926-$AG2926</f>
        <v>161.28</v>
      </c>
      <c r="AJ2926" s="508">
        <f ca="1">$A2926*$AI2926</f>
        <v>161.28</v>
      </c>
      <c r="AK2926" s="509">
        <f ca="1">ROUND(($AG2926+$AI2926)*$A2926,2)</f>
        <v>202.49</v>
      </c>
      <c r="AM2926" s="510">
        <f ca="1">ROUND(R2931,2)</f>
        <v>33.78</v>
      </c>
      <c r="AN2926" s="511">
        <f ca="1">ROUND(T2931,2)</f>
        <v>4.59</v>
      </c>
      <c r="AO2926" s="512">
        <f ca="1">ROUND(AM2926+AN2926,2)*A2926</f>
        <v>38.369999999999997</v>
      </c>
    </row>
    <row r="2927" spans="1:41" s="504" customFormat="1" ht="13.2">
      <c r="A2927" s="872"/>
      <c r="B2927"/>
      <c r="C2927" s="872"/>
      <c r="D2927" s="873" t="s">
        <v>457</v>
      </c>
      <c r="F2927" s="877"/>
      <c r="G2927" s="3"/>
      <c r="H2927" s="877"/>
      <c r="I2927" s="878"/>
      <c r="J2927" s="877"/>
      <c r="K2927" s="877" t="s">
        <v>141</v>
      </c>
      <c r="L2927" s="877"/>
      <c r="M2927" s="877"/>
      <c r="N2927" s="877"/>
      <c r="O2927" s="877"/>
      <c r="P2927" s="877"/>
      <c r="Q2927" s="50"/>
      <c r="R2927" s="513"/>
      <c r="S2927" s="881"/>
      <c r="T2927" s="877"/>
    </row>
    <row r="2928" spans="1:41" s="997" customFormat="1" ht="13.2">
      <c r="A2928"/>
      <c r="B2928" s="1065"/>
      <c r="C2928" s="1065" t="s">
        <v>1006</v>
      </c>
      <c r="D2928" s="1065" t="str">
        <f ca="1">CELL("Address",Elec_Rates!D$200)</f>
        <v>[EL25_0662B_Brittania_Hotel_Elec_Revised_Estim_B.xlsx]Elec_Rates!$D$200</v>
      </c>
      <c r="E2928" s="1066"/>
      <c r="F2928" s="1066"/>
      <c r="G2928" s="1067" t="s">
        <v>1007</v>
      </c>
      <c r="H2928" s="1067"/>
      <c r="I2928" s="1067"/>
      <c r="J2928" s="1067"/>
      <c r="K2928" s="1068"/>
      <c r="L2928" s="1066"/>
      <c r="M2928" s="1066"/>
      <c r="N2928" s="1066"/>
      <c r="O2928" s="1069"/>
      <c r="P2928" s="1066"/>
      <c r="Q2928" s="1070"/>
      <c r="R2928" s="1071"/>
      <c r="S2928" s="1070"/>
      <c r="T2928" s="1072"/>
      <c r="U2928" s="1073"/>
    </row>
    <row r="2929" spans="1:41" s="997" customFormat="1" ht="11.4">
      <c r="A2929" s="1074">
        <v>1</v>
      </c>
      <c r="B2929" s="1075">
        <v>3.5</v>
      </c>
      <c r="C2929" s="1075">
        <f>$A2929*$B2929</f>
        <v>3.5</v>
      </c>
      <c r="D2929" s="1076" t="str">
        <f>Elec_Rates!$D$200</f>
        <v>019# Lighting point in LSZH Conduit</v>
      </c>
      <c r="E2929" s="1076"/>
      <c r="F2929" s="1076" t="s">
        <v>1346</v>
      </c>
      <c r="G2929" s="1077" t="s">
        <v>1008</v>
      </c>
      <c r="H2929" s="1077"/>
      <c r="I2929" s="1077"/>
      <c r="J2929" s="1077"/>
      <c r="K2929" s="1078"/>
      <c r="L2929" s="1073"/>
      <c r="M2929" s="1073"/>
      <c r="N2929" s="1073"/>
      <c r="O2929" s="1079"/>
      <c r="P2929" s="1076"/>
      <c r="Q2929" s="1080">
        <f ca="1">$B2929*Elec_Rates!$R$200</f>
        <v>33.774999999999999</v>
      </c>
      <c r="R2929" s="1071">
        <f ca="1">$A2929*Q2929</f>
        <v>33.774999999999999</v>
      </c>
      <c r="S2929" s="1080">
        <f ca="1">$B2929*Elec_Rates!$T$200</f>
        <v>4.585</v>
      </c>
      <c r="T2929" s="1072">
        <f ca="1">$A2929*S2929</f>
        <v>4.585</v>
      </c>
      <c r="U2929" s="1081"/>
    </row>
    <row r="2930" spans="1:41" s="504" customFormat="1" ht="12">
      <c r="A2930" s="882"/>
      <c r="B2930" s="882"/>
      <c r="C2930" s="882"/>
      <c r="D2930" s="882"/>
      <c r="E2930" s="882"/>
      <c r="F2930" s="877"/>
      <c r="G2930" s="882"/>
      <c r="H2930" s="882"/>
      <c r="I2930" s="503"/>
      <c r="J2930" s="882"/>
      <c r="K2930" s="882"/>
      <c r="L2930" s="882"/>
      <c r="M2930" s="882"/>
      <c r="N2930" s="882"/>
      <c r="O2930" s="882"/>
      <c r="P2930" s="882"/>
      <c r="Q2930" s="503"/>
      <c r="R2930" s="883">
        <f>$A2930*Q2930</f>
        <v>0</v>
      </c>
      <c r="S2930" s="503"/>
      <c r="T2930" s="884">
        <f>$A2930*S2930*$T$1</f>
        <v>0</v>
      </c>
    </row>
    <row r="2931" spans="1:41" s="504" customFormat="1" ht="12.6" thickBot="1">
      <c r="A2931" s="885" t="s">
        <v>142</v>
      </c>
      <c r="B2931" s="886">
        <f>(R2930+T2930)</f>
        <v>0</v>
      </c>
      <c r="C2931" s="887"/>
      <c r="D2931" s="887"/>
      <c r="E2931" s="887"/>
      <c r="F2931" s="888"/>
      <c r="G2931" s="887" t="s">
        <v>143</v>
      </c>
      <c r="H2931" s="887"/>
      <c r="I2931" s="889"/>
      <c r="J2931" s="887"/>
      <c r="K2931" s="887" t="s">
        <v>3</v>
      </c>
      <c r="L2931" s="890" t="s">
        <v>140</v>
      </c>
      <c r="M2931" s="890"/>
      <c r="N2931" s="890"/>
      <c r="O2931" s="890"/>
      <c r="P2931" s="890"/>
      <c r="Q2931" s="891"/>
      <c r="R2931" s="892">
        <f ca="1">SUM(R2927:R2930)</f>
        <v>33.774999999999999</v>
      </c>
      <c r="S2931" s="887"/>
      <c r="T2931" s="892">
        <f ca="1">SUM(T2927:T2930)</f>
        <v>4.585</v>
      </c>
      <c r="U2931" s="514"/>
      <c r="V2931" s="514"/>
      <c r="W2931" s="514"/>
      <c r="X2931" s="514"/>
      <c r="Y2931" s="514"/>
      <c r="Z2931" s="514"/>
      <c r="AA2931" s="514"/>
      <c r="AB2931" s="514"/>
      <c r="AC2931" s="514"/>
      <c r="AD2931" s="514"/>
      <c r="AE2931" s="514"/>
      <c r="AF2931" s="514"/>
      <c r="AG2931" s="514"/>
      <c r="AH2931" s="514"/>
      <c r="AI2931" s="514"/>
      <c r="AJ2931" s="514"/>
      <c r="AK2931" s="514"/>
      <c r="AL2931" s="514"/>
      <c r="AM2931" s="514"/>
      <c r="AN2931" s="514"/>
      <c r="AO2931" s="514"/>
    </row>
    <row r="2932" spans="1:41" s="504" customFormat="1" ht="12" thickTop="1">
      <c r="A2932" s="50"/>
      <c r="B2932" s="40"/>
      <c r="C2932" s="50"/>
      <c r="E2932" s="41" t="s">
        <v>136</v>
      </c>
      <c r="F2932" s="41" t="s">
        <v>137</v>
      </c>
      <c r="G2932" s="50"/>
      <c r="H2932" s="50"/>
      <c r="I2932" s="50"/>
      <c r="J2932" s="50"/>
      <c r="K2932" s="50" t="s">
        <v>138</v>
      </c>
      <c r="L2932" s="50"/>
      <c r="M2932" s="50"/>
      <c r="N2932" s="50"/>
      <c r="O2932" s="51"/>
      <c r="P2932" s="50"/>
      <c r="Q2932" s="50"/>
      <c r="R2932" s="50"/>
      <c r="S2932" s="50"/>
      <c r="T2932" s="40"/>
      <c r="AG2932" s="867" t="s">
        <v>241</v>
      </c>
      <c r="AH2932" s="867" t="s">
        <v>242</v>
      </c>
      <c r="AI2932" s="867" t="s">
        <v>243</v>
      </c>
      <c r="AJ2932" s="867" t="s">
        <v>244</v>
      </c>
      <c r="AK2932" s="867" t="s">
        <v>245</v>
      </c>
      <c r="AM2932" s="868" t="s">
        <v>254</v>
      </c>
      <c r="AN2932" s="869" t="s">
        <v>255</v>
      </c>
      <c r="AO2932" s="505" t="s">
        <v>251</v>
      </c>
    </row>
    <row r="2933" spans="1:41" s="504" customFormat="1" ht="12" customHeight="1">
      <c r="A2933" s="870">
        <v>2</v>
      </c>
      <c r="B2933" s="871" t="s">
        <v>335</v>
      </c>
      <c r="C2933" s="872"/>
      <c r="D2933" s="873" t="s">
        <v>819</v>
      </c>
      <c r="E2933" s="874">
        <f ca="1">IF(AND($A2933=0,$A$1="DIF"),0, ROUND(ROUND(($R2938*$S$2+($T2938*$T$2))/A2933,2)*$C$2,2))</f>
        <v>260.33999999999997</v>
      </c>
      <c r="F2933" s="875">
        <f ca="1">ROUND($A2933*$E2933,2)</f>
        <v>520.67999999999995</v>
      </c>
      <c r="G2933" s="876" t="s">
        <v>139</v>
      </c>
      <c r="H2933" s="877"/>
      <c r="I2933" s="878"/>
      <c r="J2933" s="877"/>
      <c r="K2933" s="877" t="s">
        <v>3</v>
      </c>
      <c r="L2933" s="879" t="s">
        <v>140</v>
      </c>
      <c r="M2933" s="879"/>
      <c r="N2933" s="879"/>
      <c r="O2933" s="879"/>
      <c r="P2933" s="879"/>
      <c r="Q2933" s="50"/>
      <c r="T2933" s="880" t="str">
        <f ca="1">IF(AND($R2938=0,$T2938=0),"0.00","mu :" &amp; ROUND($F2933/$C$2/($R2938+$T2938*$D$9),2))</f>
        <v>mu :1.22</v>
      </c>
      <c r="W2933" s="507"/>
      <c r="AG2933" s="465">
        <f ca="1">IF($E2933=0,0,ROUND($R2938*$S$2*$C$2/$A2933,2))</f>
        <v>52.98</v>
      </c>
      <c r="AH2933" s="465">
        <f ca="1">$AG2933*$A2933</f>
        <v>105.96</v>
      </c>
      <c r="AI2933" s="508">
        <f ca="1">$E2933-$AG2933</f>
        <v>207.35999999999999</v>
      </c>
      <c r="AJ2933" s="508">
        <f ca="1">$A2933*$AI2933</f>
        <v>414.71999999999997</v>
      </c>
      <c r="AK2933" s="509">
        <f ca="1">ROUND(($AG2933+$AI2933)*$A2933,2)</f>
        <v>520.67999999999995</v>
      </c>
      <c r="AM2933" s="510">
        <f ca="1">ROUND(R2938,2)</f>
        <v>86.85</v>
      </c>
      <c r="AN2933" s="511">
        <f ca="1">ROUND(T2938,2)</f>
        <v>11.79</v>
      </c>
      <c r="AO2933" s="512">
        <f ca="1">ROUND(AM2933+AN2933,2)*A2933</f>
        <v>197.28</v>
      </c>
    </row>
    <row r="2934" spans="1:41" s="504" customFormat="1" ht="13.2">
      <c r="A2934" s="872"/>
      <c r="B2934"/>
      <c r="C2934" s="872"/>
      <c r="D2934" s="873" t="s">
        <v>404</v>
      </c>
      <c r="F2934" s="877"/>
      <c r="G2934" s="3"/>
      <c r="H2934" s="877"/>
      <c r="I2934" s="878"/>
      <c r="J2934" s="877"/>
      <c r="K2934" s="877" t="s">
        <v>141</v>
      </c>
      <c r="L2934" s="877"/>
      <c r="M2934" s="877"/>
      <c r="N2934" s="877"/>
      <c r="O2934" s="877"/>
      <c r="P2934" s="877"/>
      <c r="Q2934" s="50"/>
      <c r="R2934" s="513"/>
      <c r="S2934" s="881"/>
      <c r="T2934" s="877"/>
    </row>
    <row r="2935" spans="1:41" s="997" customFormat="1" ht="13.2">
      <c r="A2935"/>
      <c r="B2935" s="1065"/>
      <c r="C2935" s="1065" t="s">
        <v>1006</v>
      </c>
      <c r="D2935" s="1065" t="str">
        <f ca="1">CELL("Address",Elec_Rates!D$200)</f>
        <v>[EL25_0662B_Brittania_Hotel_Elec_Revised_Estim_B.xlsx]Elec_Rates!$D$200</v>
      </c>
      <c r="E2935" s="1066"/>
      <c r="F2935" s="1066"/>
      <c r="G2935" s="1067" t="s">
        <v>1007</v>
      </c>
      <c r="H2935" s="1067"/>
      <c r="I2935" s="1067"/>
      <c r="J2935" s="1067"/>
      <c r="K2935" s="1068"/>
      <c r="L2935" s="1066"/>
      <c r="M2935" s="1066"/>
      <c r="N2935" s="1066"/>
      <c r="O2935" s="1069"/>
      <c r="P2935" s="1066"/>
      <c r="Q2935" s="1070"/>
      <c r="R2935" s="1071"/>
      <c r="S2935" s="1070"/>
      <c r="T2935" s="1072"/>
      <c r="U2935" s="1073"/>
    </row>
    <row r="2936" spans="1:41" s="997" customFormat="1" ht="11.4">
      <c r="A2936" s="1074">
        <v>2</v>
      </c>
      <c r="B2936" s="1075">
        <v>4.5</v>
      </c>
      <c r="C2936" s="1075">
        <f>$A2936*$B2936</f>
        <v>9</v>
      </c>
      <c r="D2936" s="1076" t="str">
        <f>Elec_Rates!$D$200</f>
        <v>019# Lighting point in LSZH Conduit</v>
      </c>
      <c r="E2936" s="1076"/>
      <c r="F2936" s="1076" t="s">
        <v>1347</v>
      </c>
      <c r="G2936" s="1077" t="s">
        <v>1008</v>
      </c>
      <c r="H2936" s="1077"/>
      <c r="I2936" s="1077"/>
      <c r="J2936" s="1077"/>
      <c r="K2936" s="1078"/>
      <c r="L2936" s="1073"/>
      <c r="M2936" s="1073"/>
      <c r="N2936" s="1073"/>
      <c r="O2936" s="1079"/>
      <c r="P2936" s="1076"/>
      <c r="Q2936" s="1080">
        <f ca="1">$B2936*Elec_Rates!$R$200</f>
        <v>43.425000000000004</v>
      </c>
      <c r="R2936" s="1071">
        <f ca="1">$A2936*Q2936</f>
        <v>86.850000000000009</v>
      </c>
      <c r="S2936" s="1080">
        <f ca="1">$B2936*Elec_Rates!$T$200</f>
        <v>5.8950000000000005</v>
      </c>
      <c r="T2936" s="1072">
        <f ca="1">$A2936*S2936</f>
        <v>11.790000000000001</v>
      </c>
      <c r="U2936" s="1081"/>
    </row>
    <row r="2937" spans="1:41" s="504" customFormat="1" ht="12">
      <c r="A2937" s="882"/>
      <c r="B2937" s="882"/>
      <c r="C2937" s="882"/>
      <c r="D2937" s="882"/>
      <c r="E2937" s="882"/>
      <c r="F2937" s="877"/>
      <c r="G2937" s="882"/>
      <c r="H2937" s="882"/>
      <c r="I2937" s="503"/>
      <c r="J2937" s="882"/>
      <c r="K2937" s="882"/>
      <c r="L2937" s="882"/>
      <c r="M2937" s="882"/>
      <c r="N2937" s="882"/>
      <c r="O2937" s="882"/>
      <c r="P2937" s="882"/>
      <c r="Q2937" s="503"/>
      <c r="R2937" s="883">
        <f>$A2937*Q2937</f>
        <v>0</v>
      </c>
      <c r="S2937" s="503"/>
      <c r="T2937" s="884">
        <f>$A2937*S2937*$T$1</f>
        <v>0</v>
      </c>
    </row>
    <row r="2938" spans="1:41" s="504" customFormat="1" ht="12.6" thickBot="1">
      <c r="A2938" s="885" t="s">
        <v>142</v>
      </c>
      <c r="B2938" s="886">
        <f>(R2937+T2937)</f>
        <v>0</v>
      </c>
      <c r="C2938" s="887"/>
      <c r="D2938" s="887"/>
      <c r="E2938" s="887"/>
      <c r="F2938" s="888"/>
      <c r="G2938" s="887" t="s">
        <v>143</v>
      </c>
      <c r="H2938" s="887"/>
      <c r="I2938" s="889"/>
      <c r="J2938" s="887"/>
      <c r="K2938" s="887" t="s">
        <v>3</v>
      </c>
      <c r="L2938" s="890" t="s">
        <v>140</v>
      </c>
      <c r="M2938" s="890"/>
      <c r="N2938" s="890"/>
      <c r="O2938" s="890"/>
      <c r="P2938" s="890"/>
      <c r="Q2938" s="891"/>
      <c r="R2938" s="892">
        <f ca="1">SUM(R2934:R2937)</f>
        <v>86.850000000000009</v>
      </c>
      <c r="S2938" s="887"/>
      <c r="T2938" s="892">
        <f ca="1">SUM(T2934:T2937)</f>
        <v>11.790000000000001</v>
      </c>
      <c r="U2938" s="514"/>
      <c r="V2938" s="514"/>
      <c r="W2938" s="514"/>
      <c r="X2938" s="514"/>
      <c r="Y2938" s="514"/>
      <c r="Z2938" s="514"/>
      <c r="AA2938" s="514"/>
      <c r="AB2938" s="514"/>
      <c r="AC2938" s="514"/>
      <c r="AD2938" s="514"/>
      <c r="AE2938" s="514"/>
      <c r="AF2938" s="514"/>
      <c r="AG2938" s="514"/>
      <c r="AH2938" s="514"/>
      <c r="AI2938" s="514"/>
      <c r="AJ2938" s="514"/>
      <c r="AK2938" s="514"/>
      <c r="AL2938" s="514"/>
      <c r="AM2938" s="514"/>
      <c r="AN2938" s="514"/>
      <c r="AO2938" s="514"/>
    </row>
    <row r="2939" spans="1:41" s="504" customFormat="1" ht="12" thickTop="1">
      <c r="A2939" s="50"/>
      <c r="B2939" s="40"/>
      <c r="C2939" s="50"/>
      <c r="E2939" s="41" t="s">
        <v>136</v>
      </c>
      <c r="F2939" s="41" t="s">
        <v>137</v>
      </c>
      <c r="G2939" s="50"/>
      <c r="H2939" s="50"/>
      <c r="I2939" s="50"/>
      <c r="J2939" s="50"/>
      <c r="K2939" s="50" t="s">
        <v>138</v>
      </c>
      <c r="L2939" s="50"/>
      <c r="M2939" s="50"/>
      <c r="N2939" s="50"/>
      <c r="O2939" s="51"/>
      <c r="P2939" s="50"/>
      <c r="Q2939" s="50"/>
      <c r="R2939" s="50"/>
      <c r="S2939" s="50"/>
      <c r="T2939" s="40"/>
      <c r="AG2939" s="867" t="s">
        <v>241</v>
      </c>
      <c r="AH2939" s="867" t="s">
        <v>242</v>
      </c>
      <c r="AI2939" s="867" t="s">
        <v>243</v>
      </c>
      <c r="AJ2939" s="867" t="s">
        <v>244</v>
      </c>
      <c r="AK2939" s="867" t="s">
        <v>245</v>
      </c>
      <c r="AM2939" s="868" t="s">
        <v>254</v>
      </c>
      <c r="AN2939" s="869" t="s">
        <v>255</v>
      </c>
      <c r="AO2939" s="505" t="s">
        <v>251</v>
      </c>
    </row>
    <row r="2940" spans="1:41" s="504" customFormat="1" ht="12" customHeight="1">
      <c r="A2940" s="870">
        <v>1</v>
      </c>
      <c r="B2940" s="871" t="s">
        <v>335</v>
      </c>
      <c r="C2940" s="872"/>
      <c r="D2940" s="873" t="s">
        <v>820</v>
      </c>
      <c r="E2940" s="874">
        <f ca="1">IF(AND($A2940=0,$A$1="DIF"),0, ROUND(ROUND(($R2945*$S$2+($T2945*$T$2))/A2940,2)*$C$2,2))</f>
        <v>144.63</v>
      </c>
      <c r="F2940" s="875">
        <f ca="1">ROUND($A2940*$E2940,2)</f>
        <v>144.63</v>
      </c>
      <c r="G2940" s="876" t="s">
        <v>139</v>
      </c>
      <c r="H2940" s="877"/>
      <c r="I2940" s="878"/>
      <c r="J2940" s="877"/>
      <c r="K2940" s="877" t="s">
        <v>3</v>
      </c>
      <c r="L2940" s="879" t="s">
        <v>140</v>
      </c>
      <c r="M2940" s="879"/>
      <c r="N2940" s="879"/>
      <c r="O2940" s="879"/>
      <c r="P2940" s="879"/>
      <c r="Q2940" s="50"/>
      <c r="T2940" s="880" t="str">
        <f ca="1">IF(AND($R2945=0,$T2945=0),"0.00","mu :" &amp; ROUND($F2940/$C$2/($R2945+$T2945*$D$9),2))</f>
        <v>mu :1.22</v>
      </c>
      <c r="W2940" s="507"/>
      <c r="AG2940" s="465">
        <f ca="1">IF($E2940=0,0,ROUND($R2945*$S$2*$C$2/$A2940,2))</f>
        <v>29.43</v>
      </c>
      <c r="AH2940" s="465">
        <f ca="1">$AG2940*$A2940</f>
        <v>29.43</v>
      </c>
      <c r="AI2940" s="508">
        <f ca="1">$E2940-$AG2940</f>
        <v>115.19999999999999</v>
      </c>
      <c r="AJ2940" s="508">
        <f ca="1">$A2940*$AI2940</f>
        <v>115.19999999999999</v>
      </c>
      <c r="AK2940" s="509">
        <f ca="1">ROUND(($AG2940+$AI2940)*$A2940,2)</f>
        <v>144.63</v>
      </c>
      <c r="AM2940" s="510">
        <f ca="1">ROUND(R2945,2)</f>
        <v>24.13</v>
      </c>
      <c r="AN2940" s="511">
        <f ca="1">ROUND(T2945,2)</f>
        <v>3.28</v>
      </c>
      <c r="AO2940" s="512">
        <f ca="1">ROUND(AM2940+AN2940,2)*A2940</f>
        <v>27.41</v>
      </c>
    </row>
    <row r="2941" spans="1:41" s="504" customFormat="1" ht="13.2">
      <c r="A2941" s="872"/>
      <c r="B2941"/>
      <c r="C2941" s="872"/>
      <c r="D2941" s="916" t="s">
        <v>435</v>
      </c>
      <c r="E2941" s="917"/>
      <c r="F2941" s="918"/>
      <c r="G2941" s="919"/>
      <c r="H2941" s="918"/>
      <c r="I2941" s="920"/>
      <c r="J2941" s="918"/>
      <c r="K2941" s="918"/>
      <c r="L2941" s="918"/>
      <c r="M2941" s="918"/>
      <c r="N2941" s="918"/>
      <c r="O2941" s="918"/>
      <c r="P2941" s="918"/>
      <c r="Q2941" s="921"/>
      <c r="R2941" s="513"/>
      <c r="S2941" s="881"/>
      <c r="T2941" s="877"/>
    </row>
    <row r="2942" spans="1:41" s="997" customFormat="1" ht="13.2">
      <c r="A2942"/>
      <c r="B2942" s="1065"/>
      <c r="C2942" s="1065" t="s">
        <v>1006</v>
      </c>
      <c r="D2942" s="1065" t="str">
        <f ca="1">CELL("Address",Elec_Rates!D$200)</f>
        <v>[EL25_0662B_Brittania_Hotel_Elec_Revised_Estim_B.xlsx]Elec_Rates!$D$200</v>
      </c>
      <c r="E2942" s="1066"/>
      <c r="F2942" s="1066"/>
      <c r="G2942" s="1067" t="s">
        <v>1007</v>
      </c>
      <c r="H2942" s="1067"/>
      <c r="I2942" s="1067"/>
      <c r="J2942" s="1067"/>
      <c r="K2942" s="1068"/>
      <c r="L2942" s="1066"/>
      <c r="M2942" s="1066"/>
      <c r="N2942" s="1066"/>
      <c r="O2942" s="1069"/>
      <c r="P2942" s="1066"/>
      <c r="Q2942" s="1070"/>
      <c r="R2942" s="1071"/>
      <c r="S2942" s="1070"/>
      <c r="T2942" s="1072"/>
      <c r="U2942" s="1073"/>
    </row>
    <row r="2943" spans="1:41" s="997" customFormat="1" ht="11.4">
      <c r="A2943" s="1074">
        <v>1</v>
      </c>
      <c r="B2943" s="1075">
        <v>2.5</v>
      </c>
      <c r="C2943" s="1075">
        <f>$A2943*$B2943</f>
        <v>2.5</v>
      </c>
      <c r="D2943" s="1076" t="str">
        <f>Elec_Rates!$D$200</f>
        <v>019# Lighting point in LSZH Conduit</v>
      </c>
      <c r="E2943" s="1076"/>
      <c r="F2943" s="1076" t="s">
        <v>1178</v>
      </c>
      <c r="G2943" s="1077" t="s">
        <v>1008</v>
      </c>
      <c r="H2943" s="1077"/>
      <c r="I2943" s="1077"/>
      <c r="J2943" s="1077"/>
      <c r="K2943" s="1078"/>
      <c r="L2943" s="1073"/>
      <c r="M2943" s="1073"/>
      <c r="N2943" s="1073"/>
      <c r="O2943" s="1079"/>
      <c r="P2943" s="1076"/>
      <c r="Q2943" s="1080">
        <f ca="1">$B2943*Elec_Rates!$R$200</f>
        <v>24.125</v>
      </c>
      <c r="R2943" s="1071">
        <f ca="1">$A2943*Q2943</f>
        <v>24.125</v>
      </c>
      <c r="S2943" s="1080">
        <f ca="1">$B2943*Elec_Rates!$T$200</f>
        <v>3.2750000000000004</v>
      </c>
      <c r="T2943" s="1072">
        <f ca="1">$A2943*S2943</f>
        <v>3.2750000000000004</v>
      </c>
      <c r="U2943" s="1081"/>
    </row>
    <row r="2944" spans="1:41" s="504" customFormat="1" ht="12">
      <c r="A2944" s="882"/>
      <c r="B2944" s="882"/>
      <c r="C2944" s="882"/>
      <c r="D2944" s="882"/>
      <c r="E2944" s="882"/>
      <c r="F2944" s="877"/>
      <c r="G2944" s="882"/>
      <c r="H2944" s="882"/>
      <c r="I2944" s="503"/>
      <c r="J2944" s="882"/>
      <c r="K2944" s="882"/>
      <c r="L2944" s="882"/>
      <c r="M2944" s="882"/>
      <c r="N2944" s="882"/>
      <c r="O2944" s="882"/>
      <c r="P2944" s="882"/>
      <c r="Q2944" s="503"/>
      <c r="R2944" s="883">
        <f>$A2944*Q2944</f>
        <v>0</v>
      </c>
      <c r="S2944" s="503"/>
      <c r="T2944" s="884">
        <f>$A2944*S2944*$T$1</f>
        <v>0</v>
      </c>
    </row>
    <row r="2945" spans="1:41" s="504" customFormat="1" ht="12.6" thickBot="1">
      <c r="A2945" s="885" t="s">
        <v>142</v>
      </c>
      <c r="B2945" s="886">
        <f>(R2944+T2944)</f>
        <v>0</v>
      </c>
      <c r="C2945" s="887"/>
      <c r="D2945" s="887"/>
      <c r="E2945" s="887"/>
      <c r="F2945" s="888"/>
      <c r="G2945" s="887" t="s">
        <v>143</v>
      </c>
      <c r="H2945" s="887"/>
      <c r="I2945" s="889"/>
      <c r="J2945" s="887"/>
      <c r="K2945" s="887" t="s">
        <v>3</v>
      </c>
      <c r="L2945" s="890" t="s">
        <v>140</v>
      </c>
      <c r="M2945" s="890"/>
      <c r="N2945" s="890"/>
      <c r="O2945" s="890"/>
      <c r="P2945" s="890"/>
      <c r="Q2945" s="891"/>
      <c r="R2945" s="892">
        <f ca="1">SUM(R2941:R2944)</f>
        <v>24.125</v>
      </c>
      <c r="S2945" s="887"/>
      <c r="T2945" s="892">
        <f ca="1">SUM(T2941:T2944)</f>
        <v>3.2750000000000004</v>
      </c>
      <c r="U2945" s="514"/>
      <c r="V2945" s="514"/>
      <c r="W2945" s="514"/>
      <c r="X2945" s="514"/>
      <c r="Y2945" s="514"/>
      <c r="Z2945" s="514"/>
      <c r="AA2945" s="514"/>
      <c r="AB2945" s="514"/>
      <c r="AC2945" s="514"/>
      <c r="AD2945" s="514"/>
      <c r="AE2945" s="514"/>
      <c r="AF2945" s="514"/>
      <c r="AG2945" s="514"/>
      <c r="AH2945" s="514"/>
      <c r="AI2945" s="514"/>
      <c r="AJ2945" s="514"/>
      <c r="AK2945" s="514"/>
      <c r="AL2945" s="514"/>
      <c r="AM2945" s="514"/>
      <c r="AN2945" s="514"/>
      <c r="AO2945" s="514"/>
    </row>
    <row r="2946" spans="1:41" s="504" customFormat="1" ht="12" thickTop="1">
      <c r="A2946" s="50"/>
      <c r="B2946" s="40"/>
      <c r="C2946" s="50"/>
      <c r="E2946" s="41" t="s">
        <v>136</v>
      </c>
      <c r="F2946" s="41" t="s">
        <v>137</v>
      </c>
      <c r="G2946" s="50"/>
      <c r="H2946" s="50"/>
      <c r="I2946" s="50"/>
      <c r="J2946" s="50"/>
      <c r="K2946" s="50" t="s">
        <v>138</v>
      </c>
      <c r="L2946" s="50"/>
      <c r="M2946" s="50"/>
      <c r="N2946" s="50"/>
      <c r="O2946" s="51"/>
      <c r="P2946" s="50"/>
      <c r="Q2946" s="50"/>
      <c r="R2946" s="50"/>
      <c r="S2946" s="50"/>
      <c r="T2946" s="40"/>
      <c r="AG2946" s="867" t="s">
        <v>241</v>
      </c>
      <c r="AH2946" s="867" t="s">
        <v>242</v>
      </c>
      <c r="AI2946" s="867" t="s">
        <v>243</v>
      </c>
      <c r="AJ2946" s="867" t="s">
        <v>244</v>
      </c>
      <c r="AK2946" s="867" t="s">
        <v>245</v>
      </c>
      <c r="AM2946" s="868" t="s">
        <v>254</v>
      </c>
      <c r="AN2946" s="869" t="s">
        <v>255</v>
      </c>
      <c r="AO2946" s="505" t="s">
        <v>251</v>
      </c>
    </row>
    <row r="2947" spans="1:41" s="504" customFormat="1" ht="12" customHeight="1">
      <c r="A2947" s="870">
        <v>1</v>
      </c>
      <c r="B2947" s="871" t="s">
        <v>335</v>
      </c>
      <c r="C2947" s="872"/>
      <c r="D2947" s="873" t="s">
        <v>821</v>
      </c>
      <c r="E2947" s="874">
        <f ca="1">IF(AND($A2947=0,$A$1="DIF"),0, ROUND(ROUND(($R2952*$S$2+($T2952*$T$2))/A2947,2)*$C$2,2))</f>
        <v>173.56</v>
      </c>
      <c r="F2947" s="875">
        <f ca="1">ROUND($A2947*$E2947,2)</f>
        <v>173.56</v>
      </c>
      <c r="G2947" s="876" t="s">
        <v>139</v>
      </c>
      <c r="H2947" s="877"/>
      <c r="I2947" s="878"/>
      <c r="J2947" s="877"/>
      <c r="K2947" s="877" t="s">
        <v>3</v>
      </c>
      <c r="L2947" s="879" t="s">
        <v>140</v>
      </c>
      <c r="M2947" s="879"/>
      <c r="N2947" s="879"/>
      <c r="O2947" s="879"/>
      <c r="P2947" s="879"/>
      <c r="Q2947" s="50"/>
      <c r="T2947" s="880" t="str">
        <f ca="1">IF(AND($R2952=0,$T2952=0),"0.00","mu :" &amp; ROUND($F2947/$C$2/($R2952+$T2952*$D$9),2))</f>
        <v>mu :1.22</v>
      </c>
      <c r="W2947" s="507"/>
      <c r="AG2947" s="465">
        <f ca="1">IF($E2947=0,0,ROUND($R2952*$S$2*$C$2/$A2947,2))</f>
        <v>35.32</v>
      </c>
      <c r="AH2947" s="465">
        <f ca="1">$AG2947*$A2947</f>
        <v>35.32</v>
      </c>
      <c r="AI2947" s="508">
        <f ca="1">$E2947-$AG2947</f>
        <v>138.24</v>
      </c>
      <c r="AJ2947" s="508">
        <f ca="1">$A2947*$AI2947</f>
        <v>138.24</v>
      </c>
      <c r="AK2947" s="509">
        <f ca="1">ROUND(($AG2947+$AI2947)*$A2947,2)</f>
        <v>173.56</v>
      </c>
      <c r="AM2947" s="510">
        <f ca="1">ROUND(R2952,2)</f>
        <v>28.95</v>
      </c>
      <c r="AN2947" s="511">
        <f ca="1">ROUND(T2952,2)</f>
        <v>3.93</v>
      </c>
      <c r="AO2947" s="512">
        <f ca="1">ROUND(AM2947+AN2947,2)*A2947</f>
        <v>32.880000000000003</v>
      </c>
    </row>
    <row r="2948" spans="1:41" s="504" customFormat="1" ht="13.2">
      <c r="A2948" s="872"/>
      <c r="B2948"/>
      <c r="C2948" s="872"/>
      <c r="D2948" s="916" t="s">
        <v>402</v>
      </c>
      <c r="E2948" s="917"/>
      <c r="F2948" s="918"/>
      <c r="G2948" s="919"/>
      <c r="H2948" s="918"/>
      <c r="I2948" s="920"/>
      <c r="J2948" s="918"/>
      <c r="K2948" s="918"/>
      <c r="L2948" s="918"/>
      <c r="M2948" s="918"/>
      <c r="N2948" s="918"/>
      <c r="O2948" s="918"/>
      <c r="P2948" s="918"/>
      <c r="Q2948" s="921"/>
      <c r="R2948" s="513"/>
      <c r="S2948" s="881"/>
      <c r="T2948" s="877"/>
    </row>
    <row r="2949" spans="1:41" s="997" customFormat="1" ht="13.2">
      <c r="A2949"/>
      <c r="B2949" s="1065"/>
      <c r="C2949" s="1065" t="s">
        <v>1006</v>
      </c>
      <c r="D2949" s="1065" t="str">
        <f ca="1">CELL("Address",Elec_Rates!D$200)</f>
        <v>[EL25_0662B_Brittania_Hotel_Elec_Revised_Estim_B.xlsx]Elec_Rates!$D$200</v>
      </c>
      <c r="E2949" s="1066"/>
      <c r="F2949" s="1066"/>
      <c r="G2949" s="1067" t="s">
        <v>1007</v>
      </c>
      <c r="H2949" s="1067"/>
      <c r="I2949" s="1067"/>
      <c r="J2949" s="1067"/>
      <c r="K2949" s="1068"/>
      <c r="L2949" s="1066"/>
      <c r="M2949" s="1066"/>
      <c r="N2949" s="1066"/>
      <c r="O2949" s="1069"/>
      <c r="P2949" s="1066"/>
      <c r="Q2949" s="1070"/>
      <c r="R2949" s="1071"/>
      <c r="S2949" s="1070"/>
      <c r="T2949" s="1072"/>
      <c r="U2949" s="1073"/>
    </row>
    <row r="2950" spans="1:41" s="997" customFormat="1" ht="11.4">
      <c r="A2950" s="1074">
        <v>1</v>
      </c>
      <c r="B2950" s="1075">
        <v>3</v>
      </c>
      <c r="C2950" s="1075">
        <f>$A2950*$B2950</f>
        <v>3</v>
      </c>
      <c r="D2950" s="1076" t="str">
        <f>Elec_Rates!$D$200</f>
        <v>019# Lighting point in LSZH Conduit</v>
      </c>
      <c r="E2950" s="1076"/>
      <c r="F2950" s="1076" t="s">
        <v>1332</v>
      </c>
      <c r="G2950" s="1077" t="s">
        <v>1008</v>
      </c>
      <c r="H2950" s="1077"/>
      <c r="I2950" s="1077"/>
      <c r="J2950" s="1077"/>
      <c r="K2950" s="1078"/>
      <c r="L2950" s="1073"/>
      <c r="M2950" s="1073"/>
      <c r="N2950" s="1073"/>
      <c r="O2950" s="1079"/>
      <c r="P2950" s="1076"/>
      <c r="Q2950" s="1080">
        <f ca="1">$B2950*Elec_Rates!$R$200</f>
        <v>28.950000000000003</v>
      </c>
      <c r="R2950" s="1071">
        <f ca="1">$A2950*Q2950</f>
        <v>28.950000000000003</v>
      </c>
      <c r="S2950" s="1080">
        <f ca="1">$B2950*Elec_Rates!$T$200</f>
        <v>3.93</v>
      </c>
      <c r="T2950" s="1072">
        <f ca="1">$A2950*S2950</f>
        <v>3.93</v>
      </c>
      <c r="U2950" s="1081"/>
    </row>
    <row r="2951" spans="1:41" s="504" customFormat="1" ht="12">
      <c r="A2951" s="882"/>
      <c r="B2951" s="882"/>
      <c r="C2951" s="882"/>
      <c r="D2951" s="882"/>
      <c r="E2951" s="882"/>
      <c r="F2951" s="877"/>
      <c r="G2951" s="882"/>
      <c r="H2951" s="882"/>
      <c r="I2951" s="503"/>
      <c r="J2951" s="882"/>
      <c r="K2951" s="882"/>
      <c r="L2951" s="882"/>
      <c r="M2951" s="882"/>
      <c r="N2951" s="882"/>
      <c r="O2951" s="882"/>
      <c r="P2951" s="882"/>
      <c r="Q2951" s="503"/>
      <c r="R2951" s="883">
        <f>$A2951*Q2951</f>
        <v>0</v>
      </c>
      <c r="S2951" s="503"/>
      <c r="T2951" s="884">
        <f>$A2951*S2951*$T$1</f>
        <v>0</v>
      </c>
    </row>
    <row r="2952" spans="1:41" s="504" customFormat="1" ht="12.6" thickBot="1">
      <c r="A2952" s="885" t="s">
        <v>142</v>
      </c>
      <c r="B2952" s="886">
        <f>(R2951+T2951)</f>
        <v>0</v>
      </c>
      <c r="C2952" s="887"/>
      <c r="D2952" s="887"/>
      <c r="E2952" s="887"/>
      <c r="F2952" s="888"/>
      <c r="G2952" s="887" t="s">
        <v>143</v>
      </c>
      <c r="H2952" s="887"/>
      <c r="I2952" s="889"/>
      <c r="J2952" s="887"/>
      <c r="K2952" s="887" t="s">
        <v>3</v>
      </c>
      <c r="L2952" s="890" t="s">
        <v>140</v>
      </c>
      <c r="M2952" s="890"/>
      <c r="N2952" s="890"/>
      <c r="O2952" s="890"/>
      <c r="P2952" s="890"/>
      <c r="Q2952" s="891"/>
      <c r="R2952" s="892">
        <f ca="1">SUM(R2948:R2951)</f>
        <v>28.950000000000003</v>
      </c>
      <c r="S2952" s="887"/>
      <c r="T2952" s="892">
        <f ca="1">SUM(T2948:T2951)</f>
        <v>3.93</v>
      </c>
      <c r="U2952" s="514"/>
      <c r="V2952" s="514"/>
      <c r="W2952" s="514"/>
      <c r="X2952" s="514"/>
      <c r="Y2952" s="514"/>
      <c r="Z2952" s="514"/>
      <c r="AA2952" s="514"/>
      <c r="AB2952" s="514"/>
      <c r="AC2952" s="514"/>
      <c r="AD2952" s="514"/>
      <c r="AE2952" s="514"/>
      <c r="AF2952" s="514"/>
      <c r="AG2952" s="514"/>
      <c r="AH2952" s="514"/>
      <c r="AI2952" s="514"/>
      <c r="AJ2952" s="514"/>
      <c r="AK2952" s="514"/>
      <c r="AL2952" s="514"/>
      <c r="AM2952" s="514"/>
      <c r="AN2952" s="514"/>
      <c r="AO2952" s="514"/>
    </row>
    <row r="2953" spans="1:41" s="504" customFormat="1" ht="12" thickTop="1">
      <c r="A2953" s="50"/>
      <c r="B2953" s="40"/>
      <c r="C2953" s="50"/>
      <c r="E2953" s="41" t="s">
        <v>136</v>
      </c>
      <c r="F2953" s="41" t="s">
        <v>137</v>
      </c>
      <c r="G2953" s="50"/>
      <c r="H2953" s="50"/>
      <c r="I2953" s="50"/>
      <c r="J2953" s="50"/>
      <c r="K2953" s="50" t="s">
        <v>138</v>
      </c>
      <c r="L2953" s="50"/>
      <c r="M2953" s="50"/>
      <c r="N2953" s="50"/>
      <c r="O2953" s="51"/>
      <c r="P2953" s="50"/>
      <c r="Q2953" s="50"/>
      <c r="R2953" s="50"/>
      <c r="S2953" s="50"/>
      <c r="T2953" s="40"/>
      <c r="AG2953" s="867" t="s">
        <v>241</v>
      </c>
      <c r="AH2953" s="867" t="s">
        <v>242</v>
      </c>
      <c r="AI2953" s="867" t="s">
        <v>243</v>
      </c>
      <c r="AJ2953" s="867" t="s">
        <v>244</v>
      </c>
      <c r="AK2953" s="867" t="s">
        <v>245</v>
      </c>
      <c r="AM2953" s="868" t="s">
        <v>254</v>
      </c>
      <c r="AN2953" s="869" t="s">
        <v>255</v>
      </c>
      <c r="AO2953" s="505" t="s">
        <v>251</v>
      </c>
    </row>
    <row r="2954" spans="1:41" s="504" customFormat="1" ht="12" customHeight="1">
      <c r="A2954" s="870">
        <v>1</v>
      </c>
      <c r="B2954" s="871" t="s">
        <v>335</v>
      </c>
      <c r="C2954" s="872"/>
      <c r="D2954" s="873" t="s">
        <v>822</v>
      </c>
      <c r="E2954" s="874">
        <f ca="1">IF(AND($A2954=0,$A$1="DIF"),0, ROUND(ROUND(($R2959*$S$2+($T2959*$T$2))/A2954,2)*$C$2,2))</f>
        <v>202.49</v>
      </c>
      <c r="F2954" s="875">
        <f ca="1">ROUND($A2954*$E2954,2)</f>
        <v>202.49</v>
      </c>
      <c r="G2954" s="876" t="s">
        <v>139</v>
      </c>
      <c r="H2954" s="877"/>
      <c r="I2954" s="878"/>
      <c r="J2954" s="877"/>
      <c r="K2954" s="877" t="s">
        <v>3</v>
      </c>
      <c r="L2954" s="879" t="s">
        <v>140</v>
      </c>
      <c r="M2954" s="879"/>
      <c r="N2954" s="879"/>
      <c r="O2954" s="879"/>
      <c r="P2954" s="879"/>
      <c r="Q2954" s="50"/>
      <c r="T2954" s="880" t="str">
        <f ca="1">IF(AND($R2959=0,$T2959=0),"0.00","mu :" &amp; ROUND($F2954/$C$2/($R2959+$T2959*$D$9),2))</f>
        <v>mu :1.22</v>
      </c>
      <c r="W2954" s="507"/>
      <c r="AG2954" s="465">
        <f ca="1">IF($E2954=0,0,ROUND($R2959*$S$2*$C$2/$A2954,2))</f>
        <v>41.21</v>
      </c>
      <c r="AH2954" s="465">
        <f ca="1">$AG2954*$A2954</f>
        <v>41.21</v>
      </c>
      <c r="AI2954" s="508">
        <f ca="1">$E2954-$AG2954</f>
        <v>161.28</v>
      </c>
      <c r="AJ2954" s="508">
        <f ca="1">$A2954*$AI2954</f>
        <v>161.28</v>
      </c>
      <c r="AK2954" s="509">
        <f ca="1">ROUND(($AG2954+$AI2954)*$A2954,2)</f>
        <v>202.49</v>
      </c>
      <c r="AM2954" s="510">
        <f ca="1">ROUND(R2959,2)</f>
        <v>33.78</v>
      </c>
      <c r="AN2954" s="511">
        <f ca="1">ROUND(T2959,2)</f>
        <v>4.59</v>
      </c>
      <c r="AO2954" s="512">
        <f ca="1">ROUND(AM2954+AN2954,2)*A2954</f>
        <v>38.369999999999997</v>
      </c>
    </row>
    <row r="2955" spans="1:41" s="504" customFormat="1" ht="13.2">
      <c r="A2955" s="872"/>
      <c r="B2955"/>
      <c r="C2955" s="872"/>
      <c r="D2955" s="916" t="s">
        <v>403</v>
      </c>
      <c r="E2955" s="917"/>
      <c r="F2955" s="918"/>
      <c r="G2955" s="919"/>
      <c r="H2955" s="918"/>
      <c r="I2955" s="920"/>
      <c r="J2955" s="918"/>
      <c r="K2955" s="918"/>
      <c r="L2955" s="918"/>
      <c r="M2955" s="918"/>
      <c r="N2955" s="918"/>
      <c r="O2955" s="918"/>
      <c r="P2955" s="918"/>
      <c r="Q2955" s="921"/>
      <c r="R2955" s="513"/>
      <c r="S2955" s="881"/>
      <c r="T2955" s="877"/>
    </row>
    <row r="2956" spans="1:41" s="997" customFormat="1" ht="13.2">
      <c r="A2956"/>
      <c r="B2956" s="1065"/>
      <c r="C2956" s="1065" t="s">
        <v>1006</v>
      </c>
      <c r="D2956" s="1065" t="str">
        <f ca="1">CELL("Address",Elec_Rates!D$200)</f>
        <v>[EL25_0662B_Brittania_Hotel_Elec_Revised_Estim_B.xlsx]Elec_Rates!$D$200</v>
      </c>
      <c r="E2956" s="1066"/>
      <c r="F2956" s="1066"/>
      <c r="G2956" s="1067" t="s">
        <v>1007</v>
      </c>
      <c r="H2956" s="1067"/>
      <c r="I2956" s="1067"/>
      <c r="J2956" s="1067"/>
      <c r="K2956" s="1068"/>
      <c r="L2956" s="1066"/>
      <c r="M2956" s="1066"/>
      <c r="N2956" s="1066"/>
      <c r="O2956" s="1069"/>
      <c r="P2956" s="1066"/>
      <c r="Q2956" s="1070"/>
      <c r="R2956" s="1071"/>
      <c r="S2956" s="1070"/>
      <c r="T2956" s="1072"/>
      <c r="U2956" s="1073"/>
    </row>
    <row r="2957" spans="1:41" s="997" customFormat="1" ht="11.4">
      <c r="A2957" s="1074">
        <v>1</v>
      </c>
      <c r="B2957" s="1075">
        <v>3.5</v>
      </c>
      <c r="C2957" s="1075">
        <f>$A2957*$B2957</f>
        <v>3.5</v>
      </c>
      <c r="D2957" s="1076" t="str">
        <f>Elec_Rates!$D$200</f>
        <v>019# Lighting point in LSZH Conduit</v>
      </c>
      <c r="E2957" s="1076"/>
      <c r="F2957" s="1076" t="s">
        <v>1331</v>
      </c>
      <c r="G2957" s="1077" t="s">
        <v>1008</v>
      </c>
      <c r="H2957" s="1077"/>
      <c r="I2957" s="1077"/>
      <c r="J2957" s="1077"/>
      <c r="K2957" s="1078"/>
      <c r="L2957" s="1073"/>
      <c r="M2957" s="1073"/>
      <c r="N2957" s="1073"/>
      <c r="O2957" s="1079"/>
      <c r="P2957" s="1076"/>
      <c r="Q2957" s="1080">
        <f ca="1">$B2957*Elec_Rates!$R$200</f>
        <v>33.774999999999999</v>
      </c>
      <c r="R2957" s="1071">
        <f ca="1">$A2957*Q2957</f>
        <v>33.774999999999999</v>
      </c>
      <c r="S2957" s="1080">
        <f ca="1">$B2957*Elec_Rates!$T$200</f>
        <v>4.585</v>
      </c>
      <c r="T2957" s="1072">
        <f ca="1">$A2957*S2957</f>
        <v>4.585</v>
      </c>
      <c r="U2957" s="1081"/>
    </row>
    <row r="2958" spans="1:41" s="504" customFormat="1" ht="12">
      <c r="A2958" s="882"/>
      <c r="B2958" s="882"/>
      <c r="C2958" s="882"/>
      <c r="D2958" s="882"/>
      <c r="E2958" s="882"/>
      <c r="F2958" s="877"/>
      <c r="G2958" s="882"/>
      <c r="H2958" s="882"/>
      <c r="I2958" s="503"/>
      <c r="J2958" s="882"/>
      <c r="K2958" s="882"/>
      <c r="L2958" s="882"/>
      <c r="M2958" s="882"/>
      <c r="N2958" s="882"/>
      <c r="O2958" s="882"/>
      <c r="P2958" s="882"/>
      <c r="Q2958" s="503"/>
      <c r="R2958" s="883">
        <f>$A2958*Q2958</f>
        <v>0</v>
      </c>
      <c r="S2958" s="503"/>
      <c r="T2958" s="884">
        <f>$A2958*S2958*$T$1</f>
        <v>0</v>
      </c>
    </row>
    <row r="2959" spans="1:41" s="504" customFormat="1" ht="12.6" thickBot="1">
      <c r="A2959" s="885" t="s">
        <v>142</v>
      </c>
      <c r="B2959" s="886">
        <f>(R2958+T2958)</f>
        <v>0</v>
      </c>
      <c r="C2959" s="887"/>
      <c r="D2959" s="887"/>
      <c r="E2959" s="887"/>
      <c r="F2959" s="888"/>
      <c r="G2959" s="887" t="s">
        <v>143</v>
      </c>
      <c r="H2959" s="887"/>
      <c r="I2959" s="889"/>
      <c r="J2959" s="887"/>
      <c r="K2959" s="887" t="s">
        <v>3</v>
      </c>
      <c r="L2959" s="890" t="s">
        <v>140</v>
      </c>
      <c r="M2959" s="890"/>
      <c r="N2959" s="890"/>
      <c r="O2959" s="890"/>
      <c r="P2959" s="890"/>
      <c r="Q2959" s="891"/>
      <c r="R2959" s="892">
        <f ca="1">SUM(R2955:R2958)</f>
        <v>33.774999999999999</v>
      </c>
      <c r="S2959" s="887"/>
      <c r="T2959" s="892">
        <f ca="1">SUM(T2955:T2958)</f>
        <v>4.585</v>
      </c>
      <c r="U2959" s="514"/>
      <c r="V2959" s="514"/>
      <c r="W2959" s="514"/>
      <c r="X2959" s="514"/>
      <c r="Y2959" s="514"/>
      <c r="Z2959" s="514"/>
      <c r="AA2959" s="514"/>
      <c r="AB2959" s="514"/>
      <c r="AC2959" s="514"/>
      <c r="AD2959" s="514"/>
      <c r="AE2959" s="514"/>
      <c r="AF2959" s="514"/>
      <c r="AG2959" s="514"/>
      <c r="AH2959" s="514"/>
      <c r="AI2959" s="514"/>
      <c r="AJ2959" s="514"/>
      <c r="AK2959" s="514"/>
      <c r="AL2959" s="514"/>
      <c r="AM2959" s="514"/>
      <c r="AN2959" s="514"/>
      <c r="AO2959" s="514"/>
    </row>
    <row r="2960" spans="1:41" s="504" customFormat="1" ht="12" thickTop="1">
      <c r="A2960" s="50"/>
      <c r="B2960" s="40"/>
      <c r="C2960" s="50"/>
      <c r="E2960" s="41" t="s">
        <v>136</v>
      </c>
      <c r="F2960" s="41" t="s">
        <v>137</v>
      </c>
      <c r="G2960" s="50"/>
      <c r="H2960" s="50"/>
      <c r="I2960" s="50"/>
      <c r="J2960" s="50"/>
      <c r="K2960" s="50" t="s">
        <v>138</v>
      </c>
      <c r="L2960" s="50"/>
      <c r="M2960" s="50"/>
      <c r="N2960" s="50"/>
      <c r="O2960" s="51"/>
      <c r="P2960" s="50"/>
      <c r="Q2960" s="50"/>
      <c r="R2960" s="50"/>
      <c r="S2960" s="50"/>
      <c r="T2960" s="40"/>
      <c r="AG2960" s="867" t="s">
        <v>241</v>
      </c>
      <c r="AH2960" s="867" t="s">
        <v>242</v>
      </c>
      <c r="AI2960" s="867" t="s">
        <v>243</v>
      </c>
      <c r="AJ2960" s="867" t="s">
        <v>244</v>
      </c>
      <c r="AK2960" s="867" t="s">
        <v>245</v>
      </c>
      <c r="AM2960" s="868" t="s">
        <v>254</v>
      </c>
      <c r="AN2960" s="869" t="s">
        <v>255</v>
      </c>
      <c r="AO2960" s="505" t="s">
        <v>251</v>
      </c>
    </row>
    <row r="2961" spans="1:41" s="504" customFormat="1" ht="12" customHeight="1">
      <c r="A2961" s="870">
        <v>3</v>
      </c>
      <c r="B2961" s="871" t="s">
        <v>335</v>
      </c>
      <c r="C2961" s="872"/>
      <c r="D2961" s="873" t="s">
        <v>823</v>
      </c>
      <c r="E2961" s="874">
        <f ca="1">IF(AND($A2961=0,$A$1="DIF"),0, ROUND(ROUND(($R2970*$S$2+($T2970*$T$2))/A2961,2)*$C$2,2))</f>
        <v>288.58999999999997</v>
      </c>
      <c r="F2961" s="875">
        <f ca="1">ROUND($A2961*$E2961,2)</f>
        <v>865.77</v>
      </c>
      <c r="G2961" s="876" t="s">
        <v>139</v>
      </c>
      <c r="H2961" s="877"/>
      <c r="I2961" s="878"/>
      <c r="J2961" s="877"/>
      <c r="K2961" s="877" t="s">
        <v>3</v>
      </c>
      <c r="L2961" s="879" t="s">
        <v>140</v>
      </c>
      <c r="M2961" s="879"/>
      <c r="N2961" s="879"/>
      <c r="O2961" s="879"/>
      <c r="P2961" s="879"/>
      <c r="Q2961" s="50"/>
      <c r="T2961" s="880" t="str">
        <f ca="1">IF(AND($R2970=0,$T2970=0),"0.00","mu :" &amp; ROUND($F2961/$C$2/($R2970+$T2970*$D$9),2))</f>
        <v>mu :1.22</v>
      </c>
      <c r="W2961" s="507"/>
      <c r="AG2961" s="465">
        <f ca="1">IF($E2961=0,0,ROUND($R2970*$S$2*$C$2/$A2961,2))</f>
        <v>136.80000000000001</v>
      </c>
      <c r="AH2961" s="465">
        <f ca="1">$AG2961*$A2961</f>
        <v>410.40000000000003</v>
      </c>
      <c r="AI2961" s="508">
        <f ca="1">$E2961-$AG2961</f>
        <v>151.78999999999996</v>
      </c>
      <c r="AJ2961" s="508">
        <f ca="1">$A2961*$AI2961</f>
        <v>455.36999999999989</v>
      </c>
      <c r="AK2961" s="509">
        <f ca="1">ROUND(($AG2961+$AI2961)*$A2961,2)</f>
        <v>865.77</v>
      </c>
      <c r="AM2961" s="510">
        <f ca="1">ROUND(R2970,2)</f>
        <v>336.41</v>
      </c>
      <c r="AN2961" s="511">
        <f ca="1">ROUND(T2970,2)</f>
        <v>12.95</v>
      </c>
      <c r="AO2961" s="512">
        <f ca="1">ROUND(AM2961+AN2961,2)*A2961</f>
        <v>1048.08</v>
      </c>
    </row>
    <row r="2962" spans="1:41" s="504" customFormat="1" ht="13.2">
      <c r="A2962" s="872"/>
      <c r="B2962"/>
      <c r="C2962" s="872"/>
      <c r="D2962" s="916" t="s">
        <v>449</v>
      </c>
      <c r="E2962" s="917"/>
      <c r="F2962" s="918"/>
      <c r="G2962" s="919"/>
      <c r="H2962" s="918"/>
      <c r="I2962" s="920"/>
      <c r="J2962" s="918"/>
      <c r="K2962" s="918"/>
      <c r="L2962" s="918"/>
      <c r="M2962" s="918"/>
      <c r="N2962" s="918"/>
      <c r="O2962" s="918"/>
      <c r="P2962" s="918"/>
      <c r="Q2962" s="921"/>
      <c r="R2962" s="513"/>
      <c r="S2962" s="881"/>
      <c r="T2962" s="877"/>
    </row>
    <row r="2963" spans="1:41" s="997" customFormat="1" ht="13.2">
      <c r="A2963"/>
      <c r="B2963" s="1065"/>
      <c r="C2963" s="1065" t="s">
        <v>1006</v>
      </c>
      <c r="D2963" s="1065" t="str">
        <f ca="1">CELL("Address",Elec_Rates!D$200)</f>
        <v>[EL25_0662B_Brittania_Hotel_Elec_Revised_Estim_B.xlsx]Elec_Rates!$D$200</v>
      </c>
      <c r="E2963" s="1066"/>
      <c r="F2963" s="1066"/>
      <c r="G2963" s="1067" t="s">
        <v>1007</v>
      </c>
      <c r="H2963" s="1067"/>
      <c r="I2963" s="1067"/>
      <c r="J2963" s="1067"/>
      <c r="K2963" s="1068"/>
      <c r="L2963" s="1066"/>
      <c r="M2963" s="1066"/>
      <c r="N2963" s="1066"/>
      <c r="O2963" s="1069"/>
      <c r="P2963" s="1066"/>
      <c r="Q2963" s="1070"/>
      <c r="R2963" s="1071"/>
      <c r="S2963" s="1070"/>
      <c r="T2963" s="1072"/>
      <c r="U2963" s="1073"/>
    </row>
    <row r="2964" spans="1:41" s="997" customFormat="1" ht="11.4">
      <c r="A2964" s="1074">
        <v>3</v>
      </c>
      <c r="B2964" s="1075">
        <v>2.5</v>
      </c>
      <c r="C2964" s="1075">
        <f>$A2964*$B2964</f>
        <v>7.5</v>
      </c>
      <c r="D2964" s="1076" t="str">
        <f>Elec_Rates!$D$200</f>
        <v>019# Lighting point in LSZH Conduit</v>
      </c>
      <c r="E2964" s="1076"/>
      <c r="F2964" s="1076"/>
      <c r="G2964" s="1077" t="s">
        <v>1008</v>
      </c>
      <c r="H2964" s="1077"/>
      <c r="I2964" s="1077"/>
      <c r="J2964" s="1077"/>
      <c r="K2964" s="1078"/>
      <c r="L2964" s="1073"/>
      <c r="M2964" s="1073"/>
      <c r="N2964" s="1073"/>
      <c r="O2964" s="1079"/>
      <c r="P2964" s="1076"/>
      <c r="Q2964" s="1080">
        <f ca="1">$B2964*Elec_Rates!$R$200</f>
        <v>24.125</v>
      </c>
      <c r="R2964" s="1071">
        <f ca="1">$A2964*Q2964</f>
        <v>72.375</v>
      </c>
      <c r="S2964" s="1080">
        <f ca="1">$B2964*Elec_Rates!$T$200</f>
        <v>3.2750000000000004</v>
      </c>
      <c r="T2964" s="1072">
        <f ca="1">$A2964*S2964</f>
        <v>9.8250000000000011</v>
      </c>
      <c r="U2964" s="1081"/>
    </row>
    <row r="2965" spans="1:41" s="997" customFormat="1" ht="13.2">
      <c r="A2965"/>
      <c r="B2965" s="1065"/>
      <c r="C2965" s="1065" t="s">
        <v>1006</v>
      </c>
      <c r="D2965" s="1065" t="str">
        <f ca="1">CELL("Address",Elec_Rates!D$210)</f>
        <v>[EL25_0662B_Brittania_Hotel_Elec_Revised_Estim_B.xlsx]Elec_Rates!$D$210</v>
      </c>
      <c r="E2965" s="1066"/>
      <c r="F2965" s="1066"/>
      <c r="G2965" s="1067" t="s">
        <v>1007</v>
      </c>
      <c r="H2965" s="1067"/>
      <c r="I2965" s="1067"/>
      <c r="J2965" s="1067"/>
      <c r="K2965" s="1068"/>
      <c r="L2965" s="1066"/>
      <c r="M2965" s="1066"/>
      <c r="N2965" s="1066"/>
      <c r="O2965" s="1069"/>
      <c r="P2965" s="1066"/>
      <c r="Q2965" s="1070"/>
      <c r="R2965" s="1071"/>
      <c r="S2965" s="1070"/>
      <c r="T2965" s="1072"/>
      <c r="U2965" s="1073"/>
    </row>
    <row r="2966" spans="1:41" s="997" customFormat="1" ht="11.4">
      <c r="A2966" s="1074">
        <v>3</v>
      </c>
      <c r="B2966" s="1075">
        <v>3</v>
      </c>
      <c r="C2966" s="1075">
        <f>$A2966*$B2966</f>
        <v>9</v>
      </c>
      <c r="D2966" s="1076" t="str">
        <f>Elec_Rates!$D$210</f>
        <v>020# Movement Detector</v>
      </c>
      <c r="E2966" s="1076"/>
      <c r="F2966" s="1076"/>
      <c r="G2966" s="1077" t="s">
        <v>1008</v>
      </c>
      <c r="H2966" s="1077"/>
      <c r="I2966" s="1077"/>
      <c r="J2966" s="1077"/>
      <c r="K2966" s="1078"/>
      <c r="L2966" s="1073"/>
      <c r="M2966" s="1073"/>
      <c r="N2966" s="1073"/>
      <c r="O2966" s="1079"/>
      <c r="P2966" s="1076"/>
      <c r="Q2966" s="1080">
        <f ca="1">$B2966*Elec_Rates!$R$210</f>
        <v>53.010000000000005</v>
      </c>
      <c r="R2966" s="1071">
        <f ca="1">$A2966*Q2966</f>
        <v>159.03000000000003</v>
      </c>
      <c r="S2966" s="1080">
        <f ca="1">$B2966*Elec_Rates!$T$210</f>
        <v>0.78</v>
      </c>
      <c r="T2966" s="1072">
        <f ca="1">$A2966*S2966</f>
        <v>2.34</v>
      </c>
      <c r="U2966" s="1081"/>
    </row>
    <row r="2967" spans="1:41" s="997" customFormat="1" ht="13.2">
      <c r="A2967"/>
      <c r="B2967" s="1065"/>
      <c r="C2967" s="1065" t="s">
        <v>1006</v>
      </c>
      <c r="D2967" s="1065" t="str">
        <f ca="1">CELL("Address",Elec_Rates!D$524)</f>
        <v>[EL25_0662B_Brittania_Hotel_Elec_Revised_Estim_B.xlsx]Elec_Rates!$D$524</v>
      </c>
      <c r="E2967" s="1066"/>
      <c r="F2967" s="1066"/>
      <c r="G2967" s="1067" t="s">
        <v>1007</v>
      </c>
      <c r="H2967" s="1067"/>
      <c r="I2967" s="1067"/>
      <c r="J2967" s="1067"/>
      <c r="K2967" s="1068"/>
      <c r="L2967" s="1066"/>
      <c r="M2967" s="1066"/>
      <c r="N2967" s="1066"/>
      <c r="O2967" s="1069"/>
      <c r="P2967" s="1066"/>
      <c r="Q2967" s="1070"/>
      <c r="R2967" s="1071"/>
      <c r="S2967" s="1070"/>
      <c r="T2967" s="1072"/>
      <c r="U2967" s="1073"/>
    </row>
    <row r="2968" spans="1:41" s="997" customFormat="1" ht="11.4">
      <c r="A2968" s="1074">
        <v>3</v>
      </c>
      <c r="B2968" s="1075">
        <v>1</v>
      </c>
      <c r="C2968" s="1075">
        <f>$A2968*$B2968</f>
        <v>3</v>
      </c>
      <c r="D2968" s="1076" t="str">
        <f>Elec_Rates!$D$524</f>
        <v>062# 230V 2P 16A Contactor</v>
      </c>
      <c r="E2968" s="1076"/>
      <c r="F2968" s="1076"/>
      <c r="G2968" s="1077" t="s">
        <v>1008</v>
      </c>
      <c r="H2968" s="1077"/>
      <c r="I2968" s="1077"/>
      <c r="J2968" s="1077"/>
      <c r="K2968" s="1078"/>
      <c r="L2968" s="1073"/>
      <c r="M2968" s="1073"/>
      <c r="N2968" s="1073"/>
      <c r="O2968" s="1079"/>
      <c r="P2968" s="1076"/>
      <c r="Q2968" s="1080">
        <f ca="1">$B2968*Elec_Rates!$R$524</f>
        <v>35</v>
      </c>
      <c r="R2968" s="1071">
        <f ca="1">$A2968*Q2968</f>
        <v>105</v>
      </c>
      <c r="S2968" s="1080">
        <f ca="1">$B2968*Elec_Rates!$T$524</f>
        <v>0.26</v>
      </c>
      <c r="T2968" s="1072">
        <f ca="1">$A2968*S2968</f>
        <v>0.78</v>
      </c>
      <c r="U2968" s="1081"/>
    </row>
    <row r="2969" spans="1:41" s="504" customFormat="1" ht="12">
      <c r="A2969" s="882"/>
      <c r="B2969" s="882"/>
      <c r="C2969" s="882"/>
      <c r="D2969" s="882"/>
      <c r="E2969" s="882"/>
      <c r="F2969" s="877"/>
      <c r="G2969" s="882"/>
      <c r="H2969" s="882"/>
      <c r="I2969" s="503"/>
      <c r="J2969" s="882"/>
      <c r="K2969" s="882"/>
      <c r="L2969" s="882"/>
      <c r="M2969" s="882"/>
      <c r="N2969" s="882"/>
      <c r="O2969" s="882"/>
      <c r="P2969" s="882"/>
      <c r="Q2969" s="503"/>
      <c r="R2969" s="883">
        <f>$A2969*Q2969</f>
        <v>0</v>
      </c>
      <c r="S2969" s="503"/>
      <c r="T2969" s="884">
        <f>$A2969*S2969*$T$1</f>
        <v>0</v>
      </c>
    </row>
    <row r="2970" spans="1:41" s="504" customFormat="1" ht="12.6" thickBot="1">
      <c r="A2970" s="885" t="s">
        <v>142</v>
      </c>
      <c r="B2970" s="886">
        <f>(R2969+T2969)</f>
        <v>0</v>
      </c>
      <c r="C2970" s="887"/>
      <c r="D2970" s="887"/>
      <c r="E2970" s="887"/>
      <c r="F2970" s="888"/>
      <c r="G2970" s="887" t="s">
        <v>143</v>
      </c>
      <c r="H2970" s="887"/>
      <c r="I2970" s="889"/>
      <c r="J2970" s="887"/>
      <c r="K2970" s="887" t="s">
        <v>3</v>
      </c>
      <c r="L2970" s="890" t="s">
        <v>140</v>
      </c>
      <c r="M2970" s="890"/>
      <c r="N2970" s="890"/>
      <c r="O2970" s="890"/>
      <c r="P2970" s="890"/>
      <c r="Q2970" s="891"/>
      <c r="R2970" s="892">
        <f ca="1">SUM(R2962:R2969)</f>
        <v>336.40500000000003</v>
      </c>
      <c r="S2970" s="887"/>
      <c r="T2970" s="892">
        <f ca="1">SUM(T2962:T2969)</f>
        <v>12.945</v>
      </c>
      <c r="U2970" s="514"/>
      <c r="V2970" s="514"/>
      <c r="W2970" s="514"/>
      <c r="X2970" s="514"/>
      <c r="Y2970" s="514"/>
      <c r="Z2970" s="514"/>
      <c r="AA2970" s="514"/>
      <c r="AB2970" s="514"/>
      <c r="AC2970" s="514"/>
      <c r="AD2970" s="514"/>
      <c r="AE2970" s="514"/>
      <c r="AF2970" s="514"/>
      <c r="AG2970" s="514"/>
      <c r="AH2970" s="514"/>
      <c r="AI2970" s="514"/>
      <c r="AJ2970" s="514"/>
      <c r="AK2970" s="514"/>
      <c r="AL2970" s="514"/>
      <c r="AM2970" s="514"/>
      <c r="AN2970" s="514"/>
      <c r="AO2970" s="514"/>
    </row>
    <row r="2971" spans="1:41" s="504" customFormat="1" ht="12" thickTop="1">
      <c r="A2971" s="50"/>
      <c r="B2971" s="40"/>
      <c r="C2971" s="50"/>
      <c r="E2971" s="41" t="s">
        <v>136</v>
      </c>
      <c r="F2971" s="41" t="s">
        <v>137</v>
      </c>
      <c r="G2971" s="50"/>
      <c r="H2971" s="50"/>
      <c r="I2971" s="50"/>
      <c r="J2971" s="50"/>
      <c r="K2971" s="50" t="s">
        <v>138</v>
      </c>
      <c r="L2971" s="50"/>
      <c r="M2971" s="50"/>
      <c r="N2971" s="50"/>
      <c r="O2971" s="51"/>
      <c r="P2971" s="50"/>
      <c r="Q2971" s="50"/>
      <c r="R2971" s="50"/>
      <c r="S2971" s="50"/>
      <c r="T2971" s="40"/>
      <c r="AG2971" s="867" t="s">
        <v>241</v>
      </c>
      <c r="AH2971" s="867" t="s">
        <v>242</v>
      </c>
      <c r="AI2971" s="867" t="s">
        <v>243</v>
      </c>
      <c r="AJ2971" s="867" t="s">
        <v>244</v>
      </c>
      <c r="AK2971" s="867" t="s">
        <v>245</v>
      </c>
      <c r="AM2971" s="868" t="s">
        <v>254</v>
      </c>
      <c r="AN2971" s="869" t="s">
        <v>255</v>
      </c>
      <c r="AO2971" s="505" t="s">
        <v>251</v>
      </c>
    </row>
    <row r="2972" spans="1:41" s="504" customFormat="1" ht="12" customHeight="1">
      <c r="A2972" s="870">
        <v>11</v>
      </c>
      <c r="B2972" s="871" t="s">
        <v>335</v>
      </c>
      <c r="C2972" s="872"/>
      <c r="D2972" s="873" t="s">
        <v>824</v>
      </c>
      <c r="E2972" s="874">
        <f ca="1">IF(AND($A2972=0,$A$1="DIF"),0, ROUND(ROUND(($R2978*$S$2+($T2978*$T$2))/A2972,2)*$C$2,2))</f>
        <v>74.08</v>
      </c>
      <c r="F2972" s="875">
        <f ca="1">ROUND($A2972*$E2972,2)</f>
        <v>814.88</v>
      </c>
      <c r="G2972" s="876" t="s">
        <v>139</v>
      </c>
      <c r="H2972" s="877"/>
      <c r="I2972" s="878"/>
      <c r="J2972" s="877"/>
      <c r="K2972" s="877" t="s">
        <v>3</v>
      </c>
      <c r="L2972" s="879" t="s">
        <v>140</v>
      </c>
      <c r="M2972" s="879"/>
      <c r="N2972" s="879"/>
      <c r="O2972" s="879"/>
      <c r="P2972" s="879"/>
      <c r="Q2972" s="50"/>
      <c r="T2972" s="880" t="str">
        <f ca="1">IF(AND($R2978=0,$T2978=0),"0.00","mu :" &amp; ROUND($F2972/$C$2/($R2978+$T2978*$D$9),2))</f>
        <v>mu :1.22</v>
      </c>
      <c r="W2972" s="507"/>
      <c r="AG2972" s="465">
        <f ca="1">IF($E2972=0,0,ROUND($R2978*$S$2*$C$2/$A2972,2))</f>
        <v>21.72</v>
      </c>
      <c r="AH2972" s="465">
        <f ca="1">$AG2972*$A2972</f>
        <v>238.92</v>
      </c>
      <c r="AI2972" s="508">
        <f ca="1">$E2972-$AG2972</f>
        <v>52.36</v>
      </c>
      <c r="AJ2972" s="508">
        <f ca="1">$A2972*$AI2972</f>
        <v>575.96</v>
      </c>
      <c r="AK2972" s="509">
        <f ca="1">ROUND(($AG2972+$AI2972)*$A2972,2)</f>
        <v>814.88</v>
      </c>
      <c r="AM2972" s="510">
        <f ca="1">ROUND(R2978,2)</f>
        <v>195.8</v>
      </c>
      <c r="AN2972" s="511">
        <f ca="1">ROUND(T2978,2)</f>
        <v>16.37</v>
      </c>
      <c r="AO2972" s="512">
        <f ca="1">ROUND(AM2972+AN2972,2)*A2972</f>
        <v>2333.87</v>
      </c>
    </row>
    <row r="2973" spans="1:41" s="504" customFormat="1" ht="13.2">
      <c r="A2973" s="872"/>
      <c r="B2973"/>
      <c r="C2973" s="872"/>
      <c r="D2973" s="873" t="s">
        <v>381</v>
      </c>
      <c r="F2973" s="877"/>
      <c r="G2973" s="3"/>
      <c r="H2973" s="877"/>
      <c r="I2973" s="878"/>
      <c r="J2973" s="877"/>
      <c r="K2973" s="877" t="s">
        <v>141</v>
      </c>
      <c r="L2973" s="877"/>
      <c r="M2973" s="877"/>
      <c r="N2973" s="877"/>
      <c r="O2973" s="877"/>
      <c r="P2973" s="877"/>
      <c r="Q2973" s="50"/>
      <c r="R2973" s="513"/>
      <c r="S2973" s="881"/>
      <c r="T2973" s="877"/>
    </row>
    <row r="2974" spans="1:41" s="997" customFormat="1" ht="13.2">
      <c r="A2974"/>
      <c r="B2974" s="1065"/>
      <c r="C2974" s="1065" t="s">
        <v>1006</v>
      </c>
      <c r="D2974" s="1065" t="str">
        <f ca="1">CELL("Address",Elec_Rates!D$200)</f>
        <v>[EL25_0662B_Brittania_Hotel_Elec_Revised_Estim_B.xlsx]Elec_Rates!$D$200</v>
      </c>
      <c r="E2974" s="1066"/>
      <c r="F2974" s="1066"/>
      <c r="G2974" s="1067" t="s">
        <v>1007</v>
      </c>
      <c r="H2974" s="1067"/>
      <c r="I2974" s="1067"/>
      <c r="J2974" s="1067"/>
      <c r="K2974" s="1068"/>
      <c r="L2974" s="1066"/>
      <c r="M2974" s="1066"/>
      <c r="N2974" s="1066"/>
      <c r="O2974" s="1069"/>
      <c r="P2974" s="1066"/>
      <c r="Q2974" s="1070"/>
      <c r="R2974" s="1071"/>
      <c r="S2974" s="1070"/>
      <c r="T2974" s="1072"/>
      <c r="U2974" s="1073"/>
    </row>
    <row r="2975" spans="1:41" s="997" customFormat="1" ht="11.4">
      <c r="A2975" s="1074">
        <v>11</v>
      </c>
      <c r="B2975" s="1075">
        <v>1</v>
      </c>
      <c r="C2975" s="1075">
        <f>$A2975*$B2975</f>
        <v>11</v>
      </c>
      <c r="D2975" s="1076" t="str">
        <f>Elec_Rates!$D$200</f>
        <v>019# Lighting point in LSZH Conduit</v>
      </c>
      <c r="E2975" s="1076"/>
      <c r="F2975" s="1076" t="s">
        <v>1169</v>
      </c>
      <c r="G2975" s="1077" t="s">
        <v>1008</v>
      </c>
      <c r="H2975" s="1077"/>
      <c r="I2975" s="1077"/>
      <c r="J2975" s="1077"/>
      <c r="K2975" s="1078"/>
      <c r="L2975" s="1073"/>
      <c r="M2975" s="1073"/>
      <c r="N2975" s="1073"/>
      <c r="O2975" s="1079"/>
      <c r="P2975" s="1076"/>
      <c r="Q2975" s="1080">
        <f ca="1">$B2975*Elec_Rates!$R$200</f>
        <v>9.65</v>
      </c>
      <c r="R2975" s="1071">
        <f ca="1">$A2975*Q2975</f>
        <v>106.15</v>
      </c>
      <c r="S2975" s="1080">
        <f ca="1">$B2975*Elec_Rates!$T$200</f>
        <v>1.31</v>
      </c>
      <c r="T2975" s="1072">
        <f ca="1">$A2975*S2975</f>
        <v>14.41</v>
      </c>
      <c r="U2975" s="1081"/>
    </row>
    <row r="2976" spans="1:41" s="1039" customFormat="1" ht="11.4">
      <c r="A2976" s="1074">
        <v>11</v>
      </c>
      <c r="B2976" s="1039" t="s">
        <v>949</v>
      </c>
      <c r="D2976" s="1039" t="s">
        <v>1299</v>
      </c>
      <c r="G2976" s="1040" t="s">
        <v>1182</v>
      </c>
      <c r="H2976" s="1041">
        <v>705</v>
      </c>
      <c r="I2976" s="1039" t="s">
        <v>1183</v>
      </c>
      <c r="J2976" s="1039" t="s">
        <v>1184</v>
      </c>
      <c r="O2976" s="1042">
        <v>3</v>
      </c>
      <c r="P2976" s="1043">
        <v>34669</v>
      </c>
      <c r="Q2976" s="1044">
        <v>8.15</v>
      </c>
      <c r="R2976" s="1045">
        <f>$A2976*Q2976</f>
        <v>89.65</v>
      </c>
      <c r="S2976" s="1044">
        <v>0.17</v>
      </c>
      <c r="T2976" s="1046">
        <f>$A2976*S2976*$T$1</f>
        <v>1.9635000000000002</v>
      </c>
    </row>
    <row r="2977" spans="1:41" s="504" customFormat="1" ht="12">
      <c r="A2977" s="882"/>
      <c r="B2977" s="882"/>
      <c r="C2977" s="882"/>
      <c r="D2977" s="882"/>
      <c r="E2977" s="882"/>
      <c r="F2977" s="877"/>
      <c r="G2977" s="882"/>
      <c r="H2977" s="882"/>
      <c r="I2977" s="503"/>
      <c r="J2977" s="882"/>
      <c r="K2977" s="882"/>
      <c r="L2977" s="882"/>
      <c r="M2977" s="882"/>
      <c r="N2977" s="882"/>
      <c r="O2977" s="882"/>
      <c r="P2977" s="882"/>
      <c r="Q2977" s="503"/>
      <c r="R2977" s="883">
        <f>$A2977*Q2977</f>
        <v>0</v>
      </c>
      <c r="S2977" s="503"/>
      <c r="T2977" s="884">
        <f>$A2977*S2977*$T$1</f>
        <v>0</v>
      </c>
    </row>
    <row r="2978" spans="1:41" s="504" customFormat="1" ht="12.6" thickBot="1">
      <c r="A2978" s="885" t="s">
        <v>142</v>
      </c>
      <c r="B2978" s="886">
        <f>(R2977+T2977)</f>
        <v>0</v>
      </c>
      <c r="C2978" s="887"/>
      <c r="D2978" s="887"/>
      <c r="E2978" s="887"/>
      <c r="F2978" s="888"/>
      <c r="G2978" s="887" t="s">
        <v>143</v>
      </c>
      <c r="H2978" s="887"/>
      <c r="I2978" s="889"/>
      <c r="J2978" s="887"/>
      <c r="K2978" s="887" t="s">
        <v>3</v>
      </c>
      <c r="L2978" s="890" t="s">
        <v>140</v>
      </c>
      <c r="M2978" s="890"/>
      <c r="N2978" s="890"/>
      <c r="O2978" s="890"/>
      <c r="P2978" s="890"/>
      <c r="Q2978" s="891"/>
      <c r="R2978" s="892">
        <f ca="1">SUM(R2973:R2977)</f>
        <v>195.8</v>
      </c>
      <c r="S2978" s="887"/>
      <c r="T2978" s="892">
        <f ca="1">SUM(T2973:T2977)</f>
        <v>16.3735</v>
      </c>
      <c r="U2978" s="514"/>
      <c r="V2978" s="514"/>
      <c r="W2978" s="514"/>
      <c r="X2978" s="514"/>
      <c r="Y2978" s="514"/>
      <c r="Z2978" s="514"/>
      <c r="AA2978" s="514"/>
      <c r="AB2978" s="514"/>
      <c r="AC2978" s="514"/>
      <c r="AD2978" s="514"/>
      <c r="AE2978" s="514"/>
      <c r="AF2978" s="514"/>
      <c r="AG2978" s="514"/>
      <c r="AH2978" s="514"/>
      <c r="AI2978" s="514"/>
      <c r="AJ2978" s="514"/>
      <c r="AK2978" s="514"/>
      <c r="AL2978" s="514"/>
      <c r="AM2978" s="514"/>
      <c r="AN2978" s="514"/>
      <c r="AO2978" s="514"/>
    </row>
    <row r="2979" spans="1:41" s="504" customFormat="1" ht="12" thickTop="1">
      <c r="A2979" s="50"/>
      <c r="B2979" s="40"/>
      <c r="C2979" s="50"/>
      <c r="E2979" s="41" t="s">
        <v>136</v>
      </c>
      <c r="F2979" s="41" t="s">
        <v>137</v>
      </c>
      <c r="G2979" s="50"/>
      <c r="H2979" s="50"/>
      <c r="I2979" s="50"/>
      <c r="J2979" s="50"/>
      <c r="K2979" s="50" t="s">
        <v>138</v>
      </c>
      <c r="L2979" s="50"/>
      <c r="M2979" s="50"/>
      <c r="N2979" s="50"/>
      <c r="O2979" s="51"/>
      <c r="P2979" s="50"/>
      <c r="Q2979" s="50"/>
      <c r="R2979" s="50"/>
      <c r="S2979" s="50"/>
      <c r="T2979" s="40"/>
      <c r="AG2979" s="867" t="s">
        <v>241</v>
      </c>
      <c r="AH2979" s="867" t="s">
        <v>242</v>
      </c>
      <c r="AI2979" s="867" t="s">
        <v>243</v>
      </c>
      <c r="AJ2979" s="867" t="s">
        <v>244</v>
      </c>
      <c r="AK2979" s="867" t="s">
        <v>245</v>
      </c>
      <c r="AM2979" s="868" t="s">
        <v>254</v>
      </c>
      <c r="AN2979" s="869" t="s">
        <v>255</v>
      </c>
      <c r="AO2979" s="505" t="s">
        <v>251</v>
      </c>
    </row>
    <row r="2980" spans="1:41" s="504" customFormat="1" ht="12" customHeight="1">
      <c r="A2980" s="870">
        <v>6</v>
      </c>
      <c r="B2980" s="871" t="s">
        <v>335</v>
      </c>
      <c r="C2980" s="872"/>
      <c r="D2980" s="873" t="s">
        <v>825</v>
      </c>
      <c r="E2980" s="874">
        <f ca="1">IF(AND($A2980=0,$A$1="DIF"),0, ROUND(ROUND(($R2985*$S$2+($T2985*$T$2))/A2980,2)*$C$2,2))</f>
        <v>57.85</v>
      </c>
      <c r="F2980" s="875">
        <f ca="1">ROUND($A2980*$E2980,2)</f>
        <v>347.1</v>
      </c>
      <c r="G2980" s="876" t="s">
        <v>139</v>
      </c>
      <c r="H2980" s="877"/>
      <c r="I2980" s="878"/>
      <c r="J2980" s="877"/>
      <c r="K2980" s="877" t="s">
        <v>3</v>
      </c>
      <c r="L2980" s="879" t="s">
        <v>140</v>
      </c>
      <c r="M2980" s="879"/>
      <c r="N2980" s="879"/>
      <c r="O2980" s="879"/>
      <c r="P2980" s="879"/>
      <c r="Q2980" s="50"/>
      <c r="T2980" s="880" t="str">
        <f ca="1">IF(AND($R2985=0,$T2985=0),"0.00","mu :" &amp; ROUND($F2980/$C$2/($R2985+$T2985*$D$9),2))</f>
        <v>mu :1.22</v>
      </c>
      <c r="W2980" s="507"/>
      <c r="AG2980" s="465">
        <f ca="1">IF($E2980=0,0,ROUND($R2985*$S$2*$C$2/$A2980,2))</f>
        <v>11.77</v>
      </c>
      <c r="AH2980" s="465">
        <f ca="1">$AG2980*$A2980</f>
        <v>70.62</v>
      </c>
      <c r="AI2980" s="508">
        <f ca="1">$E2980-$AG2980</f>
        <v>46.08</v>
      </c>
      <c r="AJ2980" s="508">
        <f ca="1">$A2980*$AI2980</f>
        <v>276.48</v>
      </c>
      <c r="AK2980" s="509">
        <f ca="1">ROUND(($AG2980+$AI2980)*$A2980,2)</f>
        <v>347.1</v>
      </c>
      <c r="AM2980" s="510">
        <f ca="1">ROUND(R2985,2)</f>
        <v>57.9</v>
      </c>
      <c r="AN2980" s="511">
        <f ca="1">ROUND(T2985,2)</f>
        <v>7.86</v>
      </c>
      <c r="AO2980" s="512">
        <f ca="1">ROUND(AM2980+AN2980,2)*A2980</f>
        <v>394.56000000000006</v>
      </c>
    </row>
    <row r="2981" spans="1:41" s="504" customFormat="1" ht="13.2">
      <c r="A2981" s="872"/>
      <c r="B2981"/>
      <c r="C2981" s="872"/>
      <c r="D2981" s="873" t="s">
        <v>406</v>
      </c>
      <c r="F2981" s="877"/>
      <c r="G2981" s="3"/>
      <c r="H2981" s="877"/>
      <c r="I2981" s="878"/>
      <c r="J2981" s="877"/>
      <c r="K2981" s="877" t="s">
        <v>141</v>
      </c>
      <c r="L2981" s="877"/>
      <c r="M2981" s="877"/>
      <c r="N2981" s="877"/>
      <c r="O2981" s="877"/>
      <c r="P2981" s="877"/>
      <c r="Q2981" s="50"/>
      <c r="R2981" s="513"/>
      <c r="S2981" s="881"/>
      <c r="T2981" s="877"/>
    </row>
    <row r="2982" spans="1:41" s="997" customFormat="1" ht="13.2">
      <c r="A2982"/>
      <c r="B2982" s="1065"/>
      <c r="C2982" s="1065" t="s">
        <v>1006</v>
      </c>
      <c r="D2982" s="1065" t="str">
        <f ca="1">CELL("Address",Elec_Rates!D$200)</f>
        <v>[EL25_0662B_Brittania_Hotel_Elec_Revised_Estim_B.xlsx]Elec_Rates!$D$200</v>
      </c>
      <c r="E2982" s="1066"/>
      <c r="F2982" s="1066"/>
      <c r="G2982" s="1067" t="s">
        <v>1007</v>
      </c>
      <c r="H2982" s="1067"/>
      <c r="I2982" s="1067"/>
      <c r="J2982" s="1067"/>
      <c r="K2982" s="1068"/>
      <c r="L2982" s="1066"/>
      <c r="M2982" s="1066"/>
      <c r="N2982" s="1066"/>
      <c r="O2982" s="1069"/>
      <c r="P2982" s="1066"/>
      <c r="Q2982" s="1070"/>
      <c r="R2982" s="1071"/>
      <c r="S2982" s="1070"/>
      <c r="T2982" s="1072"/>
      <c r="U2982" s="1073"/>
    </row>
    <row r="2983" spans="1:41" s="997" customFormat="1" ht="11.4">
      <c r="A2983" s="1074">
        <v>6</v>
      </c>
      <c r="B2983" s="1075">
        <v>1</v>
      </c>
      <c r="C2983" s="1075">
        <f>$A2983*$B2983</f>
        <v>6</v>
      </c>
      <c r="D2983" s="1076" t="str">
        <f>Elec_Rates!$D$200</f>
        <v>019# Lighting point in LSZH Conduit</v>
      </c>
      <c r="E2983" s="1076"/>
      <c r="F2983" s="1076" t="s">
        <v>1169</v>
      </c>
      <c r="G2983" s="1077" t="s">
        <v>1008</v>
      </c>
      <c r="H2983" s="1077"/>
      <c r="I2983" s="1077"/>
      <c r="J2983" s="1077"/>
      <c r="K2983" s="1078"/>
      <c r="L2983" s="1073"/>
      <c r="M2983" s="1073"/>
      <c r="N2983" s="1073"/>
      <c r="O2983" s="1079"/>
      <c r="P2983" s="1076"/>
      <c r="Q2983" s="1080">
        <f ca="1">$B2983*Elec_Rates!$R$200</f>
        <v>9.65</v>
      </c>
      <c r="R2983" s="1071">
        <f ca="1">$A2983*Q2983</f>
        <v>57.900000000000006</v>
      </c>
      <c r="S2983" s="1080">
        <f ca="1">$B2983*Elec_Rates!$T$200</f>
        <v>1.31</v>
      </c>
      <c r="T2983" s="1072">
        <f ca="1">$A2983*S2983</f>
        <v>7.86</v>
      </c>
      <c r="U2983" s="1081"/>
    </row>
    <row r="2984" spans="1:41" s="504" customFormat="1" ht="12">
      <c r="A2984" s="882"/>
      <c r="B2984" s="882"/>
      <c r="C2984" s="882"/>
      <c r="D2984" s="882"/>
      <c r="E2984" s="882"/>
      <c r="F2984" s="877"/>
      <c r="G2984" s="882"/>
      <c r="H2984" s="882"/>
      <c r="I2984" s="503"/>
      <c r="J2984" s="882"/>
      <c r="K2984" s="882"/>
      <c r="L2984" s="882"/>
      <c r="M2984" s="882"/>
      <c r="N2984" s="882"/>
      <c r="O2984" s="882"/>
      <c r="P2984" s="882"/>
      <c r="Q2984" s="503"/>
      <c r="R2984" s="883">
        <f>$A2984*Q2984</f>
        <v>0</v>
      </c>
      <c r="S2984" s="503"/>
      <c r="T2984" s="884">
        <f>$A2984*S2984*$T$1</f>
        <v>0</v>
      </c>
    </row>
    <row r="2985" spans="1:41" s="504" customFormat="1" ht="12.6" thickBot="1">
      <c r="A2985" s="885" t="s">
        <v>142</v>
      </c>
      <c r="B2985" s="886">
        <f>(R2984+T2984)</f>
        <v>0</v>
      </c>
      <c r="C2985" s="887"/>
      <c r="D2985" s="887"/>
      <c r="E2985" s="887"/>
      <c r="F2985" s="888"/>
      <c r="G2985" s="887" t="s">
        <v>143</v>
      </c>
      <c r="H2985" s="887"/>
      <c r="I2985" s="889"/>
      <c r="J2985" s="887"/>
      <c r="K2985" s="887" t="s">
        <v>3</v>
      </c>
      <c r="L2985" s="890" t="s">
        <v>140</v>
      </c>
      <c r="M2985" s="890"/>
      <c r="N2985" s="890"/>
      <c r="O2985" s="890"/>
      <c r="P2985" s="890"/>
      <c r="Q2985" s="891"/>
      <c r="R2985" s="892">
        <f ca="1">SUM(R2981:R2984)</f>
        <v>57.900000000000006</v>
      </c>
      <c r="S2985" s="887"/>
      <c r="T2985" s="892">
        <f ca="1">SUM(T2981:T2984)</f>
        <v>7.86</v>
      </c>
      <c r="U2985" s="514"/>
      <c r="V2985" s="514"/>
      <c r="W2985" s="514"/>
      <c r="X2985" s="514"/>
      <c r="Y2985" s="514"/>
      <c r="Z2985" s="514"/>
      <c r="AA2985" s="514"/>
      <c r="AB2985" s="514"/>
      <c r="AC2985" s="514"/>
      <c r="AD2985" s="514"/>
      <c r="AE2985" s="514"/>
      <c r="AF2985" s="514"/>
      <c r="AG2985" s="514"/>
      <c r="AH2985" s="514"/>
      <c r="AI2985" s="514"/>
      <c r="AJ2985" s="514"/>
      <c r="AK2985" s="514"/>
      <c r="AL2985" s="514"/>
      <c r="AM2985" s="514"/>
      <c r="AN2985" s="514"/>
      <c r="AO2985" s="514"/>
    </row>
    <row r="2986" spans="1:41" s="504" customFormat="1" ht="12" thickTop="1">
      <c r="A2986" s="50"/>
      <c r="B2986" s="40"/>
      <c r="C2986" s="50"/>
      <c r="E2986" s="41" t="s">
        <v>136</v>
      </c>
      <c r="F2986" s="41" t="s">
        <v>137</v>
      </c>
      <c r="G2986" s="50"/>
      <c r="H2986" s="50"/>
      <c r="I2986" s="50"/>
      <c r="J2986" s="50"/>
      <c r="K2986" s="50" t="s">
        <v>138</v>
      </c>
      <c r="L2986" s="50"/>
      <c r="M2986" s="50"/>
      <c r="N2986" s="50"/>
      <c r="O2986" s="51"/>
      <c r="P2986" s="50"/>
      <c r="Q2986" s="50"/>
      <c r="R2986" s="50"/>
      <c r="S2986" s="50"/>
      <c r="T2986" s="40"/>
      <c r="AG2986" s="867" t="s">
        <v>241</v>
      </c>
      <c r="AH2986" s="867" t="s">
        <v>242</v>
      </c>
      <c r="AI2986" s="867" t="s">
        <v>243</v>
      </c>
      <c r="AJ2986" s="867" t="s">
        <v>244</v>
      </c>
      <c r="AK2986" s="867" t="s">
        <v>245</v>
      </c>
      <c r="AM2986" s="868" t="s">
        <v>254</v>
      </c>
      <c r="AN2986" s="869" t="s">
        <v>255</v>
      </c>
      <c r="AO2986" s="505" t="s">
        <v>251</v>
      </c>
    </row>
    <row r="2987" spans="1:41" s="504" customFormat="1" ht="12" customHeight="1">
      <c r="A2987" s="870">
        <v>4</v>
      </c>
      <c r="B2987" s="871" t="s">
        <v>335</v>
      </c>
      <c r="C2987" s="872"/>
      <c r="D2987" s="873" t="s">
        <v>826</v>
      </c>
      <c r="E2987" s="874">
        <f ca="1">IF(AND($A2987=0,$A$1="DIF"),0, ROUND(ROUND(($R2992*$S$2+($T2992*$T$2))/A2987,2)*$C$2,2))</f>
        <v>57.85</v>
      </c>
      <c r="F2987" s="875">
        <f ca="1">ROUND($A2987*$E2987,2)</f>
        <v>231.4</v>
      </c>
      <c r="G2987" s="876" t="s">
        <v>139</v>
      </c>
      <c r="H2987" s="877"/>
      <c r="I2987" s="878"/>
      <c r="J2987" s="877"/>
      <c r="K2987" s="877" t="s">
        <v>3</v>
      </c>
      <c r="L2987" s="879" t="s">
        <v>140</v>
      </c>
      <c r="M2987" s="879"/>
      <c r="N2987" s="879"/>
      <c r="O2987" s="879"/>
      <c r="P2987" s="879"/>
      <c r="Q2987" s="50"/>
      <c r="T2987" s="880" t="str">
        <f ca="1">IF(AND($R2992=0,$T2992=0),"0.00","mu :" &amp; ROUND($F2987/$C$2/($R2992+$T2992*$D$9),2))</f>
        <v>mu :1.22</v>
      </c>
      <c r="W2987" s="507"/>
      <c r="AG2987" s="465">
        <f ca="1">IF($E2987=0,0,ROUND($R2992*$S$2*$C$2/$A2987,2))</f>
        <v>11.77</v>
      </c>
      <c r="AH2987" s="465">
        <f ca="1">$AG2987*$A2987</f>
        <v>47.08</v>
      </c>
      <c r="AI2987" s="508">
        <f ca="1">$E2987-$AG2987</f>
        <v>46.08</v>
      </c>
      <c r="AJ2987" s="508">
        <f ca="1">$A2987*$AI2987</f>
        <v>184.32</v>
      </c>
      <c r="AK2987" s="509">
        <f ca="1">ROUND(($AG2987+$AI2987)*$A2987,2)</f>
        <v>231.4</v>
      </c>
      <c r="AM2987" s="510">
        <f ca="1">ROUND(R2992,2)</f>
        <v>38.6</v>
      </c>
      <c r="AN2987" s="511">
        <f ca="1">ROUND(T2992,2)</f>
        <v>5.24</v>
      </c>
      <c r="AO2987" s="512">
        <f ca="1">ROUND(AM2987+AN2987,2)*A2987</f>
        <v>175.36</v>
      </c>
    </row>
    <row r="2988" spans="1:41" s="504" customFormat="1" ht="13.2">
      <c r="A2988" s="872"/>
      <c r="B2988"/>
      <c r="C2988" s="872"/>
      <c r="D2988" s="873" t="s">
        <v>407</v>
      </c>
      <c r="F2988" s="877"/>
      <c r="G2988" s="3"/>
      <c r="H2988" s="877"/>
      <c r="I2988" s="878"/>
      <c r="J2988" s="877"/>
      <c r="K2988" s="877" t="s">
        <v>141</v>
      </c>
      <c r="L2988" s="877"/>
      <c r="M2988" s="877"/>
      <c r="N2988" s="877"/>
      <c r="O2988" s="877"/>
      <c r="P2988" s="877"/>
      <c r="Q2988" s="50"/>
      <c r="R2988" s="513"/>
      <c r="S2988" s="881"/>
      <c r="T2988" s="877"/>
    </row>
    <row r="2989" spans="1:41" s="997" customFormat="1" ht="13.2">
      <c r="A2989"/>
      <c r="B2989" s="1065"/>
      <c r="C2989" s="1065" t="s">
        <v>1006</v>
      </c>
      <c r="D2989" s="1065" t="str">
        <f ca="1">CELL("Address",Elec_Rates!D$200)</f>
        <v>[EL25_0662B_Brittania_Hotel_Elec_Revised_Estim_B.xlsx]Elec_Rates!$D$200</v>
      </c>
      <c r="E2989" s="1066"/>
      <c r="F2989" s="1066"/>
      <c r="G2989" s="1067" t="s">
        <v>1007</v>
      </c>
      <c r="H2989" s="1067"/>
      <c r="I2989" s="1067"/>
      <c r="J2989" s="1067"/>
      <c r="K2989" s="1068"/>
      <c r="L2989" s="1066"/>
      <c r="M2989" s="1066"/>
      <c r="N2989" s="1066"/>
      <c r="O2989" s="1069"/>
      <c r="P2989" s="1066"/>
      <c r="Q2989" s="1070"/>
      <c r="R2989" s="1071"/>
      <c r="S2989" s="1070"/>
      <c r="T2989" s="1072"/>
      <c r="U2989" s="1073"/>
    </row>
    <row r="2990" spans="1:41" s="997" customFormat="1" ht="11.4">
      <c r="A2990" s="1074">
        <v>4</v>
      </c>
      <c r="B2990" s="1075">
        <v>1</v>
      </c>
      <c r="C2990" s="1075">
        <f>$A2990*$B2990</f>
        <v>4</v>
      </c>
      <c r="D2990" s="1076" t="str">
        <f>Elec_Rates!$D$200</f>
        <v>019# Lighting point in LSZH Conduit</v>
      </c>
      <c r="E2990" s="1076"/>
      <c r="F2990" s="1076" t="s">
        <v>1169</v>
      </c>
      <c r="G2990" s="1077" t="s">
        <v>1008</v>
      </c>
      <c r="H2990" s="1077"/>
      <c r="I2990" s="1077"/>
      <c r="J2990" s="1077"/>
      <c r="K2990" s="1078"/>
      <c r="L2990" s="1073"/>
      <c r="M2990" s="1073"/>
      <c r="N2990" s="1073"/>
      <c r="O2990" s="1079"/>
      <c r="P2990" s="1076"/>
      <c r="Q2990" s="1080">
        <f ca="1">$B2990*Elec_Rates!$R$200</f>
        <v>9.65</v>
      </c>
      <c r="R2990" s="1071">
        <f ca="1">$A2990*Q2990</f>
        <v>38.6</v>
      </c>
      <c r="S2990" s="1080">
        <f ca="1">$B2990*Elec_Rates!$T$200</f>
        <v>1.31</v>
      </c>
      <c r="T2990" s="1072">
        <f ca="1">$A2990*S2990</f>
        <v>5.24</v>
      </c>
      <c r="U2990" s="1081"/>
    </row>
    <row r="2991" spans="1:41" s="504" customFormat="1" ht="12">
      <c r="A2991" s="882"/>
      <c r="B2991" s="882"/>
      <c r="C2991" s="882"/>
      <c r="D2991" s="882"/>
      <c r="E2991" s="882"/>
      <c r="F2991" s="877"/>
      <c r="G2991" s="882"/>
      <c r="H2991" s="882"/>
      <c r="I2991" s="503"/>
      <c r="J2991" s="882"/>
      <c r="K2991" s="882"/>
      <c r="L2991" s="882"/>
      <c r="M2991" s="882"/>
      <c r="N2991" s="882"/>
      <c r="O2991" s="882"/>
      <c r="P2991" s="882"/>
      <c r="Q2991" s="503"/>
      <c r="R2991" s="883">
        <f>$A2991*Q2991</f>
        <v>0</v>
      </c>
      <c r="S2991" s="503"/>
      <c r="T2991" s="884">
        <f>$A2991*S2991*$T$1</f>
        <v>0</v>
      </c>
    </row>
    <row r="2992" spans="1:41" s="504" customFormat="1" ht="12.6" thickBot="1">
      <c r="A2992" s="885" t="s">
        <v>142</v>
      </c>
      <c r="B2992" s="886">
        <f>(R2991+T2991)</f>
        <v>0</v>
      </c>
      <c r="C2992" s="887"/>
      <c r="D2992" s="887"/>
      <c r="E2992" s="887"/>
      <c r="F2992" s="888"/>
      <c r="G2992" s="887" t="s">
        <v>143</v>
      </c>
      <c r="H2992" s="887"/>
      <c r="I2992" s="889"/>
      <c r="J2992" s="887"/>
      <c r="K2992" s="887" t="s">
        <v>3</v>
      </c>
      <c r="L2992" s="890" t="s">
        <v>140</v>
      </c>
      <c r="M2992" s="890"/>
      <c r="N2992" s="890"/>
      <c r="O2992" s="890"/>
      <c r="P2992" s="890"/>
      <c r="Q2992" s="891"/>
      <c r="R2992" s="892">
        <f ca="1">SUM(R2988:R2991)</f>
        <v>38.6</v>
      </c>
      <c r="S2992" s="887"/>
      <c r="T2992" s="892">
        <f ca="1">SUM(T2988:T2991)</f>
        <v>5.24</v>
      </c>
      <c r="U2992" s="514"/>
      <c r="V2992" s="514"/>
      <c r="W2992" s="514"/>
      <c r="X2992" s="514"/>
      <c r="Y2992" s="514"/>
      <c r="Z2992" s="514"/>
      <c r="AA2992" s="514"/>
      <c r="AB2992" s="514"/>
      <c r="AC2992" s="514"/>
      <c r="AD2992" s="514"/>
      <c r="AE2992" s="514"/>
      <c r="AF2992" s="514"/>
      <c r="AG2992" s="514"/>
      <c r="AH2992" s="514"/>
      <c r="AI2992" s="514"/>
      <c r="AJ2992" s="514"/>
      <c r="AK2992" s="514"/>
      <c r="AL2992" s="514"/>
      <c r="AM2992" s="514"/>
      <c r="AN2992" s="514"/>
      <c r="AO2992" s="514"/>
    </row>
    <row r="2993" spans="1:41" s="504" customFormat="1" ht="12" thickTop="1">
      <c r="A2993" s="50"/>
      <c r="B2993" s="40"/>
      <c r="C2993" s="50"/>
      <c r="E2993" s="41" t="s">
        <v>136</v>
      </c>
      <c r="F2993" s="41" t="s">
        <v>137</v>
      </c>
      <c r="G2993" s="50"/>
      <c r="H2993" s="50"/>
      <c r="I2993" s="50"/>
      <c r="J2993" s="50"/>
      <c r="K2993" s="50" t="s">
        <v>138</v>
      </c>
      <c r="L2993" s="50"/>
      <c r="M2993" s="50"/>
      <c r="N2993" s="50"/>
      <c r="O2993" s="51"/>
      <c r="P2993" s="50"/>
      <c r="Q2993" s="50"/>
      <c r="R2993" s="50"/>
      <c r="S2993" s="50"/>
      <c r="T2993" s="40"/>
      <c r="AG2993" s="867" t="s">
        <v>241</v>
      </c>
      <c r="AH2993" s="867" t="s">
        <v>242</v>
      </c>
      <c r="AI2993" s="867" t="s">
        <v>243</v>
      </c>
      <c r="AJ2993" s="867" t="s">
        <v>244</v>
      </c>
      <c r="AK2993" s="867" t="s">
        <v>245</v>
      </c>
      <c r="AM2993" s="868" t="s">
        <v>254</v>
      </c>
      <c r="AN2993" s="869" t="s">
        <v>255</v>
      </c>
      <c r="AO2993" s="505" t="s">
        <v>251</v>
      </c>
    </row>
    <row r="2994" spans="1:41" s="504" customFormat="1" ht="12" customHeight="1">
      <c r="A2994" s="870">
        <v>3</v>
      </c>
      <c r="B2994" s="871" t="s">
        <v>335</v>
      </c>
      <c r="C2994" s="872"/>
      <c r="D2994" s="873" t="s">
        <v>827</v>
      </c>
      <c r="E2994" s="874">
        <f ca="1">IF(AND($A2994=0,$A$1="DIF"),0, ROUND(ROUND(($R2999*$S$2+($T2999*$T$2))/A2994,2)*$C$2,2))</f>
        <v>57.85</v>
      </c>
      <c r="F2994" s="875">
        <f ca="1">ROUND($A2994*$E2994,2)</f>
        <v>173.55</v>
      </c>
      <c r="G2994" s="876" t="s">
        <v>139</v>
      </c>
      <c r="H2994" s="877"/>
      <c r="I2994" s="878"/>
      <c r="J2994" s="877"/>
      <c r="K2994" s="877" t="s">
        <v>3</v>
      </c>
      <c r="L2994" s="879" t="s">
        <v>140</v>
      </c>
      <c r="M2994" s="879"/>
      <c r="N2994" s="879"/>
      <c r="O2994" s="879"/>
      <c r="P2994" s="879"/>
      <c r="Q2994" s="50"/>
      <c r="T2994" s="880" t="str">
        <f ca="1">IF(AND($R2999=0,$T2999=0),"0.00","mu :" &amp; ROUND($F2994/$C$2/($R2999+$T2999*$D$9),2))</f>
        <v>mu :1.22</v>
      </c>
      <c r="W2994" s="507"/>
      <c r="AG2994" s="465">
        <f ca="1">IF($E2994=0,0,ROUND($R2999*$S$2*$C$2/$A2994,2))</f>
        <v>11.77</v>
      </c>
      <c r="AH2994" s="465">
        <f ca="1">$AG2994*$A2994</f>
        <v>35.31</v>
      </c>
      <c r="AI2994" s="508">
        <f ca="1">$E2994-$AG2994</f>
        <v>46.08</v>
      </c>
      <c r="AJ2994" s="508">
        <f ca="1">$A2994*$AI2994</f>
        <v>138.24</v>
      </c>
      <c r="AK2994" s="509">
        <f ca="1">ROUND(($AG2994+$AI2994)*$A2994,2)</f>
        <v>173.55</v>
      </c>
      <c r="AM2994" s="510">
        <f ca="1">ROUND(R2999,2)</f>
        <v>28.95</v>
      </c>
      <c r="AN2994" s="511">
        <f ca="1">ROUND(T2999,2)</f>
        <v>3.93</v>
      </c>
      <c r="AO2994" s="512">
        <f ca="1">ROUND(AM2994+AN2994,2)*A2994</f>
        <v>98.640000000000015</v>
      </c>
    </row>
    <row r="2995" spans="1:41" s="504" customFormat="1" ht="13.2">
      <c r="A2995" s="872"/>
      <c r="B2995"/>
      <c r="C2995" s="872"/>
      <c r="D2995" s="873" t="s">
        <v>408</v>
      </c>
      <c r="F2995" s="877"/>
      <c r="G2995" s="3"/>
      <c r="H2995" s="877"/>
      <c r="I2995" s="878"/>
      <c r="J2995" s="877"/>
      <c r="K2995" s="877" t="s">
        <v>141</v>
      </c>
      <c r="L2995" s="877"/>
      <c r="M2995" s="877"/>
      <c r="N2995" s="877"/>
      <c r="O2995" s="877"/>
      <c r="P2995" s="877"/>
      <c r="Q2995" s="50"/>
      <c r="R2995" s="513"/>
      <c r="S2995" s="881"/>
      <c r="T2995" s="877"/>
    </row>
    <row r="2996" spans="1:41" s="997" customFormat="1" ht="13.2">
      <c r="A2996"/>
      <c r="B2996" s="1065"/>
      <c r="C2996" s="1065" t="s">
        <v>1006</v>
      </c>
      <c r="D2996" s="1065" t="str">
        <f ca="1">CELL("Address",Elec_Rates!D$200)</f>
        <v>[EL25_0662B_Brittania_Hotel_Elec_Revised_Estim_B.xlsx]Elec_Rates!$D$200</v>
      </c>
      <c r="E2996" s="1066"/>
      <c r="F2996" s="1066"/>
      <c r="G2996" s="1067" t="s">
        <v>1007</v>
      </c>
      <c r="H2996" s="1067"/>
      <c r="I2996" s="1067"/>
      <c r="J2996" s="1067"/>
      <c r="K2996" s="1068"/>
      <c r="L2996" s="1066"/>
      <c r="M2996" s="1066"/>
      <c r="N2996" s="1066"/>
      <c r="O2996" s="1069"/>
      <c r="P2996" s="1066"/>
      <c r="Q2996" s="1070"/>
      <c r="R2996" s="1071"/>
      <c r="S2996" s="1070"/>
      <c r="T2996" s="1072"/>
      <c r="U2996" s="1073"/>
    </row>
    <row r="2997" spans="1:41" s="997" customFormat="1" ht="11.4">
      <c r="A2997" s="1074">
        <v>3</v>
      </c>
      <c r="B2997" s="1075">
        <v>1</v>
      </c>
      <c r="C2997" s="1075">
        <f>$A2997*$B2997</f>
        <v>3</v>
      </c>
      <c r="D2997" s="1076" t="str">
        <f>Elec_Rates!$D$200</f>
        <v>019# Lighting point in LSZH Conduit</v>
      </c>
      <c r="E2997" s="1076"/>
      <c r="F2997" s="1076" t="s">
        <v>1169</v>
      </c>
      <c r="G2997" s="1077" t="s">
        <v>1008</v>
      </c>
      <c r="H2997" s="1077"/>
      <c r="I2997" s="1077"/>
      <c r="J2997" s="1077"/>
      <c r="K2997" s="1078"/>
      <c r="L2997" s="1073"/>
      <c r="M2997" s="1073"/>
      <c r="N2997" s="1073"/>
      <c r="O2997" s="1079"/>
      <c r="P2997" s="1076"/>
      <c r="Q2997" s="1080">
        <f ca="1">$B2997*Elec_Rates!$R$200</f>
        <v>9.65</v>
      </c>
      <c r="R2997" s="1071">
        <f ca="1">$A2997*Q2997</f>
        <v>28.950000000000003</v>
      </c>
      <c r="S2997" s="1080">
        <f ca="1">$B2997*Elec_Rates!$T$200</f>
        <v>1.31</v>
      </c>
      <c r="T2997" s="1072">
        <f ca="1">$A2997*S2997</f>
        <v>3.93</v>
      </c>
      <c r="U2997" s="1081"/>
    </row>
    <row r="2998" spans="1:41" s="504" customFormat="1" ht="12">
      <c r="A2998" s="882"/>
      <c r="B2998" s="882"/>
      <c r="C2998" s="882"/>
      <c r="D2998" s="882"/>
      <c r="E2998" s="882"/>
      <c r="F2998" s="877"/>
      <c r="G2998" s="882"/>
      <c r="H2998" s="882"/>
      <c r="I2998" s="503"/>
      <c r="J2998" s="882"/>
      <c r="K2998" s="882"/>
      <c r="L2998" s="882"/>
      <c r="M2998" s="882"/>
      <c r="N2998" s="882"/>
      <c r="O2998" s="882"/>
      <c r="P2998" s="882"/>
      <c r="Q2998" s="503"/>
      <c r="R2998" s="883">
        <f>$A2998*Q2998</f>
        <v>0</v>
      </c>
      <c r="S2998" s="503"/>
      <c r="T2998" s="884">
        <f>$A2998*S2998*$T$1</f>
        <v>0</v>
      </c>
    </row>
    <row r="2999" spans="1:41" s="504" customFormat="1" ht="12.6" thickBot="1">
      <c r="A2999" s="885" t="s">
        <v>142</v>
      </c>
      <c r="B2999" s="886">
        <f>(R2998+T2998)</f>
        <v>0</v>
      </c>
      <c r="C2999" s="887"/>
      <c r="D2999" s="887"/>
      <c r="E2999" s="887"/>
      <c r="F2999" s="888"/>
      <c r="G2999" s="887" t="s">
        <v>143</v>
      </c>
      <c r="H2999" s="887"/>
      <c r="I2999" s="889"/>
      <c r="J2999" s="887"/>
      <c r="K2999" s="887" t="s">
        <v>3</v>
      </c>
      <c r="L2999" s="890" t="s">
        <v>140</v>
      </c>
      <c r="M2999" s="890"/>
      <c r="N2999" s="890"/>
      <c r="O2999" s="890"/>
      <c r="P2999" s="890"/>
      <c r="Q2999" s="891"/>
      <c r="R2999" s="892">
        <f ca="1">SUM(R2995:R2998)</f>
        <v>28.950000000000003</v>
      </c>
      <c r="S2999" s="887"/>
      <c r="T2999" s="892">
        <f ca="1">SUM(T2995:T2998)</f>
        <v>3.93</v>
      </c>
      <c r="U2999" s="514"/>
      <c r="V2999" s="514"/>
      <c r="W2999" s="514"/>
      <c r="X2999" s="514"/>
      <c r="Y2999" s="514"/>
      <c r="Z2999" s="514"/>
      <c r="AA2999" s="514"/>
      <c r="AB2999" s="514"/>
      <c r="AC2999" s="514"/>
      <c r="AD2999" s="514"/>
      <c r="AE2999" s="514"/>
      <c r="AF2999" s="514"/>
      <c r="AG2999" s="514"/>
      <c r="AH2999" s="514"/>
      <c r="AI2999" s="514"/>
      <c r="AJ2999" s="514"/>
      <c r="AK2999" s="514"/>
      <c r="AL2999" s="514"/>
      <c r="AM2999" s="514"/>
      <c r="AN2999" s="514"/>
      <c r="AO2999" s="514"/>
    </row>
    <row r="3000" spans="1:41" s="504" customFormat="1" ht="12" thickTop="1">
      <c r="A3000" s="50"/>
      <c r="B3000" s="40"/>
      <c r="C3000" s="50"/>
      <c r="E3000" s="41" t="s">
        <v>136</v>
      </c>
      <c r="F3000" s="41" t="s">
        <v>137</v>
      </c>
      <c r="G3000" s="50"/>
      <c r="H3000" s="50"/>
      <c r="I3000" s="50"/>
      <c r="J3000" s="50"/>
      <c r="K3000" s="50" t="s">
        <v>138</v>
      </c>
      <c r="L3000" s="50"/>
      <c r="M3000" s="50"/>
      <c r="N3000" s="50"/>
      <c r="O3000" s="51"/>
      <c r="P3000" s="50"/>
      <c r="Q3000" s="50"/>
      <c r="R3000" s="50"/>
      <c r="S3000" s="50"/>
      <c r="T3000" s="40"/>
      <c r="AG3000" s="867" t="s">
        <v>241</v>
      </c>
      <c r="AH3000" s="867" t="s">
        <v>242</v>
      </c>
      <c r="AI3000" s="867" t="s">
        <v>243</v>
      </c>
      <c r="AJ3000" s="867" t="s">
        <v>244</v>
      </c>
      <c r="AK3000" s="867" t="s">
        <v>245</v>
      </c>
      <c r="AM3000" s="868" t="s">
        <v>254</v>
      </c>
      <c r="AN3000" s="869" t="s">
        <v>255</v>
      </c>
      <c r="AO3000" s="505" t="s">
        <v>251</v>
      </c>
    </row>
    <row r="3001" spans="1:41" s="504" customFormat="1" ht="12" customHeight="1">
      <c r="A3001" s="870">
        <v>3</v>
      </c>
      <c r="B3001" s="871" t="s">
        <v>335</v>
      </c>
      <c r="C3001" s="872"/>
      <c r="D3001" s="873" t="s">
        <v>828</v>
      </c>
      <c r="E3001" s="874">
        <f ca="1">IF(AND($A3001=0,$A$1="DIF"),0, ROUND(ROUND(($R3006*$S$2+($T3006*$T$2))/A3001,2)*$C$2,2))</f>
        <v>57.85</v>
      </c>
      <c r="F3001" s="875">
        <f ca="1">ROUND($A3001*$E3001,2)</f>
        <v>173.55</v>
      </c>
      <c r="G3001" s="876" t="s">
        <v>139</v>
      </c>
      <c r="H3001" s="877"/>
      <c r="I3001" s="878"/>
      <c r="J3001" s="877"/>
      <c r="K3001" s="877" t="s">
        <v>3</v>
      </c>
      <c r="L3001" s="879" t="s">
        <v>140</v>
      </c>
      <c r="M3001" s="879"/>
      <c r="N3001" s="879"/>
      <c r="O3001" s="879"/>
      <c r="P3001" s="879"/>
      <c r="Q3001" s="50"/>
      <c r="T3001" s="880" t="str">
        <f ca="1">IF(AND($R3006=0,$T3006=0),"0.00","mu :" &amp; ROUND($F3001/$C$2/($R3006+$T3006*$D$9),2))</f>
        <v>mu :1.22</v>
      </c>
      <c r="W3001" s="507"/>
      <c r="AG3001" s="465">
        <f ca="1">IF($E3001=0,0,ROUND($R3006*$S$2*$C$2/$A3001,2))</f>
        <v>11.77</v>
      </c>
      <c r="AH3001" s="465">
        <f ca="1">$AG3001*$A3001</f>
        <v>35.31</v>
      </c>
      <c r="AI3001" s="508">
        <f ca="1">$E3001-$AG3001</f>
        <v>46.08</v>
      </c>
      <c r="AJ3001" s="508">
        <f ca="1">$A3001*$AI3001</f>
        <v>138.24</v>
      </c>
      <c r="AK3001" s="509">
        <f ca="1">ROUND(($AG3001+$AI3001)*$A3001,2)</f>
        <v>173.55</v>
      </c>
      <c r="AM3001" s="510">
        <f ca="1">ROUND(R3006,2)</f>
        <v>28.95</v>
      </c>
      <c r="AN3001" s="511">
        <f ca="1">ROUND(T3006,2)</f>
        <v>3.93</v>
      </c>
      <c r="AO3001" s="512">
        <f ca="1">ROUND(AM3001+AN3001,2)*A3001</f>
        <v>98.640000000000015</v>
      </c>
    </row>
    <row r="3002" spans="1:41" s="504" customFormat="1" ht="13.2">
      <c r="A3002" s="872"/>
      <c r="B3002"/>
      <c r="C3002" s="872"/>
      <c r="D3002" s="873" t="s">
        <v>409</v>
      </c>
      <c r="F3002" s="877"/>
      <c r="G3002" s="3"/>
      <c r="H3002" s="877"/>
      <c r="I3002" s="878"/>
      <c r="J3002" s="877"/>
      <c r="K3002" s="877" t="s">
        <v>141</v>
      </c>
      <c r="L3002" s="877"/>
      <c r="M3002" s="877"/>
      <c r="N3002" s="877"/>
      <c r="O3002" s="877"/>
      <c r="P3002" s="877"/>
      <c r="Q3002" s="50"/>
      <c r="R3002" s="513"/>
      <c r="S3002" s="881"/>
      <c r="T3002" s="877"/>
    </row>
    <row r="3003" spans="1:41" s="997" customFormat="1" ht="13.2">
      <c r="A3003"/>
      <c r="B3003" s="1065"/>
      <c r="C3003" s="1065" t="s">
        <v>1006</v>
      </c>
      <c r="D3003" s="1065" t="str">
        <f ca="1">CELL("Address",Elec_Rates!D$200)</f>
        <v>[EL25_0662B_Brittania_Hotel_Elec_Revised_Estim_B.xlsx]Elec_Rates!$D$200</v>
      </c>
      <c r="E3003" s="1066"/>
      <c r="F3003" s="1066"/>
      <c r="G3003" s="1067" t="s">
        <v>1007</v>
      </c>
      <c r="H3003" s="1067"/>
      <c r="I3003" s="1067"/>
      <c r="J3003" s="1067"/>
      <c r="K3003" s="1068"/>
      <c r="L3003" s="1066"/>
      <c r="M3003" s="1066"/>
      <c r="N3003" s="1066"/>
      <c r="O3003" s="1069"/>
      <c r="P3003" s="1066"/>
      <c r="Q3003" s="1070"/>
      <c r="R3003" s="1071"/>
      <c r="S3003" s="1070"/>
      <c r="T3003" s="1072"/>
      <c r="U3003" s="1073"/>
    </row>
    <row r="3004" spans="1:41" s="997" customFormat="1" ht="11.4">
      <c r="A3004" s="1074">
        <v>3</v>
      </c>
      <c r="B3004" s="1075">
        <v>1</v>
      </c>
      <c r="C3004" s="1075">
        <f>$A3004*$B3004</f>
        <v>3</v>
      </c>
      <c r="D3004" s="1076" t="str">
        <f>Elec_Rates!$D$200</f>
        <v>019# Lighting point in LSZH Conduit</v>
      </c>
      <c r="E3004" s="1076"/>
      <c r="F3004" s="1076" t="s">
        <v>1169</v>
      </c>
      <c r="G3004" s="1077" t="s">
        <v>1008</v>
      </c>
      <c r="H3004" s="1077"/>
      <c r="I3004" s="1077"/>
      <c r="J3004" s="1077"/>
      <c r="K3004" s="1078"/>
      <c r="L3004" s="1073"/>
      <c r="M3004" s="1073"/>
      <c r="N3004" s="1073"/>
      <c r="O3004" s="1079"/>
      <c r="P3004" s="1076"/>
      <c r="Q3004" s="1080">
        <f ca="1">$B3004*Elec_Rates!$R$200</f>
        <v>9.65</v>
      </c>
      <c r="R3004" s="1071">
        <f ca="1">$A3004*Q3004</f>
        <v>28.950000000000003</v>
      </c>
      <c r="S3004" s="1080">
        <f ca="1">$B3004*Elec_Rates!$T$200</f>
        <v>1.31</v>
      </c>
      <c r="T3004" s="1072">
        <f ca="1">$A3004*S3004</f>
        <v>3.93</v>
      </c>
      <c r="U3004" s="1081"/>
    </row>
    <row r="3005" spans="1:41" s="504" customFormat="1" ht="12">
      <c r="A3005" s="882"/>
      <c r="B3005" s="882"/>
      <c r="C3005" s="882"/>
      <c r="D3005" s="882"/>
      <c r="E3005" s="882"/>
      <c r="F3005" s="877"/>
      <c r="G3005" s="882"/>
      <c r="H3005" s="882"/>
      <c r="I3005" s="503"/>
      <c r="J3005" s="882"/>
      <c r="K3005" s="882"/>
      <c r="L3005" s="882"/>
      <c r="M3005" s="882"/>
      <c r="N3005" s="882"/>
      <c r="O3005" s="882"/>
      <c r="P3005" s="882"/>
      <c r="Q3005" s="503"/>
      <c r="R3005" s="883">
        <f>$A3005*Q3005</f>
        <v>0</v>
      </c>
      <c r="S3005" s="503"/>
      <c r="T3005" s="884">
        <f>$A3005*S3005*$T$1</f>
        <v>0</v>
      </c>
    </row>
    <row r="3006" spans="1:41" s="504" customFormat="1" ht="12.6" thickBot="1">
      <c r="A3006" s="885" t="s">
        <v>142</v>
      </c>
      <c r="B3006" s="886">
        <f>(R3005+T3005)</f>
        <v>0</v>
      </c>
      <c r="C3006" s="887"/>
      <c r="D3006" s="887"/>
      <c r="E3006" s="887"/>
      <c r="F3006" s="888"/>
      <c r="G3006" s="887" t="s">
        <v>143</v>
      </c>
      <c r="H3006" s="887"/>
      <c r="I3006" s="889"/>
      <c r="J3006" s="887"/>
      <c r="K3006" s="887" t="s">
        <v>3</v>
      </c>
      <c r="L3006" s="890" t="s">
        <v>140</v>
      </c>
      <c r="M3006" s="890"/>
      <c r="N3006" s="890"/>
      <c r="O3006" s="890"/>
      <c r="P3006" s="890"/>
      <c r="Q3006" s="891"/>
      <c r="R3006" s="892">
        <f ca="1">SUM(R3002:R3005)</f>
        <v>28.950000000000003</v>
      </c>
      <c r="S3006" s="887"/>
      <c r="T3006" s="892">
        <f ca="1">SUM(T3002:T3005)</f>
        <v>3.93</v>
      </c>
      <c r="U3006" s="514"/>
      <c r="V3006" s="514"/>
      <c r="W3006" s="514"/>
      <c r="X3006" s="514"/>
      <c r="Y3006" s="514"/>
      <c r="Z3006" s="514"/>
      <c r="AA3006" s="514"/>
      <c r="AB3006" s="514"/>
      <c r="AC3006" s="514"/>
      <c r="AD3006" s="514"/>
      <c r="AE3006" s="514"/>
      <c r="AF3006" s="514"/>
      <c r="AG3006" s="514"/>
      <c r="AH3006" s="514"/>
      <c r="AI3006" s="514"/>
      <c r="AJ3006" s="514"/>
      <c r="AK3006" s="514"/>
      <c r="AL3006" s="514"/>
      <c r="AM3006" s="514"/>
      <c r="AN3006" s="514"/>
      <c r="AO3006" s="514"/>
    </row>
    <row r="3007" spans="1:41" s="504" customFormat="1" ht="12" thickTop="1">
      <c r="A3007" s="50"/>
      <c r="B3007" s="40"/>
      <c r="C3007" s="50"/>
      <c r="E3007" s="41" t="s">
        <v>136</v>
      </c>
      <c r="F3007" s="41" t="s">
        <v>137</v>
      </c>
      <c r="G3007" s="50"/>
      <c r="H3007" s="50"/>
      <c r="I3007" s="50"/>
      <c r="J3007" s="50"/>
      <c r="K3007" s="50" t="s">
        <v>138</v>
      </c>
      <c r="L3007" s="50"/>
      <c r="M3007" s="50"/>
      <c r="N3007" s="50"/>
      <c r="O3007" s="51"/>
      <c r="P3007" s="50"/>
      <c r="Q3007" s="50"/>
      <c r="R3007" s="50"/>
      <c r="S3007" s="50"/>
      <c r="T3007" s="40"/>
      <c r="AG3007" s="867" t="s">
        <v>241</v>
      </c>
      <c r="AH3007" s="867" t="s">
        <v>242</v>
      </c>
      <c r="AI3007" s="867" t="s">
        <v>243</v>
      </c>
      <c r="AJ3007" s="867" t="s">
        <v>244</v>
      </c>
      <c r="AK3007" s="867" t="s">
        <v>245</v>
      </c>
      <c r="AM3007" s="868" t="s">
        <v>254</v>
      </c>
      <c r="AN3007" s="869" t="s">
        <v>255</v>
      </c>
      <c r="AO3007" s="505" t="s">
        <v>251</v>
      </c>
    </row>
    <row r="3008" spans="1:41" s="504" customFormat="1" ht="12" customHeight="1">
      <c r="A3008" s="870">
        <v>2</v>
      </c>
      <c r="B3008" s="871" t="s">
        <v>335</v>
      </c>
      <c r="C3008" s="872"/>
      <c r="D3008" s="873" t="s">
        <v>829</v>
      </c>
      <c r="E3008" s="874">
        <f ca="1">IF(AND($A3008=0,$A$1="DIF"),0, ROUND(ROUND(($R3015*$S$2+($T3015*$T$2))/A3008,2)*$C$2,2))</f>
        <v>88.56</v>
      </c>
      <c r="F3008" s="875">
        <f ca="1">ROUND($A3008*$E3008,2)</f>
        <v>177.12</v>
      </c>
      <c r="G3008" s="876" t="s">
        <v>139</v>
      </c>
      <c r="H3008" s="877"/>
      <c r="I3008" s="878"/>
      <c r="J3008" s="877"/>
      <c r="K3008" s="877" t="s">
        <v>3</v>
      </c>
      <c r="L3008" s="879" t="s">
        <v>140</v>
      </c>
      <c r="M3008" s="879"/>
      <c r="N3008" s="879"/>
      <c r="O3008" s="879"/>
      <c r="P3008" s="879"/>
      <c r="Q3008" s="50"/>
      <c r="T3008" s="880" t="str">
        <f ca="1">IF(AND($R3015=0,$T3015=0),"0.00","mu :" &amp; ROUND($F3008/$C$2/($R3015+$T3015*$D$9),2))</f>
        <v>mu :1.22</v>
      </c>
      <c r="W3008" s="507"/>
      <c r="AG3008" s="465">
        <f ca="1">IF($E3008=0,0,ROUND($R3015*$S$2*$C$2/$A3008,2))</f>
        <v>33.33</v>
      </c>
      <c r="AH3008" s="465">
        <f ca="1">$AG3008*$A3008</f>
        <v>66.66</v>
      </c>
      <c r="AI3008" s="508">
        <f ca="1">$E3008-$AG3008</f>
        <v>55.230000000000004</v>
      </c>
      <c r="AJ3008" s="508">
        <f ca="1">$A3008*$AI3008</f>
        <v>110.46000000000001</v>
      </c>
      <c r="AK3008" s="509">
        <f ca="1">ROUND(($AG3008+$AI3008)*$A3008,2)</f>
        <v>177.12</v>
      </c>
      <c r="AM3008" s="510">
        <f ca="1">ROUND(R3015,2)</f>
        <v>54.64</v>
      </c>
      <c r="AN3008" s="511">
        <f ca="1">ROUND(T3015,2)</f>
        <v>3.14</v>
      </c>
      <c r="AO3008" s="512">
        <f ca="1">ROUND(AM3008+AN3008,2)*A3008</f>
        <v>115.56</v>
      </c>
    </row>
    <row r="3009" spans="1:41" s="504" customFormat="1" ht="13.2">
      <c r="A3009" s="872"/>
      <c r="B3009"/>
      <c r="C3009" s="872"/>
      <c r="D3009" s="873" t="s">
        <v>340</v>
      </c>
      <c r="F3009" s="877"/>
      <c r="G3009" s="3"/>
      <c r="H3009" s="877"/>
      <c r="I3009" s="878"/>
      <c r="J3009" s="877"/>
      <c r="K3009" s="877" t="s">
        <v>141</v>
      </c>
      <c r="L3009" s="877"/>
      <c r="M3009" s="877"/>
      <c r="N3009" s="877"/>
      <c r="O3009" s="877"/>
      <c r="P3009" s="877"/>
      <c r="Q3009" s="50"/>
      <c r="R3009" s="513"/>
      <c r="S3009" s="881"/>
      <c r="T3009" s="877"/>
    </row>
    <row r="3010" spans="1:41" s="997" customFormat="1" ht="13.2">
      <c r="A3010"/>
      <c r="B3010" s="1065"/>
      <c r="C3010" s="1065" t="s">
        <v>1006</v>
      </c>
      <c r="D3010" s="1065" t="str">
        <f ca="1">CELL("Address",Elec_Rates!D$200)</f>
        <v>[EL25_0662B_Brittania_Hotel_Elec_Revised_Estim_B.xlsx]Elec_Rates!$D$200</v>
      </c>
      <c r="E3010" s="1066"/>
      <c r="F3010" s="1066"/>
      <c r="G3010" s="1067" t="s">
        <v>1007</v>
      </c>
      <c r="H3010" s="1067"/>
      <c r="I3010" s="1067"/>
      <c r="J3010" s="1067"/>
      <c r="K3010" s="1068"/>
      <c r="L3010" s="1066"/>
      <c r="M3010" s="1066"/>
      <c r="N3010" s="1066"/>
      <c r="O3010" s="1069"/>
      <c r="P3010" s="1066"/>
      <c r="Q3010" s="1070"/>
      <c r="R3010" s="1071"/>
      <c r="S3010" s="1070"/>
      <c r="T3010" s="1072"/>
      <c r="U3010" s="1073"/>
    </row>
    <row r="3011" spans="1:41" s="997" customFormat="1" ht="11.4">
      <c r="A3011" s="1074">
        <v>2</v>
      </c>
      <c r="B3011" s="1075">
        <v>1</v>
      </c>
      <c r="C3011" s="1075">
        <f>$A3011*$B3011</f>
        <v>2</v>
      </c>
      <c r="D3011" s="1076" t="str">
        <f>Elec_Rates!$D$200</f>
        <v>019# Lighting point in LSZH Conduit</v>
      </c>
      <c r="E3011" s="1076"/>
      <c r="F3011" s="1076" t="s">
        <v>1169</v>
      </c>
      <c r="G3011" s="1077" t="s">
        <v>1008</v>
      </c>
      <c r="H3011" s="1077"/>
      <c r="I3011" s="1077"/>
      <c r="J3011" s="1077"/>
      <c r="K3011" s="1078"/>
      <c r="L3011" s="1073"/>
      <c r="M3011" s="1073"/>
      <c r="N3011" s="1073"/>
      <c r="O3011" s="1079"/>
      <c r="P3011" s="1076"/>
      <c r="Q3011" s="1080">
        <f ca="1">$B3011*Elec_Rates!$R$200</f>
        <v>9.65</v>
      </c>
      <c r="R3011" s="1071">
        <f ca="1">$A3011*Q3011</f>
        <v>19.3</v>
      </c>
      <c r="S3011" s="1080">
        <f ca="1">$B3011*Elec_Rates!$T$200</f>
        <v>1.31</v>
      </c>
      <c r="T3011" s="1072">
        <f ca="1">$A3011*S3011</f>
        <v>2.62</v>
      </c>
      <c r="U3011" s="1081"/>
    </row>
    <row r="3012" spans="1:41" s="997" customFormat="1" ht="13.2">
      <c r="A3012"/>
      <c r="B3012" s="1065"/>
      <c r="C3012" s="1065" t="s">
        <v>1006</v>
      </c>
      <c r="D3012" s="1065" t="str">
        <f ca="1">CELL("Address",Elec_Rates!D$210)</f>
        <v>[EL25_0662B_Brittania_Hotel_Elec_Revised_Estim_B.xlsx]Elec_Rates!$D$210</v>
      </c>
      <c r="E3012" s="1066"/>
      <c r="F3012" s="1066"/>
      <c r="G3012" s="1067" t="s">
        <v>1007</v>
      </c>
      <c r="H3012" s="1067"/>
      <c r="I3012" s="1067"/>
      <c r="J3012" s="1067"/>
      <c r="K3012" s="1068"/>
      <c r="L3012" s="1066"/>
      <c r="M3012" s="1066"/>
      <c r="N3012" s="1066"/>
      <c r="O3012" s="1069"/>
      <c r="P3012" s="1066"/>
      <c r="Q3012" s="1070"/>
      <c r="R3012" s="1071"/>
      <c r="S3012" s="1070"/>
      <c r="T3012" s="1072"/>
      <c r="U3012" s="1073"/>
    </row>
    <row r="3013" spans="1:41" s="997" customFormat="1" ht="11.4">
      <c r="A3013" s="1074">
        <v>2</v>
      </c>
      <c r="B3013" s="1075">
        <v>1</v>
      </c>
      <c r="C3013" s="1075">
        <f>$A3013*$B3013</f>
        <v>2</v>
      </c>
      <c r="D3013" s="1076" t="str">
        <f>Elec_Rates!$D$210</f>
        <v>020# Movement Detector</v>
      </c>
      <c r="E3013" s="1076"/>
      <c r="F3013" s="1076"/>
      <c r="G3013" s="1077" t="s">
        <v>1008</v>
      </c>
      <c r="H3013" s="1077"/>
      <c r="I3013" s="1077"/>
      <c r="J3013" s="1077"/>
      <c r="K3013" s="1078"/>
      <c r="L3013" s="1073"/>
      <c r="M3013" s="1073"/>
      <c r="N3013" s="1073"/>
      <c r="O3013" s="1079"/>
      <c r="P3013" s="1076"/>
      <c r="Q3013" s="1080">
        <f ca="1">$B3013*Elec_Rates!$R$210</f>
        <v>17.670000000000002</v>
      </c>
      <c r="R3013" s="1071">
        <f ca="1">$A3013*Q3013</f>
        <v>35.340000000000003</v>
      </c>
      <c r="S3013" s="1080">
        <f ca="1">$B3013*Elec_Rates!$T$210</f>
        <v>0.26</v>
      </c>
      <c r="T3013" s="1072">
        <f ca="1">$A3013*S3013</f>
        <v>0.52</v>
      </c>
      <c r="U3013" s="1081"/>
    </row>
    <row r="3014" spans="1:41" s="504" customFormat="1" ht="12">
      <c r="A3014" s="882"/>
      <c r="B3014" s="882"/>
      <c r="C3014" s="882"/>
      <c r="D3014" s="882"/>
      <c r="E3014" s="882"/>
      <c r="F3014" s="877"/>
      <c r="G3014" s="882"/>
      <c r="H3014" s="882"/>
      <c r="I3014" s="503"/>
      <c r="J3014" s="882"/>
      <c r="K3014" s="882"/>
      <c r="L3014" s="882"/>
      <c r="M3014" s="882"/>
      <c r="N3014" s="882"/>
      <c r="O3014" s="882"/>
      <c r="P3014" s="882"/>
      <c r="Q3014" s="503"/>
      <c r="R3014" s="883">
        <f>$A3014*Q3014</f>
        <v>0</v>
      </c>
      <c r="S3014" s="503"/>
      <c r="T3014" s="884">
        <f>$A3014*S3014*$T$1</f>
        <v>0</v>
      </c>
    </row>
    <row r="3015" spans="1:41" s="504" customFormat="1" ht="12.6" thickBot="1">
      <c r="A3015" s="885" t="s">
        <v>142</v>
      </c>
      <c r="B3015" s="886">
        <f>(R3014+T3014)</f>
        <v>0</v>
      </c>
      <c r="C3015" s="887"/>
      <c r="D3015" s="887"/>
      <c r="E3015" s="887"/>
      <c r="F3015" s="888"/>
      <c r="G3015" s="887" t="s">
        <v>143</v>
      </c>
      <c r="H3015" s="887"/>
      <c r="I3015" s="889"/>
      <c r="J3015" s="887"/>
      <c r="K3015" s="887" t="s">
        <v>3</v>
      </c>
      <c r="L3015" s="890" t="s">
        <v>140</v>
      </c>
      <c r="M3015" s="890"/>
      <c r="N3015" s="890"/>
      <c r="O3015" s="890"/>
      <c r="P3015" s="890"/>
      <c r="Q3015" s="891"/>
      <c r="R3015" s="892">
        <f ca="1">SUM(R3009:R3014)</f>
        <v>54.64</v>
      </c>
      <c r="S3015" s="887"/>
      <c r="T3015" s="892">
        <f ca="1">SUM(T3009:T3014)</f>
        <v>3.14</v>
      </c>
      <c r="U3015" s="514"/>
      <c r="V3015" s="514"/>
      <c r="W3015" s="514"/>
      <c r="X3015" s="514"/>
      <c r="Y3015" s="514"/>
      <c r="Z3015" s="514"/>
      <c r="AA3015" s="514"/>
      <c r="AB3015" s="514"/>
      <c r="AC3015" s="514"/>
      <c r="AD3015" s="514"/>
      <c r="AE3015" s="514"/>
      <c r="AF3015" s="514"/>
      <c r="AG3015" s="514"/>
      <c r="AH3015" s="514"/>
      <c r="AI3015" s="514"/>
      <c r="AJ3015" s="514"/>
      <c r="AK3015" s="514"/>
      <c r="AL3015" s="514"/>
      <c r="AM3015" s="514"/>
      <c r="AN3015" s="514"/>
      <c r="AO3015" s="514"/>
    </row>
    <row r="3016" spans="1:41" s="504" customFormat="1" ht="12" thickTop="1">
      <c r="A3016" s="50"/>
      <c r="B3016" s="40"/>
      <c r="C3016" s="50"/>
      <c r="E3016" s="41" t="s">
        <v>136</v>
      </c>
      <c r="F3016" s="41" t="s">
        <v>137</v>
      </c>
      <c r="G3016" s="50"/>
      <c r="H3016" s="50"/>
      <c r="I3016" s="50"/>
      <c r="J3016" s="50"/>
      <c r="K3016" s="50" t="s">
        <v>138</v>
      </c>
      <c r="L3016" s="50"/>
      <c r="M3016" s="50"/>
      <c r="N3016" s="50"/>
      <c r="O3016" s="51"/>
      <c r="P3016" s="50"/>
      <c r="Q3016" s="50"/>
      <c r="R3016" s="50"/>
      <c r="S3016" s="50"/>
      <c r="T3016" s="40"/>
      <c r="AG3016" s="867" t="s">
        <v>241</v>
      </c>
      <c r="AH3016" s="867" t="s">
        <v>242</v>
      </c>
      <c r="AI3016" s="867" t="s">
        <v>243</v>
      </c>
      <c r="AJ3016" s="867" t="s">
        <v>244</v>
      </c>
      <c r="AK3016" s="867" t="s">
        <v>245</v>
      </c>
      <c r="AM3016" s="868" t="s">
        <v>254</v>
      </c>
      <c r="AN3016" s="869" t="s">
        <v>255</v>
      </c>
      <c r="AO3016" s="505" t="s">
        <v>251</v>
      </c>
    </row>
    <row r="3017" spans="1:41" s="504" customFormat="1" ht="12" customHeight="1">
      <c r="A3017" s="870">
        <v>4</v>
      </c>
      <c r="B3017" s="871" t="s">
        <v>335</v>
      </c>
      <c r="C3017" s="872"/>
      <c r="D3017" s="873" t="s">
        <v>830</v>
      </c>
      <c r="E3017" s="874">
        <f ca="1">IF(AND($A3017=0,$A$1="DIF"),0, ROUND(ROUND(($R3022*$S$2+($T3022*$T$2))/A3017,2)*$C$2,2))</f>
        <v>57.85</v>
      </c>
      <c r="F3017" s="875">
        <f ca="1">ROUND($A3017*$E3017,2)</f>
        <v>231.4</v>
      </c>
      <c r="G3017" s="876" t="s">
        <v>139</v>
      </c>
      <c r="H3017" s="877"/>
      <c r="I3017" s="878"/>
      <c r="J3017" s="877"/>
      <c r="K3017" s="877" t="s">
        <v>3</v>
      </c>
      <c r="L3017" s="879" t="s">
        <v>140</v>
      </c>
      <c r="M3017" s="879"/>
      <c r="N3017" s="879"/>
      <c r="O3017" s="879"/>
      <c r="P3017" s="879"/>
      <c r="Q3017" s="50"/>
      <c r="T3017" s="880" t="str">
        <f ca="1">IF(AND($R3022=0,$T3022=0),"0.00","mu :" &amp; ROUND($F3017/$C$2/($R3022+$T3022*$D$9),2))</f>
        <v>mu :1.22</v>
      </c>
      <c r="W3017" s="507"/>
      <c r="AG3017" s="465">
        <f ca="1">IF($E3017=0,0,ROUND($R3022*$S$2*$C$2/$A3017,2))</f>
        <v>11.77</v>
      </c>
      <c r="AH3017" s="465">
        <f ca="1">$AG3017*$A3017</f>
        <v>47.08</v>
      </c>
      <c r="AI3017" s="508">
        <f ca="1">$E3017-$AG3017</f>
        <v>46.08</v>
      </c>
      <c r="AJ3017" s="508">
        <f ca="1">$A3017*$AI3017</f>
        <v>184.32</v>
      </c>
      <c r="AK3017" s="509">
        <f ca="1">ROUND(($AG3017+$AI3017)*$A3017,2)</f>
        <v>231.4</v>
      </c>
      <c r="AM3017" s="510">
        <f ca="1">ROUND(R3022,2)</f>
        <v>38.6</v>
      </c>
      <c r="AN3017" s="511">
        <f ca="1">ROUND(T3022,2)</f>
        <v>5.24</v>
      </c>
      <c r="AO3017" s="512">
        <f ca="1">ROUND(AM3017+AN3017,2)*A3017</f>
        <v>175.36</v>
      </c>
    </row>
    <row r="3018" spans="1:41" s="504" customFormat="1" ht="13.2">
      <c r="A3018" s="872"/>
      <c r="B3018"/>
      <c r="C3018" s="872"/>
      <c r="D3018" s="873" t="s">
        <v>344</v>
      </c>
      <c r="F3018" s="877"/>
      <c r="G3018" s="3"/>
      <c r="H3018" s="877"/>
      <c r="I3018" s="878"/>
      <c r="J3018" s="877"/>
      <c r="K3018" s="877" t="s">
        <v>141</v>
      </c>
      <c r="L3018" s="877"/>
      <c r="M3018" s="877"/>
      <c r="N3018" s="877"/>
      <c r="O3018" s="877"/>
      <c r="P3018" s="877"/>
      <c r="Q3018" s="50"/>
      <c r="R3018" s="513"/>
      <c r="S3018" s="881"/>
      <c r="T3018" s="877"/>
    </row>
    <row r="3019" spans="1:41" s="997" customFormat="1" ht="13.2">
      <c r="A3019"/>
      <c r="B3019" s="1065"/>
      <c r="C3019" s="1065" t="s">
        <v>1006</v>
      </c>
      <c r="D3019" s="1065" t="str">
        <f ca="1">CELL("Address",Elec_Rates!D$200)</f>
        <v>[EL25_0662B_Brittania_Hotel_Elec_Revised_Estim_B.xlsx]Elec_Rates!$D$200</v>
      </c>
      <c r="E3019" s="1066"/>
      <c r="F3019" s="1066"/>
      <c r="G3019" s="1067" t="s">
        <v>1007</v>
      </c>
      <c r="H3019" s="1067"/>
      <c r="I3019" s="1067"/>
      <c r="J3019" s="1067"/>
      <c r="K3019" s="1068"/>
      <c r="L3019" s="1066"/>
      <c r="M3019" s="1066"/>
      <c r="N3019" s="1066"/>
      <c r="O3019" s="1069"/>
      <c r="P3019" s="1066"/>
      <c r="Q3019" s="1070"/>
      <c r="R3019" s="1071"/>
      <c r="S3019" s="1070"/>
      <c r="T3019" s="1072"/>
      <c r="U3019" s="1073"/>
    </row>
    <row r="3020" spans="1:41" s="997" customFormat="1" ht="11.4">
      <c r="A3020" s="1074">
        <v>4</v>
      </c>
      <c r="B3020" s="1075">
        <v>1</v>
      </c>
      <c r="C3020" s="1075">
        <f>$A3020*$B3020</f>
        <v>4</v>
      </c>
      <c r="D3020" s="1076" t="str">
        <f>Elec_Rates!$D$200</f>
        <v>019# Lighting point in LSZH Conduit</v>
      </c>
      <c r="E3020" s="1076"/>
      <c r="F3020" s="1076" t="s">
        <v>1179</v>
      </c>
      <c r="G3020" s="1077" t="s">
        <v>1008</v>
      </c>
      <c r="H3020" s="1077"/>
      <c r="I3020" s="1077"/>
      <c r="J3020" s="1077"/>
      <c r="K3020" s="1078"/>
      <c r="L3020" s="1073"/>
      <c r="M3020" s="1073"/>
      <c r="N3020" s="1073"/>
      <c r="O3020" s="1079"/>
      <c r="P3020" s="1076"/>
      <c r="Q3020" s="1080">
        <f ca="1">$B3020*Elec_Rates!$R$200</f>
        <v>9.65</v>
      </c>
      <c r="R3020" s="1071">
        <f ca="1">$A3020*Q3020</f>
        <v>38.6</v>
      </c>
      <c r="S3020" s="1080">
        <f ca="1">$B3020*Elec_Rates!$T$200</f>
        <v>1.31</v>
      </c>
      <c r="T3020" s="1072">
        <f ca="1">$A3020*S3020</f>
        <v>5.24</v>
      </c>
      <c r="U3020" s="1081"/>
    </row>
    <row r="3021" spans="1:41" s="504" customFormat="1" ht="12">
      <c r="A3021" s="882"/>
      <c r="B3021" s="882"/>
      <c r="C3021" s="882"/>
      <c r="D3021" s="882"/>
      <c r="E3021" s="882"/>
      <c r="F3021" s="877"/>
      <c r="G3021" s="882"/>
      <c r="H3021" s="882"/>
      <c r="I3021" s="503"/>
      <c r="J3021" s="882"/>
      <c r="K3021" s="882"/>
      <c r="L3021" s="882"/>
      <c r="M3021" s="882"/>
      <c r="N3021" s="882"/>
      <c r="O3021" s="882"/>
      <c r="P3021" s="882"/>
      <c r="Q3021" s="503"/>
      <c r="R3021" s="883">
        <f>$A3021*Q3021</f>
        <v>0</v>
      </c>
      <c r="S3021" s="503"/>
      <c r="T3021" s="884">
        <f>$A3021*S3021*$T$1</f>
        <v>0</v>
      </c>
    </row>
    <row r="3022" spans="1:41" s="504" customFormat="1" ht="12.6" thickBot="1">
      <c r="A3022" s="885" t="s">
        <v>142</v>
      </c>
      <c r="B3022" s="886">
        <f>(R3021+T3021)</f>
        <v>0</v>
      </c>
      <c r="C3022" s="887"/>
      <c r="D3022" s="887"/>
      <c r="E3022" s="887"/>
      <c r="F3022" s="888"/>
      <c r="G3022" s="887" t="s">
        <v>143</v>
      </c>
      <c r="H3022" s="887"/>
      <c r="I3022" s="889"/>
      <c r="J3022" s="887"/>
      <c r="K3022" s="887" t="s">
        <v>3</v>
      </c>
      <c r="L3022" s="890" t="s">
        <v>140</v>
      </c>
      <c r="M3022" s="890"/>
      <c r="N3022" s="890"/>
      <c r="O3022" s="890"/>
      <c r="P3022" s="890"/>
      <c r="Q3022" s="891"/>
      <c r="R3022" s="892">
        <f ca="1">SUM(R3018:R3021)</f>
        <v>38.6</v>
      </c>
      <c r="S3022" s="887"/>
      <c r="T3022" s="892">
        <f ca="1">SUM(T3018:T3021)</f>
        <v>5.24</v>
      </c>
      <c r="U3022" s="514"/>
      <c r="V3022" s="514"/>
      <c r="W3022" s="514"/>
      <c r="X3022" s="514"/>
      <c r="Y3022" s="514"/>
      <c r="Z3022" s="514"/>
      <c r="AA3022" s="514"/>
      <c r="AB3022" s="514"/>
      <c r="AC3022" s="514"/>
      <c r="AD3022" s="514"/>
      <c r="AE3022" s="514"/>
      <c r="AF3022" s="514"/>
      <c r="AG3022" s="514"/>
      <c r="AH3022" s="514"/>
      <c r="AI3022" s="514"/>
      <c r="AJ3022" s="514"/>
      <c r="AK3022" s="514"/>
      <c r="AL3022" s="514"/>
      <c r="AM3022" s="514"/>
      <c r="AN3022" s="514"/>
      <c r="AO3022" s="514"/>
    </row>
    <row r="3023" spans="1:41" s="504" customFormat="1" thickTop="1">
      <c r="A3023" s="50"/>
      <c r="B3023" s="50"/>
      <c r="C3023" s="3"/>
      <c r="D3023" s="3"/>
      <c r="E3023" s="50"/>
      <c r="F3023" s="50"/>
      <c r="G3023" s="50"/>
      <c r="H3023" s="50"/>
      <c r="I3023" s="50"/>
      <c r="J3023" s="50"/>
      <c r="K3023" s="50" t="s">
        <v>133</v>
      </c>
      <c r="L3023" s="50"/>
      <c r="M3023" s="50"/>
      <c r="N3023" s="50"/>
      <c r="O3023" s="51"/>
      <c r="P3023" s="50"/>
      <c r="Q3023" s="50"/>
      <c r="R3023" s="50"/>
      <c r="S3023" s="50"/>
      <c r="T3023" s="50"/>
    </row>
    <row r="3024" spans="1:41" s="504" customFormat="1" ht="12">
      <c r="A3024" s="50"/>
      <c r="B3024" s="50"/>
      <c r="C3024" s="50" t="s">
        <v>134</v>
      </c>
      <c r="D3024" s="37" t="s">
        <v>887</v>
      </c>
      <c r="E3024" s="50"/>
      <c r="F3024" s="50"/>
      <c r="G3024" s="50"/>
      <c r="H3024" s="50"/>
      <c r="I3024" s="50"/>
      <c r="J3024" s="50"/>
      <c r="K3024" s="50"/>
      <c r="L3024" s="50"/>
      <c r="M3024" s="50"/>
      <c r="N3024" s="50"/>
      <c r="O3024" s="51"/>
      <c r="P3024" s="50"/>
      <c r="Q3024" s="50"/>
      <c r="R3024" s="50"/>
      <c r="S3024" s="50"/>
      <c r="T3024" s="50"/>
    </row>
    <row r="3025" spans="1:41" s="504" customFormat="1" ht="13.2">
      <c r="A3025" s="872"/>
      <c r="B3025"/>
      <c r="C3025" s="872"/>
      <c r="D3025" s="916" t="s">
        <v>850</v>
      </c>
      <c r="E3025" s="917"/>
      <c r="F3025" s="918"/>
      <c r="G3025" s="919"/>
      <c r="H3025" s="918"/>
      <c r="I3025" s="920"/>
      <c r="J3025" s="918"/>
      <c r="K3025" s="918"/>
      <c r="L3025" s="918"/>
      <c r="M3025" s="918"/>
      <c r="N3025" s="918"/>
      <c r="O3025" s="918"/>
      <c r="P3025" s="918"/>
      <c r="Q3025" s="921"/>
      <c r="R3025" s="513"/>
      <c r="S3025" s="881"/>
      <c r="T3025" s="877"/>
    </row>
    <row r="3026" spans="1:41" s="3" customFormat="1" thickBot="1">
      <c r="A3026" s="514"/>
      <c r="O3026" s="103"/>
    </row>
    <row r="3027" spans="1:41" s="504" customFormat="1" ht="12" thickTop="1">
      <c r="A3027" s="50"/>
      <c r="B3027" s="40"/>
      <c r="C3027" s="50"/>
      <c r="E3027" s="41" t="s">
        <v>136</v>
      </c>
      <c r="F3027" s="41" t="s">
        <v>137</v>
      </c>
      <c r="G3027" s="50"/>
      <c r="H3027" s="50"/>
      <c r="I3027" s="50"/>
      <c r="J3027" s="50"/>
      <c r="K3027" s="50" t="s">
        <v>138</v>
      </c>
      <c r="L3027" s="50"/>
      <c r="M3027" s="50"/>
      <c r="N3027" s="50"/>
      <c r="O3027" s="51"/>
      <c r="P3027" s="50"/>
      <c r="Q3027" s="50"/>
      <c r="R3027" s="50"/>
      <c r="S3027" s="50"/>
      <c r="T3027" s="40"/>
      <c r="AG3027" s="867" t="s">
        <v>241</v>
      </c>
      <c r="AH3027" s="867" t="s">
        <v>242</v>
      </c>
      <c r="AI3027" s="867" t="s">
        <v>243</v>
      </c>
      <c r="AJ3027" s="867" t="s">
        <v>244</v>
      </c>
      <c r="AK3027" s="867" t="s">
        <v>245</v>
      </c>
      <c r="AM3027" s="868" t="s">
        <v>254</v>
      </c>
      <c r="AN3027" s="869" t="s">
        <v>255</v>
      </c>
      <c r="AO3027" s="505" t="s">
        <v>251</v>
      </c>
    </row>
    <row r="3028" spans="1:41" s="504" customFormat="1" ht="12" customHeight="1">
      <c r="A3028" s="870">
        <v>4</v>
      </c>
      <c r="B3028" s="871" t="s">
        <v>335</v>
      </c>
      <c r="C3028" s="872"/>
      <c r="D3028" s="873" t="s">
        <v>804</v>
      </c>
      <c r="E3028" s="874">
        <f ca="1">IF(AND($A3028=0,$A$1="DIF"),0, ROUND(ROUND(($R3035*$S$2+($T3035*$T$2))/A3028,2)*$C$2,2))</f>
        <v>67.06</v>
      </c>
      <c r="F3028" s="875">
        <f ca="1">ROUND($A3028*$E3028,2)</f>
        <v>268.24</v>
      </c>
      <c r="G3028" s="876" t="s">
        <v>139</v>
      </c>
      <c r="H3028" s="877"/>
      <c r="I3028" s="878"/>
      <c r="J3028" s="877"/>
      <c r="K3028" s="877" t="s">
        <v>3</v>
      </c>
      <c r="L3028" s="879" t="s">
        <v>140</v>
      </c>
      <c r="M3028" s="879"/>
      <c r="N3028" s="879"/>
      <c r="O3028" s="879"/>
      <c r="P3028" s="879"/>
      <c r="Q3028" s="50"/>
      <c r="T3028" s="880" t="str">
        <f ca="1">IF(AND($R3035=0,$T3035=0),"0.00","mu :" &amp; ROUND($F3028/$C$2/($R3035+$T3035*$D$9),2))</f>
        <v>mu :1.22</v>
      </c>
      <c r="W3028" s="507"/>
      <c r="AG3028" s="465">
        <f ca="1">IF($E3028=0,0,ROUND($R3035*$S$2*$C$2/$A3028,2))</f>
        <v>14.3</v>
      </c>
      <c r="AH3028" s="465">
        <f ca="1">$AG3028*$A3028</f>
        <v>57.2</v>
      </c>
      <c r="AI3028" s="508">
        <f ca="1">$E3028-$AG3028</f>
        <v>52.760000000000005</v>
      </c>
      <c r="AJ3028" s="508">
        <f ca="1">$A3028*$AI3028</f>
        <v>211.04000000000002</v>
      </c>
      <c r="AK3028" s="509">
        <f ca="1">ROUND(($AG3028+$AI3028)*$A3028,2)</f>
        <v>268.24</v>
      </c>
      <c r="AM3028" s="510">
        <f ca="1">ROUND(R3035,2)</f>
        <v>46.88</v>
      </c>
      <c r="AN3028" s="511">
        <f ca="1">ROUND(T3035,2)</f>
        <v>6</v>
      </c>
      <c r="AO3028" s="512">
        <f ca="1">ROUND(AM3028+AN3028,2)*A3028</f>
        <v>211.52</v>
      </c>
    </row>
    <row r="3029" spans="1:41" s="504" customFormat="1" ht="13.2">
      <c r="A3029" s="872"/>
      <c r="B3029"/>
      <c r="C3029" s="872"/>
      <c r="D3029" s="873" t="s">
        <v>377</v>
      </c>
      <c r="F3029" s="877"/>
      <c r="G3029" s="3"/>
      <c r="H3029" s="877"/>
      <c r="I3029" s="878"/>
      <c r="J3029" s="877"/>
      <c r="K3029" s="877" t="s">
        <v>141</v>
      </c>
      <c r="L3029" s="877"/>
      <c r="M3029" s="877"/>
      <c r="N3029" s="877"/>
      <c r="O3029" s="877"/>
      <c r="P3029" s="877"/>
      <c r="Q3029" s="50"/>
      <c r="R3029" s="513"/>
      <c r="S3029" s="881"/>
      <c r="T3029" s="877"/>
    </row>
    <row r="3030" spans="1:41" s="997" customFormat="1" ht="13.2">
      <c r="A3030"/>
      <c r="B3030" s="1065"/>
      <c r="C3030" s="1065" t="s">
        <v>1006</v>
      </c>
      <c r="D3030" s="1065" t="str">
        <f ca="1">CELL("Address",Elec_Rates!D$200)</f>
        <v>[EL25_0662B_Brittania_Hotel_Elec_Revised_Estim_B.xlsx]Elec_Rates!$D$200</v>
      </c>
      <c r="E3030" s="1066"/>
      <c r="F3030" s="1066"/>
      <c r="G3030" s="1067" t="s">
        <v>1007</v>
      </c>
      <c r="H3030" s="1067"/>
      <c r="I3030" s="1067"/>
      <c r="J3030" s="1067"/>
      <c r="K3030" s="1068"/>
      <c r="L3030" s="1066"/>
      <c r="M3030" s="1066"/>
      <c r="N3030" s="1066"/>
      <c r="O3030" s="1069"/>
      <c r="P3030" s="1066"/>
      <c r="Q3030" s="1070"/>
      <c r="R3030" s="1071"/>
      <c r="S3030" s="1070"/>
      <c r="T3030" s="1072"/>
      <c r="U3030" s="1073"/>
    </row>
    <row r="3031" spans="1:41" s="997" customFormat="1" ht="11.4">
      <c r="A3031" s="1074">
        <v>4</v>
      </c>
      <c r="B3031" s="1075">
        <v>1</v>
      </c>
      <c r="C3031" s="1075">
        <f>$A3031*$B3031</f>
        <v>4</v>
      </c>
      <c r="D3031" s="1076" t="str">
        <f>Elec_Rates!$D$200</f>
        <v>019# Lighting point in LSZH Conduit</v>
      </c>
      <c r="E3031" s="1076"/>
      <c r="F3031" s="1076"/>
      <c r="G3031" s="1077" t="s">
        <v>1008</v>
      </c>
      <c r="H3031" s="1077"/>
      <c r="I3031" s="1077"/>
      <c r="J3031" s="1077"/>
      <c r="K3031" s="1078"/>
      <c r="L3031" s="1073"/>
      <c r="M3031" s="1073"/>
      <c r="N3031" s="1073"/>
      <c r="O3031" s="1079"/>
      <c r="P3031" s="1076"/>
      <c r="Q3031" s="1080">
        <f ca="1">$B3031*Elec_Rates!$R$200</f>
        <v>9.65</v>
      </c>
      <c r="R3031" s="1071">
        <f ca="1">$A3031*Q3031</f>
        <v>38.6</v>
      </c>
      <c r="S3031" s="1080">
        <f ca="1">$B3031*Elec_Rates!$T$200</f>
        <v>1.31</v>
      </c>
      <c r="T3031" s="1072">
        <f ca="1">$A3031*S3031</f>
        <v>5.24</v>
      </c>
      <c r="U3031" s="1081"/>
    </row>
    <row r="3032" spans="1:41" s="997" customFormat="1" ht="13.2">
      <c r="A3032"/>
      <c r="B3032" s="1065"/>
      <c r="C3032" s="1065" t="s">
        <v>1006</v>
      </c>
      <c r="D3032" s="1065" t="str">
        <f ca="1">CELL("Address",Elec_Rates!D$517)</f>
        <v>[EL25_0662B_Brittania_Hotel_Elec_Revised_Estim_B.xlsx]Elec_Rates!$D$517</v>
      </c>
      <c r="E3032" s="1066"/>
      <c r="F3032" s="1066"/>
      <c r="G3032" s="1067" t="s">
        <v>1007</v>
      </c>
      <c r="H3032" s="1067"/>
      <c r="I3032" s="1067"/>
      <c r="J3032" s="1067"/>
      <c r="K3032" s="1068"/>
      <c r="L3032" s="1066"/>
      <c r="M3032" s="1066"/>
      <c r="N3032" s="1066"/>
      <c r="O3032" s="1069"/>
      <c r="P3032" s="1066"/>
      <c r="Q3032" s="1070"/>
      <c r="R3032" s="1071"/>
      <c r="S3032" s="1070"/>
      <c r="T3032" s="1072"/>
      <c r="U3032" s="1073"/>
    </row>
    <row r="3033" spans="1:41" s="997" customFormat="1" ht="11.4">
      <c r="A3033" s="1074">
        <v>4</v>
      </c>
      <c r="B3033" s="1075">
        <v>1</v>
      </c>
      <c r="C3033" s="1075">
        <f>$A3033*$B3033</f>
        <v>4</v>
      </c>
      <c r="D3033" s="1076" t="str">
        <f>Elec_Rates!$D$517</f>
        <v>061# DALI Wiring cables</v>
      </c>
      <c r="E3033" s="1076"/>
      <c r="F3033" s="1076"/>
      <c r="G3033" s="1077" t="s">
        <v>1008</v>
      </c>
      <c r="H3033" s="1077"/>
      <c r="I3033" s="1077"/>
      <c r="J3033" s="1077"/>
      <c r="K3033" s="1078"/>
      <c r="L3033" s="1073"/>
      <c r="M3033" s="1073"/>
      <c r="N3033" s="1073"/>
      <c r="O3033" s="1079"/>
      <c r="P3033" s="1076"/>
      <c r="Q3033" s="1080">
        <f ca="1">$B3033*Elec_Rates!$R$517</f>
        <v>2.0699999999999998</v>
      </c>
      <c r="R3033" s="1071">
        <f ca="1">$A3033*Q3033</f>
        <v>8.2799999999999994</v>
      </c>
      <c r="S3033" s="1080">
        <f ca="1">$B3033*Elec_Rates!$T$517</f>
        <v>0.19</v>
      </c>
      <c r="T3033" s="1072">
        <f ca="1">$A3033*S3033</f>
        <v>0.76</v>
      </c>
      <c r="U3033" s="1081"/>
    </row>
    <row r="3034" spans="1:41" s="504" customFormat="1" ht="12">
      <c r="A3034" s="882"/>
      <c r="B3034" s="882"/>
      <c r="C3034" s="882"/>
      <c r="D3034" s="882"/>
      <c r="E3034" s="882"/>
      <c r="F3034" s="877"/>
      <c r="G3034" s="882"/>
      <c r="H3034" s="882"/>
      <c r="I3034" s="503"/>
      <c r="J3034" s="882"/>
      <c r="K3034" s="882"/>
      <c r="L3034" s="882"/>
      <c r="M3034" s="882"/>
      <c r="N3034" s="882"/>
      <c r="O3034" s="882"/>
      <c r="P3034" s="882"/>
      <c r="Q3034" s="503"/>
      <c r="R3034" s="883">
        <f>$A3034*Q3034</f>
        <v>0</v>
      </c>
      <c r="S3034" s="503"/>
      <c r="T3034" s="884">
        <f>$A3034*S3034*$T$1</f>
        <v>0</v>
      </c>
    </row>
    <row r="3035" spans="1:41" s="504" customFormat="1" ht="12.6" thickBot="1">
      <c r="A3035" s="885" t="s">
        <v>142</v>
      </c>
      <c r="B3035" s="886">
        <f>(R3034+T3034)</f>
        <v>0</v>
      </c>
      <c r="C3035" s="887"/>
      <c r="D3035" s="887"/>
      <c r="E3035" s="887"/>
      <c r="F3035" s="888"/>
      <c r="G3035" s="887" t="s">
        <v>143</v>
      </c>
      <c r="H3035" s="887"/>
      <c r="I3035" s="889"/>
      <c r="J3035" s="887"/>
      <c r="K3035" s="887" t="s">
        <v>3</v>
      </c>
      <c r="L3035" s="890" t="s">
        <v>140</v>
      </c>
      <c r="M3035" s="890"/>
      <c r="N3035" s="890"/>
      <c r="O3035" s="890"/>
      <c r="P3035" s="890"/>
      <c r="Q3035" s="891"/>
      <c r="R3035" s="892">
        <f ca="1">SUM(R3029:R3034)</f>
        <v>46.88</v>
      </c>
      <c r="S3035" s="887"/>
      <c r="T3035" s="892">
        <f ca="1">SUM(T3029:T3034)</f>
        <v>6</v>
      </c>
      <c r="U3035" s="514"/>
      <c r="V3035" s="514"/>
      <c r="W3035" s="514"/>
      <c r="X3035" s="514"/>
      <c r="Y3035" s="514"/>
      <c r="Z3035" s="514"/>
      <c r="AA3035" s="514"/>
      <c r="AB3035" s="514"/>
      <c r="AC3035" s="514"/>
      <c r="AD3035" s="514"/>
      <c r="AE3035" s="514"/>
      <c r="AF3035" s="514"/>
      <c r="AG3035" s="514"/>
      <c r="AH3035" s="514"/>
      <c r="AI3035" s="514"/>
      <c r="AJ3035" s="514"/>
      <c r="AK3035" s="514"/>
      <c r="AL3035" s="514"/>
      <c r="AM3035" s="514"/>
      <c r="AN3035" s="514"/>
      <c r="AO3035" s="514"/>
    </row>
    <row r="3036" spans="1:41" s="504" customFormat="1" ht="12" thickTop="1">
      <c r="A3036" s="50"/>
      <c r="B3036" s="40"/>
      <c r="C3036" s="50"/>
      <c r="E3036" s="41" t="s">
        <v>136</v>
      </c>
      <c r="F3036" s="41" t="s">
        <v>137</v>
      </c>
      <c r="G3036" s="50"/>
      <c r="H3036" s="50"/>
      <c r="I3036" s="50"/>
      <c r="J3036" s="50"/>
      <c r="K3036" s="50" t="s">
        <v>138</v>
      </c>
      <c r="L3036" s="50"/>
      <c r="M3036" s="50"/>
      <c r="N3036" s="50"/>
      <c r="O3036" s="51"/>
      <c r="P3036" s="50"/>
      <c r="Q3036" s="50"/>
      <c r="R3036" s="50"/>
      <c r="S3036" s="50"/>
      <c r="T3036" s="40"/>
      <c r="AG3036" s="867" t="s">
        <v>241</v>
      </c>
      <c r="AH3036" s="867" t="s">
        <v>242</v>
      </c>
      <c r="AI3036" s="867" t="s">
        <v>243</v>
      </c>
      <c r="AJ3036" s="867" t="s">
        <v>244</v>
      </c>
      <c r="AK3036" s="867" t="s">
        <v>245</v>
      </c>
      <c r="AM3036" s="868" t="s">
        <v>254</v>
      </c>
      <c r="AN3036" s="869" t="s">
        <v>255</v>
      </c>
      <c r="AO3036" s="505" t="s">
        <v>251</v>
      </c>
    </row>
    <row r="3037" spans="1:41" s="504" customFormat="1" ht="12" customHeight="1">
      <c r="A3037" s="870">
        <v>8</v>
      </c>
      <c r="B3037" s="871" t="s">
        <v>335</v>
      </c>
      <c r="C3037" s="872"/>
      <c r="D3037" s="873" t="s">
        <v>806</v>
      </c>
      <c r="E3037" s="874">
        <f ca="1">IF(AND($A3037=0,$A$1="DIF"),0, ROUND(ROUND(($R3044*$S$2+($T3044*$T$2))/A3037,2)*$C$2,2))</f>
        <v>124.92</v>
      </c>
      <c r="F3037" s="875">
        <f ca="1">ROUND($A3037*$E3037,2)</f>
        <v>999.36</v>
      </c>
      <c r="G3037" s="876" t="s">
        <v>139</v>
      </c>
      <c r="H3037" s="877"/>
      <c r="I3037" s="878"/>
      <c r="J3037" s="877"/>
      <c r="K3037" s="877" t="s">
        <v>3</v>
      </c>
      <c r="L3037" s="879" t="s">
        <v>140</v>
      </c>
      <c r="M3037" s="879"/>
      <c r="N3037" s="879"/>
      <c r="O3037" s="879"/>
      <c r="P3037" s="879"/>
      <c r="Q3037" s="50"/>
      <c r="T3037" s="880" t="str">
        <f ca="1">IF(AND($R3044=0,$T3044=0),"0.00","mu :" &amp; ROUND($F3037/$C$2/($R3044+$T3044*$D$9),2))</f>
        <v>mu :1.22</v>
      </c>
      <c r="W3037" s="507"/>
      <c r="AG3037" s="465">
        <f ca="1">IF($E3037=0,0,ROUND($R3044*$S$2*$C$2/$A3037,2))</f>
        <v>26.07</v>
      </c>
      <c r="AH3037" s="465">
        <f ca="1">$AG3037*$A3037</f>
        <v>208.56</v>
      </c>
      <c r="AI3037" s="508">
        <f ca="1">$E3037-$AG3037</f>
        <v>98.85</v>
      </c>
      <c r="AJ3037" s="508">
        <f ca="1">$A3037*$AI3037</f>
        <v>790.8</v>
      </c>
      <c r="AK3037" s="509">
        <f ca="1">ROUND(($AG3037+$AI3037)*$A3037,2)</f>
        <v>999.36</v>
      </c>
      <c r="AM3037" s="510">
        <f ca="1">ROUND(R3044,2)</f>
        <v>170.96</v>
      </c>
      <c r="AN3037" s="511">
        <f ca="1">ROUND(T3044,2)</f>
        <v>22.48</v>
      </c>
      <c r="AO3037" s="512">
        <f ca="1">ROUND(AM3037+AN3037,2)*A3037</f>
        <v>1547.52</v>
      </c>
    </row>
    <row r="3038" spans="1:41" s="504" customFormat="1" ht="13.2">
      <c r="A3038" s="872"/>
      <c r="B3038"/>
      <c r="C3038" s="872"/>
      <c r="D3038" s="873" t="s">
        <v>378</v>
      </c>
      <c r="F3038" s="877"/>
      <c r="G3038" s="3"/>
      <c r="H3038" s="877"/>
      <c r="I3038" s="878"/>
      <c r="J3038" s="877"/>
      <c r="K3038" s="877" t="s">
        <v>141</v>
      </c>
      <c r="L3038" s="877"/>
      <c r="M3038" s="877"/>
      <c r="N3038" s="877"/>
      <c r="O3038" s="877"/>
      <c r="P3038" s="877"/>
      <c r="Q3038" s="50"/>
      <c r="R3038" s="513"/>
      <c r="S3038" s="881"/>
      <c r="T3038" s="877"/>
    </row>
    <row r="3039" spans="1:41" s="997" customFormat="1" ht="13.2">
      <c r="A3039"/>
      <c r="B3039" s="1065"/>
      <c r="C3039" s="1065" t="s">
        <v>1006</v>
      </c>
      <c r="D3039" s="1065" t="str">
        <f ca="1">CELL("Address",Elec_Rates!D$200)</f>
        <v>[EL25_0662B_Brittania_Hotel_Elec_Revised_Estim_B.xlsx]Elec_Rates!$D$200</v>
      </c>
      <c r="E3039" s="1066"/>
      <c r="F3039" s="1066"/>
      <c r="G3039" s="1067" t="s">
        <v>1007</v>
      </c>
      <c r="H3039" s="1067"/>
      <c r="I3039" s="1067"/>
      <c r="J3039" s="1067"/>
      <c r="K3039" s="1068"/>
      <c r="L3039" s="1066"/>
      <c r="M3039" s="1066"/>
      <c r="N3039" s="1066"/>
      <c r="O3039" s="1069"/>
      <c r="P3039" s="1066"/>
      <c r="Q3039" s="1070"/>
      <c r="R3039" s="1071"/>
      <c r="S3039" s="1070"/>
      <c r="T3039" s="1072"/>
      <c r="U3039" s="1073"/>
    </row>
    <row r="3040" spans="1:41" s="997" customFormat="1" ht="11.4">
      <c r="A3040" s="1074">
        <v>8</v>
      </c>
      <c r="B3040" s="1075">
        <v>2</v>
      </c>
      <c r="C3040" s="1075">
        <f>$A3040*$B3040</f>
        <v>16</v>
      </c>
      <c r="D3040" s="1076" t="str">
        <f>Elec_Rates!$D$200</f>
        <v>019# Lighting point in LSZH Conduit</v>
      </c>
      <c r="E3040" s="1076"/>
      <c r="F3040" s="1076"/>
      <c r="G3040" s="1077" t="s">
        <v>1008</v>
      </c>
      <c r="H3040" s="1077"/>
      <c r="I3040" s="1077"/>
      <c r="J3040" s="1077"/>
      <c r="K3040" s="1078"/>
      <c r="L3040" s="1073"/>
      <c r="M3040" s="1073"/>
      <c r="N3040" s="1073"/>
      <c r="O3040" s="1079"/>
      <c r="P3040" s="1076"/>
      <c r="Q3040" s="1080">
        <f ca="1">$B3040*Elec_Rates!$R$200</f>
        <v>19.3</v>
      </c>
      <c r="R3040" s="1071">
        <f ca="1">$A3040*Q3040</f>
        <v>154.4</v>
      </c>
      <c r="S3040" s="1080">
        <f ca="1">$B3040*Elec_Rates!$T$200</f>
        <v>2.62</v>
      </c>
      <c r="T3040" s="1072">
        <f ca="1">$A3040*S3040</f>
        <v>20.96</v>
      </c>
      <c r="U3040" s="1081"/>
    </row>
    <row r="3041" spans="1:41" s="997" customFormat="1" ht="13.2">
      <c r="A3041"/>
      <c r="B3041" s="1065"/>
      <c r="C3041" s="1065" t="s">
        <v>1006</v>
      </c>
      <c r="D3041" s="1065" t="str">
        <f ca="1">CELL("Address",Elec_Rates!D$517)</f>
        <v>[EL25_0662B_Brittania_Hotel_Elec_Revised_Estim_B.xlsx]Elec_Rates!$D$517</v>
      </c>
      <c r="E3041" s="1066"/>
      <c r="F3041" s="1066"/>
      <c r="G3041" s="1067" t="s">
        <v>1007</v>
      </c>
      <c r="H3041" s="1067"/>
      <c r="I3041" s="1067"/>
      <c r="J3041" s="1067"/>
      <c r="K3041" s="1068"/>
      <c r="L3041" s="1066"/>
      <c r="M3041" s="1066"/>
      <c r="N3041" s="1066"/>
      <c r="O3041" s="1069"/>
      <c r="P3041" s="1066"/>
      <c r="Q3041" s="1070"/>
      <c r="R3041" s="1071"/>
      <c r="S3041" s="1070"/>
      <c r="T3041" s="1072"/>
      <c r="U3041" s="1073"/>
    </row>
    <row r="3042" spans="1:41" s="997" customFormat="1" ht="11.4">
      <c r="A3042" s="1074">
        <v>8</v>
      </c>
      <c r="B3042" s="1075">
        <v>1</v>
      </c>
      <c r="C3042" s="1075">
        <f>$A3042*$B3042</f>
        <v>8</v>
      </c>
      <c r="D3042" s="1076" t="str">
        <f>Elec_Rates!$D$517</f>
        <v>061# DALI Wiring cables</v>
      </c>
      <c r="E3042" s="1076"/>
      <c r="F3042" s="1076"/>
      <c r="G3042" s="1077" t="s">
        <v>1008</v>
      </c>
      <c r="H3042" s="1077"/>
      <c r="I3042" s="1077"/>
      <c r="J3042" s="1077"/>
      <c r="K3042" s="1078"/>
      <c r="L3042" s="1073"/>
      <c r="M3042" s="1073"/>
      <c r="N3042" s="1073"/>
      <c r="O3042" s="1079"/>
      <c r="P3042" s="1076"/>
      <c r="Q3042" s="1080">
        <f ca="1">$B3042*Elec_Rates!$R$517</f>
        <v>2.0699999999999998</v>
      </c>
      <c r="R3042" s="1071">
        <f ca="1">$A3042*Q3042</f>
        <v>16.559999999999999</v>
      </c>
      <c r="S3042" s="1080">
        <f ca="1">$B3042*Elec_Rates!$T$517</f>
        <v>0.19</v>
      </c>
      <c r="T3042" s="1072">
        <f ca="1">$A3042*S3042</f>
        <v>1.52</v>
      </c>
      <c r="U3042" s="1081"/>
    </row>
    <row r="3043" spans="1:41" s="504" customFormat="1" ht="12">
      <c r="A3043" s="882"/>
      <c r="B3043" s="882"/>
      <c r="C3043" s="882"/>
      <c r="D3043" s="882"/>
      <c r="E3043" s="882"/>
      <c r="F3043" s="877"/>
      <c r="G3043" s="882"/>
      <c r="H3043" s="882"/>
      <c r="I3043" s="503"/>
      <c r="J3043" s="882"/>
      <c r="K3043" s="882"/>
      <c r="L3043" s="882"/>
      <c r="M3043" s="882"/>
      <c r="N3043" s="882"/>
      <c r="O3043" s="882"/>
      <c r="P3043" s="882"/>
      <c r="Q3043" s="503"/>
      <c r="R3043" s="883">
        <f>$A3043*Q3043</f>
        <v>0</v>
      </c>
      <c r="S3043" s="503"/>
      <c r="T3043" s="884">
        <f>$A3043*S3043*$T$1</f>
        <v>0</v>
      </c>
    </row>
    <row r="3044" spans="1:41" s="504" customFormat="1" ht="12.6" thickBot="1">
      <c r="A3044" s="885" t="s">
        <v>142</v>
      </c>
      <c r="B3044" s="886">
        <f>(R3043+T3043)</f>
        <v>0</v>
      </c>
      <c r="C3044" s="887"/>
      <c r="D3044" s="887"/>
      <c r="E3044" s="887"/>
      <c r="F3044" s="888"/>
      <c r="G3044" s="887" t="s">
        <v>143</v>
      </c>
      <c r="H3044" s="887"/>
      <c r="I3044" s="889"/>
      <c r="J3044" s="887"/>
      <c r="K3044" s="887" t="s">
        <v>3</v>
      </c>
      <c r="L3044" s="890" t="s">
        <v>140</v>
      </c>
      <c r="M3044" s="890"/>
      <c r="N3044" s="890"/>
      <c r="O3044" s="890"/>
      <c r="P3044" s="890"/>
      <c r="Q3044" s="891"/>
      <c r="R3044" s="892">
        <f ca="1">SUM(R3038:R3043)</f>
        <v>170.96</v>
      </c>
      <c r="S3044" s="887"/>
      <c r="T3044" s="892">
        <f ca="1">SUM(T3038:T3043)</f>
        <v>22.48</v>
      </c>
      <c r="U3044" s="514"/>
      <c r="V3044" s="514"/>
      <c r="W3044" s="514"/>
      <c r="X3044" s="514"/>
      <c r="Y3044" s="514"/>
      <c r="Z3044" s="514"/>
      <c r="AA3044" s="514"/>
      <c r="AB3044" s="514"/>
      <c r="AC3044" s="514"/>
      <c r="AD3044" s="514"/>
      <c r="AE3044" s="514"/>
      <c r="AF3044" s="514"/>
      <c r="AG3044" s="514"/>
      <c r="AH3044" s="514"/>
      <c r="AI3044" s="514"/>
      <c r="AJ3044" s="514"/>
      <c r="AK3044" s="514"/>
      <c r="AL3044" s="514"/>
      <c r="AM3044" s="514"/>
      <c r="AN3044" s="514"/>
      <c r="AO3044" s="514"/>
    </row>
    <row r="3045" spans="1:41" s="504" customFormat="1" ht="12" thickTop="1">
      <c r="A3045" s="47" t="s">
        <v>145</v>
      </c>
      <c r="D3045" s="13"/>
      <c r="E3045" s="41"/>
      <c r="O3045" s="893"/>
    </row>
    <row r="3046" spans="1:41" s="504" customFormat="1" ht="13.2">
      <c r="B3046" s="3"/>
      <c r="O3046" s="893"/>
    </row>
    <row r="3047" spans="1:41" s="504" customFormat="1" ht="12">
      <c r="B3047" s="894">
        <f ca="1">$F3047/$C$2-($R3047*$S$2+$T3047*$T$2)</f>
        <v>-3.4852410000894452E-2</v>
      </c>
      <c r="D3047" s="895" t="s">
        <v>817</v>
      </c>
      <c r="E3047" s="896"/>
      <c r="F3047" s="897">
        <f ca="1">SUMIF($L2885:$L3045,"ITEM",F2885:F3045)</f>
        <v>6249.3799999999992</v>
      </c>
      <c r="G3047" s="882"/>
      <c r="H3047" s="882"/>
      <c r="I3047" s="503"/>
      <c r="J3047" s="882"/>
      <c r="K3047" s="882"/>
      <c r="L3047" s="879" t="s">
        <v>154</v>
      </c>
      <c r="M3047" s="879"/>
      <c r="N3047" s="879"/>
      <c r="O3047" s="879"/>
      <c r="P3047" s="879"/>
      <c r="R3047" s="897">
        <f ca="1">SUMIF($L2885:$L3045,"ITEM",R2885:R3045)</f>
        <v>1325.7850000000003</v>
      </c>
      <c r="S3047" s="898"/>
      <c r="T3047" s="897">
        <f ca="1">SUMIF($L2885:$L3045,"ITEM",T2885:T3045)</f>
        <v>131.67849999999999</v>
      </c>
    </row>
    <row r="3048" spans="1:41" s="504" customFormat="1" ht="13.2">
      <c r="A3048" s="50"/>
      <c r="B3048" s="48" t="s">
        <v>816</v>
      </c>
      <c r="C3048" s="50"/>
      <c r="D3048" s="3"/>
      <c r="F3048" s="899" t="s">
        <v>155</v>
      </c>
      <c r="G3048" s="882"/>
      <c r="H3048" s="882"/>
      <c r="I3048" s="503"/>
      <c r="J3048" s="882"/>
      <c r="K3048" s="882"/>
      <c r="L3048" s="882"/>
      <c r="M3048" s="882"/>
      <c r="N3048" s="882"/>
      <c r="O3048" s="882"/>
      <c r="P3048" s="882"/>
      <c r="Q3048" s="900"/>
      <c r="R3048" s="899" t="s">
        <v>156</v>
      </c>
      <c r="S3048" s="38"/>
      <c r="T3048" s="899" t="s">
        <v>157</v>
      </c>
    </row>
    <row r="3049" spans="1:41" s="504" customFormat="1" ht="13.2">
      <c r="A3049" s="882"/>
      <c r="B3049" s="3"/>
      <c r="C3049" s="882"/>
      <c r="D3049" s="3"/>
      <c r="E3049" s="3"/>
      <c r="G3049" s="3"/>
      <c r="H3049" s="3"/>
      <c r="I3049" s="3"/>
      <c r="J3049" s="3"/>
      <c r="K3049" s="3"/>
      <c r="L3049" s="3"/>
      <c r="M3049" s="3"/>
      <c r="N3049" s="3"/>
      <c r="O3049" s="103"/>
      <c r="P3049" s="3"/>
      <c r="Q3049" s="3"/>
      <c r="R3049" s="3"/>
      <c r="S3049" s="3"/>
      <c r="T3049" s="3"/>
    </row>
    <row r="3050" spans="1:41" s="504" customFormat="1" ht="12" thickBot="1">
      <c r="A3050" s="514"/>
      <c r="B3050" s="887"/>
      <c r="C3050" s="887"/>
      <c r="D3050" s="514"/>
      <c r="E3050" s="39"/>
      <c r="F3050" s="901"/>
      <c r="G3050" s="887"/>
      <c r="H3050" s="887"/>
      <c r="I3050" s="889"/>
      <c r="J3050" s="887"/>
      <c r="K3050" s="887"/>
      <c r="L3050" s="890"/>
      <c r="M3050" s="890"/>
      <c r="N3050" s="890"/>
      <c r="O3050" s="890"/>
      <c r="P3050" s="890"/>
      <c r="Q3050" s="891"/>
      <c r="R3050" s="901"/>
      <c r="S3050" s="902"/>
      <c r="T3050" s="901"/>
      <c r="U3050" s="514"/>
      <c r="V3050" s="514"/>
      <c r="W3050" s="514"/>
      <c r="X3050" s="514"/>
      <c r="Y3050" s="514"/>
      <c r="Z3050" s="514"/>
      <c r="AA3050" s="514"/>
      <c r="AB3050" s="514"/>
      <c r="AC3050" s="514"/>
      <c r="AD3050" s="514"/>
      <c r="AE3050" s="514"/>
      <c r="AF3050" s="514"/>
      <c r="AG3050" s="514"/>
      <c r="AH3050" s="514"/>
      <c r="AI3050" s="514"/>
      <c r="AJ3050" s="514"/>
      <c r="AK3050" s="514"/>
    </row>
    <row r="3051" spans="1:41" s="504" customFormat="1" thickTop="1">
      <c r="A3051" s="50"/>
      <c r="B3051" s="50"/>
      <c r="C3051" s="3"/>
      <c r="D3051" s="3"/>
      <c r="E3051" s="50"/>
      <c r="F3051" s="50"/>
      <c r="G3051" s="50"/>
      <c r="H3051" s="50"/>
      <c r="I3051" s="50"/>
      <c r="J3051" s="50"/>
      <c r="K3051" s="50" t="s">
        <v>133</v>
      </c>
      <c r="L3051" s="50"/>
      <c r="M3051" s="50"/>
      <c r="N3051" s="50"/>
      <c r="O3051" s="51"/>
      <c r="P3051" s="50"/>
      <c r="Q3051" s="50"/>
      <c r="R3051" s="50"/>
      <c r="S3051" s="50"/>
      <c r="T3051" s="50"/>
    </row>
    <row r="3052" spans="1:41" s="504" customFormat="1" ht="12">
      <c r="A3052" s="50"/>
      <c r="B3052" s="50"/>
      <c r="C3052" s="50" t="s">
        <v>134</v>
      </c>
      <c r="D3052" s="37" t="s">
        <v>888</v>
      </c>
      <c r="E3052" s="50"/>
      <c r="F3052" s="50"/>
      <c r="G3052" s="50"/>
      <c r="H3052" s="50"/>
      <c r="I3052" s="50"/>
      <c r="J3052" s="50"/>
      <c r="K3052" s="50"/>
      <c r="L3052" s="50"/>
      <c r="M3052" s="50"/>
      <c r="N3052" s="50"/>
      <c r="O3052" s="51"/>
      <c r="P3052" s="50"/>
      <c r="Q3052" s="50"/>
      <c r="R3052" s="50"/>
      <c r="S3052" s="50"/>
      <c r="T3052" s="50"/>
    </row>
    <row r="3053" spans="1:41" s="504" customFormat="1" ht="12">
      <c r="A3053" s="50"/>
      <c r="B3053" s="50"/>
      <c r="C3053" s="50"/>
      <c r="D3053" s="37" t="s">
        <v>852</v>
      </c>
      <c r="E3053" s="50"/>
      <c r="F3053" s="50"/>
      <c r="G3053" s="50"/>
      <c r="H3053" s="50"/>
      <c r="I3053" s="50"/>
      <c r="J3053" s="50"/>
      <c r="K3053" s="50"/>
      <c r="L3053" s="50"/>
      <c r="M3053" s="50"/>
      <c r="N3053" s="50"/>
      <c r="O3053" s="51"/>
      <c r="P3053" s="50"/>
      <c r="Q3053" s="50"/>
      <c r="R3053" s="50"/>
      <c r="S3053" s="38"/>
      <c r="T3053" s="38"/>
    </row>
    <row r="3054" spans="1:41" s="3" customFormat="1" thickBot="1">
      <c r="A3054" s="514"/>
      <c r="O3054" s="103"/>
    </row>
    <row r="3055" spans="1:41" s="504" customFormat="1" thickTop="1">
      <c r="A3055" s="50"/>
      <c r="B3055" s="40"/>
      <c r="C3055" s="50"/>
      <c r="E3055" s="41" t="s">
        <v>136</v>
      </c>
      <c r="F3055" s="41" t="s">
        <v>137</v>
      </c>
      <c r="G3055" s="50"/>
      <c r="H3055" s="50"/>
      <c r="I3055" s="50"/>
      <c r="J3055" s="50"/>
      <c r="K3055" s="50" t="s">
        <v>138</v>
      </c>
      <c r="L3055" s="1219"/>
      <c r="M3055" s="50"/>
      <c r="N3055" s="50"/>
      <c r="O3055" s="51"/>
      <c r="P3055" s="50"/>
      <c r="Q3055"/>
      <c r="R3055"/>
      <c r="S3055"/>
      <c r="T3055" s="40"/>
      <c r="AG3055" s="867" t="s">
        <v>241</v>
      </c>
      <c r="AH3055" s="867" t="s">
        <v>242</v>
      </c>
      <c r="AI3055" s="867" t="s">
        <v>243</v>
      </c>
      <c r="AJ3055" s="867" t="s">
        <v>244</v>
      </c>
      <c r="AK3055" s="867" t="s">
        <v>245</v>
      </c>
      <c r="AM3055" s="868" t="s">
        <v>254</v>
      </c>
      <c r="AN3055" s="869" t="s">
        <v>255</v>
      </c>
      <c r="AO3055" s="505" t="s">
        <v>251</v>
      </c>
    </row>
    <row r="3056" spans="1:41" s="504" customFormat="1" ht="13.2">
      <c r="A3056" s="870">
        <v>3</v>
      </c>
      <c r="B3056" s="871" t="s">
        <v>335</v>
      </c>
      <c r="C3056" s="872"/>
      <c r="D3056" s="873" t="s">
        <v>804</v>
      </c>
      <c r="E3056" s="1220">
        <f ca="1">IF(AND($A3056=0,$A$1="DIF"),0, ROUND(ROUND(SUMIF($L3058:$L3066,"SUBI",$E3058:$E3066)/$A3056,2)*$C$12,2))</f>
        <v>55.19</v>
      </c>
      <c r="F3056" s="1221">
        <f ca="1">ROUND($A3056*$E3056,2)</f>
        <v>165.57</v>
      </c>
      <c r="G3056" s="876" t="s">
        <v>139</v>
      </c>
      <c r="H3056" s="877"/>
      <c r="I3056" s="878"/>
      <c r="J3056" s="877"/>
      <c r="K3056" s="1222"/>
      <c r="L3056" s="1223" t="s">
        <v>140</v>
      </c>
      <c r="M3056" s="879"/>
      <c r="N3056" s="879"/>
      <c r="O3056" s="879"/>
      <c r="P3056" s="879"/>
      <c r="Q3056"/>
      <c r="R3056"/>
      <c r="S3056"/>
      <c r="T3056" s="1224" t="str">
        <f ca="1">IF(AND($R3072=0,$T3072=0),"0.00","mu :" &amp; ROUND($F3056/$C$12/($R3072+$T3072*$D$9),2))</f>
        <v>mu :1.22</v>
      </c>
      <c r="W3056" s="507"/>
      <c r="AG3056" s="1225">
        <f ca="1">IF(A3056=0,0,ROUND(SUM(AG3058:AG3072)/A3056,2))</f>
        <v>42.23</v>
      </c>
      <c r="AH3056" s="1225">
        <f ca="1">$AG3056*$A3056</f>
        <v>126.69</v>
      </c>
      <c r="AI3056" s="1225">
        <f ca="1">$E3056-$AG3056</f>
        <v>12.96</v>
      </c>
      <c r="AJ3056" s="1225">
        <f ca="1">$A3056*$AI3056</f>
        <v>38.880000000000003</v>
      </c>
      <c r="AK3056" s="1226">
        <f ca="1">ROUND(($AG3056+$AI3056)*$A3056,2)</f>
        <v>165.57</v>
      </c>
      <c r="AM3056" s="510">
        <f ca="1">ROUND(R3072,2)</f>
        <v>103.83</v>
      </c>
      <c r="AN3056" s="511">
        <f ca="1">ROUND(T3072,2)</f>
        <v>1.1100000000000001</v>
      </c>
      <c r="AO3056" s="512">
        <f ca="1">ROUND(AM3056+AN3056,2)*A3056</f>
        <v>314.82</v>
      </c>
    </row>
    <row r="3057" spans="1:41" s="504" customFormat="1" ht="12">
      <c r="A3057" s="1302"/>
      <c r="B3057" s="1303"/>
      <c r="C3057" s="872"/>
      <c r="D3057" s="873" t="s">
        <v>411</v>
      </c>
      <c r="F3057" s="877"/>
      <c r="G3057" s="877"/>
      <c r="H3057" s="877"/>
      <c r="I3057" s="878"/>
      <c r="J3057" s="877"/>
      <c r="K3057" s="877" t="s">
        <v>141</v>
      </c>
      <c r="L3057" s="1227"/>
      <c r="M3057" s="877"/>
      <c r="N3057" s="877"/>
      <c r="O3057" s="877"/>
      <c r="P3057" s="877"/>
      <c r="Q3057" s="50"/>
      <c r="R3057" s="513"/>
      <c r="S3057" s="881"/>
      <c r="T3057" s="877"/>
    </row>
    <row r="3058" spans="1:41" s="504" customFormat="1" ht="12">
      <c r="A3058" s="1228"/>
      <c r="B3058" s="1229"/>
      <c r="C3058" s="882"/>
      <c r="D3058" s="877"/>
      <c r="E3058" s="1230">
        <f ca="1">F3056/$C$12-SUMIF($L3055:$L3072,"SUBI",$E3055:$E3072)</f>
        <v>9.9999999999909051E-3</v>
      </c>
      <c r="F3058" s="1231" t="s">
        <v>1472</v>
      </c>
      <c r="G3058" s="1232"/>
      <c r="H3058" s="1232"/>
      <c r="I3058" s="1233"/>
      <c r="J3058" s="1232"/>
      <c r="K3058" s="1232"/>
      <c r="L3058" s="1234"/>
      <c r="M3058" s="1235"/>
      <c r="N3058" s="1235"/>
      <c r="O3058" s="1235"/>
      <c r="P3058" s="1235"/>
      <c r="Q3058" s="1236"/>
      <c r="R3058" s="1237"/>
      <c r="S3058" s="1236"/>
      <c r="T3058" s="1238"/>
    </row>
    <row r="3059" spans="1:41" s="504" customFormat="1" ht="12" customHeight="1">
      <c r="A3059" s="1239"/>
      <c r="B3059" s="1304"/>
      <c r="C3059" s="1240"/>
      <c r="D3059" s="1240" t="str">
        <f>$F$2</f>
        <v>Electrical</v>
      </c>
      <c r="E3059" s="1240">
        <f ca="1">ROUND(($R3065*$S$2 + ($T3065*$T$2)), 2)</f>
        <v>64.98</v>
      </c>
      <c r="F3059" s="1305">
        <f ca="1">$E3059*$C$12</f>
        <v>64.98</v>
      </c>
      <c r="G3059" s="513"/>
      <c r="H3059" s="1241"/>
      <c r="I3059" s="513"/>
      <c r="J3059" s="51"/>
      <c r="K3059" s="1242" t="s">
        <v>3</v>
      </c>
      <c r="L3059" s="1243" t="s">
        <v>1473</v>
      </c>
      <c r="M3059" s="513"/>
      <c r="N3059" s="513"/>
      <c r="O3059" s="51"/>
      <c r="P3059" s="513"/>
      <c r="Q3059" s="513"/>
      <c r="R3059"/>
      <c r="S3059"/>
      <c r="T3059"/>
    </row>
    <row r="3060" spans="1:41" s="504" customFormat="1" ht="13.95" customHeight="1">
      <c r="A3060" s="930"/>
      <c r="B3060" s="1244" t="s">
        <v>1474</v>
      </c>
      <c r="C3060" s="513"/>
      <c r="D3060" s="513"/>
      <c r="E3060" s="513"/>
      <c r="F3060" s="513"/>
      <c r="G3060" s="513"/>
      <c r="H3060" s="1241"/>
      <c r="I3060" s="513"/>
      <c r="J3060" s="51"/>
      <c r="K3060" s="1245"/>
      <c r="L3060" s="1246"/>
      <c r="M3060" s="513"/>
      <c r="N3060" s="513"/>
      <c r="O3060" s="51"/>
      <c r="P3060" s="513"/>
      <c r="Q3060" s="513"/>
      <c r="R3060" s="1247">
        <f>$A3060*Q3060</f>
        <v>0</v>
      </c>
      <c r="S3060" s="513"/>
      <c r="T3060" s="884">
        <f>$A3060*S3060*$T$1</f>
        <v>0</v>
      </c>
    </row>
    <row r="3061" spans="1:41" s="997" customFormat="1" ht="13.2">
      <c r="A3061"/>
      <c r="B3061" s="1065"/>
      <c r="C3061" s="1065" t="s">
        <v>1006</v>
      </c>
      <c r="D3061" s="1065" t="str">
        <f ca="1">CELL("Address",Elec_Rates!D$517)</f>
        <v>[EL25_0662B_Brittania_Hotel_Elec_Revised_Estim_B.xlsx]Elec_Rates!$D$517</v>
      </c>
      <c r="E3061" s="1066"/>
      <c r="F3061" s="1066"/>
      <c r="G3061" s="1067" t="s">
        <v>1007</v>
      </c>
      <c r="H3061" s="1067"/>
      <c r="I3061" s="1067"/>
      <c r="J3061" s="1067"/>
      <c r="K3061" s="1068"/>
      <c r="L3061" s="1066"/>
      <c r="M3061" s="1066"/>
      <c r="N3061" s="1066"/>
      <c r="O3061" s="1069"/>
      <c r="P3061" s="1066"/>
      <c r="Q3061" s="1070"/>
      <c r="R3061" s="1071"/>
      <c r="S3061" s="1070"/>
      <c r="T3061" s="1072"/>
      <c r="U3061" s="1073"/>
    </row>
    <row r="3062" spans="1:41" s="997" customFormat="1" ht="11.4">
      <c r="A3062" s="1074">
        <v>3</v>
      </c>
      <c r="B3062" s="1075">
        <v>1</v>
      </c>
      <c r="C3062" s="1075">
        <f>$A3062*$B3062</f>
        <v>3</v>
      </c>
      <c r="D3062" s="1076" t="str">
        <f>Elec_Rates!$D$517</f>
        <v>061# DALI Wiring cables</v>
      </c>
      <c r="E3062" s="1076"/>
      <c r="F3062" s="1076"/>
      <c r="G3062" s="1077" t="s">
        <v>1008</v>
      </c>
      <c r="H3062" s="1077"/>
      <c r="I3062" s="1077"/>
      <c r="J3062" s="1077"/>
      <c r="K3062" s="1078"/>
      <c r="L3062" s="1073"/>
      <c r="M3062" s="1073"/>
      <c r="N3062" s="1073"/>
      <c r="O3062" s="1079"/>
      <c r="P3062" s="1076"/>
      <c r="Q3062" s="1080">
        <f ca="1">$B3062*Elec_Rates!$R$517</f>
        <v>2.0699999999999998</v>
      </c>
      <c r="R3062" s="1071">
        <f ca="1">$A3062*Q3062</f>
        <v>6.2099999999999991</v>
      </c>
      <c r="S3062" s="1080">
        <f ca="1">$B3062*Elec_Rates!$T$517</f>
        <v>0.19</v>
      </c>
      <c r="T3062" s="1072">
        <f ca="1">$A3062*S3062</f>
        <v>0.57000000000000006</v>
      </c>
      <c r="U3062" s="1081"/>
    </row>
    <row r="3063" spans="1:41" s="1039" customFormat="1" ht="11.4">
      <c r="A3063" s="1074">
        <v>3</v>
      </c>
      <c r="B3063" s="1039" t="s">
        <v>949</v>
      </c>
      <c r="D3063" s="1039" t="s">
        <v>1522</v>
      </c>
      <c r="F3063" s="1039" t="s">
        <v>1506</v>
      </c>
      <c r="G3063" s="1040" t="s">
        <v>1182</v>
      </c>
      <c r="H3063" s="1041">
        <v>705</v>
      </c>
      <c r="I3063" s="1039" t="s">
        <v>1183</v>
      </c>
      <c r="J3063" s="1039" t="s">
        <v>1184</v>
      </c>
      <c r="O3063" s="1042">
        <v>3</v>
      </c>
      <c r="P3063" s="1043">
        <v>34669</v>
      </c>
      <c r="Q3063" s="1044">
        <v>5.0599999999999996</v>
      </c>
      <c r="R3063" s="1045">
        <f t="shared" ref="R3063" si="40">$A3063*Q3063</f>
        <v>15.18</v>
      </c>
      <c r="S3063" s="1044">
        <v>0.17</v>
      </c>
      <c r="T3063" s="1046">
        <f t="shared" ref="T3063" si="41">$A3063*S3063*$T$1</f>
        <v>0.53550000000000009</v>
      </c>
      <c r="AC3063" s="997"/>
      <c r="AD3063" s="997"/>
      <c r="AE3063" s="997"/>
    </row>
    <row r="3064" spans="1:41" s="504" customFormat="1" ht="13.95" customHeight="1">
      <c r="A3064" s="930"/>
      <c r="B3064" s="513"/>
      <c r="C3064" s="513"/>
      <c r="D3064" s="513"/>
      <c r="E3064" s="513"/>
      <c r="F3064" s="513"/>
      <c r="G3064" s="513"/>
      <c r="H3064" s="1241"/>
      <c r="I3064" s="513"/>
      <c r="J3064" s="51"/>
      <c r="K3064" s="1245"/>
      <c r="L3064" s="1246"/>
      <c r="M3064" s="513"/>
      <c r="N3064" s="513"/>
      <c r="O3064" s="51"/>
      <c r="P3064" s="513"/>
      <c r="Q3064" s="513"/>
      <c r="R3064" s="1247">
        <f>$A3064*Q3064</f>
        <v>0</v>
      </c>
      <c r="S3064" s="513"/>
      <c r="T3064" s="884">
        <f>$A3064*S3064*$T$1</f>
        <v>0</v>
      </c>
      <c r="AC3064" s="997"/>
      <c r="AD3064" s="997"/>
      <c r="AE3064" s="997"/>
    </row>
    <row r="3065" spans="1:41" s="504" customFormat="1" ht="12">
      <c r="A3065" s="1248" t="s">
        <v>142</v>
      </c>
      <c r="B3065" s="1249">
        <f>(R3064+T3064)</f>
        <v>0</v>
      </c>
      <c r="C3065" s="882"/>
      <c r="G3065" s="1250"/>
      <c r="H3065" s="1250"/>
      <c r="I3065" s="1250"/>
      <c r="J3065" s="1250"/>
      <c r="K3065" s="1251" t="s">
        <v>3</v>
      </c>
      <c r="L3065" s="1252" t="s">
        <v>1473</v>
      </c>
      <c r="M3065" s="1250"/>
      <c r="N3065" s="1250"/>
      <c r="O3065" s="1250"/>
      <c r="P3065" s="1250"/>
      <c r="Q3065" s="1253"/>
      <c r="R3065" s="1254">
        <f ca="1">SUM(R3059:R3064)</f>
        <v>21.39</v>
      </c>
      <c r="S3065" s="1255"/>
      <c r="T3065" s="1254">
        <f ca="1">SUM(T3059:T3064)</f>
        <v>1.1055000000000001</v>
      </c>
      <c r="AG3065" s="1256">
        <f ca="1">ROUND($R3065*$S$2,2)</f>
        <v>26.1</v>
      </c>
    </row>
    <row r="3066" spans="1:41" s="504" customFormat="1" ht="12" customHeight="1">
      <c r="A3066" s="1257"/>
      <c r="B3066" s="1306"/>
      <c r="C3066" s="1307"/>
      <c r="D3066" s="1307" t="str">
        <f>$F$3</f>
        <v>Controls Section (DALI)</v>
      </c>
      <c r="E3066" s="1307">
        <f>ROUND(($R3070*$S$3 + ($T3070*$T$3)), 2)</f>
        <v>100.58</v>
      </c>
      <c r="F3066" s="1308">
        <f ca="1">$F3056-SUMIF($L3058:$P3062,"SUBI",$F3058:$F3062)</f>
        <v>100.58999999999999</v>
      </c>
      <c r="G3066" s="503"/>
      <c r="H3066" s="503"/>
      <c r="I3066" s="503"/>
      <c r="J3066" s="503"/>
      <c r="K3066" s="1242" t="s">
        <v>5</v>
      </c>
      <c r="L3066" s="1243" t="s">
        <v>1473</v>
      </c>
      <c r="M3066" s="503"/>
      <c r="N3066" s="503"/>
      <c r="O3066" s="503"/>
      <c r="P3066" s="503"/>
      <c r="Q3066" s="503"/>
      <c r="R3066" s="1258"/>
      <c r="S3066" s="503"/>
      <c r="T3066" s="1258"/>
    </row>
    <row r="3067" spans="1:41" s="1271" customFormat="1" ht="14.4" customHeight="1">
      <c r="A3067" s="1259"/>
      <c r="B3067" s="1244" t="s">
        <v>1475</v>
      </c>
      <c r="C3067" s="1260"/>
      <c r="D3067" s="1261"/>
      <c r="E3067" s="1261"/>
      <c r="F3067" s="1261"/>
      <c r="G3067" s="1262"/>
      <c r="H3067" s="1263"/>
      <c r="I3067" s="1263"/>
      <c r="J3067" s="1264"/>
      <c r="K3067" s="1265"/>
      <c r="L3067" s="1260"/>
      <c r="M3067" s="1266"/>
      <c r="N3067" s="1267"/>
      <c r="O3067" s="1268"/>
      <c r="P3067" s="1269"/>
      <c r="Q3067" s="1270"/>
      <c r="R3067" s="1247">
        <f>$A3067*Q3067</f>
        <v>0</v>
      </c>
      <c r="S3067" s="513"/>
      <c r="T3067" s="884">
        <f>$A3067*S3067*$T$1</f>
        <v>0</v>
      </c>
    </row>
    <row r="3068" spans="1:41" s="1039" customFormat="1" ht="13.2">
      <c r="A3068">
        <v>3</v>
      </c>
      <c r="B3068" s="1039" t="s">
        <v>949</v>
      </c>
      <c r="D3068" s="1039" t="s">
        <v>1523</v>
      </c>
      <c r="G3068" s="1374" t="s">
        <v>1991</v>
      </c>
      <c r="H3068" s="1375">
        <v>512</v>
      </c>
      <c r="I3068" s="1039" t="s">
        <v>1519</v>
      </c>
      <c r="J3068" s="1039" t="s">
        <v>1520</v>
      </c>
      <c r="O3068" s="1042">
        <v>3</v>
      </c>
      <c r="P3068" s="1043">
        <v>38421</v>
      </c>
      <c r="Q3068" s="1044">
        <v>27.48</v>
      </c>
      <c r="R3068" s="1045">
        <f>$A3068*Q3068</f>
        <v>82.44</v>
      </c>
      <c r="S3068" s="513"/>
      <c r="T3068" s="1046">
        <f>$A3068*S3068*$T$1</f>
        <v>0</v>
      </c>
    </row>
    <row r="3069" spans="1:41" s="504" customFormat="1" ht="13.2">
      <c r="A3069" s="930"/>
      <c r="B3069" s="513"/>
      <c r="C3069" s="513"/>
      <c r="D3069" s="3"/>
      <c r="E3069" s="513"/>
      <c r="F3069" s="513"/>
      <c r="G3069" s="513"/>
      <c r="H3069" s="513"/>
      <c r="I3069" s="513"/>
      <c r="J3069" s="513"/>
      <c r="K3069" s="513"/>
      <c r="L3069" s="1246"/>
      <c r="M3069" s="513"/>
      <c r="N3069" s="513"/>
      <c r="O3069" s="513"/>
      <c r="P3069" s="513"/>
      <c r="Q3069" s="513"/>
      <c r="R3069" s="1247">
        <f>$A3069*Q3069</f>
        <v>0</v>
      </c>
      <c r="S3069" s="513"/>
      <c r="T3069" s="884">
        <f>$A3069*S3069*$T$1</f>
        <v>0</v>
      </c>
    </row>
    <row r="3070" spans="1:41" s="504" customFormat="1" ht="12" customHeight="1">
      <c r="A3070" s="1272" t="s">
        <v>142</v>
      </c>
      <c r="B3070" s="1273">
        <f>(R3069+T3069)</f>
        <v>0</v>
      </c>
      <c r="C3070" s="1274"/>
      <c r="D3070" s="1274"/>
      <c r="E3070" s="1274"/>
      <c r="F3070" s="1274"/>
      <c r="G3070" s="1253"/>
      <c r="H3070" s="1253"/>
      <c r="I3070" s="1253"/>
      <c r="J3070" s="1253"/>
      <c r="K3070" s="1275" t="s">
        <v>5</v>
      </c>
      <c r="L3070" s="1276" t="s">
        <v>1473</v>
      </c>
      <c r="M3070" s="1253"/>
      <c r="N3070" s="1253"/>
      <c r="O3070" s="1253"/>
      <c r="P3070" s="1253"/>
      <c r="Q3070" s="1253"/>
      <c r="R3070" s="1254">
        <f>SUM(R3066:R3069)</f>
        <v>82.44</v>
      </c>
      <c r="S3070" s="1255"/>
      <c r="T3070" s="1254">
        <f>SUM(T3066:T3069)</f>
        <v>0</v>
      </c>
      <c r="AG3070" s="1309">
        <f>ROUND($R3070*$S$3,2)</f>
        <v>100.58</v>
      </c>
    </row>
    <row r="3071" spans="1:41" s="504" customFormat="1" ht="12.75" customHeight="1">
      <c r="A3071" s="1277"/>
      <c r="B3071" s="1278"/>
      <c r="E3071" s="882"/>
      <c r="F3071" s="1279"/>
      <c r="G3071" s="882"/>
      <c r="H3071" s="882"/>
      <c r="I3071" s="503"/>
      <c r="J3071" s="882"/>
      <c r="K3071" s="882"/>
      <c r="L3071" s="1280"/>
      <c r="M3071" s="933"/>
      <c r="N3071" s="933"/>
      <c r="O3071" s="933"/>
      <c r="P3071" s="933"/>
      <c r="Q3071" s="900"/>
      <c r="R3071" s="1258"/>
      <c r="S3071" s="882"/>
      <c r="T3071" s="1258"/>
    </row>
    <row r="3072" spans="1:41" s="504" customFormat="1" ht="13.5" customHeight="1" thickBot="1">
      <c r="A3072" s="1281"/>
      <c r="B3072" s="1282"/>
      <c r="C3072" s="514"/>
      <c r="D3072" s="514"/>
      <c r="E3072" s="887"/>
      <c r="F3072" s="888"/>
      <c r="G3072" s="887" t="s">
        <v>143</v>
      </c>
      <c r="H3072" s="887"/>
      <c r="I3072" s="889"/>
      <c r="J3072" s="887"/>
      <c r="K3072" s="887"/>
      <c r="L3072" s="1283" t="s">
        <v>140</v>
      </c>
      <c r="M3072" s="890"/>
      <c r="N3072" s="890"/>
      <c r="O3072" s="890"/>
      <c r="P3072" s="890"/>
      <c r="Q3072" s="891"/>
      <c r="R3072" s="1284">
        <f ca="1">SUMIF($L3057:$L3071,"SUBI",R3057:R3071)</f>
        <v>103.83</v>
      </c>
      <c r="S3072" s="887"/>
      <c r="T3072" s="1284">
        <f ca="1">SUMIF($L3057:$L3071,"SUBI",T3057:T3071)</f>
        <v>1.1055000000000001</v>
      </c>
      <c r="U3072" s="514"/>
      <c r="V3072" s="514"/>
      <c r="W3072" s="514"/>
      <c r="X3072" s="514"/>
      <c r="Y3072" s="514"/>
      <c r="Z3072" s="514"/>
      <c r="AA3072" s="514"/>
      <c r="AB3072" s="514"/>
      <c r="AC3072" s="514"/>
      <c r="AD3072" s="514"/>
      <c r="AE3072" s="514"/>
      <c r="AF3072" s="514"/>
      <c r="AG3072" s="514"/>
      <c r="AH3072" s="514"/>
      <c r="AI3072" s="514"/>
      <c r="AJ3072" s="514"/>
      <c r="AK3072" s="514"/>
      <c r="AL3072" s="514"/>
      <c r="AM3072" s="514"/>
      <c r="AN3072" s="514"/>
      <c r="AO3072" s="514"/>
    </row>
    <row r="3073" spans="1:41" s="504" customFormat="1" thickTop="1">
      <c r="A3073" s="50"/>
      <c r="B3073" s="40"/>
      <c r="C3073" s="50"/>
      <c r="E3073" s="41" t="s">
        <v>136</v>
      </c>
      <c r="F3073" s="41" t="s">
        <v>137</v>
      </c>
      <c r="G3073" s="50"/>
      <c r="H3073" s="50"/>
      <c r="I3073" s="50"/>
      <c r="J3073" s="50"/>
      <c r="K3073" s="50" t="s">
        <v>138</v>
      </c>
      <c r="L3073" s="1219"/>
      <c r="M3073" s="50"/>
      <c r="N3073" s="50"/>
      <c r="O3073" s="51"/>
      <c r="P3073" s="50"/>
      <c r="Q3073"/>
      <c r="R3073"/>
      <c r="S3073"/>
      <c r="T3073" s="40"/>
      <c r="AG3073" s="867" t="s">
        <v>241</v>
      </c>
      <c r="AH3073" s="867" t="s">
        <v>242</v>
      </c>
      <c r="AI3073" s="867" t="s">
        <v>243</v>
      </c>
      <c r="AJ3073" s="867" t="s">
        <v>244</v>
      </c>
      <c r="AK3073" s="867" t="s">
        <v>245</v>
      </c>
      <c r="AM3073" s="868" t="s">
        <v>254</v>
      </c>
      <c r="AN3073" s="869" t="s">
        <v>255</v>
      </c>
      <c r="AO3073" s="505" t="s">
        <v>251</v>
      </c>
    </row>
    <row r="3074" spans="1:41" s="504" customFormat="1" ht="13.2">
      <c r="A3074" s="870">
        <v>1</v>
      </c>
      <c r="B3074" s="871" t="s">
        <v>335</v>
      </c>
      <c r="C3074" s="872"/>
      <c r="D3074" s="873" t="s">
        <v>806</v>
      </c>
      <c r="E3074" s="1220">
        <f ca="1">IF(AND($A3074=0,$A$1="DIF"),0, ROUND(ROUND(SUMIF($L3076:$L3083,"SUBI",$E3076:$E3083)/$A3074,2)*$C$12,2))</f>
        <v>973.68</v>
      </c>
      <c r="F3074" s="1221">
        <f ca="1">ROUND($A3074*$E3074,2)</f>
        <v>973.68</v>
      </c>
      <c r="G3074" s="876" t="s">
        <v>139</v>
      </c>
      <c r="H3074" s="877"/>
      <c r="I3074" s="878"/>
      <c r="J3074" s="877"/>
      <c r="K3074" s="1222"/>
      <c r="L3074" s="1223" t="s">
        <v>140</v>
      </c>
      <c r="M3074" s="879"/>
      <c r="N3074" s="879"/>
      <c r="O3074" s="879"/>
      <c r="P3074" s="879"/>
      <c r="Q3074"/>
      <c r="R3074"/>
      <c r="S3074"/>
      <c r="T3074" s="1224" t="str">
        <f ca="1">IF(AND($R3090=0,$T3090=0),"0.00","mu :" &amp; ROUND($F3074/$C$12/($R3090+$T3090*$D$9),2))</f>
        <v>mu :1.57</v>
      </c>
      <c r="W3074" s="507"/>
      <c r="AG3074" s="1225">
        <f ca="1">IF(A3074=0,0,ROUND(SUM(AG3076:AG3090)/A3074,2))</f>
        <v>603.11</v>
      </c>
      <c r="AH3074" s="1225">
        <f ca="1">$AG3074*$A3074</f>
        <v>603.11</v>
      </c>
      <c r="AI3074" s="1225">
        <f ca="1">$E3074-$AG3074</f>
        <v>370.56999999999994</v>
      </c>
      <c r="AJ3074" s="1225">
        <f ca="1">$A3074*$AI3074</f>
        <v>370.56999999999994</v>
      </c>
      <c r="AK3074" s="1226">
        <f ca="1">ROUND(($AG3074+$AI3074)*$A3074,2)</f>
        <v>973.68</v>
      </c>
      <c r="AM3074" s="510">
        <f ca="1">ROUND(R3090,2)</f>
        <v>494.35</v>
      </c>
      <c r="AN3074" s="511">
        <f ca="1">ROUND(T3090,2)</f>
        <v>4.3899999999999997</v>
      </c>
      <c r="AO3074" s="512">
        <f ca="1">ROUND(AM3074+AN3074,2)*A3074</f>
        <v>498.74</v>
      </c>
    </row>
    <row r="3075" spans="1:41" s="504" customFormat="1" ht="12">
      <c r="A3075" s="1302"/>
      <c r="B3075" s="1303"/>
      <c r="C3075" s="872"/>
      <c r="D3075" s="873" t="s">
        <v>412</v>
      </c>
      <c r="F3075" s="877"/>
      <c r="G3075" s="877"/>
      <c r="H3075" s="877"/>
      <c r="I3075" s="878"/>
      <c r="J3075" s="877"/>
      <c r="K3075" s="877" t="s">
        <v>141</v>
      </c>
      <c r="L3075" s="1227"/>
      <c r="M3075" s="877"/>
      <c r="N3075" s="877"/>
      <c r="O3075" s="877"/>
      <c r="P3075" s="877"/>
      <c r="Q3075" s="50"/>
      <c r="R3075" s="513"/>
      <c r="S3075" s="881"/>
      <c r="T3075" s="877"/>
    </row>
    <row r="3076" spans="1:41" s="504" customFormat="1" ht="12">
      <c r="A3076" s="1228"/>
      <c r="B3076" s="1229"/>
      <c r="C3076" s="882"/>
      <c r="D3076" s="877"/>
      <c r="E3076" s="1230">
        <f ca="1">F3074/$C$12-SUMIF($L3073:$L3090,"SUBI",$E3073:$E3090)</f>
        <v>0</v>
      </c>
      <c r="F3076" s="1231" t="s">
        <v>1472</v>
      </c>
      <c r="G3076" s="1232"/>
      <c r="H3076" s="1232"/>
      <c r="I3076" s="1233"/>
      <c r="J3076" s="1232"/>
      <c r="K3076" s="1232"/>
      <c r="L3076" s="1234"/>
      <c r="M3076" s="1235"/>
      <c r="N3076" s="1235"/>
      <c r="O3076" s="1235"/>
      <c r="P3076" s="1235"/>
      <c r="Q3076" s="1236"/>
      <c r="R3076" s="1237"/>
      <c r="S3076" s="1236"/>
      <c r="T3076" s="1238"/>
    </row>
    <row r="3077" spans="1:41" s="504" customFormat="1" ht="12" customHeight="1">
      <c r="A3077" s="1239"/>
      <c r="B3077" s="1304"/>
      <c r="C3077" s="1240"/>
      <c r="D3077" s="1240" t="str">
        <f>$F$2</f>
        <v>Electrical</v>
      </c>
      <c r="E3077" s="1240">
        <f ca="1">ROUND(($R3082*$S$2 + ($T3082*$T$2)), 2)</f>
        <v>9.2100000000000009</v>
      </c>
      <c r="F3077" s="1305">
        <f ca="1">$E3077*$C$12</f>
        <v>9.2100000000000009</v>
      </c>
      <c r="G3077" s="513"/>
      <c r="H3077" s="1241"/>
      <c r="I3077" s="513"/>
      <c r="J3077" s="51"/>
      <c r="K3077" s="1242" t="s">
        <v>3</v>
      </c>
      <c r="L3077" s="1243" t="s">
        <v>1473</v>
      </c>
      <c r="M3077" s="513"/>
      <c r="N3077" s="513"/>
      <c r="O3077" s="51"/>
      <c r="P3077" s="513"/>
      <c r="Q3077" s="513"/>
      <c r="R3077"/>
      <c r="S3077"/>
      <c r="T3077"/>
    </row>
    <row r="3078" spans="1:41" s="504" customFormat="1" ht="13.95" customHeight="1">
      <c r="A3078" s="930"/>
      <c r="B3078" s="1244" t="s">
        <v>1474</v>
      </c>
      <c r="C3078" s="513"/>
      <c r="D3078" s="513"/>
      <c r="E3078" s="513"/>
      <c r="F3078" s="513"/>
      <c r="G3078" s="513"/>
      <c r="H3078" s="1241"/>
      <c r="I3078" s="513"/>
      <c r="J3078" s="51"/>
      <c r="K3078" s="1245"/>
      <c r="L3078" s="1246"/>
      <c r="M3078" s="513"/>
      <c r="N3078" s="513"/>
      <c r="O3078" s="51"/>
      <c r="P3078" s="513"/>
      <c r="Q3078" s="513"/>
      <c r="R3078" s="1247">
        <f>$A3078*Q3078</f>
        <v>0</v>
      </c>
      <c r="S3078" s="513"/>
      <c r="T3078" s="884">
        <f>$A3078*S3078*$T$1</f>
        <v>0</v>
      </c>
    </row>
    <row r="3079" spans="1:41" s="997" customFormat="1" ht="13.2">
      <c r="A3079"/>
      <c r="B3079" s="1065"/>
      <c r="C3079" s="1065" t="s">
        <v>1006</v>
      </c>
      <c r="D3079" s="1065" t="str">
        <f ca="1">CELL("Address",Elec_Rates!D$517)</f>
        <v>[EL25_0662B_Brittania_Hotel_Elec_Revised_Estim_B.xlsx]Elec_Rates!$D$517</v>
      </c>
      <c r="E3079" s="1066"/>
      <c r="F3079" s="1066"/>
      <c r="G3079" s="1067" t="s">
        <v>1007</v>
      </c>
      <c r="H3079" s="1067"/>
      <c r="I3079" s="1067"/>
      <c r="J3079" s="1067"/>
      <c r="K3079" s="1068"/>
      <c r="L3079" s="1066"/>
      <c r="M3079" s="1066"/>
      <c r="N3079" s="1066"/>
      <c r="O3079" s="1069"/>
      <c r="P3079" s="1066"/>
      <c r="Q3079" s="1070"/>
      <c r="R3079" s="1071"/>
      <c r="S3079" s="1070"/>
      <c r="T3079" s="1072"/>
      <c r="U3079" s="1073"/>
    </row>
    <row r="3080" spans="1:41" s="997" customFormat="1" ht="11.4">
      <c r="A3080" s="1074">
        <v>1</v>
      </c>
      <c r="B3080" s="1075">
        <v>1</v>
      </c>
      <c r="C3080" s="1075">
        <f>$A3080*$B3080</f>
        <v>1</v>
      </c>
      <c r="D3080" s="1076" t="str">
        <f>Elec_Rates!$D$517</f>
        <v>061# DALI Wiring cables</v>
      </c>
      <c r="E3080" s="1076"/>
      <c r="F3080" s="1076"/>
      <c r="G3080" s="1077" t="s">
        <v>1008</v>
      </c>
      <c r="H3080" s="1077"/>
      <c r="I3080" s="1077"/>
      <c r="J3080" s="1077"/>
      <c r="K3080" s="1078"/>
      <c r="L3080" s="1073"/>
      <c r="M3080" s="1073"/>
      <c r="N3080" s="1073"/>
      <c r="O3080" s="1079"/>
      <c r="P3080" s="1076"/>
      <c r="Q3080" s="1080">
        <f ca="1">$B3080*Elec_Rates!$R$517</f>
        <v>2.0699999999999998</v>
      </c>
      <c r="R3080" s="1071">
        <f ca="1">$A3080*Q3080</f>
        <v>2.0699999999999998</v>
      </c>
      <c r="S3080" s="1080">
        <f ca="1">$B3080*Elec_Rates!$T$517</f>
        <v>0.19</v>
      </c>
      <c r="T3080" s="1072">
        <f ca="1">$A3080*S3080</f>
        <v>0.19</v>
      </c>
      <c r="U3080" s="1081"/>
    </row>
    <row r="3081" spans="1:41" s="504" customFormat="1" ht="13.95" customHeight="1">
      <c r="A3081" s="930"/>
      <c r="B3081" s="513"/>
      <c r="C3081" s="513"/>
      <c r="D3081" s="513"/>
      <c r="E3081" s="513"/>
      <c r="F3081" s="513"/>
      <c r="G3081" s="513"/>
      <c r="H3081" s="1241"/>
      <c r="I3081" s="513"/>
      <c r="J3081" s="51"/>
      <c r="K3081" s="1245"/>
      <c r="L3081" s="1246"/>
      <c r="M3081" s="513"/>
      <c r="N3081" s="513"/>
      <c r="O3081" s="51"/>
      <c r="P3081" s="513"/>
      <c r="Q3081" s="513"/>
      <c r="R3081" s="1247">
        <f>$A3081*Q3081</f>
        <v>0</v>
      </c>
      <c r="S3081" s="513"/>
      <c r="T3081" s="884">
        <f>$A3081*S3081*$T$1</f>
        <v>0</v>
      </c>
    </row>
    <row r="3082" spans="1:41" s="504" customFormat="1" ht="12">
      <c r="A3082" s="1248" t="s">
        <v>142</v>
      </c>
      <c r="B3082" s="1249">
        <f>(R3081+T3081)</f>
        <v>0</v>
      </c>
      <c r="C3082" s="882"/>
      <c r="G3082" s="1250"/>
      <c r="H3082" s="1250"/>
      <c r="I3082" s="1250"/>
      <c r="J3082" s="1250"/>
      <c r="K3082" s="1251" t="s">
        <v>3</v>
      </c>
      <c r="L3082" s="1252" t="s">
        <v>1473</v>
      </c>
      <c r="M3082" s="1250"/>
      <c r="N3082" s="1250"/>
      <c r="O3082" s="1250"/>
      <c r="P3082" s="1250"/>
      <c r="Q3082" s="1253"/>
      <c r="R3082" s="1254">
        <f ca="1">SUM(R3077:R3081)</f>
        <v>2.0699999999999998</v>
      </c>
      <c r="S3082" s="1255"/>
      <c r="T3082" s="1254">
        <f ca="1">SUM(T3077:T3081)</f>
        <v>0.19</v>
      </c>
      <c r="AG3082" s="1256">
        <f ca="1">ROUND($R3082*$S$2,2)</f>
        <v>2.5299999999999998</v>
      </c>
    </row>
    <row r="3083" spans="1:41" s="504" customFormat="1" ht="12" customHeight="1">
      <c r="A3083" s="1257"/>
      <c r="B3083" s="1306"/>
      <c r="C3083" s="1307"/>
      <c r="D3083" s="1307" t="str">
        <f>$F$3</f>
        <v>Controls Section (DALI)</v>
      </c>
      <c r="E3083" s="1307">
        <f>ROUND(($R3088*$S$3 + ($T3088*$T$3)), 2)</f>
        <v>964.47</v>
      </c>
      <c r="F3083" s="1308">
        <f ca="1">$F3074-SUMIF($L3076:$P3080,"SUBI",$F3076:$F3080)</f>
        <v>964.46999999999991</v>
      </c>
      <c r="G3083" s="503"/>
      <c r="H3083" s="503"/>
      <c r="I3083" s="503"/>
      <c r="J3083" s="503"/>
      <c r="K3083" s="1242" t="s">
        <v>5</v>
      </c>
      <c r="L3083" s="1243" t="s">
        <v>1473</v>
      </c>
      <c r="M3083" s="503"/>
      <c r="N3083" s="503"/>
      <c r="O3083" s="503"/>
      <c r="P3083" s="503"/>
      <c r="Q3083" s="503"/>
      <c r="R3083" s="1258"/>
      <c r="S3083" s="503"/>
      <c r="T3083" s="1258"/>
    </row>
    <row r="3084" spans="1:41" s="1271" customFormat="1" ht="14.4" customHeight="1">
      <c r="A3084" s="1259"/>
      <c r="B3084" s="1244" t="s">
        <v>1475</v>
      </c>
      <c r="C3084" s="1260"/>
      <c r="D3084" s="1261"/>
      <c r="E3084" s="1261"/>
      <c r="F3084" s="1261"/>
      <c r="G3084" s="1262"/>
      <c r="H3084" s="1263"/>
      <c r="I3084" s="1263"/>
      <c r="J3084" s="1264"/>
      <c r="K3084" s="1265"/>
      <c r="L3084" s="1260"/>
      <c r="M3084" s="1266"/>
      <c r="N3084" s="1267"/>
      <c r="O3084" s="1268"/>
      <c r="P3084" s="1269"/>
      <c r="Q3084" s="1270"/>
      <c r="R3084" s="1247">
        <f>$A3084*Q3084</f>
        <v>0</v>
      </c>
      <c r="S3084" s="513"/>
      <c r="T3084" s="884">
        <f>$A3084*S3084*$T$1</f>
        <v>0</v>
      </c>
    </row>
    <row r="3085" spans="1:41" s="1039" customFormat="1" ht="13.2">
      <c r="A3085" s="112">
        <v>1</v>
      </c>
      <c r="B3085" s="1039" t="s">
        <v>949</v>
      </c>
      <c r="D3085" s="1039" t="s">
        <v>1552</v>
      </c>
      <c r="G3085" s="1374" t="s">
        <v>1991</v>
      </c>
      <c r="H3085" s="1375">
        <v>512</v>
      </c>
      <c r="I3085" s="1039" t="s">
        <v>1519</v>
      </c>
      <c r="J3085" s="1039" t="s">
        <v>1520</v>
      </c>
      <c r="O3085" s="1042">
        <v>3</v>
      </c>
      <c r="P3085" s="1043">
        <v>38421</v>
      </c>
      <c r="Q3085" s="1044">
        <v>414.96</v>
      </c>
      <c r="R3085" s="1045">
        <f>$A3085*Q3085</f>
        <v>414.96</v>
      </c>
      <c r="S3085" s="1044">
        <v>4</v>
      </c>
      <c r="T3085" s="1046">
        <f>$A3085*S3085*$T$1</f>
        <v>4.2</v>
      </c>
    </row>
    <row r="3086" spans="1:41" s="1039" customFormat="1" ht="13.2">
      <c r="A3086" s="112">
        <v>1</v>
      </c>
      <c r="B3086" s="1039" t="s">
        <v>949</v>
      </c>
      <c r="D3086" s="1039" t="s">
        <v>1524</v>
      </c>
      <c r="G3086" s="1374" t="s">
        <v>1991</v>
      </c>
      <c r="H3086" s="1375">
        <v>512</v>
      </c>
      <c r="I3086" s="1039" t="s">
        <v>1519</v>
      </c>
      <c r="J3086" s="1039" t="s">
        <v>1520</v>
      </c>
      <c r="O3086" s="1042">
        <v>3</v>
      </c>
      <c r="P3086" s="1043">
        <v>38421</v>
      </c>
      <c r="Q3086" s="1044">
        <v>77.319999999999993</v>
      </c>
      <c r="R3086" s="1045">
        <f>$A3086*Q3086</f>
        <v>77.319999999999993</v>
      </c>
      <c r="S3086" s="1044"/>
      <c r="T3086" s="1046">
        <f>$A3086*S3086*$T$1</f>
        <v>0</v>
      </c>
    </row>
    <row r="3087" spans="1:41" s="504" customFormat="1" ht="13.2">
      <c r="A3087" s="930"/>
      <c r="B3087" s="513"/>
      <c r="C3087" s="513"/>
      <c r="D3087" s="3"/>
      <c r="E3087" s="513"/>
      <c r="F3087" s="513"/>
      <c r="G3087" s="513"/>
      <c r="H3087" s="513"/>
      <c r="I3087" s="513"/>
      <c r="J3087" s="513"/>
      <c r="K3087" s="513"/>
      <c r="L3087" s="1246"/>
      <c r="M3087" s="513"/>
      <c r="N3087" s="513"/>
      <c r="O3087" s="513"/>
      <c r="P3087" s="513"/>
      <c r="Q3087" s="513"/>
      <c r="R3087" s="1247">
        <f>$A3087*Q3087</f>
        <v>0</v>
      </c>
      <c r="S3087" s="513"/>
      <c r="T3087" s="884">
        <f>$A3087*S3087*$T$1</f>
        <v>0</v>
      </c>
    </row>
    <row r="3088" spans="1:41" s="504" customFormat="1" ht="12" customHeight="1">
      <c r="A3088" s="1272" t="s">
        <v>142</v>
      </c>
      <c r="B3088" s="1273">
        <f>(R3087+T3087)</f>
        <v>0</v>
      </c>
      <c r="C3088" s="1274"/>
      <c r="D3088" s="1274"/>
      <c r="E3088" s="1274"/>
      <c r="F3088" s="1274"/>
      <c r="G3088" s="1253"/>
      <c r="H3088" s="1253"/>
      <c r="I3088" s="1253"/>
      <c r="J3088" s="1253"/>
      <c r="K3088" s="1275" t="s">
        <v>5</v>
      </c>
      <c r="L3088" s="1276" t="s">
        <v>1473</v>
      </c>
      <c r="M3088" s="1253"/>
      <c r="N3088" s="1253"/>
      <c r="O3088" s="1253"/>
      <c r="P3088" s="1253"/>
      <c r="Q3088" s="1253"/>
      <c r="R3088" s="1254">
        <f>SUM(R3083:R3087)</f>
        <v>492.28</v>
      </c>
      <c r="S3088" s="1255"/>
      <c r="T3088" s="1254">
        <f>SUM(T3083:T3087)</f>
        <v>4.2</v>
      </c>
      <c r="AG3088" s="1309">
        <f>ROUND($R3088*$S$3,2)</f>
        <v>600.58000000000004</v>
      </c>
    </row>
    <row r="3089" spans="1:41" s="504" customFormat="1" ht="12.75" customHeight="1">
      <c r="A3089" s="1277"/>
      <c r="B3089" s="1278"/>
      <c r="E3089" s="882"/>
      <c r="F3089" s="1279"/>
      <c r="G3089" s="882"/>
      <c r="H3089" s="882"/>
      <c r="I3089" s="503"/>
      <c r="J3089" s="882"/>
      <c r="K3089" s="882"/>
      <c r="L3089" s="1280"/>
      <c r="M3089" s="933"/>
      <c r="N3089" s="933"/>
      <c r="O3089" s="933"/>
      <c r="P3089" s="933"/>
      <c r="Q3089" s="900"/>
      <c r="R3089" s="1258"/>
      <c r="S3089" s="882"/>
      <c r="T3089" s="1258"/>
    </row>
    <row r="3090" spans="1:41" s="504" customFormat="1" ht="13.5" customHeight="1" thickBot="1">
      <c r="A3090" s="1281"/>
      <c r="B3090" s="1282"/>
      <c r="C3090" s="514"/>
      <c r="D3090" s="514"/>
      <c r="E3090" s="887"/>
      <c r="F3090" s="888"/>
      <c r="G3090" s="887" t="s">
        <v>143</v>
      </c>
      <c r="H3090" s="887"/>
      <c r="I3090" s="889"/>
      <c r="J3090" s="887"/>
      <c r="K3090" s="887"/>
      <c r="L3090" s="1283" t="s">
        <v>140</v>
      </c>
      <c r="M3090" s="890"/>
      <c r="N3090" s="890"/>
      <c r="O3090" s="890"/>
      <c r="P3090" s="890"/>
      <c r="Q3090" s="891"/>
      <c r="R3090" s="1284">
        <f ca="1">SUMIF($L3075:$L3089,"SUBI",R3075:R3089)</f>
        <v>494.34999999999997</v>
      </c>
      <c r="S3090" s="887"/>
      <c r="T3090" s="1284">
        <f ca="1">SUMIF($L3075:$L3089,"SUBI",T3075:T3089)</f>
        <v>4.3900000000000006</v>
      </c>
      <c r="U3090" s="514"/>
      <c r="V3090" s="514"/>
      <c r="W3090" s="514"/>
      <c r="X3090" s="514"/>
      <c r="Y3090" s="514"/>
      <c r="Z3090" s="514"/>
      <c r="AA3090" s="514"/>
      <c r="AB3090" s="514"/>
      <c r="AC3090" s="514"/>
      <c r="AD3090" s="514"/>
      <c r="AE3090" s="514"/>
      <c r="AF3090" s="514"/>
      <c r="AG3090" s="514"/>
      <c r="AH3090" s="514"/>
      <c r="AI3090" s="514"/>
      <c r="AJ3090" s="514"/>
      <c r="AK3090" s="514"/>
      <c r="AL3090" s="514"/>
      <c r="AM3090" s="514"/>
      <c r="AN3090" s="514"/>
      <c r="AO3090" s="514"/>
    </row>
    <row r="3091" spans="1:41" s="504" customFormat="1" thickTop="1">
      <c r="A3091" s="50"/>
      <c r="B3091" s="50"/>
      <c r="C3091" s="3"/>
      <c r="D3091" s="3"/>
      <c r="E3091" s="50"/>
      <c r="F3091" s="50"/>
      <c r="G3091" s="50"/>
      <c r="H3091" s="50"/>
      <c r="I3091" s="50"/>
      <c r="J3091" s="50"/>
      <c r="K3091" s="50" t="s">
        <v>133</v>
      </c>
      <c r="L3091" s="50"/>
      <c r="M3091" s="50"/>
      <c r="N3091" s="50"/>
      <c r="O3091" s="51"/>
      <c r="P3091" s="50"/>
      <c r="Q3091" s="50"/>
      <c r="R3091" s="50"/>
      <c r="S3091" s="50"/>
      <c r="T3091" s="50"/>
    </row>
    <row r="3092" spans="1:41" s="504" customFormat="1" ht="12">
      <c r="A3092" s="50"/>
      <c r="B3092" s="50"/>
      <c r="C3092" s="50" t="s">
        <v>134</v>
      </c>
      <c r="D3092" s="37" t="s">
        <v>889</v>
      </c>
      <c r="E3092" s="50"/>
      <c r="F3092" s="50"/>
      <c r="G3092" s="50"/>
      <c r="H3092" s="50"/>
      <c r="I3092" s="50"/>
      <c r="J3092" s="50"/>
      <c r="K3092" s="50"/>
      <c r="L3092" s="50"/>
      <c r="M3092" s="50"/>
      <c r="N3092" s="50"/>
      <c r="O3092" s="51"/>
      <c r="P3092" s="50"/>
      <c r="Q3092" s="50"/>
      <c r="R3092" s="50"/>
      <c r="S3092" s="50"/>
      <c r="T3092" s="50"/>
    </row>
    <row r="3093" spans="1:41" s="504" customFormat="1" ht="12">
      <c r="A3093" s="50"/>
      <c r="B3093" s="50"/>
      <c r="C3093" s="50"/>
      <c r="D3093" s="37" t="s">
        <v>345</v>
      </c>
      <c r="E3093" s="50"/>
      <c r="F3093" s="50"/>
      <c r="G3093" s="50"/>
      <c r="H3093" s="50"/>
      <c r="I3093" s="50"/>
      <c r="J3093" s="50"/>
      <c r="K3093" s="50"/>
      <c r="L3093" s="50"/>
      <c r="M3093" s="50"/>
      <c r="N3093" s="50"/>
      <c r="O3093" s="51"/>
      <c r="P3093" s="50"/>
      <c r="Q3093" s="50"/>
      <c r="R3093" s="50"/>
      <c r="S3093" s="38"/>
      <c r="T3093" s="38"/>
    </row>
    <row r="3094" spans="1:41" s="3" customFormat="1" thickBot="1">
      <c r="A3094" s="514"/>
      <c r="O3094" s="103"/>
    </row>
    <row r="3095" spans="1:41" s="504" customFormat="1" ht="12" thickTop="1">
      <c r="A3095" s="50"/>
      <c r="B3095" s="40"/>
      <c r="C3095" s="50"/>
      <c r="E3095" s="41" t="s">
        <v>136</v>
      </c>
      <c r="F3095" s="41" t="s">
        <v>137</v>
      </c>
      <c r="G3095" s="50"/>
      <c r="H3095" s="50"/>
      <c r="I3095" s="50"/>
      <c r="J3095" s="50"/>
      <c r="K3095" s="50" t="s">
        <v>138</v>
      </c>
      <c r="L3095" s="50"/>
      <c r="M3095" s="50"/>
      <c r="N3095" s="50"/>
      <c r="O3095" s="51"/>
      <c r="P3095" s="50"/>
      <c r="Q3095" s="50"/>
      <c r="R3095" s="50"/>
      <c r="S3095" s="50"/>
      <c r="T3095" s="40"/>
      <c r="AG3095" s="867" t="s">
        <v>241</v>
      </c>
      <c r="AH3095" s="867" t="s">
        <v>242</v>
      </c>
      <c r="AI3095" s="867" t="s">
        <v>243</v>
      </c>
      <c r="AJ3095" s="867" t="s">
        <v>244</v>
      </c>
      <c r="AK3095" s="867" t="s">
        <v>245</v>
      </c>
      <c r="AM3095" s="868" t="s">
        <v>254</v>
      </c>
      <c r="AN3095" s="869" t="s">
        <v>255</v>
      </c>
      <c r="AO3095" s="505" t="s">
        <v>251</v>
      </c>
    </row>
    <row r="3096" spans="1:41" s="504" customFormat="1" ht="12" customHeight="1">
      <c r="A3096" s="870">
        <v>11</v>
      </c>
      <c r="B3096" s="871" t="s">
        <v>335</v>
      </c>
      <c r="C3096" s="872"/>
      <c r="D3096" s="873" t="s">
        <v>804</v>
      </c>
      <c r="E3096" s="874">
        <f>IF(AND($A3096=0,$A$1="DIF"),0, ROUND(ROUND(($R3101*$S$2+($T3101*$T$2))/A3096,2)*$C$2,2))</f>
        <v>0</v>
      </c>
      <c r="F3096" s="875">
        <f>ROUND($A3096*$E3096,2)</f>
        <v>0</v>
      </c>
      <c r="G3096" s="876" t="s">
        <v>139</v>
      </c>
      <c r="H3096" s="877"/>
      <c r="I3096" s="878"/>
      <c r="J3096" s="877"/>
      <c r="K3096" s="877" t="s">
        <v>3</v>
      </c>
      <c r="L3096" s="879" t="s">
        <v>140</v>
      </c>
      <c r="M3096" s="879"/>
      <c r="N3096" s="879"/>
      <c r="O3096" s="879"/>
      <c r="P3096" s="879"/>
      <c r="Q3096" s="50" t="s">
        <v>1336</v>
      </c>
      <c r="T3096" s="880" t="str">
        <f>IF(AND($R3101=0,$T3101=0),"0.00","mu :" &amp; ROUND($F3096/$C$2/($R3101+$T3101*$D$9),2))</f>
        <v>0.00</v>
      </c>
      <c r="W3096" s="507"/>
      <c r="AG3096" s="465">
        <f>IF($E3096=0,0,ROUND($R3101*$S$2*$C$2/$A3096,2))</f>
        <v>0</v>
      </c>
      <c r="AH3096" s="465">
        <f>$AG3096*$A3096</f>
        <v>0</v>
      </c>
      <c r="AI3096" s="508">
        <f>$E3096-$AG3096</f>
        <v>0</v>
      </c>
      <c r="AJ3096" s="508">
        <f>$A3096*$AI3096</f>
        <v>0</v>
      </c>
      <c r="AK3096" s="509">
        <f>ROUND(($AG3096+$AI3096)*$A3096,2)</f>
        <v>0</v>
      </c>
      <c r="AM3096" s="510">
        <f>ROUND(R3101,2)</f>
        <v>0</v>
      </c>
      <c r="AN3096" s="511">
        <f>ROUND(T3101,2)</f>
        <v>0</v>
      </c>
      <c r="AO3096" s="512">
        <f>ROUND(AM3096+AN3096,2)*A3096</f>
        <v>0</v>
      </c>
    </row>
    <row r="3097" spans="1:41" s="504" customFormat="1" ht="13.2">
      <c r="A3097" s="872"/>
      <c r="B3097"/>
      <c r="C3097" s="872"/>
      <c r="D3097" s="873" t="s">
        <v>381</v>
      </c>
      <c r="F3097" s="877"/>
      <c r="G3097" s="3"/>
      <c r="H3097" s="877"/>
      <c r="I3097" s="878"/>
      <c r="J3097" s="877"/>
      <c r="K3097" s="877" t="s">
        <v>141</v>
      </c>
      <c r="L3097" s="877"/>
      <c r="M3097" s="877"/>
      <c r="N3097" s="877"/>
      <c r="O3097" s="877"/>
      <c r="P3097" s="877"/>
      <c r="Q3097" s="50"/>
      <c r="R3097" s="513"/>
      <c r="S3097" s="881"/>
      <c r="T3097" s="877"/>
    </row>
    <row r="3098" spans="1:41" s="504" customFormat="1" ht="12">
      <c r="A3098" s="50"/>
      <c r="B3098" s="882"/>
      <c r="C3098" s="882"/>
      <c r="D3098" s="882"/>
      <c r="E3098" s="882"/>
      <c r="F3098" s="877"/>
      <c r="G3098" s="882"/>
      <c r="H3098" s="882"/>
      <c r="I3098" s="503"/>
      <c r="J3098" s="882"/>
      <c r="K3098" s="882"/>
      <c r="L3098" s="882"/>
      <c r="M3098" s="882"/>
      <c r="N3098" s="882"/>
      <c r="O3098" s="882"/>
      <c r="P3098" s="882"/>
      <c r="Q3098" s="503"/>
      <c r="R3098" s="883">
        <f>$A3098*Q3098</f>
        <v>0</v>
      </c>
      <c r="S3098" s="503"/>
      <c r="T3098" s="884">
        <f>$A3098*S3098*$T$1</f>
        <v>0</v>
      </c>
    </row>
    <row r="3099" spans="1:41" s="504" customFormat="1" ht="12">
      <c r="A3099" s="50"/>
      <c r="B3099" s="882"/>
      <c r="C3099" s="882"/>
      <c r="D3099" s="50" t="s">
        <v>1336</v>
      </c>
      <c r="E3099" s="882"/>
      <c r="F3099" s="877"/>
      <c r="G3099" s="882"/>
      <c r="H3099" s="882"/>
      <c r="I3099" s="503"/>
      <c r="J3099" s="882"/>
      <c r="K3099" s="882"/>
      <c r="L3099" s="882"/>
      <c r="M3099" s="882"/>
      <c r="N3099" s="882"/>
      <c r="O3099" s="882"/>
      <c r="P3099" s="882"/>
      <c r="Q3099" s="503"/>
      <c r="R3099" s="883">
        <f>$A3099*Q3099</f>
        <v>0</v>
      </c>
      <c r="S3099" s="503"/>
      <c r="T3099" s="884">
        <f>$A3099*S3099*$T$1</f>
        <v>0</v>
      </c>
    </row>
    <row r="3100" spans="1:41" s="504" customFormat="1" ht="12">
      <c r="A3100" s="882"/>
      <c r="B3100" s="882"/>
      <c r="C3100" s="882"/>
      <c r="D3100" s="882"/>
      <c r="E3100" s="882"/>
      <c r="F3100" s="877"/>
      <c r="G3100" s="882"/>
      <c r="H3100" s="882"/>
      <c r="I3100" s="503"/>
      <c r="J3100" s="882"/>
      <c r="K3100" s="882"/>
      <c r="L3100" s="882"/>
      <c r="M3100" s="882"/>
      <c r="N3100" s="882"/>
      <c r="O3100" s="882"/>
      <c r="P3100" s="882"/>
      <c r="Q3100" s="503"/>
      <c r="R3100" s="883">
        <f>$A3100*Q3100</f>
        <v>0</v>
      </c>
      <c r="S3100" s="503"/>
      <c r="T3100" s="884">
        <f>$A3100*S3100*$T$1</f>
        <v>0</v>
      </c>
    </row>
    <row r="3101" spans="1:41" s="504" customFormat="1" ht="12.6" thickBot="1">
      <c r="A3101" s="885" t="s">
        <v>142</v>
      </c>
      <c r="B3101" s="886">
        <f>(R3100+T3100)</f>
        <v>0</v>
      </c>
      <c r="C3101" s="887"/>
      <c r="D3101" s="887"/>
      <c r="E3101" s="887"/>
      <c r="F3101" s="888"/>
      <c r="G3101" s="887" t="s">
        <v>143</v>
      </c>
      <c r="H3101" s="887"/>
      <c r="I3101" s="889"/>
      <c r="J3101" s="887"/>
      <c r="K3101" s="887" t="s">
        <v>3</v>
      </c>
      <c r="L3101" s="890" t="s">
        <v>140</v>
      </c>
      <c r="M3101" s="890"/>
      <c r="N3101" s="890"/>
      <c r="O3101" s="890"/>
      <c r="P3101" s="890"/>
      <c r="Q3101" s="891"/>
      <c r="R3101" s="892">
        <f>SUM(R3097:R3100)</f>
        <v>0</v>
      </c>
      <c r="S3101" s="887"/>
      <c r="T3101" s="892">
        <f>SUM(T3097:T3100)</f>
        <v>0</v>
      </c>
      <c r="U3101" s="514"/>
      <c r="V3101" s="514"/>
      <c r="W3101" s="514"/>
      <c r="X3101" s="514"/>
      <c r="Y3101" s="514"/>
      <c r="Z3101" s="514"/>
      <c r="AA3101" s="514"/>
      <c r="AB3101" s="514"/>
      <c r="AC3101" s="514"/>
      <c r="AD3101" s="514"/>
      <c r="AE3101" s="514"/>
      <c r="AF3101" s="514"/>
      <c r="AG3101" s="514"/>
      <c r="AH3101" s="514"/>
      <c r="AI3101" s="514"/>
      <c r="AJ3101" s="514"/>
      <c r="AK3101" s="514"/>
      <c r="AL3101" s="514"/>
      <c r="AM3101" s="514"/>
      <c r="AN3101" s="514"/>
      <c r="AO3101" s="514"/>
    </row>
    <row r="3102" spans="1:41" s="504" customFormat="1" ht="12" thickTop="1">
      <c r="A3102" s="50"/>
      <c r="B3102" s="40"/>
      <c r="C3102" s="50"/>
      <c r="E3102" s="41" t="s">
        <v>136</v>
      </c>
      <c r="F3102" s="41" t="s">
        <v>137</v>
      </c>
      <c r="G3102" s="50"/>
      <c r="H3102" s="50"/>
      <c r="I3102" s="50"/>
      <c r="J3102" s="50"/>
      <c r="K3102" s="50" t="s">
        <v>138</v>
      </c>
      <c r="L3102" s="50"/>
      <c r="M3102" s="50"/>
      <c r="N3102" s="50"/>
      <c r="O3102" s="51"/>
      <c r="P3102" s="50"/>
      <c r="Q3102" s="50"/>
      <c r="R3102" s="50"/>
      <c r="S3102" s="50"/>
      <c r="T3102" s="40"/>
      <c r="AG3102" s="867" t="s">
        <v>241</v>
      </c>
      <c r="AH3102" s="867" t="s">
        <v>242</v>
      </c>
      <c r="AI3102" s="867" t="s">
        <v>243</v>
      </c>
      <c r="AJ3102" s="867" t="s">
        <v>244</v>
      </c>
      <c r="AK3102" s="867" t="s">
        <v>245</v>
      </c>
      <c r="AM3102" s="868" t="s">
        <v>254</v>
      </c>
      <c r="AN3102" s="869" t="s">
        <v>255</v>
      </c>
      <c r="AO3102" s="505" t="s">
        <v>251</v>
      </c>
    </row>
    <row r="3103" spans="1:41" s="504" customFormat="1" ht="12" customHeight="1">
      <c r="A3103" s="870">
        <v>4</v>
      </c>
      <c r="B3103" s="871" t="s">
        <v>335</v>
      </c>
      <c r="C3103" s="872"/>
      <c r="D3103" s="873" t="s">
        <v>806</v>
      </c>
      <c r="E3103" s="874">
        <f ca="1">IF(AND($A3103=0,$A$1="DIF"),0, ROUND(ROUND(($R3108*$S$2+($T3108*$T$2))/A3103,2)*$C$2,2))</f>
        <v>28.98</v>
      </c>
      <c r="F3103" s="875">
        <f ca="1">ROUND($A3103*$E3103,2)</f>
        <v>115.92</v>
      </c>
      <c r="G3103" s="876" t="s">
        <v>139</v>
      </c>
      <c r="H3103" s="877"/>
      <c r="I3103" s="878"/>
      <c r="J3103" s="877"/>
      <c r="K3103" s="877" t="s">
        <v>3</v>
      </c>
      <c r="L3103" s="879" t="s">
        <v>140</v>
      </c>
      <c r="M3103" s="879"/>
      <c r="N3103" s="879"/>
      <c r="O3103" s="879"/>
      <c r="P3103" s="879"/>
      <c r="Q3103" s="50"/>
      <c r="T3103" s="880" t="str">
        <f ca="1">IF(AND($R3108=0,$T3108=0),"0.00","mu :" &amp; ROUND($F3103/$C$2/($R3108+$T3108*$D$9),2))</f>
        <v>mu :1.22</v>
      </c>
      <c r="W3103" s="507"/>
      <c r="AG3103" s="465">
        <f ca="1">IF($E3103=0,0,ROUND($R3108*$S$2*$C$2/$A3103,2))</f>
        <v>28.98</v>
      </c>
      <c r="AH3103" s="465">
        <f ca="1">$AG3103*$A3103</f>
        <v>115.92</v>
      </c>
      <c r="AI3103" s="508">
        <f ca="1">$E3103-$AG3103</f>
        <v>0</v>
      </c>
      <c r="AJ3103" s="508">
        <f ca="1">$A3103*$AI3103</f>
        <v>0</v>
      </c>
      <c r="AK3103" s="509">
        <f ca="1">ROUND(($AG3103+$AI3103)*$A3103,2)</f>
        <v>115.92</v>
      </c>
      <c r="AM3103" s="510">
        <f ca="1">ROUND(R3108,2)</f>
        <v>95</v>
      </c>
      <c r="AN3103" s="511">
        <f ca="1">ROUND(T3108,2)</f>
        <v>0</v>
      </c>
      <c r="AO3103" s="512">
        <f ca="1">ROUND(AM3103+AN3103,2)*A3103</f>
        <v>380</v>
      </c>
    </row>
    <row r="3104" spans="1:41" s="504" customFormat="1" ht="13.2">
      <c r="A3104" s="872"/>
      <c r="B3104"/>
      <c r="C3104" s="872"/>
      <c r="D3104" s="873" t="s">
        <v>348</v>
      </c>
      <c r="F3104" s="877"/>
      <c r="G3104" s="3"/>
      <c r="H3104" s="877"/>
      <c r="I3104" s="878"/>
      <c r="J3104" s="877"/>
      <c r="K3104" s="877" t="s">
        <v>141</v>
      </c>
      <c r="L3104" s="877"/>
      <c r="M3104" s="877"/>
      <c r="N3104" s="877"/>
      <c r="O3104" s="877"/>
      <c r="P3104" s="877"/>
      <c r="Q3104" s="50"/>
      <c r="R3104" s="513"/>
      <c r="S3104" s="881"/>
      <c r="T3104" s="877"/>
    </row>
    <row r="3105" spans="1:41" s="997" customFormat="1" ht="13.2">
      <c r="A3105"/>
      <c r="B3105" s="1065"/>
      <c r="C3105" s="1065" t="s">
        <v>1006</v>
      </c>
      <c r="D3105" s="1065" t="str">
        <f ca="1">CELL("Address",Elec_Rates!D$222)</f>
        <v>[EL25_0662B_Brittania_Hotel_Elec_Revised_Estim_B.xlsx]Elec_Rates!$D$222</v>
      </c>
      <c r="E3105" s="1066"/>
      <c r="F3105" s="1066"/>
      <c r="G3105" s="1067" t="s">
        <v>1007</v>
      </c>
      <c r="H3105" s="1067"/>
      <c r="I3105" s="1067"/>
      <c r="J3105" s="1067"/>
      <c r="K3105" s="1068"/>
      <c r="L3105" s="1066"/>
      <c r="M3105" s="1066"/>
      <c r="N3105" s="1066"/>
      <c r="O3105" s="1069"/>
      <c r="P3105" s="1066"/>
      <c r="Q3105" s="1070"/>
      <c r="R3105" s="1071"/>
      <c r="S3105" s="1070"/>
      <c r="T3105" s="1072"/>
      <c r="U3105" s="1073"/>
    </row>
    <row r="3106" spans="1:41" s="997" customFormat="1" ht="11.4">
      <c r="A3106" s="1074">
        <v>4</v>
      </c>
      <c r="B3106" s="1075">
        <v>1</v>
      </c>
      <c r="C3106" s="1075">
        <f>$A3106*$B3106</f>
        <v>4</v>
      </c>
      <c r="D3106" s="1076" t="str">
        <f>Elec_Rates!$D$222</f>
        <v>022# Supply Only - Type 'E1' - Single Sided, Wall Mounted, Directional Exit Signage</v>
      </c>
      <c r="E3106" s="1076"/>
      <c r="F3106" s="1076"/>
      <c r="G3106" s="1077" t="s">
        <v>1008</v>
      </c>
      <c r="H3106" s="1077"/>
      <c r="I3106" s="1077"/>
      <c r="J3106" s="1077"/>
      <c r="K3106" s="1078"/>
      <c r="L3106" s="1073"/>
      <c r="M3106" s="1073"/>
      <c r="N3106" s="1073"/>
      <c r="O3106" s="1079"/>
      <c r="P3106" s="1076"/>
      <c r="Q3106" s="1080">
        <f ca="1">$B3106*Elec_Rates!$R$222</f>
        <v>23.75</v>
      </c>
      <c r="R3106" s="1071">
        <f ca="1">$A3106*Q3106</f>
        <v>95</v>
      </c>
      <c r="S3106" s="1080">
        <f ca="1">$B3106*Elec_Rates!$T$222</f>
        <v>0</v>
      </c>
      <c r="T3106" s="1072">
        <f ca="1">$A3106*S3106</f>
        <v>0</v>
      </c>
      <c r="U3106" s="1081"/>
    </row>
    <row r="3107" spans="1:41" s="504" customFormat="1" ht="12">
      <c r="A3107" s="882"/>
      <c r="B3107" s="882"/>
      <c r="C3107" s="882"/>
      <c r="D3107" s="882"/>
      <c r="E3107" s="882"/>
      <c r="F3107" s="877"/>
      <c r="G3107" s="882"/>
      <c r="H3107" s="882"/>
      <c r="I3107" s="503"/>
      <c r="J3107" s="882"/>
      <c r="K3107" s="882"/>
      <c r="L3107" s="882"/>
      <c r="M3107" s="882"/>
      <c r="N3107" s="882"/>
      <c r="O3107" s="882"/>
      <c r="P3107" s="882"/>
      <c r="Q3107" s="503"/>
      <c r="R3107" s="883">
        <f>$A3107*Q3107</f>
        <v>0</v>
      </c>
      <c r="S3107" s="503"/>
      <c r="T3107" s="884">
        <f>$A3107*S3107*$T$1</f>
        <v>0</v>
      </c>
    </row>
    <row r="3108" spans="1:41" s="504" customFormat="1" ht="12.6" thickBot="1">
      <c r="A3108" s="885" t="s">
        <v>142</v>
      </c>
      <c r="B3108" s="886">
        <f>(R3107+T3107)</f>
        <v>0</v>
      </c>
      <c r="C3108" s="887"/>
      <c r="D3108" s="887"/>
      <c r="E3108" s="887"/>
      <c r="F3108" s="888"/>
      <c r="G3108" s="887" t="s">
        <v>143</v>
      </c>
      <c r="H3108" s="887"/>
      <c r="I3108" s="889"/>
      <c r="J3108" s="887"/>
      <c r="K3108" s="887" t="s">
        <v>3</v>
      </c>
      <c r="L3108" s="890" t="s">
        <v>140</v>
      </c>
      <c r="M3108" s="890"/>
      <c r="N3108" s="890"/>
      <c r="O3108" s="890"/>
      <c r="P3108" s="890"/>
      <c r="Q3108" s="891"/>
      <c r="R3108" s="892">
        <f ca="1">SUM(R3104:R3107)</f>
        <v>95</v>
      </c>
      <c r="S3108" s="887"/>
      <c r="T3108" s="892">
        <f ca="1">SUM(T3104:T3107)</f>
        <v>0</v>
      </c>
      <c r="U3108" s="514"/>
      <c r="V3108" s="514"/>
      <c r="W3108" s="514"/>
      <c r="X3108" s="514"/>
      <c r="Y3108" s="514"/>
      <c r="Z3108" s="514"/>
      <c r="AA3108" s="514"/>
      <c r="AB3108" s="514"/>
      <c r="AC3108" s="514"/>
      <c r="AD3108" s="514"/>
      <c r="AE3108" s="514"/>
      <c r="AF3108" s="514"/>
      <c r="AG3108" s="514"/>
      <c r="AH3108" s="514"/>
      <c r="AI3108" s="514"/>
      <c r="AJ3108" s="514"/>
      <c r="AK3108" s="514"/>
      <c r="AL3108" s="514"/>
      <c r="AM3108" s="514"/>
      <c r="AN3108" s="514"/>
      <c r="AO3108" s="514"/>
    </row>
    <row r="3109" spans="1:41" s="504" customFormat="1" thickTop="1">
      <c r="A3109" s="50"/>
      <c r="B3109" s="50"/>
      <c r="C3109" s="3"/>
      <c r="D3109" s="3"/>
      <c r="E3109" s="50"/>
      <c r="F3109" s="50"/>
      <c r="G3109" s="50"/>
      <c r="H3109" s="50"/>
      <c r="I3109" s="50"/>
      <c r="J3109" s="50"/>
      <c r="K3109" s="50" t="s">
        <v>133</v>
      </c>
      <c r="L3109" s="50"/>
      <c r="M3109" s="50"/>
      <c r="N3109" s="50"/>
      <c r="O3109" s="51"/>
      <c r="P3109" s="50"/>
      <c r="Q3109" s="50"/>
      <c r="R3109" s="50"/>
      <c r="S3109" s="50"/>
      <c r="T3109" s="50"/>
    </row>
    <row r="3110" spans="1:41" s="504" customFormat="1" ht="12">
      <c r="A3110" s="50"/>
      <c r="B3110" s="50"/>
      <c r="C3110" s="50" t="s">
        <v>134</v>
      </c>
      <c r="D3110" s="37" t="s">
        <v>890</v>
      </c>
      <c r="E3110" s="50"/>
      <c r="F3110" s="50"/>
      <c r="G3110" s="50"/>
      <c r="H3110" s="50"/>
      <c r="I3110" s="50"/>
      <c r="J3110" s="50"/>
      <c r="K3110" s="50"/>
      <c r="L3110" s="50"/>
      <c r="M3110" s="50"/>
      <c r="N3110" s="50"/>
      <c r="O3110" s="51"/>
      <c r="P3110" s="50"/>
      <c r="Q3110" s="50"/>
      <c r="R3110" s="50"/>
      <c r="S3110" s="50"/>
      <c r="T3110" s="50"/>
    </row>
    <row r="3111" spans="1:41" s="504" customFormat="1" ht="13.2">
      <c r="A3111" s="872"/>
      <c r="B3111"/>
      <c r="C3111" s="872"/>
      <c r="D3111" s="916" t="s">
        <v>351</v>
      </c>
      <c r="E3111" s="917"/>
      <c r="F3111" s="918"/>
      <c r="G3111" s="919"/>
      <c r="H3111" s="918"/>
      <c r="I3111" s="920"/>
      <c r="J3111" s="918"/>
      <c r="K3111" s="918"/>
      <c r="L3111" s="918"/>
      <c r="M3111" s="918"/>
      <c r="N3111" s="918"/>
      <c r="O3111" s="918"/>
      <c r="P3111" s="918"/>
      <c r="Q3111" s="921"/>
      <c r="R3111" s="513"/>
      <c r="S3111" s="881"/>
      <c r="T3111" s="877"/>
    </row>
    <row r="3112" spans="1:41" s="3" customFormat="1" thickBot="1">
      <c r="A3112" s="514"/>
      <c r="O3112" s="103"/>
    </row>
    <row r="3113" spans="1:41" s="504" customFormat="1" ht="12" thickTop="1">
      <c r="A3113" s="50"/>
      <c r="B3113" s="40"/>
      <c r="C3113" s="50"/>
      <c r="E3113" s="41" t="s">
        <v>136</v>
      </c>
      <c r="F3113" s="41" t="s">
        <v>137</v>
      </c>
      <c r="G3113" s="50"/>
      <c r="H3113" s="50"/>
      <c r="I3113" s="50"/>
      <c r="J3113" s="50"/>
      <c r="K3113" s="50" t="s">
        <v>138</v>
      </c>
      <c r="L3113" s="50"/>
      <c r="M3113" s="50"/>
      <c r="N3113" s="50"/>
      <c r="O3113" s="51"/>
      <c r="P3113" s="50"/>
      <c r="Q3113" s="50"/>
      <c r="R3113" s="50"/>
      <c r="S3113" s="50"/>
      <c r="T3113" s="40"/>
      <c r="AG3113" s="867" t="s">
        <v>241</v>
      </c>
      <c r="AH3113" s="867" t="s">
        <v>242</v>
      </c>
      <c r="AI3113" s="867" t="s">
        <v>243</v>
      </c>
      <c r="AJ3113" s="867" t="s">
        <v>244</v>
      </c>
      <c r="AK3113" s="867" t="s">
        <v>245</v>
      </c>
      <c r="AM3113" s="868" t="s">
        <v>254</v>
      </c>
      <c r="AN3113" s="869" t="s">
        <v>255</v>
      </c>
      <c r="AO3113" s="505" t="s">
        <v>251</v>
      </c>
    </row>
    <row r="3114" spans="1:41" s="504" customFormat="1" ht="12" customHeight="1">
      <c r="A3114" s="870">
        <v>30</v>
      </c>
      <c r="B3114" s="871" t="s">
        <v>335</v>
      </c>
      <c r="C3114" s="872"/>
      <c r="D3114" s="873" t="s">
        <v>804</v>
      </c>
      <c r="E3114" s="874">
        <f ca="1">IF(AND($A3114=0,$A$1="DIF"),0, ROUND(ROUND(($R3119*$S$2+($T3119*$T$2))/A3114,2)*$C$2,2))</f>
        <v>14.36</v>
      </c>
      <c r="F3114" s="875">
        <f ca="1">ROUND($A3114*$E3114,2)</f>
        <v>430.8</v>
      </c>
      <c r="G3114" s="876" t="s">
        <v>139</v>
      </c>
      <c r="H3114" s="877"/>
      <c r="I3114" s="878"/>
      <c r="J3114" s="877"/>
      <c r="K3114" s="877" t="s">
        <v>3</v>
      </c>
      <c r="L3114" s="879" t="s">
        <v>140</v>
      </c>
      <c r="M3114" s="879"/>
      <c r="N3114" s="879"/>
      <c r="O3114" s="879"/>
      <c r="P3114" s="879"/>
      <c r="Q3114" s="50"/>
      <c r="T3114" s="880" t="str">
        <f ca="1">IF(AND($R3119=0,$T3119=0),"0.00","mu :" &amp; ROUND($F3114/$C$2/($R3119+$T3119*$D$9),2))</f>
        <v>mu :1.22</v>
      </c>
      <c r="W3114" s="507"/>
      <c r="AG3114" s="465">
        <f ca="1">IF($E3114=0,0,ROUND($R3119*$S$2*$C$2/$A3114,2))</f>
        <v>1.34</v>
      </c>
      <c r="AH3114" s="465">
        <f ca="1">$AG3114*$A3114</f>
        <v>40.200000000000003</v>
      </c>
      <c r="AI3114" s="508">
        <f ca="1">$E3114-$AG3114</f>
        <v>13.02</v>
      </c>
      <c r="AJ3114" s="508">
        <f ca="1">$A3114*$AI3114</f>
        <v>390.59999999999997</v>
      </c>
      <c r="AK3114" s="509">
        <f ca="1">ROUND(($AG3114+$AI3114)*$A3114,2)</f>
        <v>430.8</v>
      </c>
      <c r="AM3114" s="510">
        <f ca="1">ROUND(R3119,2)</f>
        <v>33</v>
      </c>
      <c r="AN3114" s="511">
        <f ca="1">ROUND(T3119,2)</f>
        <v>11.1</v>
      </c>
      <c r="AO3114" s="512">
        <f ca="1">ROUND(AM3114+AN3114,2)*A3114</f>
        <v>1323</v>
      </c>
    </row>
    <row r="3115" spans="1:41" s="504" customFormat="1" ht="13.2">
      <c r="A3115" s="872"/>
      <c r="B3115"/>
      <c r="C3115" s="872"/>
      <c r="D3115" s="873" t="s">
        <v>413</v>
      </c>
      <c r="F3115" s="877"/>
      <c r="G3115" s="3"/>
      <c r="H3115" s="877"/>
      <c r="I3115" s="878"/>
      <c r="J3115" s="877"/>
      <c r="K3115" s="877" t="s">
        <v>141</v>
      </c>
      <c r="L3115" s="877"/>
      <c r="M3115" s="877"/>
      <c r="N3115" s="877"/>
      <c r="O3115" s="877"/>
      <c r="P3115" s="877"/>
      <c r="Q3115" s="50"/>
      <c r="R3115" s="513"/>
      <c r="S3115" s="881"/>
      <c r="T3115" s="877"/>
    </row>
    <row r="3116" spans="1:41" s="997" customFormat="1" ht="13.2">
      <c r="A3116"/>
      <c r="B3116" s="1065"/>
      <c r="C3116" s="1065" t="s">
        <v>1006</v>
      </c>
      <c r="D3116" s="1065" t="str">
        <f ca="1">CELL("Address",Elec_Rates!D$369)</f>
        <v>[EL25_0662B_Brittania_Hotel_Elec_Revised_Estim_B.xlsx]Elec_Rates!$D$369</v>
      </c>
      <c r="E3116" s="1066"/>
      <c r="F3116" s="1066"/>
      <c r="G3116" s="1067" t="s">
        <v>1007</v>
      </c>
      <c r="H3116" s="1067"/>
      <c r="I3116" s="1067"/>
      <c r="J3116" s="1067"/>
      <c r="K3116" s="1068"/>
      <c r="L3116" s="1066"/>
      <c r="M3116" s="1066"/>
      <c r="N3116" s="1066"/>
      <c r="O3116" s="1069"/>
      <c r="P3116" s="1066"/>
      <c r="Q3116" s="1070"/>
      <c r="R3116" s="1071"/>
      <c r="S3116" s="1070"/>
      <c r="T3116" s="1072"/>
      <c r="U3116" s="1073"/>
    </row>
    <row r="3117" spans="1:41" s="997" customFormat="1" ht="11.4">
      <c r="A3117" s="1074">
        <v>30</v>
      </c>
      <c r="B3117" s="1075">
        <v>1</v>
      </c>
      <c r="C3117" s="1075">
        <f>$A3117*$B3117</f>
        <v>30</v>
      </c>
      <c r="D3117" s="1076" t="str">
        <f>Elec_Rates!$D$369</f>
        <v>042# Install and connect Only - Type 'LT-01' - 11W Soffit Recessed Light Fitting</v>
      </c>
      <c r="E3117" s="1076"/>
      <c r="F3117" s="1076"/>
      <c r="G3117" s="1077" t="s">
        <v>1008</v>
      </c>
      <c r="H3117" s="1077"/>
      <c r="I3117" s="1077"/>
      <c r="J3117" s="1077"/>
      <c r="K3117" s="1078"/>
      <c r="L3117" s="1073"/>
      <c r="M3117" s="1073"/>
      <c r="N3117" s="1073"/>
      <c r="O3117" s="1079"/>
      <c r="P3117" s="1076"/>
      <c r="Q3117" s="1080">
        <f ca="1">$B3117*Elec_Rates!$R$369</f>
        <v>1.1000000000000001</v>
      </c>
      <c r="R3117" s="1071">
        <f ca="1">$A3117*Q3117</f>
        <v>33</v>
      </c>
      <c r="S3117" s="1080">
        <f ca="1">$B3117*Elec_Rates!$T$369</f>
        <v>0.37</v>
      </c>
      <c r="T3117" s="1072">
        <f ca="1">$A3117*S3117</f>
        <v>11.1</v>
      </c>
      <c r="U3117" s="1081"/>
    </row>
    <row r="3118" spans="1:41" s="504" customFormat="1" ht="12">
      <c r="A3118" s="882"/>
      <c r="B3118" s="882"/>
      <c r="C3118" s="882"/>
      <c r="D3118" s="882"/>
      <c r="E3118" s="882"/>
      <c r="F3118" s="877"/>
      <c r="G3118" s="882"/>
      <c r="H3118" s="882"/>
      <c r="I3118" s="503"/>
      <c r="J3118" s="882"/>
      <c r="K3118" s="882"/>
      <c r="L3118" s="882"/>
      <c r="M3118" s="882"/>
      <c r="N3118" s="882"/>
      <c r="O3118" s="882"/>
      <c r="P3118" s="882"/>
      <c r="Q3118" s="503"/>
      <c r="R3118" s="883">
        <f>$A3118*Q3118</f>
        <v>0</v>
      </c>
      <c r="S3118" s="503"/>
      <c r="T3118" s="884">
        <f>$A3118*S3118*$T$1</f>
        <v>0</v>
      </c>
    </row>
    <row r="3119" spans="1:41" s="504" customFormat="1" ht="12.6" thickBot="1">
      <c r="A3119" s="885" t="s">
        <v>142</v>
      </c>
      <c r="B3119" s="886">
        <f>(R3118+T3118)</f>
        <v>0</v>
      </c>
      <c r="C3119" s="887"/>
      <c r="D3119" s="887"/>
      <c r="E3119" s="887"/>
      <c r="F3119" s="888"/>
      <c r="G3119" s="887" t="s">
        <v>143</v>
      </c>
      <c r="H3119" s="887"/>
      <c r="I3119" s="889"/>
      <c r="J3119" s="887"/>
      <c r="K3119" s="887" t="s">
        <v>3</v>
      </c>
      <c r="L3119" s="890" t="s">
        <v>140</v>
      </c>
      <c r="M3119" s="890"/>
      <c r="N3119" s="890"/>
      <c r="O3119" s="890"/>
      <c r="P3119" s="890"/>
      <c r="Q3119" s="891"/>
      <c r="R3119" s="892">
        <f ca="1">SUM(R3115:R3118)</f>
        <v>33</v>
      </c>
      <c r="S3119" s="887"/>
      <c r="T3119" s="892">
        <f ca="1">SUM(T3115:T3118)</f>
        <v>11.1</v>
      </c>
      <c r="U3119" s="514"/>
      <c r="V3119" s="514"/>
      <c r="W3119" s="514"/>
      <c r="X3119" s="514"/>
      <c r="Y3119" s="514"/>
      <c r="Z3119" s="514"/>
      <c r="AA3119" s="514"/>
      <c r="AB3119" s="514"/>
      <c r="AC3119" s="514"/>
      <c r="AD3119" s="514"/>
      <c r="AE3119" s="514"/>
      <c r="AF3119" s="514"/>
      <c r="AG3119" s="514"/>
      <c r="AH3119" s="514"/>
      <c r="AI3119" s="514"/>
      <c r="AJ3119" s="514"/>
      <c r="AK3119" s="514"/>
      <c r="AL3119" s="514"/>
      <c r="AM3119" s="514"/>
      <c r="AN3119" s="514"/>
      <c r="AO3119" s="514"/>
    </row>
    <row r="3120" spans="1:41" s="504" customFormat="1" ht="12" thickTop="1">
      <c r="A3120" s="50"/>
      <c r="B3120" s="40"/>
      <c r="C3120" s="50"/>
      <c r="E3120" s="41" t="s">
        <v>136</v>
      </c>
      <c r="F3120" s="41" t="s">
        <v>137</v>
      </c>
      <c r="G3120" s="50"/>
      <c r="H3120" s="50"/>
      <c r="I3120" s="50"/>
      <c r="J3120" s="50"/>
      <c r="K3120" s="50" t="s">
        <v>138</v>
      </c>
      <c r="L3120" s="50"/>
      <c r="M3120" s="50"/>
      <c r="N3120" s="50"/>
      <c r="O3120" s="51"/>
      <c r="P3120" s="50"/>
      <c r="Q3120" s="50"/>
      <c r="R3120" s="50"/>
      <c r="S3120" s="50"/>
      <c r="T3120" s="40"/>
      <c r="AG3120" s="867" t="s">
        <v>241</v>
      </c>
      <c r="AH3120" s="867" t="s">
        <v>242</v>
      </c>
      <c r="AI3120" s="867" t="s">
        <v>243</v>
      </c>
      <c r="AJ3120" s="867" t="s">
        <v>244</v>
      </c>
      <c r="AK3120" s="867" t="s">
        <v>245</v>
      </c>
      <c r="AM3120" s="868" t="s">
        <v>254</v>
      </c>
      <c r="AN3120" s="869" t="s">
        <v>255</v>
      </c>
      <c r="AO3120" s="505" t="s">
        <v>251</v>
      </c>
    </row>
    <row r="3121" spans="1:41" s="504" customFormat="1" ht="12" customHeight="1">
      <c r="A3121" s="870">
        <v>11</v>
      </c>
      <c r="B3121" s="871" t="s">
        <v>335</v>
      </c>
      <c r="C3121" s="872"/>
      <c r="D3121" s="873" t="s">
        <v>806</v>
      </c>
      <c r="E3121" s="874">
        <f ca="1">IF(AND($A3121=0,$A$1="DIF"),0, ROUND(ROUND(($R3126*$S$2+($T3126*$T$2))/A3121,2)*$C$2,2))</f>
        <v>14.36</v>
      </c>
      <c r="F3121" s="875">
        <f ca="1">ROUND($A3121*$E3121,2)</f>
        <v>157.96</v>
      </c>
      <c r="G3121" s="876" t="s">
        <v>139</v>
      </c>
      <c r="H3121" s="877"/>
      <c r="I3121" s="878"/>
      <c r="J3121" s="877"/>
      <c r="K3121" s="877" t="s">
        <v>3</v>
      </c>
      <c r="L3121" s="879" t="s">
        <v>140</v>
      </c>
      <c r="M3121" s="879"/>
      <c r="N3121" s="879"/>
      <c r="O3121" s="879"/>
      <c r="P3121" s="879"/>
      <c r="Q3121" s="50"/>
      <c r="T3121" s="880" t="str">
        <f ca="1">IF(AND($R3126=0,$T3126=0),"0.00","mu :" &amp; ROUND($F3121/$C$2/($R3126+$T3126*$D$9),2))</f>
        <v>mu :1.22</v>
      </c>
      <c r="W3121" s="507"/>
      <c r="AG3121" s="465">
        <f ca="1">IF($E3121=0,0,ROUND($R3126*$S$2*$C$2/$A3121,2))</f>
        <v>1.34</v>
      </c>
      <c r="AH3121" s="465">
        <f ca="1">$AG3121*$A3121</f>
        <v>14.74</v>
      </c>
      <c r="AI3121" s="508">
        <f ca="1">$E3121-$AG3121</f>
        <v>13.02</v>
      </c>
      <c r="AJ3121" s="508">
        <f ca="1">$A3121*$AI3121</f>
        <v>143.22</v>
      </c>
      <c r="AK3121" s="509">
        <f ca="1">ROUND(($AG3121+$AI3121)*$A3121,2)</f>
        <v>157.96</v>
      </c>
      <c r="AM3121" s="510">
        <f ca="1">ROUND(R3126,2)</f>
        <v>12.1</v>
      </c>
      <c r="AN3121" s="511">
        <f ca="1">ROUND(T3126,2)</f>
        <v>4.07</v>
      </c>
      <c r="AO3121" s="512">
        <f ca="1">ROUND(AM3121+AN3121,2)*A3121</f>
        <v>177.87</v>
      </c>
    </row>
    <row r="3122" spans="1:41" s="504" customFormat="1" ht="13.2">
      <c r="A3122" s="872"/>
      <c r="B3122"/>
      <c r="C3122" s="872"/>
      <c r="D3122" s="873" t="s">
        <v>414</v>
      </c>
      <c r="F3122" s="877"/>
      <c r="G3122" s="3"/>
      <c r="H3122" s="877"/>
      <c r="I3122" s="878"/>
      <c r="J3122" s="877"/>
      <c r="K3122" s="877" t="s">
        <v>141</v>
      </c>
      <c r="L3122" s="877"/>
      <c r="M3122" s="877"/>
      <c r="N3122" s="877"/>
      <c r="O3122" s="877"/>
      <c r="P3122" s="877"/>
      <c r="Q3122" s="50"/>
      <c r="R3122" s="513"/>
      <c r="S3122" s="881"/>
      <c r="T3122" s="877"/>
    </row>
    <row r="3123" spans="1:41" s="997" customFormat="1" ht="13.2">
      <c r="A3123"/>
      <c r="B3123" s="1065"/>
      <c r="C3123" s="1065" t="s">
        <v>1006</v>
      </c>
      <c r="D3123" s="1065" t="str">
        <f ca="1">CELL("Address",Elec_Rates!D$376)</f>
        <v>[EL25_0662B_Brittania_Hotel_Elec_Revised_Estim_B.xlsx]Elec_Rates!$D$376</v>
      </c>
      <c r="E3123" s="1066"/>
      <c r="F3123" s="1066"/>
      <c r="G3123" s="1067" t="s">
        <v>1007</v>
      </c>
      <c r="H3123" s="1067"/>
      <c r="I3123" s="1067"/>
      <c r="J3123" s="1067"/>
      <c r="K3123" s="1068"/>
      <c r="L3123" s="1066"/>
      <c r="M3123" s="1066"/>
      <c r="N3123" s="1066"/>
      <c r="O3123" s="1069"/>
      <c r="P3123" s="1066"/>
      <c r="Q3123" s="1070"/>
      <c r="R3123" s="1071"/>
      <c r="S3123" s="1070"/>
      <c r="T3123" s="1072"/>
      <c r="U3123" s="1073"/>
    </row>
    <row r="3124" spans="1:41" s="997" customFormat="1" ht="11.4">
      <c r="A3124" s="1074">
        <v>11</v>
      </c>
      <c r="B3124" s="1075">
        <v>1</v>
      </c>
      <c r="C3124" s="1075">
        <f>$A3124*$B3124</f>
        <v>11</v>
      </c>
      <c r="D3124" s="1076" t="str">
        <f>Elec_Rates!$D$376</f>
        <v>043# Install and connect Only - Type 'LT-02' - 11W Soffit Recessed Light Fitting</v>
      </c>
      <c r="E3124" s="1076"/>
      <c r="F3124" s="1076"/>
      <c r="G3124" s="1077" t="s">
        <v>1008</v>
      </c>
      <c r="H3124" s="1077"/>
      <c r="I3124" s="1077"/>
      <c r="J3124" s="1077"/>
      <c r="K3124" s="1078"/>
      <c r="L3124" s="1073"/>
      <c r="M3124" s="1073"/>
      <c r="N3124" s="1073"/>
      <c r="O3124" s="1079"/>
      <c r="P3124" s="1076"/>
      <c r="Q3124" s="1080">
        <f ca="1">$B3124*Elec_Rates!$R$376</f>
        <v>1.1000000000000001</v>
      </c>
      <c r="R3124" s="1071">
        <f ca="1">$A3124*Q3124</f>
        <v>12.100000000000001</v>
      </c>
      <c r="S3124" s="1080">
        <f ca="1">$B3124*Elec_Rates!$T$376</f>
        <v>0.37</v>
      </c>
      <c r="T3124" s="1072">
        <f ca="1">$A3124*S3124</f>
        <v>4.07</v>
      </c>
      <c r="U3124" s="1081"/>
    </row>
    <row r="3125" spans="1:41" s="504" customFormat="1" ht="12">
      <c r="A3125" s="882"/>
      <c r="B3125" s="882"/>
      <c r="C3125" s="882"/>
      <c r="D3125" s="882"/>
      <c r="E3125" s="882"/>
      <c r="F3125" s="877"/>
      <c r="G3125" s="882"/>
      <c r="H3125" s="882"/>
      <c r="I3125" s="503"/>
      <c r="J3125" s="882"/>
      <c r="K3125" s="882"/>
      <c r="L3125" s="882"/>
      <c r="M3125" s="882"/>
      <c r="N3125" s="882"/>
      <c r="O3125" s="882"/>
      <c r="P3125" s="882"/>
      <c r="Q3125" s="503"/>
      <c r="R3125" s="883">
        <f>$A3125*Q3125</f>
        <v>0</v>
      </c>
      <c r="S3125" s="503"/>
      <c r="T3125" s="884">
        <f>$A3125*S3125*$T$1</f>
        <v>0</v>
      </c>
    </row>
    <row r="3126" spans="1:41" s="504" customFormat="1" ht="12.6" thickBot="1">
      <c r="A3126" s="885" t="s">
        <v>142</v>
      </c>
      <c r="B3126" s="886">
        <f>(R3125+T3125)</f>
        <v>0</v>
      </c>
      <c r="C3126" s="887"/>
      <c r="D3126" s="887"/>
      <c r="E3126" s="887"/>
      <c r="F3126" s="888"/>
      <c r="G3126" s="887" t="s">
        <v>143</v>
      </c>
      <c r="H3126" s="887"/>
      <c r="I3126" s="889"/>
      <c r="J3126" s="887"/>
      <c r="K3126" s="887" t="s">
        <v>3</v>
      </c>
      <c r="L3126" s="890" t="s">
        <v>140</v>
      </c>
      <c r="M3126" s="890"/>
      <c r="N3126" s="890"/>
      <c r="O3126" s="890"/>
      <c r="P3126" s="890"/>
      <c r="Q3126" s="891"/>
      <c r="R3126" s="892">
        <f ca="1">SUM(R3122:R3125)</f>
        <v>12.100000000000001</v>
      </c>
      <c r="S3126" s="887"/>
      <c r="T3126" s="892">
        <f ca="1">SUM(T3122:T3125)</f>
        <v>4.07</v>
      </c>
      <c r="U3126" s="514"/>
      <c r="V3126" s="514"/>
      <c r="W3126" s="514"/>
      <c r="X3126" s="514"/>
      <c r="Y3126" s="514"/>
      <c r="Z3126" s="514"/>
      <c r="AA3126" s="514"/>
      <c r="AB3126" s="514"/>
      <c r="AC3126" s="514"/>
      <c r="AD3126" s="514"/>
      <c r="AE3126" s="514"/>
      <c r="AF3126" s="514"/>
      <c r="AG3126" s="514"/>
      <c r="AH3126" s="514"/>
      <c r="AI3126" s="514"/>
      <c r="AJ3126" s="514"/>
      <c r="AK3126" s="514"/>
      <c r="AL3126" s="514"/>
      <c r="AM3126" s="514"/>
      <c r="AN3126" s="514"/>
      <c r="AO3126" s="514"/>
    </row>
    <row r="3127" spans="1:41" s="504" customFormat="1" ht="12" thickTop="1">
      <c r="A3127" s="50"/>
      <c r="B3127" s="40"/>
      <c r="C3127" s="50"/>
      <c r="E3127" s="41" t="s">
        <v>136</v>
      </c>
      <c r="F3127" s="41" t="s">
        <v>137</v>
      </c>
      <c r="G3127" s="50"/>
      <c r="H3127" s="50"/>
      <c r="I3127" s="50"/>
      <c r="J3127" s="50"/>
      <c r="K3127" s="50" t="s">
        <v>138</v>
      </c>
      <c r="L3127" s="50"/>
      <c r="M3127" s="50"/>
      <c r="N3127" s="50"/>
      <c r="O3127" s="51"/>
      <c r="P3127" s="50"/>
      <c r="Q3127" s="50"/>
      <c r="R3127" s="50"/>
      <c r="S3127" s="50"/>
      <c r="T3127" s="40"/>
      <c r="AG3127" s="867" t="s">
        <v>241</v>
      </c>
      <c r="AH3127" s="867" t="s">
        <v>242</v>
      </c>
      <c r="AI3127" s="867" t="s">
        <v>243</v>
      </c>
      <c r="AJ3127" s="867" t="s">
        <v>244</v>
      </c>
      <c r="AK3127" s="867" t="s">
        <v>245</v>
      </c>
      <c r="AM3127" s="868" t="s">
        <v>254</v>
      </c>
      <c r="AN3127" s="869" t="s">
        <v>255</v>
      </c>
      <c r="AO3127" s="505" t="s">
        <v>251</v>
      </c>
    </row>
    <row r="3128" spans="1:41" s="504" customFormat="1" ht="12" customHeight="1">
      <c r="A3128" s="870">
        <v>1</v>
      </c>
      <c r="B3128" s="871" t="s">
        <v>335</v>
      </c>
      <c r="C3128" s="872"/>
      <c r="D3128" s="873" t="s">
        <v>808</v>
      </c>
      <c r="E3128" s="874">
        <f ca="1">IF(AND($A3128=0,$A$1="DIF"),0, ROUND(ROUND(($R3133*$S$2+($T3133*$T$2))/A3128,2)*$C$2,2))</f>
        <v>9.15</v>
      </c>
      <c r="F3128" s="875">
        <f ca="1">ROUND($A3128*$E3128,2)</f>
        <v>9.15</v>
      </c>
      <c r="G3128" s="876" t="s">
        <v>139</v>
      </c>
      <c r="H3128" s="877"/>
      <c r="I3128" s="878"/>
      <c r="J3128" s="877"/>
      <c r="K3128" s="877" t="s">
        <v>3</v>
      </c>
      <c r="L3128" s="879" t="s">
        <v>140</v>
      </c>
      <c r="M3128" s="879"/>
      <c r="N3128" s="879"/>
      <c r="O3128" s="879"/>
      <c r="P3128" s="879"/>
      <c r="Q3128" s="50"/>
      <c r="T3128" s="880" t="str">
        <f ca="1">IF(AND($R3133=0,$T3133=0),"0.00","mu :" &amp; ROUND($F3128/$C$2/($R3133+$T3133*$D$9),2))</f>
        <v>mu :1.22</v>
      </c>
      <c r="W3128" s="507"/>
      <c r="AG3128" s="465">
        <f ca="1">IF($E3128=0,0,ROUND($R3133*$S$2*$C$2/$A3128,2))</f>
        <v>0</v>
      </c>
      <c r="AH3128" s="465">
        <f ca="1">$AG3128*$A3128</f>
        <v>0</v>
      </c>
      <c r="AI3128" s="508">
        <f ca="1">$E3128-$AG3128</f>
        <v>9.15</v>
      </c>
      <c r="AJ3128" s="508">
        <f ca="1">$A3128*$AI3128</f>
        <v>9.15</v>
      </c>
      <c r="AK3128" s="509">
        <f ca="1">ROUND(($AG3128+$AI3128)*$A3128,2)</f>
        <v>9.15</v>
      </c>
      <c r="AM3128" s="510">
        <f ca="1">ROUND(R3133,2)</f>
        <v>0</v>
      </c>
      <c r="AN3128" s="511">
        <f ca="1">ROUND(T3133,2)</f>
        <v>0.26</v>
      </c>
      <c r="AO3128" s="512">
        <f ca="1">ROUND(AM3128+AN3128,2)*A3128</f>
        <v>0.26</v>
      </c>
    </row>
    <row r="3129" spans="1:41" s="504" customFormat="1" ht="13.2">
      <c r="A3129" s="872"/>
      <c r="B3129"/>
      <c r="C3129" s="872"/>
      <c r="D3129" s="873" t="s">
        <v>418</v>
      </c>
      <c r="F3129" s="877"/>
      <c r="G3129" s="3"/>
      <c r="H3129" s="877"/>
      <c r="I3129" s="878"/>
      <c r="J3129" s="877"/>
      <c r="K3129" s="877" t="s">
        <v>141</v>
      </c>
      <c r="L3129" s="877"/>
      <c r="M3129" s="877"/>
      <c r="N3129" s="877"/>
      <c r="O3129" s="877"/>
      <c r="P3129" s="877"/>
      <c r="Q3129" s="50"/>
      <c r="R3129" s="513"/>
      <c r="S3129" s="881"/>
      <c r="T3129" s="877"/>
    </row>
    <row r="3130" spans="1:41" s="997" customFormat="1" ht="13.2">
      <c r="A3130"/>
      <c r="B3130" s="1065"/>
      <c r="C3130" s="1065" t="s">
        <v>1006</v>
      </c>
      <c r="D3130" s="1065" t="str">
        <f ca="1">CELL("Address",Elec_Rates!D$423)</f>
        <v>[EL25_0662B_Brittania_Hotel_Elec_Revised_Estim_B.xlsx]Elec_Rates!$D$423</v>
      </c>
      <c r="E3130" s="1066"/>
      <c r="F3130" s="1066"/>
      <c r="G3130" s="1067" t="s">
        <v>1007</v>
      </c>
      <c r="H3130" s="1067"/>
      <c r="I3130" s="1067"/>
      <c r="J3130" s="1067"/>
      <c r="K3130" s="1068"/>
      <c r="L3130" s="1066"/>
      <c r="M3130" s="1066"/>
      <c r="N3130" s="1066"/>
      <c r="O3130" s="1069"/>
      <c r="P3130" s="1066"/>
      <c r="Q3130" s="1070"/>
      <c r="R3130" s="1071"/>
      <c r="S3130" s="1070"/>
      <c r="T3130" s="1072"/>
      <c r="U3130" s="1073"/>
    </row>
    <row r="3131" spans="1:41" s="997" customFormat="1" ht="11.4">
      <c r="A3131" s="1074">
        <v>1</v>
      </c>
      <c r="B3131" s="1075">
        <v>1</v>
      </c>
      <c r="C3131" s="1075">
        <f>$A3131*$B3131</f>
        <v>1</v>
      </c>
      <c r="D3131" s="1076" t="str">
        <f>Elec_Rates!$D$423</f>
        <v>049# Install and connect Only - Type 'LT-08' - Mini Soffit Recessed Downlighter</v>
      </c>
      <c r="E3131" s="1076"/>
      <c r="F3131" s="1076"/>
      <c r="G3131" s="1077" t="s">
        <v>1008</v>
      </c>
      <c r="H3131" s="1077"/>
      <c r="I3131" s="1077"/>
      <c r="J3131" s="1077"/>
      <c r="K3131" s="1078"/>
      <c r="L3131" s="1073"/>
      <c r="M3131" s="1073"/>
      <c r="N3131" s="1073"/>
      <c r="O3131" s="1079"/>
      <c r="P3131" s="1076"/>
      <c r="Q3131" s="1080">
        <f ca="1">$B3131*Elec_Rates!$R$423</f>
        <v>0</v>
      </c>
      <c r="R3131" s="1071">
        <f ca="1">$A3131*Q3131</f>
        <v>0</v>
      </c>
      <c r="S3131" s="1080">
        <f ca="1">$B3131*Elec_Rates!$T$423</f>
        <v>0.26</v>
      </c>
      <c r="T3131" s="1072">
        <f ca="1">$A3131*S3131</f>
        <v>0.26</v>
      </c>
      <c r="U3131" s="1081"/>
    </row>
    <row r="3132" spans="1:41" s="504" customFormat="1" ht="12">
      <c r="A3132" s="882"/>
      <c r="B3132" s="882"/>
      <c r="C3132" s="882"/>
      <c r="D3132" s="882"/>
      <c r="E3132" s="882"/>
      <c r="F3132" s="877"/>
      <c r="G3132" s="882"/>
      <c r="H3132" s="882"/>
      <c r="I3132" s="503"/>
      <c r="J3132" s="882"/>
      <c r="K3132" s="882"/>
      <c r="L3132" s="882"/>
      <c r="M3132" s="882"/>
      <c r="N3132" s="882"/>
      <c r="O3132" s="882"/>
      <c r="P3132" s="882"/>
      <c r="Q3132" s="503"/>
      <c r="R3132" s="883">
        <f>$A3132*Q3132</f>
        <v>0</v>
      </c>
      <c r="S3132" s="503"/>
      <c r="T3132" s="884">
        <f>$A3132*S3132*$T$1</f>
        <v>0</v>
      </c>
    </row>
    <row r="3133" spans="1:41" s="504" customFormat="1" ht="12.6" thickBot="1">
      <c r="A3133" s="885" t="s">
        <v>142</v>
      </c>
      <c r="B3133" s="886">
        <f>(R3132+T3132)</f>
        <v>0</v>
      </c>
      <c r="C3133" s="887"/>
      <c r="D3133" s="887"/>
      <c r="E3133" s="887"/>
      <c r="F3133" s="888"/>
      <c r="G3133" s="887" t="s">
        <v>143</v>
      </c>
      <c r="H3133" s="887"/>
      <c r="I3133" s="889"/>
      <c r="J3133" s="887"/>
      <c r="K3133" s="887" t="s">
        <v>3</v>
      </c>
      <c r="L3133" s="890" t="s">
        <v>140</v>
      </c>
      <c r="M3133" s="890"/>
      <c r="N3133" s="890"/>
      <c r="O3133" s="890"/>
      <c r="P3133" s="890"/>
      <c r="Q3133" s="891"/>
      <c r="R3133" s="892">
        <f ca="1">SUM(R3129:R3132)</f>
        <v>0</v>
      </c>
      <c r="S3133" s="887"/>
      <c r="T3133" s="892">
        <f ca="1">SUM(T3129:T3132)</f>
        <v>0.26</v>
      </c>
      <c r="U3133" s="514"/>
      <c r="V3133" s="514"/>
      <c r="W3133" s="514"/>
      <c r="X3133" s="514"/>
      <c r="Y3133" s="514"/>
      <c r="Z3133" s="514"/>
      <c r="AA3133" s="514"/>
      <c r="AB3133" s="514"/>
      <c r="AC3133" s="514"/>
      <c r="AD3133" s="514"/>
      <c r="AE3133" s="514"/>
      <c r="AF3133" s="514"/>
      <c r="AG3133" s="514"/>
      <c r="AH3133" s="514"/>
      <c r="AI3133" s="514"/>
      <c r="AJ3133" s="514"/>
      <c r="AK3133" s="514"/>
      <c r="AL3133" s="514"/>
      <c r="AM3133" s="514"/>
      <c r="AN3133" s="514"/>
      <c r="AO3133" s="514"/>
    </row>
    <row r="3134" spans="1:41" s="504" customFormat="1" ht="12" thickTop="1">
      <c r="A3134" s="50"/>
      <c r="B3134" s="40"/>
      <c r="C3134" s="50"/>
      <c r="E3134" s="41" t="s">
        <v>136</v>
      </c>
      <c r="F3134" s="41" t="s">
        <v>137</v>
      </c>
      <c r="G3134" s="50"/>
      <c r="H3134" s="50"/>
      <c r="I3134" s="50"/>
      <c r="J3134" s="50"/>
      <c r="K3134" s="50" t="s">
        <v>138</v>
      </c>
      <c r="L3134" s="50"/>
      <c r="M3134" s="50"/>
      <c r="N3134" s="50"/>
      <c r="O3134" s="51"/>
      <c r="P3134" s="50"/>
      <c r="Q3134" s="50"/>
      <c r="R3134" s="50"/>
      <c r="S3134" s="50"/>
      <c r="T3134" s="40"/>
      <c r="AG3134" s="867" t="s">
        <v>241</v>
      </c>
      <c r="AH3134" s="867" t="s">
        <v>242</v>
      </c>
      <c r="AI3134" s="867" t="s">
        <v>243</v>
      </c>
      <c r="AJ3134" s="867" t="s">
        <v>244</v>
      </c>
      <c r="AK3134" s="867" t="s">
        <v>245</v>
      </c>
      <c r="AM3134" s="868" t="s">
        <v>254</v>
      </c>
      <c r="AN3134" s="869" t="s">
        <v>255</v>
      </c>
      <c r="AO3134" s="505" t="s">
        <v>251</v>
      </c>
    </row>
    <row r="3135" spans="1:41" s="504" customFormat="1" ht="12" customHeight="1">
      <c r="A3135" s="870">
        <v>8</v>
      </c>
      <c r="B3135" s="871" t="s">
        <v>335</v>
      </c>
      <c r="C3135" s="872"/>
      <c r="D3135" s="873" t="s">
        <v>810</v>
      </c>
      <c r="E3135" s="874">
        <f ca="1">IF(AND($A3135=0,$A$1="DIF"),0, ROUND(ROUND(($R3140*$S$2+($T3140*$T$2))/A3135,2)*$C$2,2))</f>
        <v>49.48</v>
      </c>
      <c r="F3135" s="875">
        <f ca="1">ROUND($A3135*$E3135,2)</f>
        <v>395.84</v>
      </c>
      <c r="G3135" s="876" t="s">
        <v>139</v>
      </c>
      <c r="H3135" s="877"/>
      <c r="I3135" s="878"/>
      <c r="J3135" s="877"/>
      <c r="K3135" s="877" t="s">
        <v>3</v>
      </c>
      <c r="L3135" s="879" t="s">
        <v>140</v>
      </c>
      <c r="M3135" s="879"/>
      <c r="N3135" s="879"/>
      <c r="O3135" s="879"/>
      <c r="P3135" s="879"/>
      <c r="Q3135" s="50"/>
      <c r="T3135" s="880" t="str">
        <f ca="1">IF(AND($R3140=0,$T3140=0),"0.00","mu :" &amp; ROUND($F3135/$C$2/($R3140+$T3140*$D$9),2))</f>
        <v>mu :1.22</v>
      </c>
      <c r="W3135" s="507"/>
      <c r="AG3135" s="465">
        <f ca="1">IF($E3135=0,0,ROUND($R3140*$S$2*$C$2/$A3135,2))</f>
        <v>21.69</v>
      </c>
      <c r="AH3135" s="465">
        <f ca="1">$AG3135*$A3135</f>
        <v>173.52</v>
      </c>
      <c r="AI3135" s="508">
        <f ca="1">$E3135-$AG3135</f>
        <v>27.789999999999996</v>
      </c>
      <c r="AJ3135" s="508">
        <f ca="1">$A3135*$AI3135</f>
        <v>222.31999999999996</v>
      </c>
      <c r="AK3135" s="509">
        <f ca="1">ROUND(($AG3135+$AI3135)*$A3135,2)</f>
        <v>395.84</v>
      </c>
      <c r="AM3135" s="510">
        <f ca="1">ROUND(R3140,2)</f>
        <v>142.24</v>
      </c>
      <c r="AN3135" s="511">
        <f ca="1">ROUND(T3140,2)</f>
        <v>6.32</v>
      </c>
      <c r="AO3135" s="512">
        <f ca="1">ROUND(AM3135+AN3135,2)*A3135</f>
        <v>1188.48</v>
      </c>
    </row>
    <row r="3136" spans="1:41" s="504" customFormat="1" ht="13.2">
      <c r="A3136" s="872"/>
      <c r="B3136"/>
      <c r="C3136" s="872"/>
      <c r="D3136" s="873" t="s">
        <v>419</v>
      </c>
      <c r="F3136" s="877"/>
      <c r="G3136" s="3"/>
      <c r="H3136" s="877"/>
      <c r="I3136" s="878"/>
      <c r="J3136" s="877"/>
      <c r="K3136" s="877" t="s">
        <v>141</v>
      </c>
      <c r="L3136" s="877"/>
      <c r="M3136" s="877"/>
      <c r="N3136" s="877"/>
      <c r="O3136" s="877"/>
      <c r="P3136" s="877"/>
      <c r="Q3136" s="50"/>
      <c r="R3136" s="513"/>
      <c r="S3136" s="881"/>
      <c r="T3136" s="877"/>
    </row>
    <row r="3137" spans="1:41" s="997" customFormat="1" ht="13.2">
      <c r="A3137"/>
      <c r="B3137" s="1065"/>
      <c r="C3137" s="1065" t="s">
        <v>1006</v>
      </c>
      <c r="D3137" s="1065" t="str">
        <f ca="1">CELL("Address",Elec_Rates!D$444)</f>
        <v>[EL25_0662B_Brittania_Hotel_Elec_Revised_Estim_B.xlsx]Elec_Rates!$D$444</v>
      </c>
      <c r="E3137" s="1066"/>
      <c r="F3137" s="1066"/>
      <c r="G3137" s="1067" t="s">
        <v>1007</v>
      </c>
      <c r="H3137" s="1067"/>
      <c r="I3137" s="1067"/>
      <c r="J3137" s="1067"/>
      <c r="K3137" s="1068"/>
      <c r="L3137" s="1066"/>
      <c r="M3137" s="1066"/>
      <c r="N3137" s="1066"/>
      <c r="O3137" s="1069"/>
      <c r="P3137" s="1066"/>
      <c r="Q3137" s="1070"/>
      <c r="R3137" s="1071"/>
      <c r="S3137" s="1070"/>
      <c r="T3137" s="1072"/>
      <c r="U3137" s="1073"/>
    </row>
    <row r="3138" spans="1:41" s="997" customFormat="1" ht="11.4">
      <c r="A3138" s="1074">
        <v>8</v>
      </c>
      <c r="B3138" s="1075">
        <v>1</v>
      </c>
      <c r="C3138" s="1075">
        <f>$A3138*$B3138</f>
        <v>8</v>
      </c>
      <c r="D3138" s="1076" t="str">
        <f>Elec_Rates!$D$444</f>
        <v>052# Install and connect Only - Type 'LT-12' - 6W Recessed Floor Spotlight, Dimmable, IP65</v>
      </c>
      <c r="E3138" s="1076"/>
      <c r="F3138" s="1076"/>
      <c r="G3138" s="1077" t="s">
        <v>1008</v>
      </c>
      <c r="H3138" s="1077"/>
      <c r="I3138" s="1077"/>
      <c r="J3138" s="1077"/>
      <c r="K3138" s="1078"/>
      <c r="L3138" s="1073"/>
      <c r="M3138" s="1073"/>
      <c r="N3138" s="1073"/>
      <c r="O3138" s="1079"/>
      <c r="P3138" s="1076"/>
      <c r="Q3138" s="1080">
        <f ca="1">$B3138*Elec_Rates!$R$444</f>
        <v>17.78</v>
      </c>
      <c r="R3138" s="1071">
        <f ca="1">$A3138*Q3138</f>
        <v>142.24</v>
      </c>
      <c r="S3138" s="1080">
        <f ca="1">$B3138*Elec_Rates!$T$444</f>
        <v>0.79</v>
      </c>
      <c r="T3138" s="1072">
        <f ca="1">$A3138*S3138</f>
        <v>6.32</v>
      </c>
      <c r="U3138" s="1081"/>
    </row>
    <row r="3139" spans="1:41" s="504" customFormat="1" ht="12">
      <c r="A3139" s="882"/>
      <c r="B3139" s="882"/>
      <c r="C3139" s="882"/>
      <c r="D3139" s="882"/>
      <c r="E3139" s="882"/>
      <c r="F3139" s="877"/>
      <c r="G3139" s="882"/>
      <c r="H3139" s="882"/>
      <c r="I3139" s="503"/>
      <c r="J3139" s="882"/>
      <c r="K3139" s="882"/>
      <c r="L3139" s="882"/>
      <c r="M3139" s="882"/>
      <c r="N3139" s="882"/>
      <c r="O3139" s="882"/>
      <c r="P3139" s="882"/>
      <c r="Q3139" s="503"/>
      <c r="R3139" s="883">
        <f>$A3139*Q3139</f>
        <v>0</v>
      </c>
      <c r="S3139" s="503"/>
      <c r="T3139" s="884">
        <f>$A3139*S3139*$T$1</f>
        <v>0</v>
      </c>
    </row>
    <row r="3140" spans="1:41" s="504" customFormat="1" ht="12.6" thickBot="1">
      <c r="A3140" s="885" t="s">
        <v>142</v>
      </c>
      <c r="B3140" s="886">
        <f>(R3139+T3139)</f>
        <v>0</v>
      </c>
      <c r="C3140" s="887"/>
      <c r="D3140" s="887"/>
      <c r="E3140" s="887"/>
      <c r="F3140" s="888"/>
      <c r="G3140" s="887" t="s">
        <v>143</v>
      </c>
      <c r="H3140" s="887"/>
      <c r="I3140" s="889"/>
      <c r="J3140" s="887"/>
      <c r="K3140" s="887" t="s">
        <v>3</v>
      </c>
      <c r="L3140" s="890" t="s">
        <v>140</v>
      </c>
      <c r="M3140" s="890"/>
      <c r="N3140" s="890"/>
      <c r="O3140" s="890"/>
      <c r="P3140" s="890"/>
      <c r="Q3140" s="891"/>
      <c r="R3140" s="892">
        <f ca="1">SUM(R3136:R3139)</f>
        <v>142.24</v>
      </c>
      <c r="S3140" s="887"/>
      <c r="T3140" s="892">
        <f ca="1">SUM(T3136:T3139)</f>
        <v>6.32</v>
      </c>
      <c r="U3140" s="514"/>
      <c r="V3140" s="514"/>
      <c r="W3140" s="514"/>
      <c r="X3140" s="514"/>
      <c r="Y3140" s="514"/>
      <c r="Z3140" s="514"/>
      <c r="AA3140" s="514"/>
      <c r="AB3140" s="514"/>
      <c r="AC3140" s="514"/>
      <c r="AD3140" s="514"/>
      <c r="AE3140" s="514"/>
      <c r="AF3140" s="514"/>
      <c r="AG3140" s="514"/>
      <c r="AH3140" s="514"/>
      <c r="AI3140" s="514"/>
      <c r="AJ3140" s="514"/>
      <c r="AK3140" s="514"/>
      <c r="AL3140" s="514"/>
      <c r="AM3140" s="514"/>
      <c r="AN3140" s="514"/>
      <c r="AO3140" s="514"/>
    </row>
    <row r="3141" spans="1:41" s="504" customFormat="1" ht="12" thickTop="1">
      <c r="A3141" s="50"/>
      <c r="B3141" s="40"/>
      <c r="C3141" s="50"/>
      <c r="E3141" s="41" t="s">
        <v>136</v>
      </c>
      <c r="F3141" s="41" t="s">
        <v>137</v>
      </c>
      <c r="G3141" s="50"/>
      <c r="H3141" s="50"/>
      <c r="I3141" s="50"/>
      <c r="J3141" s="50"/>
      <c r="K3141" s="50" t="s">
        <v>138</v>
      </c>
      <c r="L3141" s="50"/>
      <c r="M3141" s="50"/>
      <c r="N3141" s="50"/>
      <c r="O3141" s="51"/>
      <c r="P3141" s="50"/>
      <c r="Q3141" s="50"/>
      <c r="R3141" s="50"/>
      <c r="S3141" s="50"/>
      <c r="T3141" s="40"/>
      <c r="AG3141" s="867" t="s">
        <v>241</v>
      </c>
      <c r="AH3141" s="867" t="s">
        <v>242</v>
      </c>
      <c r="AI3141" s="867" t="s">
        <v>243</v>
      </c>
      <c r="AJ3141" s="867" t="s">
        <v>244</v>
      </c>
      <c r="AK3141" s="867" t="s">
        <v>245</v>
      </c>
      <c r="AM3141" s="868" t="s">
        <v>254</v>
      </c>
      <c r="AN3141" s="869" t="s">
        <v>255</v>
      </c>
      <c r="AO3141" s="505" t="s">
        <v>251</v>
      </c>
    </row>
    <row r="3142" spans="1:41" s="504" customFormat="1" ht="12" customHeight="1">
      <c r="A3142" s="870">
        <v>5</v>
      </c>
      <c r="B3142" s="871" t="s">
        <v>326</v>
      </c>
      <c r="C3142" s="872"/>
      <c r="D3142" s="873" t="s">
        <v>812</v>
      </c>
      <c r="E3142" s="874">
        <f ca="1">IF(AND($A3142=0,$A$1="DIF"),0, ROUND(ROUND(($R3147*$S$2+($T3147*$T$2))/A3142,2)*$C$2,2))</f>
        <v>5.63</v>
      </c>
      <c r="F3142" s="875">
        <f ca="1">ROUND($A3142*$E3142,2)</f>
        <v>28.15</v>
      </c>
      <c r="G3142" s="876" t="s">
        <v>139</v>
      </c>
      <c r="H3142" s="877"/>
      <c r="I3142" s="878"/>
      <c r="J3142" s="877"/>
      <c r="K3142" s="877" t="s">
        <v>3</v>
      </c>
      <c r="L3142" s="879" t="s">
        <v>140</v>
      </c>
      <c r="M3142" s="879"/>
      <c r="N3142" s="879"/>
      <c r="O3142" s="879"/>
      <c r="P3142" s="879"/>
      <c r="Q3142" s="50"/>
      <c r="T3142" s="880" t="str">
        <f ca="1">IF(AND($R3147=0,$T3147=0),"0.00","mu :" &amp; ROUND($F3142/$C$2/($R3147+$T3147*$D$9),2))</f>
        <v>mu :1.22</v>
      </c>
      <c r="W3142" s="507"/>
      <c r="AG3142" s="465">
        <f ca="1">IF($E3142=0,0,ROUND($R3147*$S$2*$C$2/$A3142,2))</f>
        <v>0</v>
      </c>
      <c r="AH3142" s="465">
        <f ca="1">$AG3142*$A3142</f>
        <v>0</v>
      </c>
      <c r="AI3142" s="508">
        <f ca="1">$E3142-$AG3142</f>
        <v>5.63</v>
      </c>
      <c r="AJ3142" s="508">
        <f ca="1">$A3142*$AI3142</f>
        <v>28.15</v>
      </c>
      <c r="AK3142" s="509">
        <f ca="1">ROUND(($AG3142+$AI3142)*$A3142,2)</f>
        <v>28.15</v>
      </c>
      <c r="AM3142" s="510">
        <f ca="1">ROUND(R3147,2)</f>
        <v>0</v>
      </c>
      <c r="AN3142" s="511">
        <f ca="1">ROUND(T3147,2)</f>
        <v>0.8</v>
      </c>
      <c r="AO3142" s="512">
        <f ca="1">ROUND(AM3142+AN3142,2)*A3142</f>
        <v>4</v>
      </c>
    </row>
    <row r="3143" spans="1:41" s="504" customFormat="1" ht="13.2">
      <c r="A3143" s="872"/>
      <c r="B3143"/>
      <c r="C3143" s="872"/>
      <c r="D3143" s="873" t="s">
        <v>420</v>
      </c>
      <c r="F3143" s="877"/>
      <c r="G3143" s="3"/>
      <c r="H3143" s="877"/>
      <c r="I3143" s="878"/>
      <c r="J3143" s="877"/>
      <c r="K3143" s="877" t="s">
        <v>141</v>
      </c>
      <c r="L3143" s="877"/>
      <c r="M3143" s="877"/>
      <c r="N3143" s="877"/>
      <c r="O3143" s="877"/>
      <c r="P3143" s="877"/>
      <c r="Q3143" s="50"/>
      <c r="R3143" s="513"/>
      <c r="S3143" s="881"/>
      <c r="T3143" s="877"/>
    </row>
    <row r="3144" spans="1:41" s="997" customFormat="1" ht="13.2">
      <c r="A3144"/>
      <c r="B3144" s="1065"/>
      <c r="C3144" s="1065" t="s">
        <v>1006</v>
      </c>
      <c r="D3144" s="1065" t="str">
        <f ca="1">CELL("Address",Elec_Rates!D$452)</f>
        <v>[EL25_0662B_Brittania_Hotel_Elec_Revised_Estim_B.xlsx]Elec_Rates!$D$452</v>
      </c>
      <c r="E3144" s="1066"/>
      <c r="F3144" s="1066"/>
      <c r="G3144" s="1067" t="s">
        <v>1007</v>
      </c>
      <c r="H3144" s="1067"/>
      <c r="I3144" s="1067"/>
      <c r="J3144" s="1067"/>
      <c r="K3144" s="1068"/>
      <c r="L3144" s="1066"/>
      <c r="M3144" s="1066"/>
      <c r="N3144" s="1066"/>
      <c r="O3144" s="1069"/>
      <c r="P3144" s="1066"/>
      <c r="Q3144" s="1070"/>
      <c r="R3144" s="1071"/>
      <c r="S3144" s="1070"/>
      <c r="T3144" s="1072"/>
      <c r="U3144" s="1073"/>
    </row>
    <row r="3145" spans="1:41" s="997" customFormat="1" ht="11.4">
      <c r="A3145" s="1074">
        <v>5</v>
      </c>
      <c r="B3145" s="1075">
        <v>1</v>
      </c>
      <c r="C3145" s="1075">
        <f>$A3145*$B3145</f>
        <v>5</v>
      </c>
      <c r="D3145" s="1076" t="str">
        <f>Elec_Rates!$D$452</f>
        <v>053# Install and connect Only - Type 'LT-13 - Dimmable Strip Light</v>
      </c>
      <c r="E3145" s="1076"/>
      <c r="F3145" s="1076"/>
      <c r="G3145" s="1077" t="s">
        <v>1008</v>
      </c>
      <c r="H3145" s="1077"/>
      <c r="I3145" s="1077"/>
      <c r="J3145" s="1077"/>
      <c r="K3145" s="1078"/>
      <c r="L3145" s="1073"/>
      <c r="M3145" s="1073"/>
      <c r="N3145" s="1073"/>
      <c r="O3145" s="1079"/>
      <c r="P3145" s="1076"/>
      <c r="Q3145" s="1080">
        <f ca="1">$B3145*Elec_Rates!$R$452</f>
        <v>0</v>
      </c>
      <c r="R3145" s="1071">
        <f ca="1">$A3145*Q3145</f>
        <v>0</v>
      </c>
      <c r="S3145" s="1080">
        <f ca="1">$B3145*Elec_Rates!$T$452</f>
        <v>0.16</v>
      </c>
      <c r="T3145" s="1072">
        <f ca="1">$A3145*S3145</f>
        <v>0.8</v>
      </c>
      <c r="U3145" s="1081"/>
    </row>
    <row r="3146" spans="1:41" s="504" customFormat="1" ht="12">
      <c r="A3146" s="882"/>
      <c r="B3146" s="882"/>
      <c r="C3146" s="882"/>
      <c r="D3146" s="882"/>
      <c r="E3146" s="882"/>
      <c r="F3146" s="877"/>
      <c r="G3146" s="882"/>
      <c r="H3146" s="882"/>
      <c r="I3146" s="503"/>
      <c r="J3146" s="882"/>
      <c r="K3146" s="882"/>
      <c r="L3146" s="882"/>
      <c r="M3146" s="882"/>
      <c r="N3146" s="882"/>
      <c r="O3146" s="882"/>
      <c r="P3146" s="882"/>
      <c r="Q3146" s="503"/>
      <c r="R3146" s="883">
        <f>$A3146*Q3146</f>
        <v>0</v>
      </c>
      <c r="S3146" s="503"/>
      <c r="T3146" s="884">
        <f>$A3146*S3146*$T$1</f>
        <v>0</v>
      </c>
    </row>
    <row r="3147" spans="1:41" s="504" customFormat="1" ht="12.6" thickBot="1">
      <c r="A3147" s="885" t="s">
        <v>142</v>
      </c>
      <c r="B3147" s="886">
        <f>(R3146+T3146)</f>
        <v>0</v>
      </c>
      <c r="C3147" s="887"/>
      <c r="D3147" s="887"/>
      <c r="E3147" s="887"/>
      <c r="F3147" s="888"/>
      <c r="G3147" s="887" t="s">
        <v>143</v>
      </c>
      <c r="H3147" s="887"/>
      <c r="I3147" s="889"/>
      <c r="J3147" s="887"/>
      <c r="K3147" s="887" t="s">
        <v>3</v>
      </c>
      <c r="L3147" s="890" t="s">
        <v>140</v>
      </c>
      <c r="M3147" s="890"/>
      <c r="N3147" s="890"/>
      <c r="O3147" s="890"/>
      <c r="P3147" s="890"/>
      <c r="Q3147" s="891"/>
      <c r="R3147" s="892">
        <f ca="1">SUM(R3143:R3146)</f>
        <v>0</v>
      </c>
      <c r="S3147" s="887"/>
      <c r="T3147" s="892">
        <f ca="1">SUM(T3143:T3146)</f>
        <v>0.8</v>
      </c>
      <c r="U3147" s="514"/>
      <c r="V3147" s="514"/>
      <c r="W3147" s="514"/>
      <c r="X3147" s="514"/>
      <c r="Y3147" s="514"/>
      <c r="Z3147" s="514"/>
      <c r="AA3147" s="514"/>
      <c r="AB3147" s="514"/>
      <c r="AC3147" s="514"/>
      <c r="AD3147" s="514"/>
      <c r="AE3147" s="514"/>
      <c r="AF3147" s="514"/>
      <c r="AG3147" s="514"/>
      <c r="AH3147" s="514"/>
      <c r="AI3147" s="514"/>
      <c r="AJ3147" s="514"/>
      <c r="AK3147" s="514"/>
      <c r="AL3147" s="514"/>
      <c r="AM3147" s="514"/>
      <c r="AN3147" s="514"/>
      <c r="AO3147" s="514"/>
    </row>
    <row r="3148" spans="1:41" s="504" customFormat="1" ht="12" thickTop="1">
      <c r="A3148" s="50"/>
      <c r="B3148" s="40"/>
      <c r="C3148" s="50"/>
      <c r="E3148" s="41" t="s">
        <v>136</v>
      </c>
      <c r="F3148" s="41" t="s">
        <v>137</v>
      </c>
      <c r="G3148" s="50"/>
      <c r="H3148" s="50"/>
      <c r="I3148" s="50"/>
      <c r="J3148" s="50"/>
      <c r="K3148" s="50" t="s">
        <v>138</v>
      </c>
      <c r="L3148" s="50"/>
      <c r="M3148" s="50"/>
      <c r="N3148" s="50"/>
      <c r="O3148" s="51"/>
      <c r="P3148" s="50"/>
      <c r="Q3148" s="50"/>
      <c r="R3148" s="50"/>
      <c r="S3148" s="50"/>
      <c r="T3148" s="40"/>
      <c r="AG3148" s="867" t="s">
        <v>241</v>
      </c>
      <c r="AH3148" s="867" t="s">
        <v>242</v>
      </c>
      <c r="AI3148" s="867" t="s">
        <v>243</v>
      </c>
      <c r="AJ3148" s="867" t="s">
        <v>244</v>
      </c>
      <c r="AK3148" s="867" t="s">
        <v>245</v>
      </c>
      <c r="AM3148" s="868" t="s">
        <v>254</v>
      </c>
      <c r="AN3148" s="869" t="s">
        <v>255</v>
      </c>
      <c r="AO3148" s="505" t="s">
        <v>251</v>
      </c>
    </row>
    <row r="3149" spans="1:41" s="504" customFormat="1" ht="12" customHeight="1">
      <c r="A3149" s="870">
        <v>1</v>
      </c>
      <c r="B3149" s="871" t="s">
        <v>335</v>
      </c>
      <c r="C3149" s="872"/>
      <c r="D3149" s="873" t="s">
        <v>819</v>
      </c>
      <c r="E3149" s="874">
        <f ca="1">IF(AND($A3149=0,$A$1="DIF"),0, ROUND(ROUND(($R3154*$S$2+($T3154*$T$2))/A3149,2)*$C$2,2))</f>
        <v>37.51</v>
      </c>
      <c r="F3149" s="875">
        <f ca="1">ROUND($A3149*$E3149,2)</f>
        <v>37.51</v>
      </c>
      <c r="G3149" s="876" t="s">
        <v>139</v>
      </c>
      <c r="H3149" s="877"/>
      <c r="I3149" s="878"/>
      <c r="J3149" s="877"/>
      <c r="K3149" s="877" t="s">
        <v>3</v>
      </c>
      <c r="L3149" s="879" t="s">
        <v>140</v>
      </c>
      <c r="M3149" s="879"/>
      <c r="N3149" s="879"/>
      <c r="O3149" s="879"/>
      <c r="P3149" s="879"/>
      <c r="Q3149" s="50"/>
      <c r="T3149" s="880" t="str">
        <f ca="1">IF(AND($R3154=0,$T3154=0),"0.00","mu :" &amp; ROUND($F3149/$C$2/($R3154+$T3154*$D$9),2))</f>
        <v>mu :1.22</v>
      </c>
      <c r="W3149" s="507"/>
      <c r="AG3149" s="465">
        <f ca="1">IF($E3149=0,0,ROUND($R3154*$S$2*$C$2/$A3149,2))</f>
        <v>0.56999999999999995</v>
      </c>
      <c r="AH3149" s="465">
        <f ca="1">$AG3149*$A3149</f>
        <v>0.56999999999999995</v>
      </c>
      <c r="AI3149" s="508">
        <f ca="1">$E3149-$AG3149</f>
        <v>36.94</v>
      </c>
      <c r="AJ3149" s="508">
        <f ca="1">$A3149*$AI3149</f>
        <v>36.94</v>
      </c>
      <c r="AK3149" s="509">
        <f ca="1">ROUND(($AG3149+$AI3149)*$A3149,2)</f>
        <v>37.51</v>
      </c>
      <c r="AM3149" s="510">
        <f ca="1">ROUND(R3154,2)</f>
        <v>0.47</v>
      </c>
      <c r="AN3149" s="511">
        <f ca="1">ROUND(T3154,2)</f>
        <v>1.05</v>
      </c>
      <c r="AO3149" s="512">
        <f ca="1">ROUND(AM3149+AN3149,2)*A3149</f>
        <v>1.52</v>
      </c>
    </row>
    <row r="3150" spans="1:41" s="504" customFormat="1" ht="13.2">
      <c r="A3150" s="872"/>
      <c r="B3150"/>
      <c r="C3150" s="872"/>
      <c r="D3150" s="873" t="s">
        <v>439</v>
      </c>
      <c r="F3150" s="877"/>
      <c r="G3150" s="3"/>
      <c r="H3150" s="877"/>
      <c r="I3150" s="878"/>
      <c r="J3150" s="877"/>
      <c r="K3150" s="877" t="s">
        <v>141</v>
      </c>
      <c r="L3150" s="877"/>
      <c r="M3150" s="877"/>
      <c r="N3150" s="877"/>
      <c r="O3150" s="877"/>
      <c r="P3150" s="877"/>
      <c r="Q3150" s="50"/>
      <c r="R3150" s="513"/>
      <c r="S3150" s="881"/>
      <c r="T3150" s="877"/>
    </row>
    <row r="3151" spans="1:41" s="997" customFormat="1" ht="13.2">
      <c r="A3151"/>
      <c r="B3151" s="1065"/>
      <c r="C3151" s="1065" t="s">
        <v>1006</v>
      </c>
      <c r="D3151" s="1065" t="str">
        <f ca="1">CELL("Address",Elec_Rates!D$301)</f>
        <v>[EL25_0662B_Brittania_Hotel_Elec_Revised_Estim_B.xlsx]Elec_Rates!$D$301</v>
      </c>
      <c r="E3151" s="1066"/>
      <c r="F3151" s="1066"/>
      <c r="G3151" s="1067" t="s">
        <v>1007</v>
      </c>
      <c r="H3151" s="1067"/>
      <c r="I3151" s="1067"/>
      <c r="J3151" s="1067"/>
      <c r="K3151" s="1068"/>
      <c r="L3151" s="1066"/>
      <c r="M3151" s="1066"/>
      <c r="N3151" s="1066"/>
      <c r="O3151" s="1069"/>
      <c r="P3151" s="1066"/>
      <c r="Q3151" s="1070"/>
      <c r="R3151" s="1071"/>
      <c r="S3151" s="1070"/>
      <c r="T3151" s="1072"/>
      <c r="U3151" s="1073"/>
    </row>
    <row r="3152" spans="1:41" s="997" customFormat="1" ht="11.4">
      <c r="A3152" s="1074">
        <v>1</v>
      </c>
      <c r="B3152" s="1075">
        <v>1</v>
      </c>
      <c r="C3152" s="1075">
        <f>$A3152*$B3152</f>
        <v>1</v>
      </c>
      <c r="D3152" s="1076" t="str">
        <f>Elec_Rates!$D$301</f>
        <v>033# Install and connect Only - Type 'LD-5' - Lantern</v>
      </c>
      <c r="E3152" s="1076"/>
      <c r="F3152" s="1076"/>
      <c r="G3152" s="1077" t="s">
        <v>1008</v>
      </c>
      <c r="H3152" s="1077"/>
      <c r="I3152" s="1077"/>
      <c r="J3152" s="1077"/>
      <c r="K3152" s="1078"/>
      <c r="L3152" s="1073"/>
      <c r="M3152" s="1073"/>
      <c r="N3152" s="1073"/>
      <c r="O3152" s="1079"/>
      <c r="P3152" s="1076"/>
      <c r="Q3152" s="1080">
        <f ca="1">$B3152*Elec_Rates!$R$301</f>
        <v>0.47</v>
      </c>
      <c r="R3152" s="1071">
        <f ca="1">$A3152*Q3152</f>
        <v>0.47</v>
      </c>
      <c r="S3152" s="1080">
        <f ca="1">$B3152*Elec_Rates!$T$301</f>
        <v>1.05</v>
      </c>
      <c r="T3152" s="1072">
        <f ca="1">$A3152*S3152</f>
        <v>1.05</v>
      </c>
      <c r="U3152" s="1081"/>
    </row>
    <row r="3153" spans="1:41" s="504" customFormat="1" ht="12">
      <c r="A3153" s="882"/>
      <c r="B3153" s="882"/>
      <c r="C3153" s="882"/>
      <c r="D3153" s="882"/>
      <c r="E3153" s="882"/>
      <c r="F3153" s="877"/>
      <c r="G3153" s="882"/>
      <c r="H3153" s="882"/>
      <c r="I3153" s="503"/>
      <c r="J3153" s="882"/>
      <c r="K3153" s="882"/>
      <c r="L3153" s="882"/>
      <c r="M3153" s="882"/>
      <c r="N3153" s="882"/>
      <c r="O3153" s="882"/>
      <c r="P3153" s="882"/>
      <c r="Q3153" s="503"/>
      <c r="R3153" s="883">
        <f>$A3153*Q3153</f>
        <v>0</v>
      </c>
      <c r="S3153" s="503"/>
      <c r="T3153" s="884">
        <f>$A3153*S3153*$T$1</f>
        <v>0</v>
      </c>
    </row>
    <row r="3154" spans="1:41" s="504" customFormat="1" ht="12.6" thickBot="1">
      <c r="A3154" s="885" t="s">
        <v>142</v>
      </c>
      <c r="B3154" s="886">
        <f>(R3153+T3153)</f>
        <v>0</v>
      </c>
      <c r="C3154" s="887"/>
      <c r="D3154" s="887"/>
      <c r="E3154" s="887"/>
      <c r="F3154" s="888"/>
      <c r="G3154" s="887" t="s">
        <v>143</v>
      </c>
      <c r="H3154" s="887"/>
      <c r="I3154" s="889"/>
      <c r="J3154" s="887"/>
      <c r="K3154" s="887" t="s">
        <v>3</v>
      </c>
      <c r="L3154" s="890" t="s">
        <v>140</v>
      </c>
      <c r="M3154" s="890"/>
      <c r="N3154" s="890"/>
      <c r="O3154" s="890"/>
      <c r="P3154" s="890"/>
      <c r="Q3154" s="891"/>
      <c r="R3154" s="892">
        <f ca="1">SUM(R3150:R3153)</f>
        <v>0.47</v>
      </c>
      <c r="S3154" s="887"/>
      <c r="T3154" s="892">
        <f ca="1">SUM(T3150:T3153)</f>
        <v>1.05</v>
      </c>
      <c r="U3154" s="514"/>
      <c r="V3154" s="514"/>
      <c r="W3154" s="514"/>
      <c r="X3154" s="514"/>
      <c r="Y3154" s="514"/>
      <c r="Z3154" s="514"/>
      <c r="AA3154" s="514"/>
      <c r="AB3154" s="514"/>
      <c r="AC3154" s="514"/>
      <c r="AD3154" s="514"/>
      <c r="AE3154" s="514"/>
      <c r="AF3154" s="514"/>
      <c r="AG3154" s="514"/>
      <c r="AH3154" s="514"/>
      <c r="AI3154" s="514"/>
      <c r="AJ3154" s="514"/>
      <c r="AK3154" s="514"/>
      <c r="AL3154" s="514"/>
      <c r="AM3154" s="514"/>
      <c r="AN3154" s="514"/>
      <c r="AO3154" s="514"/>
    </row>
    <row r="3155" spans="1:41" s="504" customFormat="1" ht="12" thickTop="1">
      <c r="A3155" s="50"/>
      <c r="B3155" s="40"/>
      <c r="C3155" s="50"/>
      <c r="E3155" s="41" t="s">
        <v>136</v>
      </c>
      <c r="F3155" s="41" t="s">
        <v>137</v>
      </c>
      <c r="G3155" s="50"/>
      <c r="H3155" s="50"/>
      <c r="I3155" s="50"/>
      <c r="J3155" s="50"/>
      <c r="K3155" s="50" t="s">
        <v>138</v>
      </c>
      <c r="L3155" s="50"/>
      <c r="M3155" s="50"/>
      <c r="N3155" s="50"/>
      <c r="O3155" s="51"/>
      <c r="P3155" s="50"/>
      <c r="Q3155" s="50"/>
      <c r="R3155" s="50"/>
      <c r="S3155" s="50"/>
      <c r="T3155" s="40"/>
      <c r="AG3155" s="867" t="s">
        <v>241</v>
      </c>
      <c r="AH3155" s="867" t="s">
        <v>242</v>
      </c>
      <c r="AI3155" s="867" t="s">
        <v>243</v>
      </c>
      <c r="AJ3155" s="867" t="s">
        <v>244</v>
      </c>
      <c r="AK3155" s="867" t="s">
        <v>245</v>
      </c>
      <c r="AM3155" s="868" t="s">
        <v>254</v>
      </c>
      <c r="AN3155" s="869" t="s">
        <v>255</v>
      </c>
      <c r="AO3155" s="505" t="s">
        <v>251</v>
      </c>
    </row>
    <row r="3156" spans="1:41" s="504" customFormat="1" ht="12" customHeight="1">
      <c r="A3156" s="870">
        <v>3</v>
      </c>
      <c r="B3156" s="871" t="s">
        <v>335</v>
      </c>
      <c r="C3156" s="872"/>
      <c r="D3156" s="873" t="s">
        <v>820</v>
      </c>
      <c r="E3156" s="874">
        <f ca="1">IF(AND($A3156=0,$A$1="DIF"),0, ROUND(ROUND(($R3161*$S$2+($T3161*$T$2))/A3156,2)*$C$2,2))</f>
        <v>11.35</v>
      </c>
      <c r="F3156" s="875">
        <f ca="1">ROUND($A3156*$E3156,2)</f>
        <v>34.049999999999997</v>
      </c>
      <c r="G3156" s="876" t="s">
        <v>139</v>
      </c>
      <c r="H3156" s="877"/>
      <c r="I3156" s="878"/>
      <c r="J3156" s="877"/>
      <c r="K3156" s="877" t="s">
        <v>3</v>
      </c>
      <c r="L3156" s="879" t="s">
        <v>140</v>
      </c>
      <c r="M3156" s="879"/>
      <c r="N3156" s="879"/>
      <c r="O3156" s="879"/>
      <c r="P3156" s="879"/>
      <c r="Q3156" s="50"/>
      <c r="T3156" s="880" t="str">
        <f ca="1">IF(AND($R3161=0,$T3161=0),"0.00","mu :" &amp; ROUND($F3156/$C$2/($R3161+$T3161*$D$9),2))</f>
        <v>mu :1.22</v>
      </c>
      <c r="W3156" s="507"/>
      <c r="AG3156" s="465">
        <f ca="1">IF($E3156=0,0,ROUND($R3161*$S$2*$C$2/$A3156,2))</f>
        <v>0.1</v>
      </c>
      <c r="AH3156" s="465">
        <f ca="1">$AG3156*$A3156</f>
        <v>0.30000000000000004</v>
      </c>
      <c r="AI3156" s="508">
        <f ca="1">$E3156-$AG3156</f>
        <v>11.25</v>
      </c>
      <c r="AJ3156" s="508">
        <f ca="1">$A3156*$AI3156</f>
        <v>33.75</v>
      </c>
      <c r="AK3156" s="509">
        <f ca="1">ROUND(($AG3156+$AI3156)*$A3156,2)</f>
        <v>34.049999999999997</v>
      </c>
      <c r="AM3156" s="510">
        <f ca="1">ROUND(R3161,2)</f>
        <v>0.24</v>
      </c>
      <c r="AN3156" s="511">
        <f ca="1">ROUND(T3161,2)</f>
        <v>0.96</v>
      </c>
      <c r="AO3156" s="512">
        <f ca="1">ROUND(AM3156+AN3156,2)*A3156</f>
        <v>3.5999999999999996</v>
      </c>
    </row>
    <row r="3157" spans="1:41" s="504" customFormat="1" ht="13.2">
      <c r="A3157" s="872"/>
      <c r="B3157"/>
      <c r="C3157" s="872"/>
      <c r="D3157" s="873" t="s">
        <v>356</v>
      </c>
      <c r="F3157" s="877"/>
      <c r="G3157" s="3"/>
      <c r="H3157" s="877"/>
      <c r="I3157" s="878"/>
      <c r="J3157" s="877"/>
      <c r="K3157" s="877" t="s">
        <v>141</v>
      </c>
      <c r="L3157" s="877"/>
      <c r="M3157" s="877"/>
      <c r="N3157" s="877"/>
      <c r="O3157" s="877"/>
      <c r="P3157" s="877"/>
      <c r="Q3157" s="50"/>
      <c r="R3157" s="513"/>
      <c r="S3157" s="881"/>
      <c r="T3157" s="877"/>
    </row>
    <row r="3158" spans="1:41" s="997" customFormat="1" ht="13.2">
      <c r="A3158"/>
      <c r="B3158" s="1065"/>
      <c r="C3158" s="1065" t="s">
        <v>1006</v>
      </c>
      <c r="D3158" s="1065" t="str">
        <f ca="1">CELL("Address",Elec_Rates!D$322)</f>
        <v>[EL25_0662B_Brittania_Hotel_Elec_Revised_Estim_B.xlsx]Elec_Rates!$D$322</v>
      </c>
      <c r="E3158" s="1066"/>
      <c r="F3158" s="1066"/>
      <c r="G3158" s="1067" t="s">
        <v>1007</v>
      </c>
      <c r="H3158" s="1067"/>
      <c r="I3158" s="1067"/>
      <c r="J3158" s="1067"/>
      <c r="K3158" s="1068"/>
      <c r="L3158" s="1066"/>
      <c r="M3158" s="1066"/>
      <c r="N3158" s="1066"/>
      <c r="O3158" s="1069"/>
      <c r="P3158" s="1066"/>
      <c r="Q3158" s="1070"/>
      <c r="R3158" s="1071"/>
      <c r="S3158" s="1070"/>
      <c r="T3158" s="1072"/>
      <c r="U3158" s="1073"/>
    </row>
    <row r="3159" spans="1:41" s="997" customFormat="1" ht="11.4">
      <c r="A3159" s="1074">
        <v>3</v>
      </c>
      <c r="B3159" s="1075">
        <v>1</v>
      </c>
      <c r="C3159" s="1075">
        <f>$A3159*$B3159</f>
        <v>3</v>
      </c>
      <c r="D3159" s="1076" t="str">
        <f>Elec_Rates!$D$322</f>
        <v>036# Install and connect Only - Type 'LD-11' - Hallway Wall Light</v>
      </c>
      <c r="E3159" s="1076"/>
      <c r="F3159" s="1076"/>
      <c r="G3159" s="1077" t="s">
        <v>1008</v>
      </c>
      <c r="H3159" s="1077"/>
      <c r="I3159" s="1077"/>
      <c r="J3159" s="1077"/>
      <c r="K3159" s="1078"/>
      <c r="L3159" s="1073"/>
      <c r="M3159" s="1073"/>
      <c r="N3159" s="1073"/>
      <c r="O3159" s="1079"/>
      <c r="P3159" s="1076"/>
      <c r="Q3159" s="1080">
        <f ca="1">$B3159*Elec_Rates!$R$322</f>
        <v>0.08</v>
      </c>
      <c r="R3159" s="1071">
        <f ca="1">$A3159*Q3159</f>
        <v>0.24</v>
      </c>
      <c r="S3159" s="1080">
        <f ca="1">$B3159*Elec_Rates!$T$322</f>
        <v>0.32</v>
      </c>
      <c r="T3159" s="1072">
        <f ca="1">$A3159*S3159</f>
        <v>0.96</v>
      </c>
      <c r="U3159" s="1081"/>
    </row>
    <row r="3160" spans="1:41" s="504" customFormat="1" ht="12">
      <c r="A3160" s="882"/>
      <c r="B3160" s="882"/>
      <c r="C3160" s="882"/>
      <c r="D3160" s="882"/>
      <c r="E3160" s="882"/>
      <c r="F3160" s="877"/>
      <c r="G3160" s="882"/>
      <c r="H3160" s="882"/>
      <c r="I3160" s="503"/>
      <c r="J3160" s="882"/>
      <c r="K3160" s="882"/>
      <c r="L3160" s="882"/>
      <c r="M3160" s="882"/>
      <c r="N3160" s="882"/>
      <c r="O3160" s="882"/>
      <c r="P3160" s="882"/>
      <c r="Q3160" s="503"/>
      <c r="R3160" s="883">
        <f>$A3160*Q3160</f>
        <v>0</v>
      </c>
      <c r="S3160" s="503"/>
      <c r="T3160" s="884">
        <f>$A3160*S3160*$T$1</f>
        <v>0</v>
      </c>
    </row>
    <row r="3161" spans="1:41" s="504" customFormat="1" ht="12.6" thickBot="1">
      <c r="A3161" s="885" t="s">
        <v>142</v>
      </c>
      <c r="B3161" s="886">
        <f>(R3160+T3160)</f>
        <v>0</v>
      </c>
      <c r="C3161" s="887"/>
      <c r="D3161" s="887"/>
      <c r="E3161" s="887"/>
      <c r="F3161" s="888"/>
      <c r="G3161" s="887" t="s">
        <v>143</v>
      </c>
      <c r="H3161" s="887"/>
      <c r="I3161" s="889"/>
      <c r="J3161" s="887"/>
      <c r="K3161" s="887" t="s">
        <v>3</v>
      </c>
      <c r="L3161" s="890" t="s">
        <v>140</v>
      </c>
      <c r="M3161" s="890"/>
      <c r="N3161" s="890"/>
      <c r="O3161" s="890"/>
      <c r="P3161" s="890"/>
      <c r="Q3161" s="891"/>
      <c r="R3161" s="892">
        <f ca="1">SUM(R3157:R3160)</f>
        <v>0.24</v>
      </c>
      <c r="S3161" s="887"/>
      <c r="T3161" s="892">
        <f ca="1">SUM(T3157:T3160)</f>
        <v>0.96</v>
      </c>
      <c r="U3161" s="514"/>
      <c r="V3161" s="514"/>
      <c r="W3161" s="514"/>
      <c r="X3161" s="514"/>
      <c r="Y3161" s="514"/>
      <c r="Z3161" s="514"/>
      <c r="AA3161" s="514"/>
      <c r="AB3161" s="514"/>
      <c r="AC3161" s="514"/>
      <c r="AD3161" s="514"/>
      <c r="AE3161" s="514"/>
      <c r="AF3161" s="514"/>
      <c r="AG3161" s="514"/>
      <c r="AH3161" s="514"/>
      <c r="AI3161" s="514"/>
      <c r="AJ3161" s="514"/>
      <c r="AK3161" s="514"/>
      <c r="AL3161" s="514"/>
      <c r="AM3161" s="514"/>
      <c r="AN3161" s="514"/>
      <c r="AO3161" s="514"/>
    </row>
    <row r="3162" spans="1:41" s="504" customFormat="1" ht="12" thickTop="1">
      <c r="A3162" s="50"/>
      <c r="B3162" s="40"/>
      <c r="C3162" s="50"/>
      <c r="E3162" s="41" t="s">
        <v>136</v>
      </c>
      <c r="F3162" s="41" t="s">
        <v>137</v>
      </c>
      <c r="G3162" s="50"/>
      <c r="H3162" s="50"/>
      <c r="I3162" s="50"/>
      <c r="J3162" s="50"/>
      <c r="K3162" s="50" t="s">
        <v>138</v>
      </c>
      <c r="L3162" s="50"/>
      <c r="M3162" s="50"/>
      <c r="N3162" s="50"/>
      <c r="O3162" s="51"/>
      <c r="P3162" s="50"/>
      <c r="Q3162" s="50"/>
      <c r="R3162" s="50"/>
      <c r="S3162" s="50"/>
      <c r="T3162" s="40"/>
      <c r="AG3162" s="867" t="s">
        <v>241</v>
      </c>
      <c r="AH3162" s="867" t="s">
        <v>242</v>
      </c>
      <c r="AI3162" s="867" t="s">
        <v>243</v>
      </c>
      <c r="AJ3162" s="867" t="s">
        <v>244</v>
      </c>
      <c r="AK3162" s="867" t="s">
        <v>245</v>
      </c>
      <c r="AM3162" s="868" t="s">
        <v>254</v>
      </c>
      <c r="AN3162" s="869" t="s">
        <v>255</v>
      </c>
      <c r="AO3162" s="505" t="s">
        <v>251</v>
      </c>
    </row>
    <row r="3163" spans="1:41" s="504" customFormat="1" ht="12" customHeight="1">
      <c r="A3163" s="870">
        <v>6</v>
      </c>
      <c r="B3163" s="871" t="s">
        <v>335</v>
      </c>
      <c r="C3163" s="872"/>
      <c r="D3163" s="873" t="s">
        <v>821</v>
      </c>
      <c r="E3163" s="874">
        <f ca="1">IF(AND($A3163=0,$A$1="DIF"),0, ROUND(ROUND(($R3168*$S$2+($T3168*$T$2))/A3163,2)*$C$2,2))</f>
        <v>11.35</v>
      </c>
      <c r="F3163" s="875">
        <f ca="1">ROUND($A3163*$E3163,2)</f>
        <v>68.099999999999994</v>
      </c>
      <c r="G3163" s="876" t="s">
        <v>139</v>
      </c>
      <c r="H3163" s="877"/>
      <c r="I3163" s="878"/>
      <c r="J3163" s="877"/>
      <c r="K3163" s="877" t="s">
        <v>3</v>
      </c>
      <c r="L3163" s="879" t="s">
        <v>140</v>
      </c>
      <c r="M3163" s="879"/>
      <c r="N3163" s="879"/>
      <c r="O3163" s="879"/>
      <c r="P3163" s="879"/>
      <c r="Q3163" s="50"/>
      <c r="T3163" s="880" t="str">
        <f ca="1">IF(AND($R3168=0,$T3168=0),"0.00","mu :" &amp; ROUND($F3163/$C$2/($R3168+$T3168*$D$9),2))</f>
        <v>mu :1.22</v>
      </c>
      <c r="W3163" s="507"/>
      <c r="AG3163" s="465">
        <f ca="1">IF($E3163=0,0,ROUND($R3168*$S$2*$C$2/$A3163,2))</f>
        <v>0.1</v>
      </c>
      <c r="AH3163" s="465">
        <f ca="1">$AG3163*$A3163</f>
        <v>0.60000000000000009</v>
      </c>
      <c r="AI3163" s="508">
        <f ca="1">$E3163-$AG3163</f>
        <v>11.25</v>
      </c>
      <c r="AJ3163" s="508">
        <f ca="1">$A3163*$AI3163</f>
        <v>67.5</v>
      </c>
      <c r="AK3163" s="509">
        <f ca="1">ROUND(($AG3163+$AI3163)*$A3163,2)</f>
        <v>68.099999999999994</v>
      </c>
      <c r="AM3163" s="510">
        <f ca="1">ROUND(R3168,2)</f>
        <v>0.48</v>
      </c>
      <c r="AN3163" s="511">
        <f ca="1">ROUND(T3168,2)</f>
        <v>1.92</v>
      </c>
      <c r="AO3163" s="512">
        <f ca="1">ROUND(AM3163+AN3163,2)*A3163</f>
        <v>14.399999999999999</v>
      </c>
    </row>
    <row r="3164" spans="1:41" s="504" customFormat="1" ht="13.2">
      <c r="A3164" s="872"/>
      <c r="B3164"/>
      <c r="C3164" s="872"/>
      <c r="D3164" s="873" t="s">
        <v>422</v>
      </c>
      <c r="F3164" s="877"/>
      <c r="G3164" s="3"/>
      <c r="H3164" s="877"/>
      <c r="I3164" s="878"/>
      <c r="J3164" s="877"/>
      <c r="K3164" s="877" t="s">
        <v>141</v>
      </c>
      <c r="L3164" s="877"/>
      <c r="M3164" s="877"/>
      <c r="N3164" s="877"/>
      <c r="O3164" s="877"/>
      <c r="P3164" s="877"/>
      <c r="Q3164" s="50"/>
      <c r="R3164" s="513"/>
      <c r="S3164" s="881"/>
      <c r="T3164" s="877"/>
    </row>
    <row r="3165" spans="1:41" s="997" customFormat="1" ht="13.2">
      <c r="A3165"/>
      <c r="B3165" s="1065"/>
      <c r="C3165" s="1065" t="s">
        <v>1006</v>
      </c>
      <c r="D3165" s="1065" t="str">
        <f ca="1">CELL("Address",Elec_Rates!D$330)</f>
        <v>[EL25_0662B_Brittania_Hotel_Elec_Revised_Estim_B.xlsx]Elec_Rates!$D$330</v>
      </c>
      <c r="E3165" s="1066"/>
      <c r="F3165" s="1066"/>
      <c r="G3165" s="1067" t="s">
        <v>1007</v>
      </c>
      <c r="H3165" s="1067"/>
      <c r="I3165" s="1067"/>
      <c r="J3165" s="1067"/>
      <c r="K3165" s="1068"/>
      <c r="L3165" s="1066"/>
      <c r="M3165" s="1066"/>
      <c r="N3165" s="1066"/>
      <c r="O3165" s="1069"/>
      <c r="P3165" s="1066"/>
      <c r="Q3165" s="1070"/>
      <c r="R3165" s="1071"/>
      <c r="S3165" s="1070"/>
      <c r="T3165" s="1072"/>
      <c r="U3165" s="1073"/>
    </row>
    <row r="3166" spans="1:41" s="997" customFormat="1" ht="11.4">
      <c r="A3166" s="1074">
        <v>6</v>
      </c>
      <c r="B3166" s="1075">
        <v>1</v>
      </c>
      <c r="C3166" s="1075">
        <f>$A3166*$B3166</f>
        <v>6</v>
      </c>
      <c r="D3166" s="1076" t="str">
        <f>Elec_Rates!$D$330</f>
        <v>037# Install and connect Only - Type 'LD-12' - Reading Lights</v>
      </c>
      <c r="E3166" s="1076"/>
      <c r="F3166" s="1076"/>
      <c r="G3166" s="1077" t="s">
        <v>1008</v>
      </c>
      <c r="H3166" s="1077"/>
      <c r="I3166" s="1077"/>
      <c r="J3166" s="1077"/>
      <c r="K3166" s="1078"/>
      <c r="L3166" s="1073"/>
      <c r="M3166" s="1073"/>
      <c r="N3166" s="1073"/>
      <c r="O3166" s="1079"/>
      <c r="P3166" s="1076"/>
      <c r="Q3166" s="1080">
        <f ca="1">$B3166*Elec_Rates!$R$330</f>
        <v>0.08</v>
      </c>
      <c r="R3166" s="1071">
        <f ca="1">$A3166*Q3166</f>
        <v>0.48</v>
      </c>
      <c r="S3166" s="1080">
        <f ca="1">$B3166*Elec_Rates!$T$330</f>
        <v>0.32</v>
      </c>
      <c r="T3166" s="1072">
        <f ca="1">$A3166*S3166</f>
        <v>1.92</v>
      </c>
      <c r="U3166" s="1081"/>
    </row>
    <row r="3167" spans="1:41" s="504" customFormat="1" ht="12">
      <c r="A3167" s="882"/>
      <c r="B3167" s="882"/>
      <c r="C3167" s="882"/>
      <c r="D3167" s="882"/>
      <c r="E3167" s="882"/>
      <c r="F3167" s="877"/>
      <c r="G3167" s="882"/>
      <c r="H3167" s="882"/>
      <c r="I3167" s="503"/>
      <c r="J3167" s="882"/>
      <c r="K3167" s="882"/>
      <c r="L3167" s="882"/>
      <c r="M3167" s="882"/>
      <c r="N3167" s="882"/>
      <c r="O3167" s="882"/>
      <c r="P3167" s="882"/>
      <c r="Q3167" s="503"/>
      <c r="R3167" s="883">
        <f>$A3167*Q3167</f>
        <v>0</v>
      </c>
      <c r="S3167" s="503"/>
      <c r="T3167" s="884">
        <f>$A3167*S3167*$T$1</f>
        <v>0</v>
      </c>
    </row>
    <row r="3168" spans="1:41" s="504" customFormat="1" ht="12.6" thickBot="1">
      <c r="A3168" s="885" t="s">
        <v>142</v>
      </c>
      <c r="B3168" s="886">
        <f>(R3167+T3167)</f>
        <v>0</v>
      </c>
      <c r="C3168" s="887"/>
      <c r="D3168" s="887"/>
      <c r="E3168" s="887"/>
      <c r="F3168" s="888"/>
      <c r="G3168" s="887" t="s">
        <v>143</v>
      </c>
      <c r="H3168" s="887"/>
      <c r="I3168" s="889"/>
      <c r="J3168" s="887"/>
      <c r="K3168" s="887" t="s">
        <v>3</v>
      </c>
      <c r="L3168" s="890" t="s">
        <v>140</v>
      </c>
      <c r="M3168" s="890"/>
      <c r="N3168" s="890"/>
      <c r="O3168" s="890"/>
      <c r="P3168" s="890"/>
      <c r="Q3168" s="891"/>
      <c r="R3168" s="892">
        <f ca="1">SUM(R3164:R3167)</f>
        <v>0.48</v>
      </c>
      <c r="S3168" s="887"/>
      <c r="T3168" s="892">
        <f ca="1">SUM(T3164:T3167)</f>
        <v>1.92</v>
      </c>
      <c r="U3168" s="514"/>
      <c r="V3168" s="514"/>
      <c r="W3168" s="514"/>
      <c r="X3168" s="514"/>
      <c r="Y3168" s="514"/>
      <c r="Z3168" s="514"/>
      <c r="AA3168" s="514"/>
      <c r="AB3168" s="514"/>
      <c r="AC3168" s="514"/>
      <c r="AD3168" s="514"/>
      <c r="AE3168" s="514"/>
      <c r="AF3168" s="514"/>
      <c r="AG3168" s="514"/>
      <c r="AH3168" s="514"/>
      <c r="AI3168" s="514"/>
      <c r="AJ3168" s="514"/>
      <c r="AK3168" s="514"/>
      <c r="AL3168" s="514"/>
      <c r="AM3168" s="514"/>
      <c r="AN3168" s="514"/>
      <c r="AO3168" s="514"/>
    </row>
    <row r="3169" spans="1:41" s="504" customFormat="1" ht="12" thickTop="1">
      <c r="A3169" s="50"/>
      <c r="B3169" s="40"/>
      <c r="C3169" s="50"/>
      <c r="E3169" s="41" t="s">
        <v>136</v>
      </c>
      <c r="F3169" s="41" t="s">
        <v>137</v>
      </c>
      <c r="G3169" s="50"/>
      <c r="H3169" s="50"/>
      <c r="I3169" s="50"/>
      <c r="J3169" s="50"/>
      <c r="K3169" s="50" t="s">
        <v>138</v>
      </c>
      <c r="L3169" s="50"/>
      <c r="M3169" s="50"/>
      <c r="N3169" s="50"/>
      <c r="O3169" s="51"/>
      <c r="P3169" s="50"/>
      <c r="Q3169" s="50"/>
      <c r="R3169" s="50"/>
      <c r="S3169" s="50"/>
      <c r="T3169" s="40"/>
      <c r="AG3169" s="867" t="s">
        <v>241</v>
      </c>
      <c r="AH3169" s="867" t="s">
        <v>242</v>
      </c>
      <c r="AI3169" s="867" t="s">
        <v>243</v>
      </c>
      <c r="AJ3169" s="867" t="s">
        <v>244</v>
      </c>
      <c r="AK3169" s="867" t="s">
        <v>245</v>
      </c>
      <c r="AM3169" s="868" t="s">
        <v>254</v>
      </c>
      <c r="AN3169" s="869" t="s">
        <v>255</v>
      </c>
      <c r="AO3169" s="505" t="s">
        <v>251</v>
      </c>
    </row>
    <row r="3170" spans="1:41" s="504" customFormat="1" ht="12" customHeight="1">
      <c r="A3170" s="870">
        <v>5</v>
      </c>
      <c r="B3170" s="871" t="s">
        <v>335</v>
      </c>
      <c r="C3170" s="872"/>
      <c r="D3170" s="873" t="s">
        <v>822</v>
      </c>
      <c r="E3170" s="874">
        <f ca="1">IF(AND($A3170=0,$A$1="DIF"),0, ROUND(ROUND(($R3175*$S$2+($T3175*$T$2))/A3170,2)*$C$2,2))</f>
        <v>11.35</v>
      </c>
      <c r="F3170" s="875">
        <f ca="1">ROUND($A3170*$E3170,2)</f>
        <v>56.75</v>
      </c>
      <c r="G3170" s="876" t="s">
        <v>139</v>
      </c>
      <c r="H3170" s="877"/>
      <c r="I3170" s="878"/>
      <c r="J3170" s="877"/>
      <c r="K3170" s="877" t="s">
        <v>3</v>
      </c>
      <c r="L3170" s="879" t="s">
        <v>140</v>
      </c>
      <c r="M3170" s="879"/>
      <c r="N3170" s="879"/>
      <c r="O3170" s="879"/>
      <c r="P3170" s="879"/>
      <c r="Q3170" s="50"/>
      <c r="T3170" s="880" t="str">
        <f ca="1">IF(AND($R3175=0,$T3175=0),"0.00","mu :" &amp; ROUND($F3170/$C$2/($R3175+$T3175*$D$9),2))</f>
        <v>mu :1.22</v>
      </c>
      <c r="W3170" s="507"/>
      <c r="AG3170" s="465">
        <f ca="1">IF($E3170=0,0,ROUND($R3175*$S$2*$C$2/$A3170,2))</f>
        <v>0.1</v>
      </c>
      <c r="AH3170" s="465">
        <f ca="1">$AG3170*$A3170</f>
        <v>0.5</v>
      </c>
      <c r="AI3170" s="508">
        <f ca="1">$E3170-$AG3170</f>
        <v>11.25</v>
      </c>
      <c r="AJ3170" s="508">
        <f ca="1">$A3170*$AI3170</f>
        <v>56.25</v>
      </c>
      <c r="AK3170" s="509">
        <f ca="1">ROUND(($AG3170+$AI3170)*$A3170,2)</f>
        <v>56.75</v>
      </c>
      <c r="AM3170" s="510">
        <f ca="1">ROUND(R3175,2)</f>
        <v>0.4</v>
      </c>
      <c r="AN3170" s="511">
        <f ca="1">ROUND(T3175,2)</f>
        <v>1.6</v>
      </c>
      <c r="AO3170" s="512">
        <f ca="1">ROUND(AM3170+AN3170,2)*A3170</f>
        <v>10</v>
      </c>
    </row>
    <row r="3171" spans="1:41" s="504" customFormat="1" ht="13.2">
      <c r="A3171" s="872"/>
      <c r="B3171"/>
      <c r="C3171" s="872"/>
      <c r="D3171" s="873" t="s">
        <v>423</v>
      </c>
      <c r="F3171" s="877"/>
      <c r="G3171" s="3"/>
      <c r="H3171" s="877"/>
      <c r="I3171" s="878"/>
      <c r="J3171" s="877"/>
      <c r="K3171" s="877" t="s">
        <v>141</v>
      </c>
      <c r="L3171" s="877"/>
      <c r="M3171" s="877"/>
      <c r="N3171" s="877"/>
      <c r="O3171" s="877"/>
      <c r="P3171" s="877"/>
      <c r="Q3171" s="50"/>
      <c r="R3171" s="513"/>
      <c r="S3171" s="881"/>
      <c r="T3171" s="877"/>
    </row>
    <row r="3172" spans="1:41" s="997" customFormat="1" ht="13.2">
      <c r="A3172"/>
      <c r="B3172" s="1065"/>
      <c r="C3172" s="1065" t="s">
        <v>1006</v>
      </c>
      <c r="D3172" s="1065" t="str">
        <f ca="1">CELL("Address",Elec_Rates!D$353)</f>
        <v>[EL25_0662B_Brittania_Hotel_Elec_Revised_Estim_B.xlsx]Elec_Rates!$D$353</v>
      </c>
      <c r="E3172" s="1066"/>
      <c r="F3172" s="1066"/>
      <c r="G3172" s="1067" t="s">
        <v>1007</v>
      </c>
      <c r="H3172" s="1067"/>
      <c r="I3172" s="1067"/>
      <c r="J3172" s="1067"/>
      <c r="K3172" s="1068"/>
      <c r="L3172" s="1066"/>
      <c r="M3172" s="1066"/>
      <c r="N3172" s="1066"/>
      <c r="O3172" s="1069"/>
      <c r="P3172" s="1066"/>
      <c r="Q3172" s="1070"/>
      <c r="R3172" s="1071"/>
      <c r="S3172" s="1070"/>
      <c r="T3172" s="1072"/>
      <c r="U3172" s="1073"/>
    </row>
    <row r="3173" spans="1:41" s="997" customFormat="1" ht="11.4">
      <c r="A3173" s="1074">
        <v>5</v>
      </c>
      <c r="B3173" s="1075">
        <v>1</v>
      </c>
      <c r="C3173" s="1075">
        <f>$A3173*$B3173</f>
        <v>5</v>
      </c>
      <c r="D3173" s="1076" t="str">
        <f>Elec_Rates!$D$353</f>
        <v>040# Install and connect Only - Type 'LD-15' - Bathrooms Wall Light</v>
      </c>
      <c r="E3173" s="1076"/>
      <c r="F3173" s="1076"/>
      <c r="G3173" s="1077" t="s">
        <v>1008</v>
      </c>
      <c r="H3173" s="1077"/>
      <c r="I3173" s="1077"/>
      <c r="J3173" s="1077"/>
      <c r="K3173" s="1078"/>
      <c r="L3173" s="1073"/>
      <c r="M3173" s="1073"/>
      <c r="N3173" s="1073"/>
      <c r="O3173" s="1079"/>
      <c r="P3173" s="1076"/>
      <c r="Q3173" s="1080">
        <f ca="1">$B3173*Elec_Rates!$R$353</f>
        <v>0.08</v>
      </c>
      <c r="R3173" s="1071">
        <f ca="1">$A3173*Q3173</f>
        <v>0.4</v>
      </c>
      <c r="S3173" s="1080">
        <f ca="1">$B3173*Elec_Rates!$T$353</f>
        <v>0.32</v>
      </c>
      <c r="T3173" s="1072">
        <f ca="1">$A3173*S3173</f>
        <v>1.6</v>
      </c>
      <c r="U3173" s="1081"/>
    </row>
    <row r="3174" spans="1:41" s="504" customFormat="1" ht="12">
      <c r="A3174" s="882"/>
      <c r="B3174" s="882"/>
      <c r="C3174" s="882"/>
      <c r="D3174" s="882"/>
      <c r="E3174" s="882"/>
      <c r="F3174" s="877"/>
      <c r="G3174" s="882"/>
      <c r="H3174" s="882"/>
      <c r="I3174" s="503"/>
      <c r="J3174" s="882"/>
      <c r="K3174" s="882"/>
      <c r="L3174" s="882"/>
      <c r="M3174" s="882"/>
      <c r="N3174" s="882"/>
      <c r="O3174" s="882"/>
      <c r="P3174" s="882"/>
      <c r="Q3174" s="503"/>
      <c r="R3174" s="883">
        <f>$A3174*Q3174</f>
        <v>0</v>
      </c>
      <c r="S3174" s="503"/>
      <c r="T3174" s="884">
        <f>$A3174*S3174*$T$1</f>
        <v>0</v>
      </c>
    </row>
    <row r="3175" spans="1:41" s="504" customFormat="1" ht="12.6" thickBot="1">
      <c r="A3175" s="885" t="s">
        <v>142</v>
      </c>
      <c r="B3175" s="886">
        <f>(R3174+T3174)</f>
        <v>0</v>
      </c>
      <c r="C3175" s="887"/>
      <c r="D3175" s="887"/>
      <c r="E3175" s="887"/>
      <c r="F3175" s="888"/>
      <c r="G3175" s="887" t="s">
        <v>143</v>
      </c>
      <c r="H3175" s="887"/>
      <c r="I3175" s="889"/>
      <c r="J3175" s="887"/>
      <c r="K3175" s="887" t="s">
        <v>3</v>
      </c>
      <c r="L3175" s="890" t="s">
        <v>140</v>
      </c>
      <c r="M3175" s="890"/>
      <c r="N3175" s="890"/>
      <c r="O3175" s="890"/>
      <c r="P3175" s="890"/>
      <c r="Q3175" s="891"/>
      <c r="R3175" s="892">
        <f ca="1">SUM(R3171:R3174)</f>
        <v>0.4</v>
      </c>
      <c r="S3175" s="887"/>
      <c r="T3175" s="892">
        <f ca="1">SUM(T3171:T3174)</f>
        <v>1.6</v>
      </c>
      <c r="U3175" s="514"/>
      <c r="V3175" s="514"/>
      <c r="W3175" s="514"/>
      <c r="X3175" s="514"/>
      <c r="Y3175" s="514"/>
      <c r="Z3175" s="514"/>
      <c r="AA3175" s="514"/>
      <c r="AB3175" s="514"/>
      <c r="AC3175" s="514"/>
      <c r="AD3175" s="514"/>
      <c r="AE3175" s="514"/>
      <c r="AF3175" s="514"/>
      <c r="AG3175" s="514"/>
      <c r="AH3175" s="514"/>
      <c r="AI3175" s="514"/>
      <c r="AJ3175" s="514"/>
      <c r="AK3175" s="514"/>
      <c r="AL3175" s="514"/>
      <c r="AM3175" s="514"/>
      <c r="AN3175" s="514"/>
      <c r="AO3175" s="514"/>
    </row>
    <row r="3176" spans="1:41" s="504" customFormat="1" ht="12" thickTop="1">
      <c r="A3176" s="50"/>
      <c r="B3176" s="40"/>
      <c r="C3176" s="50"/>
      <c r="E3176" s="41" t="s">
        <v>136</v>
      </c>
      <c r="F3176" s="41" t="s">
        <v>137</v>
      </c>
      <c r="G3176" s="50"/>
      <c r="H3176" s="50"/>
      <c r="I3176" s="50"/>
      <c r="J3176" s="50"/>
      <c r="K3176" s="50" t="s">
        <v>138</v>
      </c>
      <c r="L3176" s="50"/>
      <c r="M3176" s="50"/>
      <c r="N3176" s="50"/>
      <c r="O3176" s="51"/>
      <c r="P3176" s="50"/>
      <c r="Q3176" s="50"/>
      <c r="R3176" s="50"/>
      <c r="S3176" s="50"/>
      <c r="T3176" s="40"/>
      <c r="AG3176" s="867" t="s">
        <v>241</v>
      </c>
      <c r="AH3176" s="867" t="s">
        <v>242</v>
      </c>
      <c r="AI3176" s="867" t="s">
        <v>243</v>
      </c>
      <c r="AJ3176" s="867" t="s">
        <v>244</v>
      </c>
      <c r="AK3176" s="867" t="s">
        <v>245</v>
      </c>
      <c r="AM3176" s="868" t="s">
        <v>254</v>
      </c>
      <c r="AN3176" s="869" t="s">
        <v>255</v>
      </c>
      <c r="AO3176" s="505" t="s">
        <v>251</v>
      </c>
    </row>
    <row r="3177" spans="1:41" s="504" customFormat="1" ht="12" customHeight="1">
      <c r="A3177" s="870">
        <v>11</v>
      </c>
      <c r="B3177" s="871" t="s">
        <v>335</v>
      </c>
      <c r="C3177" s="872"/>
      <c r="D3177" s="873" t="s">
        <v>823</v>
      </c>
      <c r="E3177" s="874">
        <f>IF(AND($A3177=0,$A$1="DIF"),0, ROUND(ROUND(($R3182*$S$2+($T3182*$T$2))/A3177,2)*$C$2,2))</f>
        <v>0</v>
      </c>
      <c r="F3177" s="875">
        <f>ROUND($A3177*$E3177,2)</f>
        <v>0</v>
      </c>
      <c r="G3177" s="876" t="s">
        <v>139</v>
      </c>
      <c r="H3177" s="877"/>
      <c r="I3177" s="878"/>
      <c r="J3177" s="877"/>
      <c r="K3177" s="877" t="s">
        <v>3</v>
      </c>
      <c r="L3177" s="879" t="s">
        <v>140</v>
      </c>
      <c r="M3177" s="879"/>
      <c r="N3177" s="879"/>
      <c r="O3177" s="879"/>
      <c r="P3177" s="879"/>
      <c r="Q3177" s="50" t="s">
        <v>1336</v>
      </c>
      <c r="T3177" s="880" t="str">
        <f>IF(AND($R3182=0,$T3182=0),"0.00","mu :" &amp; ROUND($F3177/$C$2/($R3182+$T3182*$D$9),2))</f>
        <v>0.00</v>
      </c>
      <c r="W3177" s="507"/>
      <c r="AG3177" s="465">
        <f>IF($E3177=0,0,ROUND($R3182*$S$2*$C$2/$A3177,2))</f>
        <v>0</v>
      </c>
      <c r="AH3177" s="465">
        <f>$AG3177*$A3177</f>
        <v>0</v>
      </c>
      <c r="AI3177" s="508">
        <f>$E3177-$AG3177</f>
        <v>0</v>
      </c>
      <c r="AJ3177" s="508">
        <f>$A3177*$AI3177</f>
        <v>0</v>
      </c>
      <c r="AK3177" s="509">
        <f>ROUND(($AG3177+$AI3177)*$A3177,2)</f>
        <v>0</v>
      </c>
      <c r="AM3177" s="510">
        <f>ROUND(R3182,2)</f>
        <v>0</v>
      </c>
      <c r="AN3177" s="511">
        <f>ROUND(T3182,2)</f>
        <v>0</v>
      </c>
      <c r="AO3177" s="512">
        <f>ROUND(AM3177+AN3177,2)*A3177</f>
        <v>0</v>
      </c>
    </row>
    <row r="3178" spans="1:41" s="504" customFormat="1" ht="13.2">
      <c r="A3178" s="872"/>
      <c r="B3178"/>
      <c r="C3178" s="872"/>
      <c r="D3178" s="873" t="s">
        <v>381</v>
      </c>
      <c r="F3178" s="877"/>
      <c r="G3178" s="3"/>
      <c r="H3178" s="877"/>
      <c r="I3178" s="878"/>
      <c r="J3178" s="877"/>
      <c r="K3178" s="877" t="s">
        <v>141</v>
      </c>
      <c r="L3178" s="877"/>
      <c r="M3178" s="877"/>
      <c r="N3178" s="877"/>
      <c r="O3178" s="877"/>
      <c r="P3178" s="877"/>
      <c r="Q3178" s="50"/>
      <c r="R3178" s="513"/>
      <c r="S3178" s="881"/>
      <c r="T3178" s="877"/>
    </row>
    <row r="3179" spans="1:41" s="504" customFormat="1" ht="12">
      <c r="A3179" s="50"/>
      <c r="B3179" s="882"/>
      <c r="C3179" s="882"/>
      <c r="D3179" s="882"/>
      <c r="E3179" s="882"/>
      <c r="F3179" s="877"/>
      <c r="G3179" s="882"/>
      <c r="H3179" s="882"/>
      <c r="I3179" s="503"/>
      <c r="J3179" s="882"/>
      <c r="K3179" s="882"/>
      <c r="L3179" s="882"/>
      <c r="M3179" s="882"/>
      <c r="N3179" s="882"/>
      <c r="O3179" s="882"/>
      <c r="P3179" s="882"/>
      <c r="Q3179" s="503"/>
      <c r="R3179" s="883">
        <f>$A3179*Q3179</f>
        <v>0</v>
      </c>
      <c r="S3179" s="503"/>
      <c r="T3179" s="884">
        <f>$A3179*S3179*$T$1</f>
        <v>0</v>
      </c>
    </row>
    <row r="3180" spans="1:41" s="504" customFormat="1" ht="12">
      <c r="A3180" s="50"/>
      <c r="B3180" s="882"/>
      <c r="C3180" s="882"/>
      <c r="D3180" s="50" t="s">
        <v>1336</v>
      </c>
      <c r="E3180" s="882"/>
      <c r="F3180" s="877"/>
      <c r="G3180" s="882"/>
      <c r="H3180" s="882"/>
      <c r="I3180" s="503"/>
      <c r="J3180" s="882"/>
      <c r="K3180" s="882"/>
      <c r="L3180" s="882"/>
      <c r="M3180" s="882"/>
      <c r="N3180" s="882"/>
      <c r="O3180" s="882"/>
      <c r="P3180" s="882"/>
      <c r="Q3180" s="503"/>
      <c r="R3180" s="883">
        <f>$A3180*Q3180</f>
        <v>0</v>
      </c>
      <c r="S3180" s="503"/>
      <c r="T3180" s="884">
        <f>$A3180*S3180*$T$1</f>
        <v>0</v>
      </c>
    </row>
    <row r="3181" spans="1:41" s="504" customFormat="1" ht="12">
      <c r="A3181" s="882"/>
      <c r="B3181" s="882"/>
      <c r="C3181" s="882"/>
      <c r="D3181" s="882"/>
      <c r="E3181" s="882"/>
      <c r="F3181" s="877"/>
      <c r="G3181" s="882"/>
      <c r="H3181" s="882"/>
      <c r="I3181" s="503"/>
      <c r="J3181" s="882"/>
      <c r="K3181" s="882"/>
      <c r="L3181" s="882"/>
      <c r="M3181" s="882"/>
      <c r="N3181" s="882"/>
      <c r="O3181" s="882"/>
      <c r="P3181" s="882"/>
      <c r="Q3181" s="503"/>
      <c r="R3181" s="883">
        <f>$A3181*Q3181</f>
        <v>0</v>
      </c>
      <c r="S3181" s="503"/>
      <c r="T3181" s="884">
        <f>$A3181*S3181*$T$1</f>
        <v>0</v>
      </c>
    </row>
    <row r="3182" spans="1:41" s="504" customFormat="1" ht="12.6" thickBot="1">
      <c r="A3182" s="885" t="s">
        <v>142</v>
      </c>
      <c r="B3182" s="886">
        <f>(R3181+T3181)</f>
        <v>0</v>
      </c>
      <c r="C3182" s="887"/>
      <c r="D3182" s="887"/>
      <c r="E3182" s="887"/>
      <c r="F3182" s="888"/>
      <c r="G3182" s="887" t="s">
        <v>143</v>
      </c>
      <c r="H3182" s="887"/>
      <c r="I3182" s="889"/>
      <c r="J3182" s="887"/>
      <c r="K3182" s="887" t="s">
        <v>3</v>
      </c>
      <c r="L3182" s="890" t="s">
        <v>140</v>
      </c>
      <c r="M3182" s="890"/>
      <c r="N3182" s="890"/>
      <c r="O3182" s="890"/>
      <c r="P3182" s="890"/>
      <c r="Q3182" s="891"/>
      <c r="R3182" s="892">
        <f>SUM(R3178:R3181)</f>
        <v>0</v>
      </c>
      <c r="S3182" s="887"/>
      <c r="T3182" s="892">
        <f>SUM(T3178:T3181)</f>
        <v>0</v>
      </c>
      <c r="U3182" s="514"/>
      <c r="V3182" s="514"/>
      <c r="W3182" s="514"/>
      <c r="X3182" s="514"/>
      <c r="Y3182" s="514"/>
      <c r="Z3182" s="514"/>
      <c r="AA3182" s="514"/>
      <c r="AB3182" s="514"/>
      <c r="AC3182" s="514"/>
      <c r="AD3182" s="514"/>
      <c r="AE3182" s="514"/>
      <c r="AF3182" s="514"/>
      <c r="AG3182" s="514"/>
      <c r="AH3182" s="514"/>
      <c r="AI3182" s="514"/>
      <c r="AJ3182" s="514"/>
      <c r="AK3182" s="514"/>
      <c r="AL3182" s="514"/>
      <c r="AM3182" s="514"/>
      <c r="AN3182" s="514"/>
      <c r="AO3182" s="514"/>
    </row>
    <row r="3183" spans="1:41" s="504" customFormat="1" ht="12" thickTop="1">
      <c r="A3183" s="50"/>
      <c r="B3183" s="40"/>
      <c r="C3183" s="50"/>
      <c r="E3183" s="41" t="s">
        <v>136</v>
      </c>
      <c r="F3183" s="41" t="s">
        <v>137</v>
      </c>
      <c r="G3183" s="50"/>
      <c r="H3183" s="50"/>
      <c r="I3183" s="50"/>
      <c r="J3183" s="50"/>
      <c r="K3183" s="50" t="s">
        <v>138</v>
      </c>
      <c r="L3183" s="50"/>
      <c r="M3183" s="50"/>
      <c r="N3183" s="50"/>
      <c r="O3183" s="51"/>
      <c r="P3183" s="50"/>
      <c r="Q3183" s="50"/>
      <c r="R3183" s="50"/>
      <c r="S3183" s="50"/>
      <c r="T3183" s="40"/>
      <c r="AG3183" s="867" t="s">
        <v>241</v>
      </c>
      <c r="AH3183" s="867" t="s">
        <v>242</v>
      </c>
      <c r="AI3183" s="867" t="s">
        <v>243</v>
      </c>
      <c r="AJ3183" s="867" t="s">
        <v>244</v>
      </c>
      <c r="AK3183" s="867" t="s">
        <v>245</v>
      </c>
      <c r="AM3183" s="868" t="s">
        <v>254</v>
      </c>
      <c r="AN3183" s="869" t="s">
        <v>255</v>
      </c>
      <c r="AO3183" s="505" t="s">
        <v>251</v>
      </c>
    </row>
    <row r="3184" spans="1:41" s="504" customFormat="1" ht="12" customHeight="1">
      <c r="A3184" s="870">
        <v>4</v>
      </c>
      <c r="B3184" s="871" t="s">
        <v>335</v>
      </c>
      <c r="C3184" s="872"/>
      <c r="D3184" s="873" t="s">
        <v>824</v>
      </c>
      <c r="E3184" s="874">
        <f ca="1">IF(AND($A3184=0,$A$1="DIF"),0, ROUND(ROUND(($R3189*$S$2+($T3189*$T$2))/A3184,2)*$C$2,2))</f>
        <v>13.21</v>
      </c>
      <c r="F3184" s="875">
        <f ca="1">ROUND($A3184*$E3184,2)</f>
        <v>52.84</v>
      </c>
      <c r="G3184" s="876" t="s">
        <v>139</v>
      </c>
      <c r="H3184" s="877"/>
      <c r="I3184" s="878"/>
      <c r="J3184" s="877"/>
      <c r="K3184" s="877" t="s">
        <v>3</v>
      </c>
      <c r="L3184" s="879" t="s">
        <v>140</v>
      </c>
      <c r="M3184" s="879"/>
      <c r="N3184" s="879"/>
      <c r="O3184" s="879"/>
      <c r="P3184" s="879"/>
      <c r="Q3184" s="50"/>
      <c r="T3184" s="880" t="str">
        <f ca="1">IF(AND($R3189=0,$T3189=0),"0.00","mu :" &amp; ROUND($F3184/$C$2/($R3189+$T3189*$D$9),2))</f>
        <v>mu :1.22</v>
      </c>
      <c r="W3184" s="507"/>
      <c r="AG3184" s="465">
        <f ca="1">IF($E3184=0,0,ROUND($R3189*$S$2*$C$2/$A3184,2))</f>
        <v>0.2</v>
      </c>
      <c r="AH3184" s="465">
        <f ca="1">$AG3184*$A3184</f>
        <v>0.8</v>
      </c>
      <c r="AI3184" s="508">
        <f ca="1">$E3184-$AG3184</f>
        <v>13.010000000000002</v>
      </c>
      <c r="AJ3184" s="508">
        <f ca="1">$A3184*$AI3184</f>
        <v>52.040000000000006</v>
      </c>
      <c r="AK3184" s="509">
        <f ca="1">ROUND(($AG3184+$AI3184)*$A3184,2)</f>
        <v>52.84</v>
      </c>
      <c r="AM3184" s="510">
        <f ca="1">ROUND(R3189,2)</f>
        <v>0.64</v>
      </c>
      <c r="AN3184" s="511">
        <f ca="1">ROUND(T3189,2)</f>
        <v>1.48</v>
      </c>
      <c r="AO3184" s="512">
        <f ca="1">ROUND(AM3184+AN3184,2)*A3184</f>
        <v>8.48</v>
      </c>
    </row>
    <row r="3185" spans="1:41" s="504" customFormat="1" ht="13.2">
      <c r="A3185" s="872"/>
      <c r="B3185"/>
      <c r="C3185" s="872"/>
      <c r="D3185" s="873" t="s">
        <v>348</v>
      </c>
      <c r="F3185" s="877"/>
      <c r="G3185" s="3"/>
      <c r="H3185" s="877"/>
      <c r="I3185" s="878"/>
      <c r="J3185" s="877"/>
      <c r="K3185" s="877" t="s">
        <v>141</v>
      </c>
      <c r="L3185" s="877"/>
      <c r="M3185" s="877"/>
      <c r="N3185" s="877"/>
      <c r="O3185" s="877"/>
      <c r="P3185" s="877"/>
      <c r="Q3185" s="50"/>
      <c r="R3185" s="513"/>
      <c r="S3185" s="881"/>
      <c r="T3185" s="877"/>
    </row>
    <row r="3186" spans="1:41" s="997" customFormat="1" ht="13.2">
      <c r="A3186"/>
      <c r="B3186" s="1065"/>
      <c r="C3186" s="1065" t="s">
        <v>1006</v>
      </c>
      <c r="D3186" s="1065" t="str">
        <f ca="1">CELL("Address",Elec_Rates!D$247)</f>
        <v>[EL25_0662B_Brittania_Hotel_Elec_Revised_Estim_B.xlsx]Elec_Rates!$D$247</v>
      </c>
      <c r="E3186" s="1066"/>
      <c r="F3186" s="1066"/>
      <c r="G3186" s="1067" t="s">
        <v>1007</v>
      </c>
      <c r="H3186" s="1067"/>
      <c r="I3186" s="1067"/>
      <c r="J3186" s="1067"/>
      <c r="K3186" s="1068"/>
      <c r="L3186" s="1066"/>
      <c r="M3186" s="1066"/>
      <c r="N3186" s="1066"/>
      <c r="O3186" s="1069"/>
      <c r="P3186" s="1066"/>
      <c r="Q3186" s="1070"/>
      <c r="R3186" s="1071"/>
      <c r="S3186" s="1070"/>
      <c r="T3186" s="1072"/>
      <c r="U3186" s="1073"/>
    </row>
    <row r="3187" spans="1:41" s="997" customFormat="1" ht="11.4">
      <c r="A3187" s="1074">
        <v>4</v>
      </c>
      <c r="B3187" s="1075">
        <v>1</v>
      </c>
      <c r="C3187" s="1075">
        <f>$A3187*$B3187</f>
        <v>4</v>
      </c>
      <c r="D3187" s="1076" t="str">
        <f>Elec_Rates!$D$247</f>
        <v>026# Install and connect Only - Type 'E1' - Single Sided, Wall Mounted, Directional Exit Signage</v>
      </c>
      <c r="E3187" s="1076"/>
      <c r="F3187" s="1076"/>
      <c r="G3187" s="1077" t="s">
        <v>1008</v>
      </c>
      <c r="H3187" s="1077"/>
      <c r="I3187" s="1077"/>
      <c r="J3187" s="1077"/>
      <c r="K3187" s="1078"/>
      <c r="L3187" s="1073"/>
      <c r="M3187" s="1073"/>
      <c r="N3187" s="1073"/>
      <c r="O3187" s="1079"/>
      <c r="P3187" s="1076"/>
      <c r="Q3187" s="1080">
        <f ca="1">$B3187*Elec_Rates!$R$247</f>
        <v>0.16</v>
      </c>
      <c r="R3187" s="1071">
        <f ca="1">$A3187*Q3187</f>
        <v>0.64</v>
      </c>
      <c r="S3187" s="1080">
        <f ca="1">$B3187*Elec_Rates!$T$247</f>
        <v>0.37</v>
      </c>
      <c r="T3187" s="1072">
        <f ca="1">$A3187*S3187</f>
        <v>1.48</v>
      </c>
      <c r="U3187" s="1081"/>
    </row>
    <row r="3188" spans="1:41" s="504" customFormat="1" ht="12">
      <c r="A3188" s="882"/>
      <c r="B3188" s="882"/>
      <c r="C3188" s="882"/>
      <c r="D3188" s="882"/>
      <c r="E3188" s="882"/>
      <c r="F3188" s="877"/>
      <c r="G3188" s="882"/>
      <c r="H3188" s="882"/>
      <c r="I3188" s="503"/>
      <c r="J3188" s="882"/>
      <c r="K3188" s="882"/>
      <c r="L3188" s="882"/>
      <c r="M3188" s="882"/>
      <c r="N3188" s="882"/>
      <c r="O3188" s="882"/>
      <c r="P3188" s="882"/>
      <c r="Q3188" s="503"/>
      <c r="R3188" s="883">
        <f>$A3188*Q3188</f>
        <v>0</v>
      </c>
      <c r="S3188" s="503"/>
      <c r="T3188" s="884">
        <f>$A3188*S3188*$T$1</f>
        <v>0</v>
      </c>
    </row>
    <row r="3189" spans="1:41" s="504" customFormat="1" ht="12.6" thickBot="1">
      <c r="A3189" s="885" t="s">
        <v>142</v>
      </c>
      <c r="B3189" s="886">
        <f>(R3188+T3188)</f>
        <v>0</v>
      </c>
      <c r="C3189" s="887"/>
      <c r="D3189" s="887"/>
      <c r="E3189" s="887"/>
      <c r="F3189" s="888"/>
      <c r="G3189" s="887" t="s">
        <v>143</v>
      </c>
      <c r="H3189" s="887"/>
      <c r="I3189" s="889"/>
      <c r="J3189" s="887"/>
      <c r="K3189" s="887" t="s">
        <v>3</v>
      </c>
      <c r="L3189" s="890" t="s">
        <v>140</v>
      </c>
      <c r="M3189" s="890"/>
      <c r="N3189" s="890"/>
      <c r="O3189" s="890"/>
      <c r="P3189" s="890"/>
      <c r="Q3189" s="891"/>
      <c r="R3189" s="892">
        <f ca="1">SUM(R3185:R3188)</f>
        <v>0.64</v>
      </c>
      <c r="S3189" s="887"/>
      <c r="T3189" s="892">
        <f ca="1">SUM(T3185:T3188)</f>
        <v>1.48</v>
      </c>
      <c r="U3189" s="514"/>
      <c r="V3189" s="514"/>
      <c r="W3189" s="514"/>
      <c r="X3189" s="514"/>
      <c r="Y3189" s="514"/>
      <c r="Z3189" s="514"/>
      <c r="AA3189" s="514"/>
      <c r="AB3189" s="514"/>
      <c r="AC3189" s="514"/>
      <c r="AD3189" s="514"/>
      <c r="AE3189" s="514"/>
      <c r="AF3189" s="514"/>
      <c r="AG3189" s="514"/>
      <c r="AH3189" s="514"/>
      <c r="AI3189" s="514"/>
      <c r="AJ3189" s="514"/>
      <c r="AK3189" s="514"/>
      <c r="AL3189" s="514"/>
      <c r="AM3189" s="514"/>
      <c r="AN3189" s="514"/>
      <c r="AO3189" s="514"/>
    </row>
    <row r="3190" spans="1:41" s="504" customFormat="1" ht="12" thickTop="1">
      <c r="A3190" s="50"/>
      <c r="B3190" s="40"/>
      <c r="C3190" s="50"/>
      <c r="E3190" s="41" t="s">
        <v>136</v>
      </c>
      <c r="F3190" s="41" t="s">
        <v>137</v>
      </c>
      <c r="G3190" s="50"/>
      <c r="H3190" s="50"/>
      <c r="I3190" s="50"/>
      <c r="J3190" s="50"/>
      <c r="K3190" s="50" t="s">
        <v>138</v>
      </c>
      <c r="L3190" s="50"/>
      <c r="M3190" s="50"/>
      <c r="N3190" s="50"/>
      <c r="O3190" s="51"/>
      <c r="P3190" s="50"/>
      <c r="Q3190" s="50"/>
      <c r="R3190" s="50"/>
      <c r="S3190" s="50"/>
      <c r="T3190" s="40"/>
      <c r="AG3190" s="867" t="s">
        <v>241</v>
      </c>
      <c r="AH3190" s="867" t="s">
        <v>242</v>
      </c>
      <c r="AI3190" s="867" t="s">
        <v>243</v>
      </c>
      <c r="AJ3190" s="867" t="s">
        <v>244</v>
      </c>
      <c r="AK3190" s="867" t="s">
        <v>245</v>
      </c>
      <c r="AM3190" s="868" t="s">
        <v>254</v>
      </c>
      <c r="AN3190" s="869" t="s">
        <v>255</v>
      </c>
      <c r="AO3190" s="505" t="s">
        <v>251</v>
      </c>
    </row>
    <row r="3191" spans="1:41" s="504" customFormat="1" ht="12" customHeight="1">
      <c r="A3191" s="870">
        <v>6</v>
      </c>
      <c r="B3191" s="871" t="s">
        <v>335</v>
      </c>
      <c r="C3191" s="872"/>
      <c r="D3191" s="873" t="s">
        <v>825</v>
      </c>
      <c r="E3191" s="874">
        <f ca="1">IF(AND($A3191=0,$A$1="DIF"),0, ROUND(ROUND(($R3196*$S$2+($T3196*$T$2))/A3191,2)*$C$2,2))</f>
        <v>16.12</v>
      </c>
      <c r="F3191" s="875">
        <f ca="1">ROUND($A3191*$E3191,2)</f>
        <v>96.72</v>
      </c>
      <c r="G3191" s="876" t="s">
        <v>139</v>
      </c>
      <c r="H3191" s="877"/>
      <c r="I3191" s="878"/>
      <c r="J3191" s="877"/>
      <c r="K3191" s="877" t="s">
        <v>3</v>
      </c>
      <c r="L3191" s="879" t="s">
        <v>140</v>
      </c>
      <c r="M3191" s="879"/>
      <c r="N3191" s="879"/>
      <c r="O3191" s="879"/>
      <c r="P3191" s="879"/>
      <c r="Q3191" s="50"/>
      <c r="T3191" s="880" t="str">
        <f ca="1">IF(AND($R3196=0,$T3196=0),"0.00","mu :" &amp; ROUND($F3191/$C$2/($R3196+$T3196*$D$9),2))</f>
        <v>mu :1.22</v>
      </c>
      <c r="W3191" s="507"/>
      <c r="AG3191" s="465">
        <f ca="1">IF($E3191=0,0,ROUND($R3196*$S$2*$C$2/$A3191,2))</f>
        <v>1.34</v>
      </c>
      <c r="AH3191" s="465">
        <f ca="1">$AG3191*$A3191</f>
        <v>8.0400000000000009</v>
      </c>
      <c r="AI3191" s="508">
        <f ca="1">$E3191-$AG3191</f>
        <v>14.780000000000001</v>
      </c>
      <c r="AJ3191" s="508">
        <f ca="1">$A3191*$AI3191</f>
        <v>88.68</v>
      </c>
      <c r="AK3191" s="509">
        <f ca="1">ROUND(($AG3191+$AI3191)*$A3191,2)</f>
        <v>96.72</v>
      </c>
      <c r="AM3191" s="510">
        <f ca="1">ROUND(R3196,2)</f>
        <v>6.6</v>
      </c>
      <c r="AN3191" s="511">
        <f ca="1">ROUND(T3196,2)</f>
        <v>2.52</v>
      </c>
      <c r="AO3191" s="512">
        <f ca="1">ROUND(AM3191+AN3191,2)*A3191</f>
        <v>54.72</v>
      </c>
    </row>
    <row r="3192" spans="1:41" s="504" customFormat="1" ht="13.2">
      <c r="A3192" s="872"/>
      <c r="B3192"/>
      <c r="C3192" s="872"/>
      <c r="D3192" s="873" t="s">
        <v>450</v>
      </c>
      <c r="F3192" s="877"/>
      <c r="G3192" s="3"/>
      <c r="H3192" s="877"/>
      <c r="I3192" s="878"/>
      <c r="J3192" s="877"/>
      <c r="K3192" s="877" t="s">
        <v>141</v>
      </c>
      <c r="L3192" s="877"/>
      <c r="M3192" s="877"/>
      <c r="N3192" s="877"/>
      <c r="O3192" s="877"/>
      <c r="P3192" s="877"/>
      <c r="Q3192" s="50"/>
      <c r="R3192" s="513"/>
      <c r="S3192" s="881"/>
      <c r="T3192" s="877"/>
    </row>
    <row r="3193" spans="1:41" s="997" customFormat="1" ht="13.2">
      <c r="A3193"/>
      <c r="B3193" s="1065"/>
      <c r="C3193" s="1065" t="s">
        <v>1006</v>
      </c>
      <c r="D3193" s="1065" t="str">
        <f ca="1">CELL("Address",Elec_Rates!D$270)</f>
        <v>[EL25_0662B_Brittania_Hotel_Elec_Revised_Estim_B.xlsx]Elec_Rates!$D$270</v>
      </c>
      <c r="E3193" s="1066"/>
      <c r="F3193" s="1066"/>
      <c r="G3193" s="1067" t="s">
        <v>1007</v>
      </c>
      <c r="H3193" s="1067"/>
      <c r="I3193" s="1067"/>
      <c r="J3193" s="1067"/>
      <c r="K3193" s="1068"/>
      <c r="L3193" s="1066"/>
      <c r="M3193" s="1066"/>
      <c r="N3193" s="1066"/>
      <c r="O3193" s="1069"/>
      <c r="P3193" s="1066"/>
      <c r="Q3193" s="1070"/>
      <c r="R3193" s="1071"/>
      <c r="S3193" s="1070"/>
      <c r="T3193" s="1072"/>
      <c r="U3193" s="1073"/>
    </row>
    <row r="3194" spans="1:41" s="997" customFormat="1" ht="11.4">
      <c r="A3194" s="1074">
        <v>6</v>
      </c>
      <c r="B3194" s="1075">
        <v>1</v>
      </c>
      <c r="C3194" s="1075">
        <f>$A3194*$B3194</f>
        <v>6</v>
      </c>
      <c r="D3194" s="1076" t="str">
        <f>Elec_Rates!$D$270</f>
        <v>029# Install and connect Only - Battery Backup Kit for the light fittings supplied by others</v>
      </c>
      <c r="E3194" s="1076"/>
      <c r="F3194" s="1076"/>
      <c r="G3194" s="1077" t="s">
        <v>1008</v>
      </c>
      <c r="H3194" s="1077"/>
      <c r="I3194" s="1077"/>
      <c r="J3194" s="1077"/>
      <c r="K3194" s="1078"/>
      <c r="L3194" s="1073"/>
      <c r="M3194" s="1073"/>
      <c r="N3194" s="1073"/>
      <c r="O3194" s="1079"/>
      <c r="P3194" s="1076"/>
      <c r="Q3194" s="1080">
        <f ca="1">$B3194*Elec_Rates!$R$270</f>
        <v>1.1000000000000001</v>
      </c>
      <c r="R3194" s="1071">
        <f ca="1">$A3194*Q3194</f>
        <v>6.6000000000000005</v>
      </c>
      <c r="S3194" s="1080">
        <f ca="1">$B3194*Elec_Rates!$T$270</f>
        <v>0.42</v>
      </c>
      <c r="T3194" s="1072">
        <f ca="1">$A3194*S3194</f>
        <v>2.52</v>
      </c>
      <c r="U3194" s="1081"/>
    </row>
    <row r="3195" spans="1:41" s="504" customFormat="1" ht="12">
      <c r="A3195" s="882"/>
      <c r="B3195" s="882"/>
      <c r="C3195" s="882"/>
      <c r="D3195" s="882"/>
      <c r="E3195" s="882"/>
      <c r="F3195" s="877"/>
      <c r="G3195" s="882"/>
      <c r="H3195" s="882"/>
      <c r="I3195" s="503"/>
      <c r="J3195" s="882"/>
      <c r="K3195" s="882"/>
      <c r="L3195" s="882"/>
      <c r="M3195" s="882"/>
      <c r="N3195" s="882"/>
      <c r="O3195" s="882"/>
      <c r="P3195" s="882"/>
      <c r="Q3195" s="503"/>
      <c r="R3195" s="883">
        <f>$A3195*Q3195</f>
        <v>0</v>
      </c>
      <c r="S3195" s="503"/>
      <c r="T3195" s="884">
        <f>$A3195*S3195*$T$1</f>
        <v>0</v>
      </c>
    </row>
    <row r="3196" spans="1:41" s="504" customFormat="1" ht="12.6" thickBot="1">
      <c r="A3196" s="885" t="s">
        <v>142</v>
      </c>
      <c r="B3196" s="886">
        <f>(R3195+T3195)</f>
        <v>0</v>
      </c>
      <c r="C3196" s="887"/>
      <c r="D3196" s="887"/>
      <c r="E3196" s="887"/>
      <c r="F3196" s="888"/>
      <c r="G3196" s="887" t="s">
        <v>143</v>
      </c>
      <c r="H3196" s="887"/>
      <c r="I3196" s="889"/>
      <c r="J3196" s="887"/>
      <c r="K3196" s="887" t="s">
        <v>3</v>
      </c>
      <c r="L3196" s="890" t="s">
        <v>140</v>
      </c>
      <c r="M3196" s="890"/>
      <c r="N3196" s="890"/>
      <c r="O3196" s="890"/>
      <c r="P3196" s="890"/>
      <c r="Q3196" s="891"/>
      <c r="R3196" s="892">
        <f ca="1">SUM(R3192:R3195)</f>
        <v>6.6000000000000005</v>
      </c>
      <c r="S3196" s="887"/>
      <c r="T3196" s="892">
        <f ca="1">SUM(T3192:T3195)</f>
        <v>2.52</v>
      </c>
      <c r="U3196" s="514"/>
      <c r="V3196" s="514"/>
      <c r="W3196" s="514"/>
      <c r="X3196" s="514"/>
      <c r="Y3196" s="514"/>
      <c r="Z3196" s="514"/>
      <c r="AA3196" s="514"/>
      <c r="AB3196" s="514"/>
      <c r="AC3196" s="514"/>
      <c r="AD3196" s="514"/>
      <c r="AE3196" s="514"/>
      <c r="AF3196" s="514"/>
      <c r="AG3196" s="514"/>
      <c r="AH3196" s="514"/>
      <c r="AI3196" s="514"/>
      <c r="AJ3196" s="514"/>
      <c r="AK3196" s="514"/>
      <c r="AL3196" s="514"/>
      <c r="AM3196" s="514"/>
      <c r="AN3196" s="514"/>
      <c r="AO3196" s="514"/>
    </row>
    <row r="3197" spans="1:41" s="504" customFormat="1" ht="12" thickTop="1">
      <c r="A3197" s="50"/>
      <c r="B3197" s="40"/>
      <c r="C3197" s="50"/>
      <c r="E3197" s="41" t="s">
        <v>136</v>
      </c>
      <c r="F3197" s="41" t="s">
        <v>137</v>
      </c>
      <c r="G3197" s="50"/>
      <c r="H3197" s="50"/>
      <c r="I3197" s="50"/>
      <c r="J3197" s="50"/>
      <c r="K3197" s="50" t="s">
        <v>138</v>
      </c>
      <c r="L3197" s="50"/>
      <c r="M3197" s="50"/>
      <c r="N3197" s="50"/>
      <c r="O3197" s="51"/>
      <c r="P3197" s="50"/>
      <c r="Q3197" s="50"/>
      <c r="R3197" s="50"/>
      <c r="S3197" s="50"/>
      <c r="T3197" s="40"/>
      <c r="AG3197" s="867" t="s">
        <v>241</v>
      </c>
      <c r="AH3197" s="867" t="s">
        <v>242</v>
      </c>
      <c r="AI3197" s="867" t="s">
        <v>243</v>
      </c>
      <c r="AJ3197" s="867" t="s">
        <v>244</v>
      </c>
      <c r="AK3197" s="867" t="s">
        <v>245</v>
      </c>
      <c r="AM3197" s="868" t="s">
        <v>254</v>
      </c>
      <c r="AN3197" s="869" t="s">
        <v>255</v>
      </c>
      <c r="AO3197" s="505" t="s">
        <v>251</v>
      </c>
    </row>
    <row r="3198" spans="1:41" s="504" customFormat="1" ht="12" customHeight="1">
      <c r="A3198" s="870">
        <v>3</v>
      </c>
      <c r="B3198" s="871" t="s">
        <v>335</v>
      </c>
      <c r="C3198" s="872"/>
      <c r="D3198" s="873" t="s">
        <v>826</v>
      </c>
      <c r="E3198" s="874">
        <f ca="1">IF(AND($A3198=0,$A$1="DIF"),0, ROUND(ROUND(($R3203*$S$2+($T3203*$T$2))/A3198,2)*$C$2,2))</f>
        <v>11.35</v>
      </c>
      <c r="F3198" s="875">
        <f ca="1">ROUND($A3198*$E3198,2)</f>
        <v>34.049999999999997</v>
      </c>
      <c r="G3198" s="876" t="s">
        <v>139</v>
      </c>
      <c r="H3198" s="877"/>
      <c r="I3198" s="878"/>
      <c r="J3198" s="877"/>
      <c r="K3198" s="877" t="s">
        <v>3</v>
      </c>
      <c r="L3198" s="879" t="s">
        <v>140</v>
      </c>
      <c r="M3198" s="879"/>
      <c r="N3198" s="879"/>
      <c r="O3198" s="879"/>
      <c r="P3198" s="879"/>
      <c r="Q3198" s="50"/>
      <c r="T3198" s="880" t="str">
        <f ca="1">IF(AND($R3203=0,$T3203=0),"0.00","mu :" &amp; ROUND($F3198/$C$2/($R3203+$T3203*$D$9),2))</f>
        <v>mu :1.22</v>
      </c>
      <c r="W3198" s="507"/>
      <c r="AG3198" s="465">
        <f ca="1">IF($E3198=0,0,ROUND($R3203*$S$2*$C$2/$A3198,2))</f>
        <v>0.1</v>
      </c>
      <c r="AH3198" s="465">
        <f ca="1">$AG3198*$A3198</f>
        <v>0.30000000000000004</v>
      </c>
      <c r="AI3198" s="508">
        <f ca="1">$E3198-$AG3198</f>
        <v>11.25</v>
      </c>
      <c r="AJ3198" s="508">
        <f ca="1">$A3198*$AI3198</f>
        <v>33.75</v>
      </c>
      <c r="AK3198" s="509">
        <f ca="1">ROUND(($AG3198+$AI3198)*$A3198,2)</f>
        <v>34.049999999999997</v>
      </c>
      <c r="AM3198" s="510">
        <f ca="1">ROUND(R3203,2)</f>
        <v>0.24</v>
      </c>
      <c r="AN3198" s="511">
        <f ca="1">ROUND(T3203,2)</f>
        <v>0.96</v>
      </c>
      <c r="AO3198" s="512">
        <f ca="1">ROUND(AM3198+AN3198,2)*A3198</f>
        <v>3.5999999999999996</v>
      </c>
    </row>
    <row r="3199" spans="1:41" s="504" customFormat="1" ht="13.2">
      <c r="A3199" s="872"/>
      <c r="B3199"/>
      <c r="C3199" s="872"/>
      <c r="D3199" s="873" t="s">
        <v>425</v>
      </c>
      <c r="F3199" s="877"/>
      <c r="G3199" s="3"/>
      <c r="H3199" s="877"/>
      <c r="I3199" s="878"/>
      <c r="J3199" s="877"/>
      <c r="K3199" s="877" t="s">
        <v>141</v>
      </c>
      <c r="L3199" s="877"/>
      <c r="M3199" s="877"/>
      <c r="N3199" s="877"/>
      <c r="O3199" s="877"/>
      <c r="P3199" s="877"/>
      <c r="Q3199" s="50"/>
      <c r="R3199" s="513"/>
      <c r="S3199" s="881"/>
      <c r="T3199" s="877"/>
    </row>
    <row r="3200" spans="1:41" s="997" customFormat="1" ht="13.2">
      <c r="A3200"/>
      <c r="B3200" s="1065"/>
      <c r="C3200" s="1065" t="s">
        <v>1006</v>
      </c>
      <c r="D3200" s="1065" t="str">
        <f ca="1">CELL("Address",Elec_Rates!D$478)</f>
        <v>[EL25_0662B_Brittania_Hotel_Elec_Revised_Estim_B.xlsx]Elec_Rates!$D$478</v>
      </c>
      <c r="E3200" s="1066"/>
      <c r="F3200" s="1066"/>
      <c r="G3200" s="1067" t="s">
        <v>1007</v>
      </c>
      <c r="H3200" s="1067"/>
      <c r="I3200" s="1067"/>
      <c r="J3200" s="1067"/>
      <c r="K3200" s="1068"/>
      <c r="L3200" s="1066"/>
      <c r="M3200" s="1066"/>
      <c r="N3200" s="1066"/>
      <c r="O3200" s="1069"/>
      <c r="P3200" s="1066"/>
      <c r="Q3200" s="1070"/>
      <c r="R3200" s="1071"/>
      <c r="S3200" s="1070"/>
      <c r="T3200" s="1072"/>
      <c r="U3200" s="1073"/>
    </row>
    <row r="3201" spans="1:41" s="997" customFormat="1" ht="11.4">
      <c r="A3201" s="1074">
        <v>3</v>
      </c>
      <c r="B3201" s="1075">
        <v>1</v>
      </c>
      <c r="C3201" s="1075">
        <f>$A3201*$B3201</f>
        <v>3</v>
      </c>
      <c r="D3201" s="1076" t="str">
        <f>Elec_Rates!$D$478</f>
        <v>057# Install and connect Only - Magnifying Mirror in Bathroom</v>
      </c>
      <c r="E3201" s="1076"/>
      <c r="F3201" s="1076"/>
      <c r="G3201" s="1077" t="s">
        <v>1008</v>
      </c>
      <c r="H3201" s="1077"/>
      <c r="I3201" s="1077"/>
      <c r="J3201" s="1077"/>
      <c r="K3201" s="1078"/>
      <c r="L3201" s="1073"/>
      <c r="M3201" s="1073"/>
      <c r="N3201" s="1073"/>
      <c r="O3201" s="1079"/>
      <c r="P3201" s="1076"/>
      <c r="Q3201" s="1080">
        <f ca="1">$B3201*Elec_Rates!$R$478</f>
        <v>0.08</v>
      </c>
      <c r="R3201" s="1071">
        <f ca="1">$A3201*Q3201</f>
        <v>0.24</v>
      </c>
      <c r="S3201" s="1080">
        <f ca="1">$B3201*Elec_Rates!$T$478</f>
        <v>0.32</v>
      </c>
      <c r="T3201" s="1072">
        <f ca="1">$A3201*S3201</f>
        <v>0.96</v>
      </c>
      <c r="U3201" s="1081"/>
    </row>
    <row r="3202" spans="1:41" s="504" customFormat="1" ht="12">
      <c r="A3202" s="882"/>
      <c r="B3202" s="882"/>
      <c r="C3202" s="882"/>
      <c r="D3202" s="882"/>
      <c r="E3202" s="882"/>
      <c r="F3202" s="877"/>
      <c r="G3202" s="882"/>
      <c r="H3202" s="882"/>
      <c r="I3202" s="503"/>
      <c r="J3202" s="882"/>
      <c r="K3202" s="882"/>
      <c r="L3202" s="882"/>
      <c r="M3202" s="882"/>
      <c r="N3202" s="882"/>
      <c r="O3202" s="882"/>
      <c r="P3202" s="882"/>
      <c r="Q3202" s="503"/>
      <c r="R3202" s="883">
        <f>$A3202*Q3202</f>
        <v>0</v>
      </c>
      <c r="S3202" s="503"/>
      <c r="T3202" s="884">
        <f>$A3202*S3202*$T$1</f>
        <v>0</v>
      </c>
    </row>
    <row r="3203" spans="1:41" s="504" customFormat="1" ht="12.6" thickBot="1">
      <c r="A3203" s="885" t="s">
        <v>142</v>
      </c>
      <c r="B3203" s="886">
        <f>(R3202+T3202)</f>
        <v>0</v>
      </c>
      <c r="C3203" s="887"/>
      <c r="D3203" s="887"/>
      <c r="E3203" s="887"/>
      <c r="F3203" s="888"/>
      <c r="G3203" s="887" t="s">
        <v>143</v>
      </c>
      <c r="H3203" s="887"/>
      <c r="I3203" s="889"/>
      <c r="J3203" s="887"/>
      <c r="K3203" s="887" t="s">
        <v>3</v>
      </c>
      <c r="L3203" s="890" t="s">
        <v>140</v>
      </c>
      <c r="M3203" s="890"/>
      <c r="N3203" s="890"/>
      <c r="O3203" s="890"/>
      <c r="P3203" s="890"/>
      <c r="Q3203" s="891"/>
      <c r="R3203" s="892">
        <f ca="1">SUM(R3199:R3202)</f>
        <v>0.24</v>
      </c>
      <c r="S3203" s="887"/>
      <c r="T3203" s="892">
        <f ca="1">SUM(T3199:T3202)</f>
        <v>0.96</v>
      </c>
      <c r="U3203" s="514"/>
      <c r="V3203" s="514"/>
      <c r="W3203" s="514"/>
      <c r="X3203" s="514"/>
      <c r="Y3203" s="514"/>
      <c r="Z3203" s="514"/>
      <c r="AA3203" s="514"/>
      <c r="AB3203" s="514"/>
      <c r="AC3203" s="514"/>
      <c r="AD3203" s="514"/>
      <c r="AE3203" s="514"/>
      <c r="AF3203" s="514"/>
      <c r="AG3203" s="514"/>
      <c r="AH3203" s="514"/>
      <c r="AI3203" s="514"/>
      <c r="AJ3203" s="514"/>
      <c r="AK3203" s="514"/>
      <c r="AL3203" s="514"/>
      <c r="AM3203" s="514"/>
      <c r="AN3203" s="514"/>
      <c r="AO3203" s="514"/>
    </row>
    <row r="3204" spans="1:41" s="504" customFormat="1" ht="12" thickTop="1">
      <c r="A3204" s="47" t="s">
        <v>145</v>
      </c>
      <c r="D3204" s="13"/>
      <c r="E3204" s="41"/>
      <c r="O3204" s="893"/>
    </row>
    <row r="3205" spans="1:41" s="504" customFormat="1" ht="13.2">
      <c r="B3205" s="3"/>
      <c r="O3205" s="893"/>
    </row>
    <row r="3206" spans="1:41" s="504" customFormat="1" ht="12">
      <c r="B3206" s="894">
        <f ca="1">$F3206/$C$2-($R3206*$S$2+$T3206*$T$2)</f>
        <v>216.25543277000043</v>
      </c>
      <c r="D3206" s="895" t="s">
        <v>817</v>
      </c>
      <c r="E3206" s="896"/>
      <c r="F3206" s="897">
        <f ca="1">SUMIF($L3051:$L3204,"ITEM",F3051:F3204)</f>
        <v>2657.0900000000006</v>
      </c>
      <c r="G3206" s="882"/>
      <c r="H3206" s="882"/>
      <c r="I3206" s="503"/>
      <c r="J3206" s="882"/>
      <c r="K3206" s="882"/>
      <c r="L3206" s="879" t="s">
        <v>154</v>
      </c>
      <c r="M3206" s="879"/>
      <c r="N3206" s="879"/>
      <c r="O3206" s="879"/>
      <c r="P3206" s="879"/>
      <c r="R3206" s="897">
        <f ca="1">SUMIF($L3051:$L3204,"ITEM",R3051:R3204)</f>
        <v>889.59</v>
      </c>
      <c r="S3206" s="898"/>
      <c r="T3206" s="897">
        <f ca="1">SUMIF($L3051:$L3204,"ITEM",T3051:T3204)</f>
        <v>38.535500000000006</v>
      </c>
    </row>
    <row r="3207" spans="1:41" s="504" customFormat="1" ht="13.2">
      <c r="A3207" s="50"/>
      <c r="B3207" s="48" t="s">
        <v>816</v>
      </c>
      <c r="C3207" s="50"/>
      <c r="D3207" s="3"/>
      <c r="F3207" s="899" t="s">
        <v>155</v>
      </c>
      <c r="G3207" s="882"/>
      <c r="H3207" s="882"/>
      <c r="I3207" s="503"/>
      <c r="J3207" s="882"/>
      <c r="K3207" s="882"/>
      <c r="L3207" s="882"/>
      <c r="M3207" s="882"/>
      <c r="N3207" s="882"/>
      <c r="O3207" s="882"/>
      <c r="P3207" s="882"/>
      <c r="Q3207" s="900"/>
      <c r="R3207" s="899" t="s">
        <v>156</v>
      </c>
      <c r="S3207" s="38"/>
      <c r="T3207" s="899" t="s">
        <v>157</v>
      </c>
    </row>
    <row r="3208" spans="1:41" s="504" customFormat="1" ht="13.2">
      <c r="A3208" s="882"/>
      <c r="B3208" s="3"/>
      <c r="C3208" s="882"/>
      <c r="D3208" s="3"/>
      <c r="E3208" s="3"/>
      <c r="G3208" s="3"/>
      <c r="H3208" s="3"/>
      <c r="I3208" s="3"/>
      <c r="J3208" s="3"/>
      <c r="K3208" s="3"/>
      <c r="L3208" s="3"/>
      <c r="M3208" s="3"/>
      <c r="N3208" s="3"/>
      <c r="O3208" s="103"/>
      <c r="P3208" s="3"/>
      <c r="Q3208" s="3"/>
      <c r="R3208" s="3"/>
      <c r="S3208" s="3"/>
      <c r="T3208" s="3"/>
    </row>
    <row r="3209" spans="1:41" s="504" customFormat="1" ht="12" thickBot="1">
      <c r="A3209" s="514"/>
      <c r="B3209" s="887"/>
      <c r="C3209" s="887"/>
      <c r="D3209" s="514"/>
      <c r="E3209" s="39"/>
      <c r="F3209" s="901"/>
      <c r="G3209" s="887"/>
      <c r="H3209" s="887"/>
      <c r="I3209" s="889"/>
      <c r="J3209" s="887"/>
      <c r="K3209" s="887"/>
      <c r="L3209" s="890"/>
      <c r="M3209" s="890"/>
      <c r="N3209" s="890"/>
      <c r="O3209" s="890"/>
      <c r="P3209" s="890"/>
      <c r="Q3209" s="891"/>
      <c r="R3209" s="901"/>
      <c r="S3209" s="902"/>
      <c r="T3209" s="901"/>
      <c r="U3209" s="514"/>
      <c r="V3209" s="514"/>
      <c r="W3209" s="514"/>
      <c r="X3209" s="514"/>
      <c r="Y3209" s="514"/>
      <c r="Z3209" s="514"/>
      <c r="AA3209" s="514"/>
      <c r="AB3209" s="514"/>
      <c r="AC3209" s="514"/>
      <c r="AD3209" s="514"/>
      <c r="AE3209" s="514"/>
      <c r="AF3209" s="514"/>
      <c r="AG3209" s="514"/>
      <c r="AH3209" s="514"/>
      <c r="AI3209" s="514"/>
      <c r="AJ3209" s="514"/>
      <c r="AK3209" s="514"/>
    </row>
    <row r="3210" spans="1:41" s="504" customFormat="1" thickTop="1">
      <c r="A3210" s="50"/>
      <c r="B3210" s="50"/>
      <c r="C3210" s="3"/>
      <c r="D3210" s="3"/>
      <c r="E3210" s="50"/>
      <c r="F3210" s="50"/>
      <c r="G3210" s="50"/>
      <c r="H3210" s="50"/>
      <c r="I3210" s="50"/>
      <c r="J3210" s="50"/>
      <c r="K3210" s="50" t="s">
        <v>133</v>
      </c>
      <c r="L3210" s="50"/>
      <c r="M3210" s="50"/>
      <c r="N3210" s="50"/>
      <c r="O3210" s="51"/>
      <c r="P3210" s="50"/>
      <c r="Q3210" s="50"/>
      <c r="R3210" s="50"/>
      <c r="S3210" s="50"/>
      <c r="T3210" s="50"/>
    </row>
    <row r="3211" spans="1:41" s="504" customFormat="1" ht="12">
      <c r="A3211" s="50"/>
      <c r="B3211" s="50"/>
      <c r="C3211" s="50" t="s">
        <v>134</v>
      </c>
      <c r="D3211" s="37"/>
      <c r="E3211" s="50"/>
      <c r="F3211" s="50"/>
      <c r="G3211" s="50"/>
      <c r="H3211" s="50"/>
      <c r="I3211" s="50"/>
      <c r="J3211" s="50"/>
      <c r="K3211" s="50"/>
      <c r="L3211" s="50"/>
      <c r="M3211" s="50"/>
      <c r="N3211" s="50"/>
      <c r="O3211" s="51"/>
      <c r="P3211" s="50"/>
      <c r="Q3211" s="50"/>
      <c r="R3211" s="50"/>
      <c r="S3211" s="50"/>
      <c r="T3211" s="50"/>
    </row>
    <row r="3212" spans="1:41" s="504" customFormat="1" ht="12">
      <c r="A3212" s="50"/>
      <c r="B3212" s="50"/>
      <c r="C3212" s="50"/>
      <c r="D3212" s="37" t="s">
        <v>358</v>
      </c>
      <c r="E3212" s="50"/>
      <c r="F3212" s="50"/>
      <c r="G3212" s="50"/>
      <c r="H3212" s="50"/>
      <c r="I3212" s="50"/>
      <c r="J3212" s="50"/>
      <c r="K3212" s="50"/>
      <c r="L3212" s="50"/>
      <c r="M3212" s="50"/>
      <c r="N3212" s="50"/>
      <c r="O3212" s="51"/>
      <c r="P3212" s="50"/>
      <c r="Q3212" s="50"/>
      <c r="R3212" s="50"/>
      <c r="S3212" s="38"/>
      <c r="T3212" s="38"/>
    </row>
    <row r="3213" spans="1:41" s="3" customFormat="1" thickBot="1">
      <c r="A3213" s="514"/>
      <c r="O3213" s="103"/>
    </row>
    <row r="3214" spans="1:41" s="504" customFormat="1" thickTop="1">
      <c r="A3214" s="50"/>
      <c r="B3214" s="50"/>
      <c r="C3214" s="3"/>
      <c r="D3214" s="3"/>
      <c r="E3214" s="50"/>
      <c r="F3214" s="50"/>
      <c r="G3214" s="50"/>
      <c r="H3214" s="50"/>
      <c r="I3214" s="50"/>
      <c r="J3214" s="50"/>
      <c r="K3214" s="50" t="s">
        <v>133</v>
      </c>
      <c r="L3214" s="50"/>
      <c r="M3214" s="50"/>
      <c r="N3214" s="50"/>
      <c r="O3214" s="51"/>
      <c r="P3214" s="50"/>
      <c r="Q3214" s="50"/>
      <c r="R3214" s="50"/>
      <c r="S3214" s="50"/>
      <c r="T3214" s="50"/>
    </row>
    <row r="3215" spans="1:41" s="504" customFormat="1" ht="12">
      <c r="A3215" s="50"/>
      <c r="B3215" s="50"/>
      <c r="C3215" s="50" t="s">
        <v>134</v>
      </c>
      <c r="D3215" s="37" t="s">
        <v>891</v>
      </c>
      <c r="E3215" s="50"/>
      <c r="F3215" s="50"/>
      <c r="G3215" s="50"/>
      <c r="H3215" s="50"/>
      <c r="I3215" s="50"/>
      <c r="J3215" s="50"/>
      <c r="K3215" s="50"/>
      <c r="L3215" s="50"/>
      <c r="M3215" s="50"/>
      <c r="N3215" s="50"/>
      <c r="O3215" s="51"/>
      <c r="P3215" s="50"/>
      <c r="Q3215" s="50"/>
      <c r="R3215" s="50"/>
      <c r="S3215" s="50"/>
      <c r="T3215" s="50"/>
    </row>
    <row r="3216" spans="1:41" s="504" customFormat="1" ht="12">
      <c r="A3216" s="50"/>
      <c r="B3216" s="50"/>
      <c r="C3216" s="50"/>
      <c r="D3216" s="37" t="s">
        <v>772</v>
      </c>
      <c r="E3216" s="50"/>
      <c r="F3216" s="50"/>
      <c r="G3216" s="50"/>
      <c r="H3216" s="50"/>
      <c r="I3216" s="50"/>
      <c r="J3216" s="50"/>
      <c r="K3216" s="50"/>
      <c r="L3216" s="50"/>
      <c r="M3216" s="50"/>
      <c r="N3216" s="50"/>
      <c r="O3216" s="51"/>
      <c r="P3216" s="50"/>
      <c r="Q3216" s="50"/>
      <c r="R3216" s="50"/>
      <c r="S3216" s="38"/>
      <c r="T3216" s="38"/>
    </row>
    <row r="3217" spans="1:41" s="3" customFormat="1" thickBot="1">
      <c r="A3217" s="514"/>
      <c r="O3217" s="103"/>
    </row>
    <row r="3218" spans="1:41" s="504" customFormat="1" ht="12" thickTop="1">
      <c r="A3218" s="50"/>
      <c r="B3218" s="40"/>
      <c r="C3218" s="50"/>
      <c r="E3218" s="41" t="s">
        <v>136</v>
      </c>
      <c r="F3218" s="41" t="s">
        <v>137</v>
      </c>
      <c r="G3218" s="50"/>
      <c r="H3218" s="50"/>
      <c r="I3218" s="50"/>
      <c r="J3218" s="50"/>
      <c r="K3218" s="50" t="s">
        <v>138</v>
      </c>
      <c r="L3218" s="50"/>
      <c r="M3218" s="50"/>
      <c r="N3218" s="50"/>
      <c r="O3218" s="51"/>
      <c r="P3218" s="50"/>
      <c r="Q3218" s="50"/>
      <c r="R3218" s="50"/>
      <c r="S3218" s="50"/>
      <c r="T3218" s="40"/>
      <c r="AG3218" s="867" t="s">
        <v>241</v>
      </c>
      <c r="AH3218" s="867" t="s">
        <v>242</v>
      </c>
      <c r="AI3218" s="867" t="s">
        <v>243</v>
      </c>
      <c r="AJ3218" s="867" t="s">
        <v>244</v>
      </c>
      <c r="AK3218" s="867" t="s">
        <v>245</v>
      </c>
      <c r="AM3218" s="868" t="s">
        <v>254</v>
      </c>
      <c r="AN3218" s="869" t="s">
        <v>255</v>
      </c>
      <c r="AO3218" s="505" t="s">
        <v>251</v>
      </c>
    </row>
    <row r="3219" spans="1:41" s="504" customFormat="1" ht="12" customHeight="1">
      <c r="A3219" s="870">
        <v>7</v>
      </c>
      <c r="B3219" s="871" t="s">
        <v>335</v>
      </c>
      <c r="C3219" s="872"/>
      <c r="D3219" s="873" t="s">
        <v>804</v>
      </c>
      <c r="E3219" s="874">
        <f ca="1">IF(AND($A3219=0,$A$1="DIF"),0, ROUND(ROUND(($R3225*$S$2+($T3225*$T$2))/A3219,2)*$C$2,2))</f>
        <v>77.31</v>
      </c>
      <c r="F3219" s="875">
        <f ca="1">ROUND($A3219*$E3219,2)</f>
        <v>541.16999999999996</v>
      </c>
      <c r="G3219" s="876" t="s">
        <v>139</v>
      </c>
      <c r="H3219" s="877"/>
      <c r="I3219" s="878"/>
      <c r="J3219" s="877"/>
      <c r="K3219" s="877" t="s">
        <v>3</v>
      </c>
      <c r="L3219" s="879" t="s">
        <v>140</v>
      </c>
      <c r="M3219" s="879"/>
      <c r="N3219" s="879"/>
      <c r="O3219" s="879"/>
      <c r="P3219" s="879"/>
      <c r="Q3219" s="50"/>
      <c r="T3219" s="880" t="str">
        <f ca="1">IF(AND($R3225=0,$T3225=0),"0.00","mu :" &amp; ROUND($F3219/$C$2/($R3225+$T3225*$D$9),2))</f>
        <v>mu :1.22</v>
      </c>
      <c r="W3219" s="507"/>
      <c r="AG3219" s="465">
        <f ca="1">IF($E3219=0,0,ROUND($R3225*$S$2*$C$2/$A3219,2))</f>
        <v>20.73</v>
      </c>
      <c r="AH3219" s="465">
        <f ca="1">$AG3219*$A3219</f>
        <v>145.11000000000001</v>
      </c>
      <c r="AI3219" s="508">
        <f ca="1">$E3219-$AG3219</f>
        <v>56.58</v>
      </c>
      <c r="AJ3219" s="508">
        <f ca="1">$A3219*$AI3219</f>
        <v>396.06</v>
      </c>
      <c r="AK3219" s="509">
        <f ca="1">ROUND(($AG3219+$AI3219)*$A3219,2)</f>
        <v>541.16999999999996</v>
      </c>
      <c r="AM3219" s="510">
        <f ca="1">ROUND(R3225,2)</f>
        <v>118.93</v>
      </c>
      <c r="AN3219" s="511">
        <f ca="1">ROUND(T3225,2)</f>
        <v>11.26</v>
      </c>
      <c r="AO3219" s="512">
        <f ca="1">ROUND(AM3219+AN3219,2)*A3219</f>
        <v>911.32999999999993</v>
      </c>
    </row>
    <row r="3220" spans="1:41" s="504" customFormat="1" ht="13.2">
      <c r="A3220" s="872"/>
      <c r="B3220"/>
      <c r="C3220" s="872"/>
      <c r="D3220" s="873" t="s">
        <v>359</v>
      </c>
      <c r="F3220" s="877"/>
      <c r="G3220" s="3"/>
      <c r="H3220" s="877"/>
      <c r="I3220" s="878"/>
      <c r="J3220" s="877"/>
      <c r="K3220" s="877" t="s">
        <v>141</v>
      </c>
      <c r="L3220" s="877"/>
      <c r="M3220" s="877"/>
      <c r="N3220" s="877"/>
      <c r="O3220" s="877"/>
      <c r="P3220" s="877"/>
      <c r="Q3220" s="50"/>
      <c r="R3220" s="513"/>
      <c r="S3220" s="881"/>
      <c r="T3220" s="877"/>
    </row>
    <row r="3221" spans="1:41" s="997" customFormat="1" ht="13.2">
      <c r="A3221"/>
      <c r="B3221" s="1065"/>
      <c r="C3221" s="1065" t="s">
        <v>1006</v>
      </c>
      <c r="D3221" s="1065" t="str">
        <f ca="1">CELL("Address",Elec_Rates!D$486)</f>
        <v>[EL25_0662B_Brittania_Hotel_Elec_Revised_Estim_B.xlsx]Elec_Rates!$D$486</v>
      </c>
      <c r="E3221" s="1066"/>
      <c r="F3221" s="1066"/>
      <c r="G3221" s="1067" t="s">
        <v>1007</v>
      </c>
      <c r="H3221" s="1067"/>
      <c r="I3221" s="1067"/>
      <c r="J3221" s="1067"/>
      <c r="K3221" s="1068"/>
      <c r="L3221" s="1066"/>
      <c r="M3221" s="1066"/>
      <c r="N3221" s="1066"/>
      <c r="O3221" s="1069"/>
      <c r="P3221" s="1066"/>
      <c r="Q3221" s="1070"/>
      <c r="R3221" s="1071"/>
      <c r="S3221" s="1070"/>
      <c r="T3221" s="1072"/>
      <c r="U3221" s="1073"/>
    </row>
    <row r="3222" spans="1:41" s="997" customFormat="1" ht="11.4">
      <c r="A3222" s="1074">
        <v>7</v>
      </c>
      <c r="B3222" s="1075">
        <v>1</v>
      </c>
      <c r="C3222" s="1075">
        <f>$A3222*$B3222</f>
        <v>7</v>
      </c>
      <c r="D3222" s="1076" t="str">
        <f>Elec_Rates!$D$486</f>
        <v>058# General Power Point in LSZH Conduit</v>
      </c>
      <c r="E3222" s="1076"/>
      <c r="F3222" s="1076"/>
      <c r="G3222" s="1077" t="s">
        <v>1008</v>
      </c>
      <c r="H3222" s="1077"/>
      <c r="I3222" s="1077"/>
      <c r="J3222" s="1077"/>
      <c r="K3222" s="1078"/>
      <c r="L3222" s="1073"/>
      <c r="M3222" s="1073"/>
      <c r="N3222" s="1073"/>
      <c r="O3222" s="1079"/>
      <c r="P3222" s="1076"/>
      <c r="Q3222" s="1080">
        <f ca="1">$B3222*Elec_Rates!$R$486</f>
        <v>13.92</v>
      </c>
      <c r="R3222" s="1071">
        <f ca="1">$A3222*Q3222</f>
        <v>97.44</v>
      </c>
      <c r="S3222" s="1080">
        <f ca="1">$B3222*Elec_Rates!$T$486</f>
        <v>1.43</v>
      </c>
      <c r="T3222" s="1072">
        <f ca="1">$A3222*S3222</f>
        <v>10.01</v>
      </c>
      <c r="U3222" s="1081"/>
    </row>
    <row r="3223" spans="1:41" s="1039" customFormat="1" ht="13.2">
      <c r="A3223" s="112">
        <v>7</v>
      </c>
      <c r="B3223" s="1039" t="s">
        <v>949</v>
      </c>
      <c r="D3223" s="1039" t="s">
        <v>1233</v>
      </c>
      <c r="F3223" s="1039" t="s">
        <v>1506</v>
      </c>
      <c r="G3223" s="1040" t="s">
        <v>1231</v>
      </c>
      <c r="H3223" s="1041">
        <v>705</v>
      </c>
      <c r="I3223" s="1039" t="s">
        <v>1183</v>
      </c>
      <c r="J3223" s="1039" t="s">
        <v>1232</v>
      </c>
      <c r="O3223" s="1042">
        <v>3</v>
      </c>
      <c r="P3223" s="1043">
        <v>34669</v>
      </c>
      <c r="Q3223" s="1044">
        <v>3.07</v>
      </c>
      <c r="R3223" s="1045">
        <f>$A3223*Q3223</f>
        <v>21.49</v>
      </c>
      <c r="S3223" s="1044">
        <v>0.17</v>
      </c>
      <c r="T3223" s="1046">
        <f>$A3223*S3223*$T$1</f>
        <v>1.2495000000000003</v>
      </c>
    </row>
    <row r="3224" spans="1:41" s="504" customFormat="1" ht="12">
      <c r="A3224" s="882"/>
      <c r="B3224" s="882"/>
      <c r="C3224" s="882"/>
      <c r="D3224" s="882"/>
      <c r="E3224" s="882"/>
      <c r="F3224" s="877"/>
      <c r="G3224" s="882"/>
      <c r="H3224" s="882"/>
      <c r="I3224" s="503"/>
      <c r="J3224" s="882"/>
      <c r="K3224" s="882"/>
      <c r="L3224" s="882"/>
      <c r="M3224" s="882"/>
      <c r="N3224" s="882"/>
      <c r="O3224" s="882"/>
      <c r="P3224" s="882"/>
      <c r="Q3224" s="503"/>
      <c r="R3224" s="883">
        <f>$A3224*Q3224</f>
        <v>0</v>
      </c>
      <c r="S3224" s="503"/>
      <c r="T3224" s="884">
        <f>$A3224*S3224*$T$1</f>
        <v>0</v>
      </c>
    </row>
    <row r="3225" spans="1:41" s="504" customFormat="1" ht="12.6" thickBot="1">
      <c r="A3225" s="885" t="s">
        <v>142</v>
      </c>
      <c r="B3225" s="886">
        <f>(R3224+T3224)</f>
        <v>0</v>
      </c>
      <c r="C3225" s="887"/>
      <c r="D3225" s="887"/>
      <c r="E3225" s="887"/>
      <c r="F3225" s="888"/>
      <c r="G3225" s="887" t="s">
        <v>143</v>
      </c>
      <c r="H3225" s="887"/>
      <c r="I3225" s="889"/>
      <c r="J3225" s="887"/>
      <c r="K3225" s="887" t="s">
        <v>3</v>
      </c>
      <c r="L3225" s="890" t="s">
        <v>140</v>
      </c>
      <c r="M3225" s="890"/>
      <c r="N3225" s="890"/>
      <c r="O3225" s="890"/>
      <c r="P3225" s="890"/>
      <c r="Q3225" s="891"/>
      <c r="R3225" s="892">
        <f ca="1">SUM(R3220:R3224)</f>
        <v>118.92999999999999</v>
      </c>
      <c r="S3225" s="887"/>
      <c r="T3225" s="892">
        <f ca="1">SUM(T3220:T3224)</f>
        <v>11.259499999999999</v>
      </c>
      <c r="U3225" s="514"/>
      <c r="V3225" s="514"/>
      <c r="W3225" s="514"/>
      <c r="X3225" s="514"/>
      <c r="Y3225" s="514"/>
      <c r="Z3225" s="514"/>
      <c r="AA3225" s="514"/>
      <c r="AB3225" s="514"/>
      <c r="AC3225" s="514"/>
      <c r="AD3225" s="514"/>
      <c r="AE3225" s="514"/>
      <c r="AF3225" s="514"/>
      <c r="AG3225" s="514"/>
      <c r="AH3225" s="514"/>
      <c r="AI3225" s="514"/>
      <c r="AJ3225" s="514"/>
      <c r="AK3225" s="514"/>
      <c r="AL3225" s="514"/>
      <c r="AM3225" s="514"/>
      <c r="AN3225" s="514"/>
      <c r="AO3225" s="514"/>
    </row>
    <row r="3226" spans="1:41" s="504" customFormat="1" ht="12" thickTop="1">
      <c r="A3226" s="50"/>
      <c r="B3226" s="40"/>
      <c r="C3226" s="50"/>
      <c r="E3226" s="41" t="s">
        <v>136</v>
      </c>
      <c r="F3226" s="41" t="s">
        <v>137</v>
      </c>
      <c r="G3226" s="50"/>
      <c r="H3226" s="50"/>
      <c r="I3226" s="50"/>
      <c r="J3226" s="50"/>
      <c r="K3226" s="50" t="s">
        <v>138</v>
      </c>
      <c r="L3226" s="50"/>
      <c r="M3226" s="50"/>
      <c r="N3226" s="50"/>
      <c r="O3226" s="51"/>
      <c r="P3226" s="50"/>
      <c r="Q3226" s="50"/>
      <c r="R3226" s="50"/>
      <c r="S3226" s="50"/>
      <c r="T3226" s="40"/>
      <c r="AG3226" s="867" t="s">
        <v>241</v>
      </c>
      <c r="AH3226" s="867" t="s">
        <v>242</v>
      </c>
      <c r="AI3226" s="867" t="s">
        <v>243</v>
      </c>
      <c r="AJ3226" s="867" t="s">
        <v>244</v>
      </c>
      <c r="AK3226" s="867" t="s">
        <v>245</v>
      </c>
      <c r="AM3226" s="868" t="s">
        <v>254</v>
      </c>
      <c r="AN3226" s="869" t="s">
        <v>255</v>
      </c>
      <c r="AO3226" s="505" t="s">
        <v>251</v>
      </c>
    </row>
    <row r="3227" spans="1:41" s="504" customFormat="1" ht="12" customHeight="1">
      <c r="A3227" s="870">
        <v>4</v>
      </c>
      <c r="B3227" s="871" t="s">
        <v>335</v>
      </c>
      <c r="C3227" s="872"/>
      <c r="D3227" s="873" t="s">
        <v>806</v>
      </c>
      <c r="E3227" s="874">
        <f ca="1">IF(AND($A3227=0,$A$1="DIF"),0, ROUND(ROUND(($R3233*$S$2+($T3233*$T$2))/A3227,2)*$C$2,2))</f>
        <v>79.36</v>
      </c>
      <c r="F3227" s="875">
        <f ca="1">ROUND($A3227*$E3227,2)</f>
        <v>317.44</v>
      </c>
      <c r="G3227" s="876" t="s">
        <v>139</v>
      </c>
      <c r="H3227" s="877"/>
      <c r="I3227" s="878"/>
      <c r="J3227" s="877"/>
      <c r="K3227" s="877" t="s">
        <v>3</v>
      </c>
      <c r="L3227" s="879" t="s">
        <v>140</v>
      </c>
      <c r="M3227" s="879"/>
      <c r="N3227" s="879"/>
      <c r="O3227" s="879"/>
      <c r="P3227" s="879"/>
      <c r="Q3227" s="50"/>
      <c r="T3227" s="880" t="str">
        <f ca="1">IF(AND($R3233=0,$T3233=0),"0.00","mu :" &amp; ROUND($F3227/$C$2/($R3233+$T3233*$D$9),2))</f>
        <v>mu :1.22</v>
      </c>
      <c r="W3227" s="507"/>
      <c r="AG3227" s="465">
        <f ca="1">IF($E3227=0,0,ROUND($R3233*$S$2*$C$2/$A3227,2))</f>
        <v>22.78</v>
      </c>
      <c r="AH3227" s="465">
        <f ca="1">$AG3227*$A3227</f>
        <v>91.12</v>
      </c>
      <c r="AI3227" s="508">
        <f ca="1">$E3227-$AG3227</f>
        <v>56.58</v>
      </c>
      <c r="AJ3227" s="508">
        <f ca="1">$A3227*$AI3227</f>
        <v>226.32</v>
      </c>
      <c r="AK3227" s="509">
        <f ca="1">ROUND(($AG3227+$AI3227)*$A3227,2)</f>
        <v>317.44</v>
      </c>
      <c r="AM3227" s="510">
        <f ca="1">ROUND(R3233,2)</f>
        <v>74.680000000000007</v>
      </c>
      <c r="AN3227" s="511">
        <f ca="1">ROUND(T3233,2)</f>
        <v>6.43</v>
      </c>
      <c r="AO3227" s="512">
        <f ca="1">ROUND(AM3227+AN3227,2)*A3227</f>
        <v>324.44</v>
      </c>
    </row>
    <row r="3228" spans="1:41" s="504" customFormat="1" ht="13.2">
      <c r="A3228" s="872"/>
      <c r="B3228"/>
      <c r="C3228" s="872"/>
      <c r="D3228" s="873" t="s">
        <v>360</v>
      </c>
      <c r="F3228" s="877"/>
      <c r="G3228" s="3"/>
      <c r="H3228" s="877"/>
      <c r="I3228" s="878"/>
      <c r="J3228" s="877"/>
      <c r="K3228" s="877" t="s">
        <v>141</v>
      </c>
      <c r="L3228" s="877"/>
      <c r="M3228" s="877"/>
      <c r="N3228" s="877"/>
      <c r="O3228" s="877"/>
      <c r="P3228" s="877"/>
      <c r="Q3228" s="50"/>
      <c r="R3228" s="513"/>
      <c r="S3228" s="881"/>
      <c r="T3228" s="877"/>
    </row>
    <row r="3229" spans="1:41" s="997" customFormat="1" ht="13.2">
      <c r="A3229"/>
      <c r="B3229" s="1065"/>
      <c r="C3229" s="1065" t="s">
        <v>1006</v>
      </c>
      <c r="D3229" s="1065" t="str">
        <f ca="1">CELL("Address",Elec_Rates!D$486)</f>
        <v>[EL25_0662B_Brittania_Hotel_Elec_Revised_Estim_B.xlsx]Elec_Rates!$D$486</v>
      </c>
      <c r="E3229" s="1066"/>
      <c r="F3229" s="1066"/>
      <c r="G3229" s="1067" t="s">
        <v>1007</v>
      </c>
      <c r="H3229" s="1067"/>
      <c r="I3229" s="1067"/>
      <c r="J3229" s="1067"/>
      <c r="K3229" s="1068"/>
      <c r="L3229" s="1066"/>
      <c r="M3229" s="1066"/>
      <c r="N3229" s="1066"/>
      <c r="O3229" s="1069"/>
      <c r="P3229" s="1066"/>
      <c r="Q3229" s="1070"/>
      <c r="R3229" s="1071"/>
      <c r="S3229" s="1070"/>
      <c r="T3229" s="1072"/>
      <c r="U3229" s="1073"/>
    </row>
    <row r="3230" spans="1:41" s="997" customFormat="1" ht="11.4">
      <c r="A3230" s="1074">
        <v>4</v>
      </c>
      <c r="B3230" s="1075">
        <v>1</v>
      </c>
      <c r="C3230" s="1075">
        <f>$A3230*$B3230</f>
        <v>4</v>
      </c>
      <c r="D3230" s="1076" t="str">
        <f>Elec_Rates!$D$486</f>
        <v>058# General Power Point in LSZH Conduit</v>
      </c>
      <c r="E3230" s="1076"/>
      <c r="F3230" s="1076"/>
      <c r="G3230" s="1077" t="s">
        <v>1008</v>
      </c>
      <c r="H3230" s="1077"/>
      <c r="I3230" s="1077"/>
      <c r="J3230" s="1077"/>
      <c r="K3230" s="1078"/>
      <c r="L3230" s="1073"/>
      <c r="M3230" s="1073"/>
      <c r="N3230" s="1073"/>
      <c r="O3230" s="1079"/>
      <c r="P3230" s="1076"/>
      <c r="Q3230" s="1080">
        <f ca="1">$B3230*Elec_Rates!$R$486</f>
        <v>13.92</v>
      </c>
      <c r="R3230" s="1071">
        <f ca="1">$A3230*Q3230</f>
        <v>55.68</v>
      </c>
      <c r="S3230" s="1080">
        <f ca="1">$B3230*Elec_Rates!$T$486</f>
        <v>1.43</v>
      </c>
      <c r="T3230" s="1072">
        <f ca="1">$A3230*S3230</f>
        <v>5.72</v>
      </c>
      <c r="U3230" s="1081"/>
    </row>
    <row r="3231" spans="1:41" s="1039" customFormat="1" ht="13.2">
      <c r="A3231" s="112">
        <v>4</v>
      </c>
      <c r="B3231" s="1039" t="s">
        <v>949</v>
      </c>
      <c r="D3231" s="1039" t="s">
        <v>1234</v>
      </c>
      <c r="G3231" s="1040" t="s">
        <v>1231</v>
      </c>
      <c r="H3231" s="1041">
        <v>705</v>
      </c>
      <c r="I3231" s="1039" t="s">
        <v>1183</v>
      </c>
      <c r="J3231" s="1039" t="s">
        <v>1232</v>
      </c>
      <c r="O3231" s="1042">
        <v>3</v>
      </c>
      <c r="P3231" s="1043">
        <v>34669</v>
      </c>
      <c r="Q3231" s="1044">
        <v>4.75</v>
      </c>
      <c r="R3231" s="1045">
        <f>$A3231*Q3231</f>
        <v>19</v>
      </c>
      <c r="S3231" s="1044">
        <v>0.17</v>
      </c>
      <c r="T3231" s="1046">
        <f>$A3231*S3231*$T$1</f>
        <v>0.71400000000000008</v>
      </c>
    </row>
    <row r="3232" spans="1:41" s="504" customFormat="1" ht="12">
      <c r="A3232" s="882"/>
      <c r="B3232" s="882"/>
      <c r="C3232" s="882"/>
      <c r="D3232" s="882"/>
      <c r="E3232" s="882"/>
      <c r="F3232" s="877"/>
      <c r="G3232" s="882"/>
      <c r="H3232" s="882"/>
      <c r="I3232" s="503"/>
      <c r="J3232" s="882"/>
      <c r="K3232" s="882"/>
      <c r="L3232" s="882"/>
      <c r="M3232" s="882"/>
      <c r="N3232" s="882"/>
      <c r="O3232" s="882"/>
      <c r="P3232" s="882"/>
      <c r="Q3232" s="503"/>
      <c r="R3232" s="883">
        <f>$A3232*Q3232</f>
        <v>0</v>
      </c>
      <c r="S3232" s="503"/>
      <c r="T3232" s="884">
        <f>$A3232*S3232*$T$1</f>
        <v>0</v>
      </c>
    </row>
    <row r="3233" spans="1:41" s="504" customFormat="1" ht="12.6" thickBot="1">
      <c r="A3233" s="885" t="s">
        <v>142</v>
      </c>
      <c r="B3233" s="886">
        <f>(R3232+T3232)</f>
        <v>0</v>
      </c>
      <c r="C3233" s="887"/>
      <c r="D3233" s="887"/>
      <c r="E3233" s="887"/>
      <c r="F3233" s="888"/>
      <c r="G3233" s="887" t="s">
        <v>143</v>
      </c>
      <c r="H3233" s="887"/>
      <c r="I3233" s="889"/>
      <c r="J3233" s="887"/>
      <c r="K3233" s="887" t="s">
        <v>3</v>
      </c>
      <c r="L3233" s="890" t="s">
        <v>140</v>
      </c>
      <c r="M3233" s="890"/>
      <c r="N3233" s="890"/>
      <c r="O3233" s="890"/>
      <c r="P3233" s="890"/>
      <c r="Q3233" s="891"/>
      <c r="R3233" s="892">
        <f ca="1">SUM(R3228:R3232)</f>
        <v>74.680000000000007</v>
      </c>
      <c r="S3233" s="887"/>
      <c r="T3233" s="892">
        <f ca="1">SUM(T3228:T3232)</f>
        <v>6.4340000000000002</v>
      </c>
      <c r="U3233" s="514"/>
      <c r="V3233" s="514"/>
      <c r="W3233" s="514"/>
      <c r="X3233" s="514"/>
      <c r="Y3233" s="514"/>
      <c r="Z3233" s="514"/>
      <c r="AA3233" s="514"/>
      <c r="AB3233" s="514"/>
      <c r="AC3233" s="514"/>
      <c r="AD3233" s="514"/>
      <c r="AE3233" s="514"/>
      <c r="AF3233" s="514"/>
      <c r="AG3233" s="514"/>
      <c r="AH3233" s="514"/>
      <c r="AI3233" s="514"/>
      <c r="AJ3233" s="514"/>
      <c r="AK3233" s="514"/>
      <c r="AL3233" s="514"/>
      <c r="AM3233" s="514"/>
      <c r="AN3233" s="514"/>
      <c r="AO3233" s="514"/>
    </row>
    <row r="3234" spans="1:41" s="504" customFormat="1" ht="12" thickTop="1">
      <c r="A3234" s="50"/>
      <c r="B3234" s="40"/>
      <c r="C3234" s="50"/>
      <c r="E3234" s="41" t="s">
        <v>136</v>
      </c>
      <c r="F3234" s="41" t="s">
        <v>137</v>
      </c>
      <c r="G3234" s="50"/>
      <c r="H3234" s="50"/>
      <c r="I3234" s="50"/>
      <c r="J3234" s="50"/>
      <c r="K3234" s="50" t="s">
        <v>138</v>
      </c>
      <c r="L3234" s="50"/>
      <c r="M3234" s="50"/>
      <c r="N3234" s="50"/>
      <c r="O3234" s="51"/>
      <c r="P3234" s="50"/>
      <c r="Q3234" s="50"/>
      <c r="R3234" s="50"/>
      <c r="S3234" s="50"/>
      <c r="T3234" s="40"/>
      <c r="AG3234" s="867" t="s">
        <v>241</v>
      </c>
      <c r="AH3234" s="867" t="s">
        <v>242</v>
      </c>
      <c r="AI3234" s="867" t="s">
        <v>243</v>
      </c>
      <c r="AJ3234" s="867" t="s">
        <v>244</v>
      </c>
      <c r="AK3234" s="867" t="s">
        <v>245</v>
      </c>
      <c r="AM3234" s="868" t="s">
        <v>254</v>
      </c>
      <c r="AN3234" s="869" t="s">
        <v>255</v>
      </c>
      <c r="AO3234" s="505" t="s">
        <v>251</v>
      </c>
    </row>
    <row r="3235" spans="1:41" s="504" customFormat="1" ht="12" customHeight="1">
      <c r="A3235" s="870">
        <v>9</v>
      </c>
      <c r="B3235" s="871" t="s">
        <v>335</v>
      </c>
      <c r="C3235" s="872"/>
      <c r="D3235" s="873" t="s">
        <v>808</v>
      </c>
      <c r="E3235" s="874">
        <f ca="1">IF(AND($A3235=0,$A$1="DIF"),0, ROUND(ROUND(($R3241*$S$2+($T3241*$T$2))/A3235,2)*$C$2,2))</f>
        <v>119.8</v>
      </c>
      <c r="F3235" s="875">
        <f ca="1">ROUND($A3235*$E3235,2)</f>
        <v>1078.2</v>
      </c>
      <c r="G3235" s="876" t="s">
        <v>139</v>
      </c>
      <c r="H3235" s="877"/>
      <c r="I3235" s="878"/>
      <c r="J3235" s="877"/>
      <c r="K3235" s="877" t="s">
        <v>3</v>
      </c>
      <c r="L3235" s="879" t="s">
        <v>140</v>
      </c>
      <c r="M3235" s="879"/>
      <c r="N3235" s="879"/>
      <c r="O3235" s="879"/>
      <c r="P3235" s="879"/>
      <c r="Q3235" s="50"/>
      <c r="T3235" s="880" t="str">
        <f ca="1">IF(AND($R3241=0,$T3241=0),"0.00","mu :" &amp; ROUND($F3235/$C$2/($R3241+$T3241*$D$9),2))</f>
        <v>mu :1.22</v>
      </c>
      <c r="W3235" s="507"/>
      <c r="AG3235" s="465">
        <f ca="1">IF($E3235=0,0,ROUND($R3241*$S$2*$C$2/$A3235,2))</f>
        <v>63.22</v>
      </c>
      <c r="AH3235" s="465">
        <f ca="1">$AG3235*$A3235</f>
        <v>568.98</v>
      </c>
      <c r="AI3235" s="508">
        <f ca="1">$E3235-$AG3235</f>
        <v>56.58</v>
      </c>
      <c r="AJ3235" s="508">
        <f ca="1">$A3235*$AI3235</f>
        <v>509.21999999999997</v>
      </c>
      <c r="AK3235" s="509">
        <f ca="1">ROUND(($AG3235+$AI3235)*$A3235,2)</f>
        <v>1078.2</v>
      </c>
      <c r="AM3235" s="510">
        <f ca="1">ROUND(R3241,2)</f>
        <v>466.38</v>
      </c>
      <c r="AN3235" s="511">
        <f ca="1">ROUND(T3241,2)</f>
        <v>14.48</v>
      </c>
      <c r="AO3235" s="512">
        <f ca="1">ROUND(AM3235+AN3235,2)*A3235</f>
        <v>4327.74</v>
      </c>
    </row>
    <row r="3236" spans="1:41" s="504" customFormat="1" ht="13.2">
      <c r="A3236" s="872"/>
      <c r="B3236"/>
      <c r="C3236" s="872"/>
      <c r="D3236" s="873" t="s">
        <v>426</v>
      </c>
      <c r="F3236" s="877"/>
      <c r="G3236" s="3"/>
      <c r="H3236" s="877"/>
      <c r="I3236" s="878"/>
      <c r="J3236" s="877"/>
      <c r="K3236" s="877" t="s">
        <v>141</v>
      </c>
      <c r="L3236" s="877"/>
      <c r="M3236" s="877"/>
      <c r="N3236" s="877"/>
      <c r="O3236" s="877"/>
      <c r="P3236" s="877"/>
      <c r="Q3236" s="50"/>
      <c r="R3236" s="513"/>
      <c r="S3236" s="881"/>
      <c r="T3236" s="877"/>
    </row>
    <row r="3237" spans="1:41" s="997" customFormat="1" ht="13.2">
      <c r="A3237"/>
      <c r="B3237" s="1065"/>
      <c r="C3237" s="1065" t="s">
        <v>1006</v>
      </c>
      <c r="D3237" s="1065" t="str">
        <f ca="1">CELL("Address",Elec_Rates!D$486)</f>
        <v>[EL25_0662B_Brittania_Hotel_Elec_Revised_Estim_B.xlsx]Elec_Rates!$D$486</v>
      </c>
      <c r="E3237" s="1066"/>
      <c r="F3237" s="1066"/>
      <c r="G3237" s="1067" t="s">
        <v>1007</v>
      </c>
      <c r="H3237" s="1067"/>
      <c r="I3237" s="1067"/>
      <c r="J3237" s="1067"/>
      <c r="K3237" s="1068"/>
      <c r="L3237" s="1066"/>
      <c r="M3237" s="1066"/>
      <c r="N3237" s="1066"/>
      <c r="O3237" s="1069"/>
      <c r="P3237" s="1066"/>
      <c r="Q3237" s="1070"/>
      <c r="R3237" s="1071"/>
      <c r="S3237" s="1070"/>
      <c r="T3237" s="1072"/>
      <c r="U3237" s="1073"/>
    </row>
    <row r="3238" spans="1:41" s="997" customFormat="1" ht="11.4">
      <c r="A3238" s="1074">
        <v>9</v>
      </c>
      <c r="B3238" s="1075">
        <v>1</v>
      </c>
      <c r="C3238" s="1075">
        <f>$A3238*$B3238</f>
        <v>9</v>
      </c>
      <c r="D3238" s="1076" t="str">
        <f>Elec_Rates!$D$486</f>
        <v>058# General Power Point in LSZH Conduit</v>
      </c>
      <c r="E3238" s="1076"/>
      <c r="F3238" s="1076"/>
      <c r="G3238" s="1077" t="s">
        <v>1008</v>
      </c>
      <c r="H3238" s="1077"/>
      <c r="I3238" s="1077"/>
      <c r="J3238" s="1077"/>
      <c r="K3238" s="1078"/>
      <c r="L3238" s="1073"/>
      <c r="M3238" s="1073"/>
      <c r="N3238" s="1073"/>
      <c r="O3238" s="1079"/>
      <c r="P3238" s="1076"/>
      <c r="Q3238" s="1080">
        <f ca="1">$B3238*Elec_Rates!$R$486</f>
        <v>13.92</v>
      </c>
      <c r="R3238" s="1071">
        <f ca="1">$A3238*Q3238</f>
        <v>125.28</v>
      </c>
      <c r="S3238" s="1080">
        <f ca="1">$B3238*Elec_Rates!$T$486</f>
        <v>1.43</v>
      </c>
      <c r="T3238" s="1072">
        <f ca="1">$A3238*S3238</f>
        <v>12.87</v>
      </c>
      <c r="U3238" s="1081"/>
    </row>
    <row r="3239" spans="1:41" s="1039" customFormat="1" ht="13.2">
      <c r="A3239" s="112">
        <v>9</v>
      </c>
      <c r="B3239" s="1039" t="s">
        <v>949</v>
      </c>
      <c r="D3239" s="1039" t="s">
        <v>426</v>
      </c>
      <c r="G3239" s="1040" t="s">
        <v>1231</v>
      </c>
      <c r="H3239" s="1041">
        <v>705</v>
      </c>
      <c r="I3239" s="1039" t="s">
        <v>1183</v>
      </c>
      <c r="J3239" s="1039" t="s">
        <v>1232</v>
      </c>
      <c r="O3239" s="1042">
        <v>3</v>
      </c>
      <c r="P3239" s="1043">
        <v>34669</v>
      </c>
      <c r="Q3239" s="1044">
        <v>37.9</v>
      </c>
      <c r="R3239" s="1045">
        <f>$A3239*Q3239</f>
        <v>341.09999999999997</v>
      </c>
      <c r="S3239" s="1044">
        <v>0.17</v>
      </c>
      <c r="T3239" s="1046">
        <f>$A3239*S3239*$T$1</f>
        <v>1.6065</v>
      </c>
    </row>
    <row r="3240" spans="1:41" s="504" customFormat="1" ht="12">
      <c r="A3240" s="882"/>
      <c r="B3240" s="882"/>
      <c r="C3240" s="882"/>
      <c r="D3240" s="882"/>
      <c r="E3240" s="882"/>
      <c r="F3240" s="877"/>
      <c r="G3240" s="882"/>
      <c r="H3240" s="882"/>
      <c r="I3240" s="503"/>
      <c r="J3240" s="882"/>
      <c r="K3240" s="882"/>
      <c r="L3240" s="882"/>
      <c r="M3240" s="882"/>
      <c r="N3240" s="882"/>
      <c r="O3240" s="882"/>
      <c r="P3240" s="882"/>
      <c r="Q3240" s="503"/>
      <c r="R3240" s="883">
        <f>$A3240*Q3240</f>
        <v>0</v>
      </c>
      <c r="S3240" s="503"/>
      <c r="T3240" s="884">
        <f>$A3240*S3240*$T$1</f>
        <v>0</v>
      </c>
    </row>
    <row r="3241" spans="1:41" s="504" customFormat="1" ht="12.6" thickBot="1">
      <c r="A3241" s="885" t="s">
        <v>142</v>
      </c>
      <c r="B3241" s="886">
        <f>(R3240+T3240)</f>
        <v>0</v>
      </c>
      <c r="C3241" s="887"/>
      <c r="D3241" s="887"/>
      <c r="E3241" s="887"/>
      <c r="F3241" s="888"/>
      <c r="G3241" s="887" t="s">
        <v>143</v>
      </c>
      <c r="H3241" s="887"/>
      <c r="I3241" s="889"/>
      <c r="J3241" s="887"/>
      <c r="K3241" s="887" t="s">
        <v>3</v>
      </c>
      <c r="L3241" s="890" t="s">
        <v>140</v>
      </c>
      <c r="M3241" s="890"/>
      <c r="N3241" s="890"/>
      <c r="O3241" s="890"/>
      <c r="P3241" s="890"/>
      <c r="Q3241" s="891"/>
      <c r="R3241" s="892">
        <f ca="1">SUM(R3236:R3240)</f>
        <v>466.38</v>
      </c>
      <c r="S3241" s="887"/>
      <c r="T3241" s="892">
        <f ca="1">SUM(T3236:T3240)</f>
        <v>14.4765</v>
      </c>
      <c r="U3241" s="514"/>
      <c r="V3241" s="514"/>
      <c r="W3241" s="514"/>
      <c r="X3241" s="514"/>
      <c r="Y3241" s="514"/>
      <c r="Z3241" s="514"/>
      <c r="AA3241" s="514"/>
      <c r="AB3241" s="514"/>
      <c r="AC3241" s="514"/>
      <c r="AD3241" s="514"/>
      <c r="AE3241" s="514"/>
      <c r="AF3241" s="514"/>
      <c r="AG3241" s="514"/>
      <c r="AH3241" s="514"/>
      <c r="AI3241" s="514"/>
      <c r="AJ3241" s="514"/>
      <c r="AK3241" s="514"/>
      <c r="AL3241" s="514"/>
      <c r="AM3241" s="514"/>
      <c r="AN3241" s="514"/>
      <c r="AO3241" s="514"/>
    </row>
    <row r="3242" spans="1:41" s="504" customFormat="1" ht="12" thickTop="1">
      <c r="A3242" s="50"/>
      <c r="B3242" s="40"/>
      <c r="C3242" s="50"/>
      <c r="E3242" s="41" t="s">
        <v>136</v>
      </c>
      <c r="F3242" s="41" t="s">
        <v>137</v>
      </c>
      <c r="G3242" s="50"/>
      <c r="H3242" s="50"/>
      <c r="I3242" s="50"/>
      <c r="J3242" s="50"/>
      <c r="K3242" s="50" t="s">
        <v>138</v>
      </c>
      <c r="L3242" s="50"/>
      <c r="M3242" s="50"/>
      <c r="N3242" s="50"/>
      <c r="O3242" s="51"/>
      <c r="P3242" s="50"/>
      <c r="Q3242" s="50"/>
      <c r="R3242" s="50"/>
      <c r="S3242" s="50"/>
      <c r="T3242" s="40"/>
      <c r="AG3242" s="867" t="s">
        <v>241</v>
      </c>
      <c r="AH3242" s="867" t="s">
        <v>242</v>
      </c>
      <c r="AI3242" s="867" t="s">
        <v>243</v>
      </c>
      <c r="AJ3242" s="867" t="s">
        <v>244</v>
      </c>
      <c r="AK3242" s="867" t="s">
        <v>245</v>
      </c>
      <c r="AM3242" s="868" t="s">
        <v>254</v>
      </c>
      <c r="AN3242" s="869" t="s">
        <v>255</v>
      </c>
      <c r="AO3242" s="505" t="s">
        <v>251</v>
      </c>
    </row>
    <row r="3243" spans="1:41" s="504" customFormat="1" ht="12" customHeight="1">
      <c r="A3243" s="870">
        <v>9</v>
      </c>
      <c r="B3243" s="871" t="s">
        <v>335</v>
      </c>
      <c r="C3243" s="872"/>
      <c r="D3243" s="873" t="s">
        <v>810</v>
      </c>
      <c r="E3243" s="874">
        <f ca="1">IF(AND($A3243=0,$A$1="DIF"),0, ROUND(ROUND(($R3249*$S$2+($T3249*$T$2))/A3243,2)*$C$2,2))</f>
        <v>119.8</v>
      </c>
      <c r="F3243" s="875">
        <f ca="1">ROUND($A3243*$E3243,2)</f>
        <v>1078.2</v>
      </c>
      <c r="G3243" s="876" t="s">
        <v>139</v>
      </c>
      <c r="H3243" s="877"/>
      <c r="I3243" s="878"/>
      <c r="J3243" s="877"/>
      <c r="K3243" s="877" t="s">
        <v>3</v>
      </c>
      <c r="L3243" s="879" t="s">
        <v>140</v>
      </c>
      <c r="M3243" s="879"/>
      <c r="N3243" s="879"/>
      <c r="O3243" s="879"/>
      <c r="P3243" s="879"/>
      <c r="Q3243" s="50"/>
      <c r="T3243" s="880" t="str">
        <f ca="1">IF(AND($R3249=0,$T3249=0),"0.00","mu :" &amp; ROUND($F3243/$C$2/($R3249+$T3249*$D$9),2))</f>
        <v>mu :1.22</v>
      </c>
      <c r="W3243" s="507"/>
      <c r="AG3243" s="465">
        <f ca="1">IF($E3243=0,0,ROUND($R3249*$S$2*$C$2/$A3243,2))</f>
        <v>63.22</v>
      </c>
      <c r="AH3243" s="465">
        <f ca="1">$AG3243*$A3243</f>
        <v>568.98</v>
      </c>
      <c r="AI3243" s="508">
        <f ca="1">$E3243-$AG3243</f>
        <v>56.58</v>
      </c>
      <c r="AJ3243" s="508">
        <f ca="1">$A3243*$AI3243</f>
        <v>509.21999999999997</v>
      </c>
      <c r="AK3243" s="509">
        <f ca="1">ROUND(($AG3243+$AI3243)*$A3243,2)</f>
        <v>1078.2</v>
      </c>
      <c r="AM3243" s="510">
        <f ca="1">ROUND(R3249,2)</f>
        <v>466.38</v>
      </c>
      <c r="AN3243" s="511">
        <f ca="1">ROUND(T3249,2)</f>
        <v>14.48</v>
      </c>
      <c r="AO3243" s="512">
        <f ca="1">ROUND(AM3243+AN3243,2)*A3243</f>
        <v>4327.74</v>
      </c>
    </row>
    <row r="3244" spans="1:41" s="504" customFormat="1" ht="13.2">
      <c r="A3244" s="872"/>
      <c r="B3244"/>
      <c r="C3244" s="872"/>
      <c r="D3244" s="916" t="s">
        <v>427</v>
      </c>
      <c r="E3244" s="917"/>
      <c r="F3244" s="918"/>
      <c r="G3244" s="919"/>
      <c r="H3244" s="918"/>
      <c r="I3244" s="920"/>
      <c r="J3244" s="918"/>
      <c r="K3244" s="918" t="s">
        <v>141</v>
      </c>
      <c r="L3244" s="918"/>
      <c r="M3244" s="918"/>
      <c r="N3244" s="918"/>
      <c r="O3244" s="918"/>
      <c r="P3244" s="918"/>
      <c r="Q3244" s="921"/>
      <c r="R3244" s="513"/>
      <c r="S3244" s="881"/>
      <c r="T3244" s="877"/>
    </row>
    <row r="3245" spans="1:41" s="997" customFormat="1" ht="13.2">
      <c r="A3245"/>
      <c r="B3245" s="1065"/>
      <c r="C3245" s="1065" t="s">
        <v>1006</v>
      </c>
      <c r="D3245" s="1065" t="str">
        <f ca="1">CELL("Address",Elec_Rates!D$486)</f>
        <v>[EL25_0662B_Brittania_Hotel_Elec_Revised_Estim_B.xlsx]Elec_Rates!$D$486</v>
      </c>
      <c r="E3245" s="1066"/>
      <c r="F3245" s="1066"/>
      <c r="G3245" s="1067" t="s">
        <v>1007</v>
      </c>
      <c r="H3245" s="1067"/>
      <c r="I3245" s="1067"/>
      <c r="J3245" s="1067"/>
      <c r="K3245" s="1068"/>
      <c r="L3245" s="1066"/>
      <c r="M3245" s="1066"/>
      <c r="N3245" s="1066"/>
      <c r="O3245" s="1069"/>
      <c r="P3245" s="1066"/>
      <c r="Q3245" s="1070"/>
      <c r="R3245" s="1071"/>
      <c r="S3245" s="1070"/>
      <c r="T3245" s="1072"/>
      <c r="U3245" s="1073"/>
    </row>
    <row r="3246" spans="1:41" s="997" customFormat="1" ht="11.4">
      <c r="A3246" s="1074">
        <v>9</v>
      </c>
      <c r="B3246" s="1075">
        <v>1</v>
      </c>
      <c r="C3246" s="1075">
        <f>$A3246*$B3246</f>
        <v>9</v>
      </c>
      <c r="D3246" s="1076" t="str">
        <f>Elec_Rates!$D$486</f>
        <v>058# General Power Point in LSZH Conduit</v>
      </c>
      <c r="E3246" s="1076"/>
      <c r="F3246" s="1076"/>
      <c r="G3246" s="1077" t="s">
        <v>1008</v>
      </c>
      <c r="H3246" s="1077"/>
      <c r="I3246" s="1077"/>
      <c r="J3246" s="1077"/>
      <c r="K3246" s="1078"/>
      <c r="L3246" s="1073"/>
      <c r="M3246" s="1073"/>
      <c r="N3246" s="1073"/>
      <c r="O3246" s="1079"/>
      <c r="P3246" s="1076"/>
      <c r="Q3246" s="1080">
        <f ca="1">$B3246*Elec_Rates!$R$486</f>
        <v>13.92</v>
      </c>
      <c r="R3246" s="1071">
        <f ca="1">$A3246*Q3246</f>
        <v>125.28</v>
      </c>
      <c r="S3246" s="1080">
        <f ca="1">$B3246*Elec_Rates!$T$486</f>
        <v>1.43</v>
      </c>
      <c r="T3246" s="1072">
        <f ca="1">$A3246*S3246</f>
        <v>12.87</v>
      </c>
      <c r="U3246" s="1081"/>
    </row>
    <row r="3247" spans="1:41" s="1039" customFormat="1" ht="13.2">
      <c r="A3247" s="112">
        <v>9</v>
      </c>
      <c r="B3247" s="1039" t="s">
        <v>949</v>
      </c>
      <c r="D3247" s="1039" t="s">
        <v>427</v>
      </c>
      <c r="G3247" s="1040" t="s">
        <v>1231</v>
      </c>
      <c r="H3247" s="1041">
        <v>705</v>
      </c>
      <c r="I3247" s="1039" t="s">
        <v>1183</v>
      </c>
      <c r="J3247" s="1039" t="s">
        <v>1232</v>
      </c>
      <c r="O3247" s="1042">
        <v>3</v>
      </c>
      <c r="P3247" s="1043">
        <v>34669</v>
      </c>
      <c r="Q3247" s="1044">
        <v>37.9</v>
      </c>
      <c r="R3247" s="1045">
        <f>$A3247*Q3247</f>
        <v>341.09999999999997</v>
      </c>
      <c r="S3247" s="1044">
        <v>0.17</v>
      </c>
      <c r="T3247" s="1046">
        <f>$A3247*S3247*$T$1</f>
        <v>1.6065</v>
      </c>
    </row>
    <row r="3248" spans="1:41" s="504" customFormat="1" ht="12">
      <c r="A3248" s="882"/>
      <c r="B3248" s="882"/>
      <c r="C3248" s="882"/>
      <c r="D3248" s="882"/>
      <c r="E3248" s="882"/>
      <c r="F3248" s="877"/>
      <c r="G3248" s="882"/>
      <c r="H3248" s="882"/>
      <c r="I3248" s="503"/>
      <c r="J3248" s="882"/>
      <c r="K3248" s="882"/>
      <c r="L3248" s="882"/>
      <c r="M3248" s="882"/>
      <c r="N3248" s="882"/>
      <c r="O3248" s="882"/>
      <c r="P3248" s="882"/>
      <c r="Q3248" s="503"/>
      <c r="R3248" s="883">
        <f>$A3248*Q3248</f>
        <v>0</v>
      </c>
      <c r="S3248" s="503"/>
      <c r="T3248" s="884">
        <f>$A3248*S3248*$T$1</f>
        <v>0</v>
      </c>
    </row>
    <row r="3249" spans="1:41" s="504" customFormat="1" ht="12.6" thickBot="1">
      <c r="A3249" s="885" t="s">
        <v>142</v>
      </c>
      <c r="B3249" s="886">
        <f>(R3248+T3248)</f>
        <v>0</v>
      </c>
      <c r="C3249" s="887"/>
      <c r="D3249" s="887"/>
      <c r="E3249" s="887"/>
      <c r="F3249" s="888"/>
      <c r="G3249" s="887" t="s">
        <v>143</v>
      </c>
      <c r="H3249" s="887"/>
      <c r="I3249" s="889"/>
      <c r="J3249" s="887"/>
      <c r="K3249" s="887" t="s">
        <v>3</v>
      </c>
      <c r="L3249" s="890" t="s">
        <v>140</v>
      </c>
      <c r="M3249" s="890"/>
      <c r="N3249" s="890"/>
      <c r="O3249" s="890"/>
      <c r="P3249" s="890"/>
      <c r="Q3249" s="891"/>
      <c r="R3249" s="892">
        <f ca="1">SUM(R3244:R3248)</f>
        <v>466.38</v>
      </c>
      <c r="S3249" s="887"/>
      <c r="T3249" s="892">
        <f ca="1">SUM(T3244:T3248)</f>
        <v>14.4765</v>
      </c>
      <c r="U3249" s="514"/>
      <c r="V3249" s="514"/>
      <c r="W3249" s="514"/>
      <c r="X3249" s="514"/>
      <c r="Y3249" s="514"/>
      <c r="Z3249" s="514"/>
      <c r="AA3249" s="514"/>
      <c r="AB3249" s="514"/>
      <c r="AC3249" s="514"/>
      <c r="AD3249" s="514"/>
      <c r="AE3249" s="514"/>
      <c r="AF3249" s="514"/>
      <c r="AG3249" s="514"/>
      <c r="AH3249" s="514"/>
      <c r="AI3249" s="514"/>
      <c r="AJ3249" s="514"/>
      <c r="AK3249" s="514"/>
      <c r="AL3249" s="514"/>
      <c r="AM3249" s="514"/>
      <c r="AN3249" s="514"/>
      <c r="AO3249" s="514"/>
    </row>
    <row r="3250" spans="1:41" s="504" customFormat="1" ht="12" thickTop="1">
      <c r="A3250" s="50"/>
      <c r="B3250" s="40"/>
      <c r="C3250" s="50"/>
      <c r="E3250" s="41" t="s">
        <v>136</v>
      </c>
      <c r="F3250" s="41" t="s">
        <v>137</v>
      </c>
      <c r="G3250" s="50"/>
      <c r="H3250" s="50"/>
      <c r="I3250" s="50"/>
      <c r="J3250" s="50"/>
      <c r="K3250" s="50" t="s">
        <v>138</v>
      </c>
      <c r="L3250" s="50"/>
      <c r="M3250" s="50"/>
      <c r="N3250" s="50"/>
      <c r="O3250" s="51"/>
      <c r="P3250" s="50"/>
      <c r="Q3250" s="50"/>
      <c r="R3250" s="50"/>
      <c r="S3250" s="50"/>
      <c r="T3250" s="40"/>
      <c r="AG3250" s="867" t="s">
        <v>241</v>
      </c>
      <c r="AH3250" s="867" t="s">
        <v>242</v>
      </c>
      <c r="AI3250" s="867" t="s">
        <v>243</v>
      </c>
      <c r="AJ3250" s="867" t="s">
        <v>244</v>
      </c>
      <c r="AK3250" s="867" t="s">
        <v>245</v>
      </c>
      <c r="AM3250" s="868" t="s">
        <v>254</v>
      </c>
      <c r="AN3250" s="869" t="s">
        <v>255</v>
      </c>
      <c r="AO3250" s="505" t="s">
        <v>251</v>
      </c>
    </row>
    <row r="3251" spans="1:41" s="504" customFormat="1" ht="12" customHeight="1">
      <c r="A3251" s="870">
        <v>2</v>
      </c>
      <c r="B3251" s="871" t="s">
        <v>335</v>
      </c>
      <c r="C3251" s="872"/>
      <c r="D3251" s="873" t="s">
        <v>812</v>
      </c>
      <c r="E3251" s="874">
        <f ca="1">IF(AND($A3251=0,$A$1="DIF"),0, ROUND(ROUND(($R3257*$S$2+($T3257*$T$2))/A3251,2)*$C$2,2))</f>
        <v>115.17</v>
      </c>
      <c r="F3251" s="875">
        <f ca="1">ROUND($A3251*$E3251,2)</f>
        <v>230.34</v>
      </c>
      <c r="G3251" s="876" t="s">
        <v>139</v>
      </c>
      <c r="H3251" s="877"/>
      <c r="I3251" s="878"/>
      <c r="J3251" s="877"/>
      <c r="K3251" s="877" t="s">
        <v>3</v>
      </c>
      <c r="L3251" s="879" t="s">
        <v>140</v>
      </c>
      <c r="M3251" s="879"/>
      <c r="N3251" s="879"/>
      <c r="O3251" s="879"/>
      <c r="P3251" s="879"/>
      <c r="Q3251" s="50"/>
      <c r="T3251" s="880" t="str">
        <f ca="1">IF(AND($R3257=0,$T3257=0),"0.00","mu :" &amp; ROUND($F3251/$C$2/($R3257+$T3257*$D$9),2))</f>
        <v>mu :1.22</v>
      </c>
      <c r="W3251" s="507"/>
      <c r="AG3251" s="465">
        <f ca="1">IF($E3251=0,0,ROUND($R3257*$S$2*$C$2/$A3251,2))</f>
        <v>58.58</v>
      </c>
      <c r="AH3251" s="465">
        <f ca="1">$AG3251*$A3251</f>
        <v>117.16</v>
      </c>
      <c r="AI3251" s="508">
        <f ca="1">$E3251-$AG3251</f>
        <v>56.59</v>
      </c>
      <c r="AJ3251" s="508">
        <f ca="1">$A3251*$AI3251</f>
        <v>113.18</v>
      </c>
      <c r="AK3251" s="509">
        <f ca="1">ROUND(($AG3251+$AI3251)*$A3251,2)</f>
        <v>230.34</v>
      </c>
      <c r="AM3251" s="510">
        <f ca="1">ROUND(R3257,2)</f>
        <v>96.04</v>
      </c>
      <c r="AN3251" s="511">
        <f ca="1">ROUND(T3257,2)</f>
        <v>3.22</v>
      </c>
      <c r="AO3251" s="512">
        <f ca="1">ROUND(AM3251+AN3251,2)*A3251</f>
        <v>198.52</v>
      </c>
    </row>
    <row r="3252" spans="1:41" s="504" customFormat="1" ht="13.2">
      <c r="A3252" s="872"/>
      <c r="B3252"/>
      <c r="C3252" s="872"/>
      <c r="D3252" s="873" t="s">
        <v>362</v>
      </c>
      <c r="F3252" s="877"/>
      <c r="G3252" s="3"/>
      <c r="H3252" s="877"/>
      <c r="I3252" s="878"/>
      <c r="J3252" s="877"/>
      <c r="K3252" s="877" t="s">
        <v>141</v>
      </c>
      <c r="L3252" s="877"/>
      <c r="M3252" s="877"/>
      <c r="N3252" s="877"/>
      <c r="O3252" s="877"/>
      <c r="P3252" s="877"/>
      <c r="Q3252" s="50"/>
      <c r="R3252" s="513"/>
      <c r="S3252" s="881"/>
      <c r="T3252" s="877"/>
    </row>
    <row r="3253" spans="1:41" s="997" customFormat="1" ht="13.2">
      <c r="A3253"/>
      <c r="B3253" s="1065"/>
      <c r="C3253" s="1065" t="s">
        <v>1006</v>
      </c>
      <c r="D3253" s="1065" t="str">
        <f ca="1">CELL("Address",Elec_Rates!D$486)</f>
        <v>[EL25_0662B_Brittania_Hotel_Elec_Revised_Estim_B.xlsx]Elec_Rates!$D$486</v>
      </c>
      <c r="E3253" s="1066"/>
      <c r="F3253" s="1066"/>
      <c r="G3253" s="1067" t="s">
        <v>1007</v>
      </c>
      <c r="H3253" s="1067"/>
      <c r="I3253" s="1067"/>
      <c r="J3253" s="1067"/>
      <c r="K3253" s="1068"/>
      <c r="L3253" s="1066"/>
      <c r="M3253" s="1066"/>
      <c r="N3253" s="1066"/>
      <c r="O3253" s="1069"/>
      <c r="P3253" s="1066"/>
      <c r="Q3253" s="1070"/>
      <c r="R3253" s="1071"/>
      <c r="S3253" s="1070"/>
      <c r="T3253" s="1072"/>
      <c r="U3253" s="1073"/>
    </row>
    <row r="3254" spans="1:41" s="997" customFormat="1" ht="11.4">
      <c r="A3254" s="1074">
        <v>2</v>
      </c>
      <c r="B3254" s="1075">
        <v>1</v>
      </c>
      <c r="C3254" s="1075">
        <f>$A3254*$B3254</f>
        <v>2</v>
      </c>
      <c r="D3254" s="1076" t="str">
        <f>Elec_Rates!$D$486</f>
        <v>058# General Power Point in LSZH Conduit</v>
      </c>
      <c r="E3254" s="1076"/>
      <c r="F3254" s="1076"/>
      <c r="G3254" s="1077" t="s">
        <v>1008</v>
      </c>
      <c r="H3254" s="1077"/>
      <c r="I3254" s="1077"/>
      <c r="J3254" s="1077"/>
      <c r="K3254" s="1078"/>
      <c r="L3254" s="1073"/>
      <c r="M3254" s="1073"/>
      <c r="N3254" s="1073"/>
      <c r="O3254" s="1079"/>
      <c r="P3254" s="1076"/>
      <c r="Q3254" s="1080">
        <f ca="1">$B3254*Elec_Rates!$R$486</f>
        <v>13.92</v>
      </c>
      <c r="R3254" s="1071">
        <f ca="1">$A3254*Q3254</f>
        <v>27.84</v>
      </c>
      <c r="S3254" s="1080">
        <f ca="1">$B3254*Elec_Rates!$T$486</f>
        <v>1.43</v>
      </c>
      <c r="T3254" s="1072">
        <f ca="1">$A3254*S3254</f>
        <v>2.86</v>
      </c>
      <c r="U3254" s="1081"/>
    </row>
    <row r="3255" spans="1:41" s="1039" customFormat="1" ht="13.2">
      <c r="A3255" s="112">
        <v>2</v>
      </c>
      <c r="B3255" s="1039" t="s">
        <v>949</v>
      </c>
      <c r="D3255" s="1039" t="s">
        <v>362</v>
      </c>
      <c r="G3255" s="1040" t="s">
        <v>1231</v>
      </c>
      <c r="H3255" s="1041">
        <v>705</v>
      </c>
      <c r="I3255" s="1039" t="s">
        <v>1183</v>
      </c>
      <c r="J3255" s="1039" t="s">
        <v>1232</v>
      </c>
      <c r="O3255" s="1042">
        <v>3</v>
      </c>
      <c r="P3255" s="1043">
        <v>34669</v>
      </c>
      <c r="Q3255" s="1044">
        <v>34.1</v>
      </c>
      <c r="R3255" s="1045">
        <f>$A3255*Q3255</f>
        <v>68.2</v>
      </c>
      <c r="S3255" s="1044">
        <v>0.17</v>
      </c>
      <c r="T3255" s="1046">
        <f>$A3255*S3255*$T$1</f>
        <v>0.35700000000000004</v>
      </c>
    </row>
    <row r="3256" spans="1:41" s="504" customFormat="1" ht="12">
      <c r="A3256" s="882"/>
      <c r="B3256" s="882"/>
      <c r="C3256" s="882"/>
      <c r="D3256" s="882"/>
      <c r="E3256" s="882"/>
      <c r="F3256" s="877"/>
      <c r="G3256" s="882"/>
      <c r="H3256" s="882"/>
      <c r="I3256" s="503"/>
      <c r="J3256" s="882"/>
      <c r="K3256" s="882"/>
      <c r="L3256" s="882"/>
      <c r="M3256" s="882"/>
      <c r="N3256" s="882"/>
      <c r="O3256" s="882"/>
      <c r="P3256" s="882"/>
      <c r="Q3256" s="503"/>
      <c r="R3256" s="883">
        <f>$A3256*Q3256</f>
        <v>0</v>
      </c>
      <c r="S3256" s="503"/>
      <c r="T3256" s="884">
        <f>$A3256*S3256*$T$1</f>
        <v>0</v>
      </c>
    </row>
    <row r="3257" spans="1:41" s="504" customFormat="1" ht="12.6" thickBot="1">
      <c r="A3257" s="885" t="s">
        <v>142</v>
      </c>
      <c r="B3257" s="886">
        <f>(R3256+T3256)</f>
        <v>0</v>
      </c>
      <c r="C3257" s="887"/>
      <c r="D3257" s="887"/>
      <c r="E3257" s="887"/>
      <c r="F3257" s="888"/>
      <c r="G3257" s="887" t="s">
        <v>143</v>
      </c>
      <c r="H3257" s="887"/>
      <c r="I3257" s="889"/>
      <c r="J3257" s="887"/>
      <c r="K3257" s="887" t="s">
        <v>3</v>
      </c>
      <c r="L3257" s="890" t="s">
        <v>140</v>
      </c>
      <c r="M3257" s="890"/>
      <c r="N3257" s="890"/>
      <c r="O3257" s="890"/>
      <c r="P3257" s="890"/>
      <c r="Q3257" s="891"/>
      <c r="R3257" s="892">
        <f ca="1">SUM(R3252:R3256)</f>
        <v>96.04</v>
      </c>
      <c r="S3257" s="887"/>
      <c r="T3257" s="892">
        <f ca="1">SUM(T3252:T3256)</f>
        <v>3.2170000000000001</v>
      </c>
      <c r="U3257" s="514"/>
      <c r="V3257" s="514"/>
      <c r="W3257" s="514"/>
      <c r="X3257" s="514"/>
      <c r="Y3257" s="514"/>
      <c r="Z3257" s="514"/>
      <c r="AA3257" s="514"/>
      <c r="AB3257" s="514"/>
      <c r="AC3257" s="514"/>
      <c r="AD3257" s="514"/>
      <c r="AE3257" s="514"/>
      <c r="AF3257" s="514"/>
      <c r="AG3257" s="514"/>
      <c r="AH3257" s="514"/>
      <c r="AI3257" s="514"/>
      <c r="AJ3257" s="514"/>
      <c r="AK3257" s="514"/>
      <c r="AL3257" s="514"/>
      <c r="AM3257" s="514"/>
      <c r="AN3257" s="514"/>
      <c r="AO3257" s="514"/>
    </row>
    <row r="3258" spans="1:41" s="504" customFormat="1" ht="12" thickTop="1">
      <c r="A3258" s="50"/>
      <c r="B3258" s="40"/>
      <c r="C3258" s="50"/>
      <c r="E3258" s="41" t="s">
        <v>136</v>
      </c>
      <c r="F3258" s="41" t="s">
        <v>137</v>
      </c>
      <c r="G3258" s="50"/>
      <c r="H3258" s="50"/>
      <c r="I3258" s="50"/>
      <c r="J3258" s="50"/>
      <c r="K3258" s="50" t="s">
        <v>138</v>
      </c>
      <c r="L3258" s="50"/>
      <c r="M3258" s="50"/>
      <c r="N3258" s="50"/>
      <c r="O3258" s="51"/>
      <c r="P3258" s="50"/>
      <c r="Q3258" s="50"/>
      <c r="R3258" s="50"/>
      <c r="S3258" s="50"/>
      <c r="T3258" s="40"/>
      <c r="AG3258" s="867" t="s">
        <v>241</v>
      </c>
      <c r="AH3258" s="867" t="s">
        <v>242</v>
      </c>
      <c r="AI3258" s="867" t="s">
        <v>243</v>
      </c>
      <c r="AJ3258" s="867" t="s">
        <v>244</v>
      </c>
      <c r="AK3258" s="867" t="s">
        <v>245</v>
      </c>
      <c r="AM3258" s="868" t="s">
        <v>254</v>
      </c>
      <c r="AN3258" s="869" t="s">
        <v>255</v>
      </c>
      <c r="AO3258" s="505" t="s">
        <v>251</v>
      </c>
    </row>
    <row r="3259" spans="1:41" s="504" customFormat="1" ht="12" customHeight="1">
      <c r="A3259" s="870">
        <v>6</v>
      </c>
      <c r="B3259" s="871" t="s">
        <v>335</v>
      </c>
      <c r="C3259" s="872"/>
      <c r="D3259" s="873" t="s">
        <v>819</v>
      </c>
      <c r="E3259" s="874">
        <f ca="1">IF(AND($A3259=0,$A$1="DIF"),0, ROUND(ROUND(($R3265*$S$2+($T3265*$T$2))/A3259,2)*$C$2,2))</f>
        <v>79.88</v>
      </c>
      <c r="F3259" s="875">
        <f ca="1">ROUND($A3259*$E3259,2)</f>
        <v>479.28</v>
      </c>
      <c r="G3259" s="876" t="s">
        <v>139</v>
      </c>
      <c r="H3259" s="877"/>
      <c r="I3259" s="878"/>
      <c r="J3259" s="877"/>
      <c r="K3259" s="877" t="s">
        <v>3</v>
      </c>
      <c r="L3259" s="879" t="s">
        <v>140</v>
      </c>
      <c r="M3259" s="879"/>
      <c r="N3259" s="879"/>
      <c r="O3259" s="879"/>
      <c r="P3259" s="879"/>
      <c r="Q3259" s="50"/>
      <c r="T3259" s="880" t="str">
        <f ca="1">IF(AND($R3265=0,$T3265=0),"0.00","mu :" &amp; ROUND($F3259/$C$2/($R3265+$T3265*$D$9),2))</f>
        <v>mu :1.22</v>
      </c>
      <c r="W3259" s="507"/>
      <c r="AG3259" s="465">
        <f ca="1">IF($E3259=0,0,ROUND($R3265*$S$2*$C$2/$A3259,2))</f>
        <v>23.3</v>
      </c>
      <c r="AH3259" s="465">
        <f ca="1">$AG3259*$A3259</f>
        <v>139.80000000000001</v>
      </c>
      <c r="AI3259" s="508">
        <f ca="1">$E3259-$AG3259</f>
        <v>56.58</v>
      </c>
      <c r="AJ3259" s="508">
        <f ca="1">$A3259*$AI3259</f>
        <v>339.48</v>
      </c>
      <c r="AK3259" s="509">
        <f ca="1">ROUND(($AG3259+$AI3259)*$A3259,2)</f>
        <v>479.28</v>
      </c>
      <c r="AM3259" s="510">
        <f ca="1">ROUND(R3265,2)</f>
        <v>114.6</v>
      </c>
      <c r="AN3259" s="511">
        <f ca="1">ROUND(T3265,2)</f>
        <v>9.65</v>
      </c>
      <c r="AO3259" s="512">
        <f ca="1">ROUND(AM3259+AN3259,2)*A3259</f>
        <v>745.5</v>
      </c>
    </row>
    <row r="3260" spans="1:41" s="504" customFormat="1" ht="13.2">
      <c r="A3260" s="872"/>
      <c r="B3260"/>
      <c r="C3260" s="872"/>
      <c r="D3260" s="873" t="s">
        <v>363</v>
      </c>
      <c r="F3260" s="877"/>
      <c r="G3260" s="3"/>
      <c r="H3260" s="877"/>
      <c r="I3260" s="878"/>
      <c r="J3260" s="877"/>
      <c r="K3260" s="877" t="s">
        <v>141</v>
      </c>
      <c r="L3260" s="877"/>
      <c r="M3260" s="877"/>
      <c r="N3260" s="877"/>
      <c r="O3260" s="877"/>
      <c r="P3260" s="877"/>
      <c r="Q3260" s="50"/>
      <c r="R3260" s="513"/>
      <c r="S3260" s="881"/>
      <c r="T3260" s="877"/>
    </row>
    <row r="3261" spans="1:41" s="997" customFormat="1" ht="13.2">
      <c r="A3261"/>
      <c r="B3261" s="1065"/>
      <c r="C3261" s="1065" t="s">
        <v>1006</v>
      </c>
      <c r="D3261" s="1065" t="str">
        <f ca="1">CELL("Address",Elec_Rates!D$486)</f>
        <v>[EL25_0662B_Brittania_Hotel_Elec_Revised_Estim_B.xlsx]Elec_Rates!$D$486</v>
      </c>
      <c r="E3261" s="1066"/>
      <c r="F3261" s="1066"/>
      <c r="G3261" s="1067" t="s">
        <v>1007</v>
      </c>
      <c r="H3261" s="1067"/>
      <c r="I3261" s="1067"/>
      <c r="J3261" s="1067"/>
      <c r="K3261" s="1068"/>
      <c r="L3261" s="1066"/>
      <c r="M3261" s="1066"/>
      <c r="N3261" s="1066"/>
      <c r="O3261" s="1069"/>
      <c r="P3261" s="1066"/>
      <c r="Q3261" s="1070"/>
      <c r="R3261" s="1071"/>
      <c r="S3261" s="1070"/>
      <c r="T3261" s="1072"/>
      <c r="U3261" s="1073"/>
    </row>
    <row r="3262" spans="1:41" s="997" customFormat="1" ht="11.4">
      <c r="A3262" s="1074">
        <v>6</v>
      </c>
      <c r="B3262" s="1075">
        <v>1</v>
      </c>
      <c r="C3262" s="1075">
        <f>$A3262*$B3262</f>
        <v>6</v>
      </c>
      <c r="D3262" s="1076" t="str">
        <f>Elec_Rates!$D$486</f>
        <v>058# General Power Point in LSZH Conduit</v>
      </c>
      <c r="E3262" s="1076"/>
      <c r="F3262" s="1076"/>
      <c r="G3262" s="1077" t="s">
        <v>1008</v>
      </c>
      <c r="H3262" s="1077"/>
      <c r="I3262" s="1077"/>
      <c r="J3262" s="1077"/>
      <c r="K3262" s="1078"/>
      <c r="L3262" s="1073"/>
      <c r="M3262" s="1073"/>
      <c r="N3262" s="1073"/>
      <c r="O3262" s="1079"/>
      <c r="P3262" s="1076"/>
      <c r="Q3262" s="1080">
        <f ca="1">$B3262*Elec_Rates!$R$486</f>
        <v>13.92</v>
      </c>
      <c r="R3262" s="1071">
        <f ca="1">$A3262*Q3262</f>
        <v>83.52</v>
      </c>
      <c r="S3262" s="1080">
        <f ca="1">$B3262*Elec_Rates!$T$486</f>
        <v>1.43</v>
      </c>
      <c r="T3262" s="1072">
        <f ca="1">$A3262*S3262</f>
        <v>8.58</v>
      </c>
      <c r="U3262" s="1081"/>
    </row>
    <row r="3263" spans="1:41" s="1039" customFormat="1" ht="13.2">
      <c r="A3263" s="112">
        <v>6</v>
      </c>
      <c r="B3263" s="1039" t="s">
        <v>949</v>
      </c>
      <c r="D3263" s="1039" t="s">
        <v>1237</v>
      </c>
      <c r="G3263" s="1040" t="s">
        <v>1231</v>
      </c>
      <c r="H3263" s="1041">
        <v>705</v>
      </c>
      <c r="I3263" s="1039" t="s">
        <v>1183</v>
      </c>
      <c r="J3263" s="1039" t="s">
        <v>1232</v>
      </c>
      <c r="O3263" s="1042">
        <v>3</v>
      </c>
      <c r="P3263" s="1043">
        <v>34669</v>
      </c>
      <c r="Q3263" s="1044">
        <v>5.18</v>
      </c>
      <c r="R3263" s="1045">
        <f>$A3263*Q3263</f>
        <v>31.08</v>
      </c>
      <c r="S3263" s="1044">
        <v>0.17</v>
      </c>
      <c r="T3263" s="1046">
        <f>$A3263*S3263*$T$1</f>
        <v>1.0710000000000002</v>
      </c>
    </row>
    <row r="3264" spans="1:41" s="504" customFormat="1" ht="12">
      <c r="A3264" s="882"/>
      <c r="B3264" s="882"/>
      <c r="C3264" s="882"/>
      <c r="D3264" s="882"/>
      <c r="E3264" s="882"/>
      <c r="F3264" s="877"/>
      <c r="G3264" s="882"/>
      <c r="H3264" s="882"/>
      <c r="I3264" s="503"/>
      <c r="J3264" s="882"/>
      <c r="K3264" s="882"/>
      <c r="L3264" s="882"/>
      <c r="M3264" s="882"/>
      <c r="N3264" s="882"/>
      <c r="O3264" s="882"/>
      <c r="P3264" s="882"/>
      <c r="Q3264" s="503"/>
      <c r="R3264" s="883">
        <f>$A3264*Q3264</f>
        <v>0</v>
      </c>
      <c r="S3264" s="503"/>
      <c r="T3264" s="884">
        <f>$A3264*S3264*$T$1</f>
        <v>0</v>
      </c>
    </row>
    <row r="3265" spans="1:41" s="504" customFormat="1" ht="12.6" thickBot="1">
      <c r="A3265" s="885" t="s">
        <v>142</v>
      </c>
      <c r="B3265" s="886">
        <f>(R3264+T3264)</f>
        <v>0</v>
      </c>
      <c r="C3265" s="887"/>
      <c r="D3265" s="887"/>
      <c r="E3265" s="887"/>
      <c r="F3265" s="888"/>
      <c r="G3265" s="887" t="s">
        <v>143</v>
      </c>
      <c r="H3265" s="887"/>
      <c r="I3265" s="889"/>
      <c r="J3265" s="887"/>
      <c r="K3265" s="887" t="s">
        <v>3</v>
      </c>
      <c r="L3265" s="890" t="s">
        <v>140</v>
      </c>
      <c r="M3265" s="890"/>
      <c r="N3265" s="890"/>
      <c r="O3265" s="890"/>
      <c r="P3265" s="890"/>
      <c r="Q3265" s="891"/>
      <c r="R3265" s="892">
        <f ca="1">SUM(R3260:R3264)</f>
        <v>114.6</v>
      </c>
      <c r="S3265" s="887"/>
      <c r="T3265" s="892">
        <f ca="1">SUM(T3260:T3264)</f>
        <v>9.6509999999999998</v>
      </c>
      <c r="U3265" s="514"/>
      <c r="V3265" s="514"/>
      <c r="W3265" s="514"/>
      <c r="X3265" s="514"/>
      <c r="Y3265" s="514"/>
      <c r="Z3265" s="514"/>
      <c r="AA3265" s="514"/>
      <c r="AB3265" s="514"/>
      <c r="AC3265" s="514"/>
      <c r="AD3265" s="514"/>
      <c r="AE3265" s="514"/>
      <c r="AF3265" s="514"/>
      <c r="AG3265" s="514"/>
      <c r="AH3265" s="514"/>
      <c r="AI3265" s="514"/>
      <c r="AJ3265" s="514"/>
      <c r="AK3265" s="514"/>
      <c r="AL3265" s="514"/>
      <c r="AM3265" s="514"/>
      <c r="AN3265" s="514"/>
      <c r="AO3265" s="514"/>
    </row>
    <row r="3266" spans="1:41" s="504" customFormat="1" ht="12" thickTop="1">
      <c r="A3266" s="50"/>
      <c r="B3266" s="40"/>
      <c r="C3266" s="50"/>
      <c r="E3266" s="41" t="s">
        <v>136</v>
      </c>
      <c r="F3266" s="41" t="s">
        <v>137</v>
      </c>
      <c r="G3266" s="50"/>
      <c r="H3266" s="50"/>
      <c r="I3266" s="50"/>
      <c r="J3266" s="50"/>
      <c r="K3266" s="50" t="s">
        <v>138</v>
      </c>
      <c r="L3266" s="50"/>
      <c r="M3266" s="50"/>
      <c r="N3266" s="50"/>
      <c r="O3266" s="51"/>
      <c r="P3266" s="50"/>
      <c r="Q3266" s="50"/>
      <c r="R3266" s="50"/>
      <c r="S3266" s="50"/>
      <c r="T3266" s="40"/>
      <c r="AG3266" s="867" t="s">
        <v>241</v>
      </c>
      <c r="AH3266" s="867" t="s">
        <v>242</v>
      </c>
      <c r="AI3266" s="867" t="s">
        <v>243</v>
      </c>
      <c r="AJ3266" s="867" t="s">
        <v>244</v>
      </c>
      <c r="AK3266" s="867" t="s">
        <v>245</v>
      </c>
      <c r="AM3266" s="868" t="s">
        <v>254</v>
      </c>
      <c r="AN3266" s="869" t="s">
        <v>255</v>
      </c>
      <c r="AO3266" s="505" t="s">
        <v>251</v>
      </c>
    </row>
    <row r="3267" spans="1:41" s="504" customFormat="1" ht="12" customHeight="1">
      <c r="A3267" s="870">
        <v>6</v>
      </c>
      <c r="B3267" s="871" t="s">
        <v>335</v>
      </c>
      <c r="C3267" s="872"/>
      <c r="D3267" s="873" t="s">
        <v>820</v>
      </c>
      <c r="E3267" s="874">
        <f ca="1">IF(AND($A3267=0,$A$1="DIF"),0, ROUND(ROUND(($R3273*$S$2+($T3273*$T$2))/A3267,2)*$C$2,2))</f>
        <v>79.88</v>
      </c>
      <c r="F3267" s="875">
        <f ca="1">ROUND($A3267*$E3267,2)</f>
        <v>479.28</v>
      </c>
      <c r="G3267" s="876" t="s">
        <v>139</v>
      </c>
      <c r="H3267" s="877"/>
      <c r="I3267" s="878"/>
      <c r="J3267" s="877"/>
      <c r="K3267" s="877" t="s">
        <v>3</v>
      </c>
      <c r="L3267" s="879" t="s">
        <v>140</v>
      </c>
      <c r="M3267" s="879"/>
      <c r="N3267" s="879"/>
      <c r="O3267" s="879"/>
      <c r="P3267" s="879"/>
      <c r="Q3267" s="50"/>
      <c r="T3267" s="880" t="str">
        <f ca="1">IF(AND($R3273=0,$T3273=0),"0.00","mu :" &amp; ROUND($F3267/$C$2/($R3273+$T3273*$D$9),2))</f>
        <v>mu :1.22</v>
      </c>
      <c r="W3267" s="507"/>
      <c r="AG3267" s="465">
        <f ca="1">IF($E3267=0,0,ROUND($R3273*$S$2*$C$2/$A3267,2))</f>
        <v>23.3</v>
      </c>
      <c r="AH3267" s="465">
        <f ca="1">$AG3267*$A3267</f>
        <v>139.80000000000001</v>
      </c>
      <c r="AI3267" s="508">
        <f ca="1">$E3267-$AG3267</f>
        <v>56.58</v>
      </c>
      <c r="AJ3267" s="508">
        <f ca="1">$A3267*$AI3267</f>
        <v>339.48</v>
      </c>
      <c r="AK3267" s="509">
        <f ca="1">ROUND(($AG3267+$AI3267)*$A3267,2)</f>
        <v>479.28</v>
      </c>
      <c r="AM3267" s="510">
        <f ca="1">ROUND(R3273,2)</f>
        <v>114.6</v>
      </c>
      <c r="AN3267" s="511">
        <f ca="1">ROUND(T3273,2)</f>
        <v>9.65</v>
      </c>
      <c r="AO3267" s="512">
        <f ca="1">ROUND(AM3267+AN3267,2)*A3267</f>
        <v>745.5</v>
      </c>
    </row>
    <row r="3268" spans="1:41" s="504" customFormat="1" ht="13.2">
      <c r="A3268" s="872"/>
      <c r="B3268"/>
      <c r="C3268" s="872"/>
      <c r="D3268" s="873" t="s">
        <v>364</v>
      </c>
      <c r="F3268" s="877"/>
      <c r="G3268" s="3"/>
      <c r="H3268" s="877"/>
      <c r="I3268" s="878"/>
      <c r="J3268" s="877"/>
      <c r="K3268" s="877" t="s">
        <v>141</v>
      </c>
      <c r="L3268" s="877"/>
      <c r="M3268" s="877"/>
      <c r="N3268" s="877"/>
      <c r="O3268" s="877"/>
      <c r="P3268" s="877"/>
      <c r="Q3268" s="50"/>
      <c r="R3268" s="513"/>
      <c r="S3268" s="881"/>
      <c r="T3268" s="877"/>
    </row>
    <row r="3269" spans="1:41" s="997" customFormat="1" ht="13.2">
      <c r="A3269"/>
      <c r="B3269" s="1065"/>
      <c r="C3269" s="1065" t="s">
        <v>1006</v>
      </c>
      <c r="D3269" s="1065" t="str">
        <f ca="1">CELL("Address",Elec_Rates!D$486)</f>
        <v>[EL25_0662B_Brittania_Hotel_Elec_Revised_Estim_B.xlsx]Elec_Rates!$D$486</v>
      </c>
      <c r="E3269" s="1066"/>
      <c r="F3269" s="1066"/>
      <c r="G3269" s="1067" t="s">
        <v>1007</v>
      </c>
      <c r="H3269" s="1067"/>
      <c r="I3269" s="1067"/>
      <c r="J3269" s="1067"/>
      <c r="K3269" s="1068"/>
      <c r="L3269" s="1066"/>
      <c r="M3269" s="1066"/>
      <c r="N3269" s="1066"/>
      <c r="O3269" s="1069"/>
      <c r="P3269" s="1066"/>
      <c r="Q3269" s="1070"/>
      <c r="R3269" s="1071"/>
      <c r="S3269" s="1070"/>
      <c r="T3269" s="1072"/>
      <c r="U3269" s="1073"/>
    </row>
    <row r="3270" spans="1:41" s="997" customFormat="1" ht="11.4">
      <c r="A3270" s="1074">
        <v>6</v>
      </c>
      <c r="B3270" s="1075">
        <v>1</v>
      </c>
      <c r="C3270" s="1075">
        <f>$A3270*$B3270</f>
        <v>6</v>
      </c>
      <c r="D3270" s="1076" t="str">
        <f>Elec_Rates!$D$486</f>
        <v>058# General Power Point in LSZH Conduit</v>
      </c>
      <c r="E3270" s="1076"/>
      <c r="F3270" s="1076"/>
      <c r="G3270" s="1077" t="s">
        <v>1008</v>
      </c>
      <c r="H3270" s="1077"/>
      <c r="I3270" s="1077"/>
      <c r="J3270" s="1077"/>
      <c r="K3270" s="1078"/>
      <c r="L3270" s="1073"/>
      <c r="M3270" s="1073"/>
      <c r="N3270" s="1073"/>
      <c r="O3270" s="1079"/>
      <c r="P3270" s="1076"/>
      <c r="Q3270" s="1080">
        <f ca="1">$B3270*Elec_Rates!$R$486</f>
        <v>13.92</v>
      </c>
      <c r="R3270" s="1071">
        <f ca="1">$A3270*Q3270</f>
        <v>83.52</v>
      </c>
      <c r="S3270" s="1080">
        <f ca="1">$B3270*Elec_Rates!$T$486</f>
        <v>1.43</v>
      </c>
      <c r="T3270" s="1072">
        <f ca="1">$A3270*S3270</f>
        <v>8.58</v>
      </c>
      <c r="U3270" s="1081"/>
    </row>
    <row r="3271" spans="1:41" s="1039" customFormat="1" ht="13.2">
      <c r="A3271" s="112">
        <v>6</v>
      </c>
      <c r="B3271" s="1039" t="s">
        <v>949</v>
      </c>
      <c r="D3271" s="1039" t="s">
        <v>1238</v>
      </c>
      <c r="G3271" s="1040" t="s">
        <v>1231</v>
      </c>
      <c r="H3271" s="1041">
        <v>705</v>
      </c>
      <c r="I3271" s="1039" t="s">
        <v>1183</v>
      </c>
      <c r="J3271" s="1039" t="s">
        <v>1232</v>
      </c>
      <c r="O3271" s="1042">
        <v>3</v>
      </c>
      <c r="P3271" s="1043">
        <v>34669</v>
      </c>
      <c r="Q3271" s="1044">
        <v>5.18</v>
      </c>
      <c r="R3271" s="1045">
        <f>$A3271*Q3271</f>
        <v>31.08</v>
      </c>
      <c r="S3271" s="1044">
        <v>0.17</v>
      </c>
      <c r="T3271" s="1046">
        <f>$A3271*S3271*$T$1</f>
        <v>1.0710000000000002</v>
      </c>
    </row>
    <row r="3272" spans="1:41" s="504" customFormat="1" ht="12">
      <c r="A3272" s="882"/>
      <c r="B3272" s="882"/>
      <c r="C3272" s="882"/>
      <c r="D3272" s="882"/>
      <c r="E3272" s="882"/>
      <c r="F3272" s="877"/>
      <c r="G3272" s="882"/>
      <c r="H3272" s="882"/>
      <c r="I3272" s="503"/>
      <c r="J3272" s="882"/>
      <c r="K3272" s="882"/>
      <c r="L3272" s="882"/>
      <c r="M3272" s="882"/>
      <c r="N3272" s="882"/>
      <c r="O3272" s="882"/>
      <c r="P3272" s="882"/>
      <c r="Q3272" s="503"/>
      <c r="R3272" s="883">
        <f>$A3272*Q3272</f>
        <v>0</v>
      </c>
      <c r="S3272" s="503"/>
      <c r="T3272" s="884">
        <f>$A3272*S3272*$T$1</f>
        <v>0</v>
      </c>
    </row>
    <row r="3273" spans="1:41" s="504" customFormat="1" ht="12.6" thickBot="1">
      <c r="A3273" s="885" t="s">
        <v>142</v>
      </c>
      <c r="B3273" s="886">
        <f>(R3272+T3272)</f>
        <v>0</v>
      </c>
      <c r="C3273" s="887"/>
      <c r="D3273" s="887"/>
      <c r="E3273" s="887"/>
      <c r="F3273" s="888"/>
      <c r="G3273" s="887" t="s">
        <v>143</v>
      </c>
      <c r="H3273" s="887"/>
      <c r="I3273" s="889"/>
      <c r="J3273" s="887"/>
      <c r="K3273" s="887" t="s">
        <v>3</v>
      </c>
      <c r="L3273" s="890" t="s">
        <v>140</v>
      </c>
      <c r="M3273" s="890"/>
      <c r="N3273" s="890"/>
      <c r="O3273" s="890"/>
      <c r="P3273" s="890"/>
      <c r="Q3273" s="891"/>
      <c r="R3273" s="892">
        <f ca="1">SUM(R3268:R3272)</f>
        <v>114.6</v>
      </c>
      <c r="S3273" s="887"/>
      <c r="T3273" s="892">
        <f ca="1">SUM(T3268:T3272)</f>
        <v>9.6509999999999998</v>
      </c>
      <c r="U3273" s="514"/>
      <c r="V3273" s="514"/>
      <c r="W3273" s="514"/>
      <c r="X3273" s="514"/>
      <c r="Y3273" s="514"/>
      <c r="Z3273" s="514"/>
      <c r="AA3273" s="514"/>
      <c r="AB3273" s="514"/>
      <c r="AC3273" s="514"/>
      <c r="AD3273" s="514"/>
      <c r="AE3273" s="514"/>
      <c r="AF3273" s="514"/>
      <c r="AG3273" s="514"/>
      <c r="AH3273" s="514"/>
      <c r="AI3273" s="514"/>
      <c r="AJ3273" s="514"/>
      <c r="AK3273" s="514"/>
      <c r="AL3273" s="514"/>
      <c r="AM3273" s="514"/>
      <c r="AN3273" s="514"/>
      <c r="AO3273" s="514"/>
    </row>
    <row r="3274" spans="1:41" s="504" customFormat="1" ht="12" thickTop="1">
      <c r="A3274" s="50"/>
      <c r="B3274" s="40"/>
      <c r="C3274" s="50"/>
      <c r="E3274" s="41" t="s">
        <v>136</v>
      </c>
      <c r="F3274" s="41" t="s">
        <v>137</v>
      </c>
      <c r="G3274" s="50"/>
      <c r="H3274" s="50"/>
      <c r="I3274" s="50"/>
      <c r="J3274" s="50"/>
      <c r="K3274" s="50" t="s">
        <v>138</v>
      </c>
      <c r="L3274" s="50"/>
      <c r="M3274" s="50"/>
      <c r="N3274" s="50"/>
      <c r="O3274" s="51"/>
      <c r="P3274" s="50"/>
      <c r="Q3274" s="50"/>
      <c r="R3274" s="50"/>
      <c r="S3274" s="50"/>
      <c r="T3274" s="40"/>
      <c r="AG3274" s="867" t="s">
        <v>241</v>
      </c>
      <c r="AH3274" s="867" t="s">
        <v>242</v>
      </c>
      <c r="AI3274" s="867" t="s">
        <v>243</v>
      </c>
      <c r="AJ3274" s="867" t="s">
        <v>244</v>
      </c>
      <c r="AK3274" s="867" t="s">
        <v>245</v>
      </c>
      <c r="AM3274" s="868" t="s">
        <v>254</v>
      </c>
      <c r="AN3274" s="869" t="s">
        <v>255</v>
      </c>
      <c r="AO3274" s="505" t="s">
        <v>251</v>
      </c>
    </row>
    <row r="3275" spans="1:41" s="504" customFormat="1" ht="12" customHeight="1">
      <c r="A3275" s="870">
        <v>3</v>
      </c>
      <c r="B3275" s="871" t="s">
        <v>335</v>
      </c>
      <c r="C3275" s="872"/>
      <c r="D3275" s="873" t="s">
        <v>821</v>
      </c>
      <c r="E3275" s="874">
        <f ca="1">IF(AND($A3275=0,$A$1="DIF"),0, ROUND(ROUND(($R3281*$S$2+($T3281*$T$2))/A3275,2)*$C$2,2))</f>
        <v>107.8</v>
      </c>
      <c r="F3275" s="875">
        <f ca="1">ROUND($A3275*$E3275,2)</f>
        <v>323.39999999999998</v>
      </c>
      <c r="G3275" s="876" t="s">
        <v>139</v>
      </c>
      <c r="H3275" s="877"/>
      <c r="I3275" s="878"/>
      <c r="J3275" s="877"/>
      <c r="K3275" s="877" t="s">
        <v>3</v>
      </c>
      <c r="L3275" s="879" t="s">
        <v>140</v>
      </c>
      <c r="M3275" s="879"/>
      <c r="N3275" s="879"/>
      <c r="O3275" s="879"/>
      <c r="P3275" s="879"/>
      <c r="Q3275" s="50"/>
      <c r="T3275" s="880" t="str">
        <f ca="1">IF(AND($R3281=0,$T3281=0),"0.00","mu :" &amp; ROUND($F3275/$C$2/($R3281+$T3281*$D$9),2))</f>
        <v>mu :1.22</v>
      </c>
      <c r="W3275" s="507"/>
      <c r="AG3275" s="465">
        <f ca="1">IF($E3275=0,0,ROUND($R3281*$S$2*$C$2/$A3275,2))</f>
        <v>55.44</v>
      </c>
      <c r="AH3275" s="465">
        <f ca="1">$AG3275*$A3275</f>
        <v>166.32</v>
      </c>
      <c r="AI3275" s="508">
        <f ca="1">$E3275-$AG3275</f>
        <v>52.36</v>
      </c>
      <c r="AJ3275" s="508">
        <f ca="1">$A3275*$AI3275</f>
        <v>157.07999999999998</v>
      </c>
      <c r="AK3275" s="509">
        <f ca="1">ROUND(($AG3275+$AI3275)*$A3275,2)</f>
        <v>323.39999999999998</v>
      </c>
      <c r="AM3275" s="510">
        <f ca="1">ROUND(R3281,2)</f>
        <v>136.32</v>
      </c>
      <c r="AN3275" s="511">
        <f ca="1">ROUND(T3281,2)</f>
        <v>4.47</v>
      </c>
      <c r="AO3275" s="512">
        <f ca="1">ROUND(AM3275+AN3275,2)*A3275</f>
        <v>422.37</v>
      </c>
    </row>
    <row r="3276" spans="1:41" s="504" customFormat="1" ht="13.2">
      <c r="A3276" s="872"/>
      <c r="B3276"/>
      <c r="C3276" s="872"/>
      <c r="D3276" s="873" t="s">
        <v>428</v>
      </c>
      <c r="F3276" s="877"/>
      <c r="G3276" s="3"/>
      <c r="H3276" s="877"/>
      <c r="I3276" s="878"/>
      <c r="J3276" s="877"/>
      <c r="K3276" s="877" t="s">
        <v>141</v>
      </c>
      <c r="L3276" s="877"/>
      <c r="M3276" s="877"/>
      <c r="N3276" s="877"/>
      <c r="O3276" s="877"/>
      <c r="P3276" s="877"/>
      <c r="Q3276" s="50"/>
      <c r="R3276" s="513"/>
      <c r="S3276" s="881"/>
      <c r="T3276" s="877"/>
    </row>
    <row r="3277" spans="1:41" s="997" customFormat="1" ht="13.2">
      <c r="A3277"/>
      <c r="B3277" s="1065"/>
      <c r="C3277" s="1065" t="s">
        <v>1006</v>
      </c>
      <c r="D3277" s="1065" t="str">
        <f ca="1">CELL("Address",Elec_Rates!D$200)</f>
        <v>[EL25_0662B_Brittania_Hotel_Elec_Revised_Estim_B.xlsx]Elec_Rates!$D$200</v>
      </c>
      <c r="E3277" s="1066"/>
      <c r="F3277" s="1066"/>
      <c r="G3277" s="1067" t="s">
        <v>1007</v>
      </c>
      <c r="H3277" s="1067"/>
      <c r="I3277" s="1067"/>
      <c r="J3277" s="1067"/>
      <c r="K3277" s="1068"/>
      <c r="L3277" s="1066"/>
      <c r="M3277" s="1066"/>
      <c r="N3277" s="1066"/>
      <c r="O3277" s="1069"/>
      <c r="P3277" s="1066"/>
      <c r="Q3277" s="1070"/>
      <c r="R3277" s="1071"/>
      <c r="S3277" s="1070"/>
      <c r="T3277" s="1072"/>
      <c r="U3277" s="1073"/>
    </row>
    <row r="3278" spans="1:41" s="997" customFormat="1" ht="11.4">
      <c r="A3278" s="1074">
        <v>3</v>
      </c>
      <c r="B3278" s="1075">
        <v>1</v>
      </c>
      <c r="C3278" s="1075">
        <f>$A3278*$B3278</f>
        <v>3</v>
      </c>
      <c r="D3278" s="1076" t="str">
        <f>Elec_Rates!$D$200</f>
        <v>019# Lighting point in LSZH Conduit</v>
      </c>
      <c r="E3278" s="1076"/>
      <c r="F3278" s="1076"/>
      <c r="G3278" s="1077" t="s">
        <v>1008</v>
      </c>
      <c r="H3278" s="1077"/>
      <c r="I3278" s="1077"/>
      <c r="J3278" s="1077"/>
      <c r="K3278" s="1078"/>
      <c r="L3278" s="1073"/>
      <c r="M3278" s="1073"/>
      <c r="N3278" s="1073"/>
      <c r="O3278" s="1079"/>
      <c r="P3278" s="1076"/>
      <c r="Q3278" s="1080">
        <f ca="1">$B3278*Elec_Rates!$R$200</f>
        <v>9.65</v>
      </c>
      <c r="R3278" s="1071">
        <f ca="1">$A3278*Q3278</f>
        <v>28.950000000000003</v>
      </c>
      <c r="S3278" s="1080">
        <f ca="1">$B3278*Elec_Rates!$T$200</f>
        <v>1.31</v>
      </c>
      <c r="T3278" s="1072">
        <f ca="1">$A3278*S3278</f>
        <v>3.93</v>
      </c>
      <c r="U3278" s="1081"/>
    </row>
    <row r="3279" spans="1:41" s="1039" customFormat="1" ht="13.2">
      <c r="A3279" s="112">
        <v>3</v>
      </c>
      <c r="B3279" s="1039" t="s">
        <v>949</v>
      </c>
      <c r="D3279" s="1039" t="s">
        <v>428</v>
      </c>
      <c r="G3279" s="1040" t="s">
        <v>1231</v>
      </c>
      <c r="H3279" s="1041">
        <v>705</v>
      </c>
      <c r="I3279" s="1039" t="s">
        <v>1183</v>
      </c>
      <c r="J3279" s="1039" t="s">
        <v>1232</v>
      </c>
      <c r="O3279" s="1042">
        <v>3</v>
      </c>
      <c r="P3279" s="1043">
        <v>34669</v>
      </c>
      <c r="Q3279" s="1044">
        <v>35.79</v>
      </c>
      <c r="R3279" s="1045">
        <f>$A3279*Q3279</f>
        <v>107.37</v>
      </c>
      <c r="S3279" s="1044">
        <v>0.17</v>
      </c>
      <c r="T3279" s="1046">
        <f>$A3279*S3279*$T$1</f>
        <v>0.53550000000000009</v>
      </c>
    </row>
    <row r="3280" spans="1:41" s="504" customFormat="1" ht="12">
      <c r="A3280" s="882"/>
      <c r="B3280" s="882"/>
      <c r="C3280" s="882"/>
      <c r="D3280" s="882"/>
      <c r="E3280" s="882"/>
      <c r="F3280" s="877"/>
      <c r="G3280" s="882"/>
      <c r="H3280" s="882"/>
      <c r="I3280" s="503"/>
      <c r="J3280" s="882"/>
      <c r="K3280" s="882"/>
      <c r="L3280" s="882"/>
      <c r="M3280" s="882"/>
      <c r="N3280" s="882"/>
      <c r="O3280" s="882"/>
      <c r="P3280" s="882"/>
      <c r="Q3280" s="503"/>
      <c r="R3280" s="883">
        <f>$A3280*Q3280</f>
        <v>0</v>
      </c>
      <c r="S3280" s="503"/>
      <c r="T3280" s="884">
        <f>$A3280*S3280*$T$1</f>
        <v>0</v>
      </c>
    </row>
    <row r="3281" spans="1:41" s="504" customFormat="1" ht="12.6" thickBot="1">
      <c r="A3281" s="885" t="s">
        <v>142</v>
      </c>
      <c r="B3281" s="886">
        <f>(R3280+T3280)</f>
        <v>0</v>
      </c>
      <c r="C3281" s="887"/>
      <c r="D3281" s="887"/>
      <c r="E3281" s="887"/>
      <c r="F3281" s="888"/>
      <c r="G3281" s="887" t="s">
        <v>143</v>
      </c>
      <c r="H3281" s="887"/>
      <c r="I3281" s="889"/>
      <c r="J3281" s="887"/>
      <c r="K3281" s="887" t="s">
        <v>3</v>
      </c>
      <c r="L3281" s="890" t="s">
        <v>140</v>
      </c>
      <c r="M3281" s="890"/>
      <c r="N3281" s="890"/>
      <c r="O3281" s="890"/>
      <c r="P3281" s="890"/>
      <c r="Q3281" s="891"/>
      <c r="R3281" s="892">
        <f ca="1">SUM(R3276:R3280)</f>
        <v>136.32</v>
      </c>
      <c r="S3281" s="887"/>
      <c r="T3281" s="892">
        <f ca="1">SUM(T3276:T3280)</f>
        <v>4.4655000000000005</v>
      </c>
      <c r="U3281" s="514"/>
      <c r="V3281" s="514"/>
      <c r="W3281" s="514"/>
      <c r="X3281" s="514"/>
      <c r="Y3281" s="514"/>
      <c r="Z3281" s="514"/>
      <c r="AA3281" s="514"/>
      <c r="AB3281" s="514"/>
      <c r="AC3281" s="514"/>
      <c r="AD3281" s="514"/>
      <c r="AE3281" s="514"/>
      <c r="AF3281" s="514"/>
      <c r="AG3281" s="514"/>
      <c r="AH3281" s="514"/>
      <c r="AI3281" s="514"/>
      <c r="AJ3281" s="514"/>
      <c r="AK3281" s="514"/>
      <c r="AL3281" s="514"/>
      <c r="AM3281" s="514"/>
      <c r="AN3281" s="514"/>
      <c r="AO3281" s="514"/>
    </row>
    <row r="3282" spans="1:41" s="504" customFormat="1" thickTop="1">
      <c r="A3282" s="50"/>
      <c r="B3282" s="50"/>
      <c r="C3282" s="3"/>
      <c r="D3282" s="3"/>
      <c r="E3282" s="50"/>
      <c r="F3282" s="50"/>
      <c r="G3282" s="50"/>
      <c r="H3282" s="50"/>
      <c r="I3282" s="50"/>
      <c r="J3282" s="50"/>
      <c r="K3282" s="50" t="s">
        <v>133</v>
      </c>
      <c r="L3282" s="50"/>
      <c r="M3282" s="50"/>
      <c r="N3282" s="50"/>
      <c r="O3282" s="51"/>
      <c r="P3282" s="50"/>
      <c r="Q3282" s="50"/>
      <c r="R3282" s="50"/>
      <c r="S3282" s="50"/>
      <c r="T3282" s="50"/>
    </row>
    <row r="3283" spans="1:41" s="504" customFormat="1" ht="12">
      <c r="A3283" s="50"/>
      <c r="B3283" s="50"/>
      <c r="C3283" s="50" t="s">
        <v>134</v>
      </c>
      <c r="D3283" s="37"/>
      <c r="E3283" s="50"/>
      <c r="F3283" s="50"/>
      <c r="G3283" s="50"/>
      <c r="H3283" s="50"/>
      <c r="I3283" s="50"/>
      <c r="J3283" s="50"/>
      <c r="K3283" s="50"/>
      <c r="L3283" s="50"/>
      <c r="M3283" s="50"/>
      <c r="N3283" s="50"/>
      <c r="O3283" s="51"/>
      <c r="P3283" s="50"/>
      <c r="Q3283" s="50"/>
      <c r="R3283" s="50"/>
      <c r="S3283" s="50"/>
      <c r="T3283" s="50"/>
    </row>
    <row r="3284" spans="1:41" s="504" customFormat="1" ht="12">
      <c r="A3284" s="50"/>
      <c r="B3284" s="50"/>
      <c r="C3284" s="50"/>
      <c r="D3284" s="37" t="s">
        <v>802</v>
      </c>
      <c r="E3284" s="50"/>
      <c r="F3284" s="50"/>
      <c r="G3284" s="50"/>
      <c r="H3284" s="50"/>
      <c r="I3284" s="50"/>
      <c r="J3284" s="50"/>
      <c r="K3284" s="50"/>
      <c r="L3284" s="50"/>
      <c r="M3284" s="50"/>
      <c r="N3284" s="50"/>
      <c r="O3284" s="51"/>
      <c r="P3284" s="50"/>
      <c r="Q3284" s="50"/>
      <c r="R3284" s="50"/>
      <c r="S3284" s="38"/>
      <c r="T3284" s="38"/>
    </row>
    <row r="3285" spans="1:41" s="3" customFormat="1" thickBot="1">
      <c r="A3285" s="514"/>
      <c r="O3285" s="103"/>
    </row>
    <row r="3286" spans="1:41" s="504" customFormat="1" thickTop="1">
      <c r="A3286" s="50"/>
      <c r="B3286" s="50"/>
      <c r="C3286" s="3"/>
      <c r="D3286" s="3"/>
      <c r="E3286" s="50"/>
      <c r="F3286" s="50"/>
      <c r="G3286" s="50"/>
      <c r="H3286" s="50"/>
      <c r="I3286" s="50"/>
      <c r="J3286" s="50"/>
      <c r="K3286" s="50" t="s">
        <v>133</v>
      </c>
      <c r="L3286" s="50"/>
      <c r="M3286" s="50"/>
      <c r="N3286" s="50"/>
      <c r="O3286" s="51"/>
      <c r="P3286" s="50"/>
      <c r="Q3286" s="50"/>
      <c r="R3286" s="50"/>
      <c r="S3286" s="50"/>
      <c r="T3286" s="50"/>
    </row>
    <row r="3287" spans="1:41" s="504" customFormat="1" ht="12">
      <c r="A3287" s="50"/>
      <c r="B3287" s="50"/>
      <c r="C3287" s="50" t="s">
        <v>134</v>
      </c>
      <c r="D3287" s="37" t="s">
        <v>892</v>
      </c>
      <c r="E3287" s="50"/>
      <c r="F3287" s="50"/>
      <c r="G3287" s="50"/>
      <c r="H3287" s="50"/>
      <c r="I3287" s="50"/>
      <c r="J3287" s="50"/>
      <c r="K3287" s="50"/>
      <c r="L3287" s="50"/>
      <c r="M3287" s="50"/>
      <c r="N3287" s="50"/>
      <c r="O3287" s="51"/>
      <c r="P3287" s="50"/>
      <c r="Q3287" s="50"/>
      <c r="R3287" s="50"/>
      <c r="S3287" s="50"/>
      <c r="T3287" s="50"/>
    </row>
    <row r="3288" spans="1:41" s="504" customFormat="1" ht="12">
      <c r="A3288" s="50"/>
      <c r="B3288" s="50"/>
      <c r="C3288" s="50"/>
      <c r="D3288" s="37" t="s">
        <v>293</v>
      </c>
      <c r="E3288" s="50"/>
      <c r="F3288" s="50"/>
      <c r="G3288" s="50"/>
      <c r="H3288" s="50"/>
      <c r="I3288" s="50"/>
      <c r="J3288" s="50"/>
      <c r="K3288" s="50"/>
      <c r="L3288" s="50"/>
      <c r="M3288" s="50"/>
      <c r="N3288" s="50"/>
      <c r="O3288" s="51"/>
      <c r="P3288" s="50"/>
      <c r="Q3288" s="50"/>
      <c r="R3288" s="50"/>
      <c r="S3288" s="38"/>
      <c r="T3288" s="38"/>
    </row>
    <row r="3289" spans="1:41" s="3" customFormat="1" thickBot="1">
      <c r="A3289" s="514"/>
      <c r="O3289" s="103"/>
    </row>
    <row r="3290" spans="1:41" s="504" customFormat="1" ht="12" thickTop="1">
      <c r="A3290" s="50"/>
      <c r="B3290" s="40"/>
      <c r="C3290" s="50"/>
      <c r="E3290" s="41" t="s">
        <v>136</v>
      </c>
      <c r="F3290" s="41" t="s">
        <v>137</v>
      </c>
      <c r="G3290" s="50"/>
      <c r="H3290" s="50"/>
      <c r="I3290" s="50"/>
      <c r="J3290" s="50"/>
      <c r="K3290" s="50" t="s">
        <v>138</v>
      </c>
      <c r="L3290" s="50"/>
      <c r="M3290" s="50"/>
      <c r="N3290" s="50"/>
      <c r="O3290" s="51"/>
      <c r="P3290" s="50"/>
      <c r="Q3290" s="50"/>
      <c r="R3290" s="50"/>
      <c r="S3290" s="50"/>
      <c r="T3290" s="40"/>
      <c r="AG3290" s="867" t="s">
        <v>241</v>
      </c>
      <c r="AH3290" s="867" t="s">
        <v>242</v>
      </c>
      <c r="AI3290" s="867" t="s">
        <v>243</v>
      </c>
      <c r="AJ3290" s="867" t="s">
        <v>244</v>
      </c>
      <c r="AK3290" s="867" t="s">
        <v>245</v>
      </c>
      <c r="AM3290" s="868" t="s">
        <v>254</v>
      </c>
      <c r="AN3290" s="869" t="s">
        <v>255</v>
      </c>
      <c r="AO3290" s="505" t="s">
        <v>251</v>
      </c>
    </row>
    <row r="3291" spans="1:41" s="504" customFormat="1" ht="12" customHeight="1">
      <c r="A3291" s="870">
        <v>1</v>
      </c>
      <c r="B3291" s="871" t="s">
        <v>335</v>
      </c>
      <c r="C3291" s="872"/>
      <c r="D3291" s="873" t="s">
        <v>804</v>
      </c>
      <c r="E3291" s="874">
        <f>IF(AND($A3291=0,$A$1="DIF"),0, ROUND(ROUND(($R3295*$S$2+($T3295*$T$2))/A3291,2)*$C$2,2))</f>
        <v>832.37</v>
      </c>
      <c r="F3291" s="875">
        <f>ROUND($A3291*$E3291,2)</f>
        <v>832.37</v>
      </c>
      <c r="G3291" s="876" t="s">
        <v>139</v>
      </c>
      <c r="H3291" s="877"/>
      <c r="I3291" s="878"/>
      <c r="J3291" s="877"/>
      <c r="K3291" s="877" t="s">
        <v>3</v>
      </c>
      <c r="L3291" s="879" t="s">
        <v>140</v>
      </c>
      <c r="M3291" s="879"/>
      <c r="N3291" s="879"/>
      <c r="O3291" s="879"/>
      <c r="P3291" s="879"/>
      <c r="Q3291" s="50"/>
      <c r="T3291" s="880" t="str">
        <f>IF(AND($R3295=0,$T3295=0),"0.00","mu :" &amp; ROUND($F3291/$C$2/($R3295+$T3295*$D$9),2))</f>
        <v>mu :1.22</v>
      </c>
      <c r="W3291" s="507"/>
      <c r="AG3291" s="465">
        <f>IF($E3291=0,0,ROUND($R3295*$S$2*$C$2/$A3291,2))</f>
        <v>832.37</v>
      </c>
      <c r="AH3291" s="465">
        <f>$AG3291*$A3291</f>
        <v>832.37</v>
      </c>
      <c r="AI3291" s="508">
        <f>$E3291-$AG3291</f>
        <v>0</v>
      </c>
      <c r="AJ3291" s="508">
        <f>$A3291*$AI3291</f>
        <v>0</v>
      </c>
      <c r="AK3291" s="509">
        <f>ROUND(($AG3291+$AI3291)*$A3291,2)</f>
        <v>832.37</v>
      </c>
      <c r="AM3291" s="510">
        <f>ROUND(R3295,2)</f>
        <v>682.27</v>
      </c>
      <c r="AN3291" s="511">
        <f>ROUND(T3295,2)</f>
        <v>0</v>
      </c>
      <c r="AO3291" s="512">
        <f>ROUND(AM3291+AN3291,2)*A3291</f>
        <v>682.27</v>
      </c>
    </row>
    <row r="3292" spans="1:41" s="504" customFormat="1" ht="13.2">
      <c r="A3292" s="872"/>
      <c r="B3292"/>
      <c r="C3292" s="872"/>
      <c r="D3292" s="873" t="s">
        <v>458</v>
      </c>
      <c r="F3292" s="877"/>
      <c r="G3292" s="3"/>
      <c r="H3292" s="877"/>
      <c r="I3292" s="878"/>
      <c r="J3292" s="877"/>
      <c r="K3292" s="877" t="s">
        <v>141</v>
      </c>
      <c r="L3292" s="877"/>
      <c r="M3292" s="877"/>
      <c r="N3292" s="877"/>
      <c r="O3292" s="877"/>
      <c r="P3292" s="877"/>
      <c r="Q3292" s="50"/>
      <c r="R3292" s="513"/>
      <c r="S3292" s="881"/>
      <c r="T3292" s="877"/>
    </row>
    <row r="3293" spans="1:41" s="504" customFormat="1" ht="13.2">
      <c r="A3293">
        <v>1</v>
      </c>
      <c r="B3293" s="1039" t="s">
        <v>949</v>
      </c>
      <c r="C3293" s="1039"/>
      <c r="D3293" s="1039" t="s">
        <v>1435</v>
      </c>
      <c r="E3293" s="1039"/>
      <c r="F3293" s="1039"/>
      <c r="G3293" s="1040" t="s">
        <v>950</v>
      </c>
      <c r="H3293" s="1041">
        <v>510</v>
      </c>
      <c r="I3293" s="1039" t="s">
        <v>951</v>
      </c>
      <c r="J3293" s="1039"/>
      <c r="K3293" s="882"/>
      <c r="L3293" s="1039"/>
      <c r="M3293" s="1039"/>
      <c r="N3293" s="1039"/>
      <c r="O3293" s="1042">
        <v>2</v>
      </c>
      <c r="P3293" s="1043"/>
      <c r="Q3293" s="1044">
        <v>682.27</v>
      </c>
      <c r="R3293" s="883">
        <f>$A3293*Q3293</f>
        <v>682.27</v>
      </c>
      <c r="S3293" s="1044"/>
      <c r="T3293" s="1046">
        <f>$A3293*S3293*$T$1</f>
        <v>0</v>
      </c>
    </row>
    <row r="3294" spans="1:41" s="504" customFormat="1" ht="12">
      <c r="A3294" s="882"/>
      <c r="B3294" s="882"/>
      <c r="C3294" s="882"/>
      <c r="D3294" s="882"/>
      <c r="E3294" s="882"/>
      <c r="F3294" s="877"/>
      <c r="G3294" s="882"/>
      <c r="H3294" s="882"/>
      <c r="I3294" s="503"/>
      <c r="J3294" s="882"/>
      <c r="K3294" s="882"/>
      <c r="L3294" s="882"/>
      <c r="M3294" s="882"/>
      <c r="N3294" s="882"/>
      <c r="O3294" s="882"/>
      <c r="P3294" s="882"/>
      <c r="Q3294" s="503"/>
      <c r="R3294" s="883">
        <f>$A3294*Q3294</f>
        <v>0</v>
      </c>
      <c r="S3294" s="503"/>
      <c r="T3294" s="884">
        <f>$A3294*S3294*$T$1</f>
        <v>0</v>
      </c>
    </row>
    <row r="3295" spans="1:41" s="504" customFormat="1" ht="12.6" thickBot="1">
      <c r="A3295" s="885" t="s">
        <v>142</v>
      </c>
      <c r="B3295" s="886">
        <f>(R3294+T3294)</f>
        <v>0</v>
      </c>
      <c r="C3295" s="887"/>
      <c r="D3295" s="887"/>
      <c r="E3295" s="887"/>
      <c r="F3295" s="888"/>
      <c r="G3295" s="887" t="s">
        <v>143</v>
      </c>
      <c r="H3295" s="887"/>
      <c r="I3295" s="889"/>
      <c r="J3295" s="887"/>
      <c r="K3295" s="887" t="s">
        <v>3</v>
      </c>
      <c r="L3295" s="890" t="s">
        <v>140</v>
      </c>
      <c r="M3295" s="890"/>
      <c r="N3295" s="890"/>
      <c r="O3295" s="890"/>
      <c r="P3295" s="890"/>
      <c r="Q3295" s="891"/>
      <c r="R3295" s="892">
        <f>SUM(R3292:R3294)</f>
        <v>682.27</v>
      </c>
      <c r="S3295" s="887"/>
      <c r="T3295" s="892">
        <f>SUM(T3292:T3294)</f>
        <v>0</v>
      </c>
      <c r="U3295" s="514"/>
      <c r="V3295" s="514"/>
      <c r="W3295" s="514"/>
      <c r="X3295" s="514"/>
      <c r="Y3295" s="514"/>
      <c r="Z3295" s="514"/>
      <c r="AA3295" s="514"/>
      <c r="AB3295" s="514"/>
      <c r="AC3295" s="514"/>
      <c r="AD3295" s="514"/>
      <c r="AE3295" s="514"/>
      <c r="AF3295" s="514"/>
      <c r="AG3295" s="514"/>
      <c r="AH3295" s="514"/>
      <c r="AI3295" s="514"/>
      <c r="AJ3295" s="514"/>
      <c r="AK3295" s="514"/>
      <c r="AL3295" s="514"/>
      <c r="AM3295" s="514"/>
      <c r="AN3295" s="514"/>
      <c r="AO3295" s="514"/>
    </row>
    <row r="3296" spans="1:41" s="504" customFormat="1" ht="12" thickTop="1">
      <c r="A3296" s="50"/>
      <c r="B3296" s="40"/>
      <c r="C3296" s="50"/>
      <c r="E3296" s="41" t="s">
        <v>136</v>
      </c>
      <c r="F3296" s="41" t="s">
        <v>137</v>
      </c>
      <c r="G3296" s="50"/>
      <c r="H3296" s="50"/>
      <c r="I3296" s="50"/>
      <c r="J3296" s="50"/>
      <c r="K3296" s="50" t="s">
        <v>138</v>
      </c>
      <c r="L3296" s="50"/>
      <c r="M3296" s="50"/>
      <c r="N3296" s="50"/>
      <c r="O3296" s="51"/>
      <c r="P3296" s="50"/>
      <c r="Q3296" s="50"/>
      <c r="R3296" s="50"/>
      <c r="S3296" s="50"/>
      <c r="T3296" s="40"/>
      <c r="AG3296" s="867" t="s">
        <v>241</v>
      </c>
      <c r="AH3296" s="867" t="s">
        <v>242</v>
      </c>
      <c r="AI3296" s="867" t="s">
        <v>243</v>
      </c>
      <c r="AJ3296" s="867" t="s">
        <v>244</v>
      </c>
      <c r="AK3296" s="867" t="s">
        <v>245</v>
      </c>
      <c r="AM3296" s="868" t="s">
        <v>254</v>
      </c>
      <c r="AN3296" s="869" t="s">
        <v>255</v>
      </c>
      <c r="AO3296" s="505" t="s">
        <v>251</v>
      </c>
    </row>
    <row r="3297" spans="1:41" s="504" customFormat="1" ht="12" customHeight="1">
      <c r="A3297" s="870">
        <v>1</v>
      </c>
      <c r="B3297" s="871" t="s">
        <v>335</v>
      </c>
      <c r="C3297" s="872"/>
      <c r="D3297" s="873" t="s">
        <v>806</v>
      </c>
      <c r="E3297" s="874">
        <f>IF(AND($A3297=0,$A$1="DIF"),0, ROUND(ROUND(($R3301*$S$2+($T3301*$T$2))/A3297,2)*$C$2,2))</f>
        <v>124.4</v>
      </c>
      <c r="F3297" s="875">
        <f>ROUND($A3297*$E3297,2)</f>
        <v>124.4</v>
      </c>
      <c r="G3297" s="876" t="s">
        <v>139</v>
      </c>
      <c r="H3297" s="877"/>
      <c r="I3297" s="878"/>
      <c r="J3297" s="877"/>
      <c r="K3297" s="877" t="s">
        <v>3</v>
      </c>
      <c r="L3297" s="879" t="s">
        <v>140</v>
      </c>
      <c r="M3297" s="879"/>
      <c r="N3297" s="879"/>
      <c r="O3297" s="879"/>
      <c r="P3297" s="879"/>
      <c r="Q3297" s="50"/>
      <c r="T3297" s="880" t="str">
        <f>IF(AND($R3301=0,$T3301=0),"0.00","mu :" &amp; ROUND($F3297/$C$2/($R3301+$T3301*$D$9),2))</f>
        <v>mu :1.22</v>
      </c>
      <c r="W3297" s="507"/>
      <c r="AG3297" s="465">
        <f>IF($E3297=0,0,ROUND($R3301*$S$2*$C$2/$A3297,2))</f>
        <v>124.4</v>
      </c>
      <c r="AH3297" s="465">
        <f>$AG3297*$A3297</f>
        <v>124.4</v>
      </c>
      <c r="AI3297" s="508">
        <f>$E3297-$AG3297</f>
        <v>0</v>
      </c>
      <c r="AJ3297" s="508">
        <f>$A3297*$AI3297</f>
        <v>0</v>
      </c>
      <c r="AK3297" s="509">
        <f>ROUND(($AG3297+$AI3297)*$A3297,2)</f>
        <v>124.4</v>
      </c>
      <c r="AM3297" s="510">
        <f>ROUND(R3301,2)</f>
        <v>101.97</v>
      </c>
      <c r="AN3297" s="511">
        <f>ROUND(T3301,2)</f>
        <v>0</v>
      </c>
      <c r="AO3297" s="512">
        <f>ROUND(AM3297+AN3297,2)*A3297</f>
        <v>101.97</v>
      </c>
    </row>
    <row r="3298" spans="1:41" s="504" customFormat="1" ht="13.2">
      <c r="A3298" s="872"/>
      <c r="B3298"/>
      <c r="C3298" s="872"/>
      <c r="D3298" s="873" t="s">
        <v>459</v>
      </c>
      <c r="F3298" s="877"/>
      <c r="G3298" s="3"/>
      <c r="H3298" s="877"/>
      <c r="I3298" s="878"/>
      <c r="J3298" s="877"/>
      <c r="K3298" s="877" t="s">
        <v>141</v>
      </c>
      <c r="L3298" s="877"/>
      <c r="M3298" s="877"/>
      <c r="N3298" s="877"/>
      <c r="O3298" s="877"/>
      <c r="P3298" s="877"/>
      <c r="Q3298" s="50"/>
      <c r="R3298" s="513"/>
      <c r="S3298" s="881"/>
      <c r="T3298" s="877"/>
    </row>
    <row r="3299" spans="1:41" s="504" customFormat="1" ht="13.2">
      <c r="A3299">
        <v>1</v>
      </c>
      <c r="B3299" s="1039" t="s">
        <v>949</v>
      </c>
      <c r="C3299" s="1039"/>
      <c r="D3299" s="1039" t="s">
        <v>1349</v>
      </c>
      <c r="E3299" s="1039"/>
      <c r="F3299" s="1039"/>
      <c r="G3299" s="1040" t="s">
        <v>950</v>
      </c>
      <c r="H3299" s="1041">
        <v>510</v>
      </c>
      <c r="I3299" s="1039" t="s">
        <v>951</v>
      </c>
      <c r="J3299" s="1039"/>
      <c r="K3299" s="882"/>
      <c r="L3299" s="1039"/>
      <c r="M3299" s="1039"/>
      <c r="N3299" s="1039"/>
      <c r="O3299" s="1042">
        <v>2</v>
      </c>
      <c r="P3299" s="1043"/>
      <c r="Q3299" s="1044">
        <f>95.2+6.77</f>
        <v>101.97</v>
      </c>
      <c r="R3299" s="883">
        <f>$A3299*Q3299</f>
        <v>101.97</v>
      </c>
      <c r="S3299" s="1044"/>
      <c r="T3299" s="1046">
        <f>$A3299*S3299*$T$1</f>
        <v>0</v>
      </c>
    </row>
    <row r="3300" spans="1:41" s="504" customFormat="1" ht="12">
      <c r="A3300" s="882"/>
      <c r="B3300" s="882"/>
      <c r="C3300" s="882"/>
      <c r="D3300" s="882"/>
      <c r="E3300" s="882"/>
      <c r="F3300" s="877"/>
      <c r="G3300" s="882"/>
      <c r="H3300" s="882"/>
      <c r="I3300" s="503"/>
      <c r="J3300" s="882"/>
      <c r="K3300" s="882"/>
      <c r="L3300" s="882"/>
      <c r="M3300" s="882"/>
      <c r="N3300" s="882"/>
      <c r="O3300" s="882"/>
      <c r="P3300" s="882"/>
      <c r="Q3300" s="503"/>
      <c r="R3300" s="883">
        <f>$A3300*Q3300</f>
        <v>0</v>
      </c>
      <c r="S3300" s="503"/>
      <c r="T3300" s="884">
        <f>$A3300*S3300*$T$1</f>
        <v>0</v>
      </c>
    </row>
    <row r="3301" spans="1:41" s="504" customFormat="1" ht="12.6" thickBot="1">
      <c r="A3301" s="885" t="s">
        <v>142</v>
      </c>
      <c r="B3301" s="886">
        <f>(R3300+T3300)</f>
        <v>0</v>
      </c>
      <c r="C3301" s="887"/>
      <c r="D3301" s="887"/>
      <c r="E3301" s="887"/>
      <c r="F3301" s="888"/>
      <c r="G3301" s="887" t="s">
        <v>143</v>
      </c>
      <c r="H3301" s="887"/>
      <c r="I3301" s="889"/>
      <c r="J3301" s="887"/>
      <c r="K3301" s="887" t="s">
        <v>3</v>
      </c>
      <c r="L3301" s="890" t="s">
        <v>140</v>
      </c>
      <c r="M3301" s="890"/>
      <c r="N3301" s="890"/>
      <c r="O3301" s="890"/>
      <c r="P3301" s="890"/>
      <c r="Q3301" s="891"/>
      <c r="R3301" s="892">
        <f>SUM(R3298:R3300)</f>
        <v>101.97</v>
      </c>
      <c r="S3301" s="887"/>
      <c r="T3301" s="892">
        <f>SUM(T3298:T3300)</f>
        <v>0</v>
      </c>
      <c r="U3301" s="514"/>
      <c r="V3301" s="514"/>
      <c r="W3301" s="514"/>
      <c r="X3301" s="514"/>
      <c r="Y3301" s="514"/>
      <c r="Z3301" s="514"/>
      <c r="AA3301" s="514"/>
      <c r="AB3301" s="514"/>
      <c r="AC3301" s="514"/>
      <c r="AD3301" s="514"/>
      <c r="AE3301" s="514"/>
      <c r="AF3301" s="514"/>
      <c r="AG3301" s="514"/>
      <c r="AH3301" s="514"/>
      <c r="AI3301" s="514"/>
      <c r="AJ3301" s="514"/>
      <c r="AK3301" s="514"/>
      <c r="AL3301" s="514"/>
      <c r="AM3301" s="514"/>
      <c r="AN3301" s="514"/>
      <c r="AO3301" s="514"/>
    </row>
    <row r="3302" spans="1:41" s="504" customFormat="1" ht="12" thickTop="1">
      <c r="A3302" s="50"/>
      <c r="B3302" s="40"/>
      <c r="C3302" s="50"/>
      <c r="E3302" s="41" t="s">
        <v>136</v>
      </c>
      <c r="F3302" s="41" t="s">
        <v>137</v>
      </c>
      <c r="G3302" s="50"/>
      <c r="H3302" s="50"/>
      <c r="I3302" s="50"/>
      <c r="J3302" s="50"/>
      <c r="K3302" s="50" t="s">
        <v>138</v>
      </c>
      <c r="L3302" s="50"/>
      <c r="M3302" s="50"/>
      <c r="N3302" s="50"/>
      <c r="O3302" s="51"/>
      <c r="P3302" s="50"/>
      <c r="Q3302" s="50"/>
      <c r="R3302" s="50"/>
      <c r="S3302" s="50"/>
      <c r="T3302" s="40"/>
      <c r="AG3302" s="867" t="s">
        <v>241</v>
      </c>
      <c r="AH3302" s="867" t="s">
        <v>242</v>
      </c>
      <c r="AI3302" s="867" t="s">
        <v>243</v>
      </c>
      <c r="AJ3302" s="867" t="s">
        <v>244</v>
      </c>
      <c r="AK3302" s="867" t="s">
        <v>245</v>
      </c>
      <c r="AM3302" s="868" t="s">
        <v>254</v>
      </c>
      <c r="AN3302" s="869" t="s">
        <v>255</v>
      </c>
      <c r="AO3302" s="505" t="s">
        <v>251</v>
      </c>
    </row>
    <row r="3303" spans="1:41" s="504" customFormat="1" ht="12" customHeight="1">
      <c r="A3303" s="870">
        <v>1</v>
      </c>
      <c r="B3303" s="871" t="s">
        <v>335</v>
      </c>
      <c r="C3303" s="872"/>
      <c r="D3303" s="873" t="s">
        <v>808</v>
      </c>
      <c r="E3303" s="874">
        <f>IF(AND($A3303=0,$A$1="DIF"),0, ROUND(ROUND(($R3307*$S$2+($T3307*$T$2))/A3303,2)*$C$2,2))</f>
        <v>124.4</v>
      </c>
      <c r="F3303" s="875">
        <f>ROUND($A3303*$E3303,2)</f>
        <v>124.4</v>
      </c>
      <c r="G3303" s="876" t="s">
        <v>139</v>
      </c>
      <c r="H3303" s="877"/>
      <c r="I3303" s="878"/>
      <c r="J3303" s="877"/>
      <c r="K3303" s="877" t="s">
        <v>3</v>
      </c>
      <c r="L3303" s="879" t="s">
        <v>140</v>
      </c>
      <c r="M3303" s="879"/>
      <c r="N3303" s="879"/>
      <c r="O3303" s="879"/>
      <c r="P3303" s="879"/>
      <c r="Q3303" s="50"/>
      <c r="T3303" s="880" t="str">
        <f>IF(AND($R3307=0,$T3307=0),"0.00","mu :" &amp; ROUND($F3303/$C$2/($R3307+$T3307*$D$9),2))</f>
        <v>mu :1.22</v>
      </c>
      <c r="W3303" s="507"/>
      <c r="AG3303" s="465">
        <f>IF($E3303=0,0,ROUND($R3307*$S$2*$C$2/$A3303,2))</f>
        <v>124.4</v>
      </c>
      <c r="AH3303" s="465">
        <f>$AG3303*$A3303</f>
        <v>124.4</v>
      </c>
      <c r="AI3303" s="508">
        <f>$E3303-$AG3303</f>
        <v>0</v>
      </c>
      <c r="AJ3303" s="508">
        <f>$A3303*$AI3303</f>
        <v>0</v>
      </c>
      <c r="AK3303" s="509">
        <f>ROUND(($AG3303+$AI3303)*$A3303,2)</f>
        <v>124.4</v>
      </c>
      <c r="AM3303" s="510">
        <f>ROUND(R3307,2)</f>
        <v>101.97</v>
      </c>
      <c r="AN3303" s="511">
        <f>ROUND(T3307,2)</f>
        <v>0</v>
      </c>
      <c r="AO3303" s="512">
        <f>ROUND(AM3303+AN3303,2)*A3303</f>
        <v>101.97</v>
      </c>
    </row>
    <row r="3304" spans="1:41" s="504" customFormat="1" ht="13.2">
      <c r="A3304" s="872"/>
      <c r="B3304"/>
      <c r="C3304" s="872"/>
      <c r="D3304" s="873" t="s">
        <v>460</v>
      </c>
      <c r="F3304" s="877"/>
      <c r="G3304" s="3"/>
      <c r="H3304" s="877"/>
      <c r="I3304" s="878"/>
      <c r="J3304" s="877"/>
      <c r="K3304" s="877" t="s">
        <v>141</v>
      </c>
      <c r="L3304" s="877"/>
      <c r="M3304" s="877"/>
      <c r="N3304" s="877"/>
      <c r="O3304" s="877"/>
      <c r="P3304" s="877"/>
      <c r="Q3304" s="50"/>
      <c r="R3304" s="513"/>
      <c r="S3304" s="881"/>
      <c r="T3304" s="877"/>
    </row>
    <row r="3305" spans="1:41" s="504" customFormat="1" ht="13.2">
      <c r="A3305">
        <v>1</v>
      </c>
      <c r="B3305" s="1039" t="s">
        <v>949</v>
      </c>
      <c r="C3305" s="1039"/>
      <c r="D3305" s="1039" t="s">
        <v>1350</v>
      </c>
      <c r="E3305" s="1039"/>
      <c r="F3305" s="1039"/>
      <c r="G3305" s="1040" t="s">
        <v>950</v>
      </c>
      <c r="H3305" s="1041">
        <v>510</v>
      </c>
      <c r="I3305" s="1039" t="s">
        <v>951</v>
      </c>
      <c r="J3305" s="1039"/>
      <c r="K3305" s="882"/>
      <c r="L3305" s="1039"/>
      <c r="M3305" s="1039"/>
      <c r="N3305" s="1039"/>
      <c r="O3305" s="1042">
        <v>2</v>
      </c>
      <c r="P3305" s="1043"/>
      <c r="Q3305" s="1044">
        <f>95.2+6.77</f>
        <v>101.97</v>
      </c>
      <c r="R3305" s="883">
        <f>$A3305*Q3305</f>
        <v>101.97</v>
      </c>
      <c r="S3305" s="1044"/>
      <c r="T3305" s="1046">
        <f>$A3305*S3305*$T$1</f>
        <v>0</v>
      </c>
    </row>
    <row r="3306" spans="1:41" s="504" customFormat="1" ht="12">
      <c r="A3306" s="882"/>
      <c r="B3306" s="882"/>
      <c r="C3306" s="882"/>
      <c r="D3306" s="882"/>
      <c r="E3306" s="882"/>
      <c r="F3306" s="877"/>
      <c r="G3306" s="882"/>
      <c r="H3306" s="882"/>
      <c r="I3306" s="503"/>
      <c r="J3306" s="882"/>
      <c r="K3306" s="882"/>
      <c r="L3306" s="882"/>
      <c r="M3306" s="882"/>
      <c r="N3306" s="882"/>
      <c r="O3306" s="882"/>
      <c r="P3306" s="882"/>
      <c r="Q3306" s="503"/>
      <c r="R3306" s="883">
        <f>$A3306*Q3306</f>
        <v>0</v>
      </c>
      <c r="S3306" s="503"/>
      <c r="T3306" s="884">
        <f>$A3306*S3306*$T$1</f>
        <v>0</v>
      </c>
    </row>
    <row r="3307" spans="1:41" s="504" customFormat="1" ht="12.6" thickBot="1">
      <c r="A3307" s="885" t="s">
        <v>142</v>
      </c>
      <c r="B3307" s="886">
        <f>(R3306+T3306)</f>
        <v>0</v>
      </c>
      <c r="C3307" s="887"/>
      <c r="D3307" s="887"/>
      <c r="E3307" s="887"/>
      <c r="F3307" s="888"/>
      <c r="G3307" s="887" t="s">
        <v>143</v>
      </c>
      <c r="H3307" s="887"/>
      <c r="I3307" s="889"/>
      <c r="J3307" s="887"/>
      <c r="K3307" s="887" t="s">
        <v>3</v>
      </c>
      <c r="L3307" s="890" t="s">
        <v>140</v>
      </c>
      <c r="M3307" s="890"/>
      <c r="N3307" s="890"/>
      <c r="O3307" s="890"/>
      <c r="P3307" s="890"/>
      <c r="Q3307" s="891"/>
      <c r="R3307" s="892">
        <f>SUM(R3304:R3306)</f>
        <v>101.97</v>
      </c>
      <c r="S3307" s="887"/>
      <c r="T3307" s="892">
        <f>SUM(T3304:T3306)</f>
        <v>0</v>
      </c>
      <c r="U3307" s="514"/>
      <c r="V3307" s="514"/>
      <c r="W3307" s="514"/>
      <c r="X3307" s="514"/>
      <c r="Y3307" s="514"/>
      <c r="Z3307" s="514"/>
      <c r="AA3307" s="514"/>
      <c r="AB3307" s="514"/>
      <c r="AC3307" s="514"/>
      <c r="AD3307" s="514"/>
      <c r="AE3307" s="514"/>
      <c r="AF3307" s="514"/>
      <c r="AG3307" s="514"/>
      <c r="AH3307" s="514"/>
      <c r="AI3307" s="514"/>
      <c r="AJ3307" s="514"/>
      <c r="AK3307" s="514"/>
      <c r="AL3307" s="514"/>
      <c r="AM3307" s="514"/>
      <c r="AN3307" s="514"/>
      <c r="AO3307" s="514"/>
    </row>
    <row r="3308" spans="1:41" s="504" customFormat="1" ht="12" thickTop="1">
      <c r="A3308" s="50"/>
      <c r="B3308" s="40"/>
      <c r="C3308" s="50"/>
      <c r="E3308" s="41" t="s">
        <v>136</v>
      </c>
      <c r="F3308" s="41" t="s">
        <v>137</v>
      </c>
      <c r="G3308" s="50"/>
      <c r="H3308" s="50"/>
      <c r="I3308" s="50"/>
      <c r="J3308" s="50"/>
      <c r="K3308" s="50" t="s">
        <v>138</v>
      </c>
      <c r="L3308" s="50"/>
      <c r="M3308" s="50"/>
      <c r="N3308" s="50"/>
      <c r="O3308" s="51"/>
      <c r="P3308" s="50"/>
      <c r="Q3308" s="50"/>
      <c r="R3308" s="50"/>
      <c r="S3308" s="50"/>
      <c r="T3308" s="40"/>
      <c r="AG3308" s="867" t="s">
        <v>241</v>
      </c>
      <c r="AH3308" s="867" t="s">
        <v>242</v>
      </c>
      <c r="AI3308" s="867" t="s">
        <v>243</v>
      </c>
      <c r="AJ3308" s="867" t="s">
        <v>244</v>
      </c>
      <c r="AK3308" s="867" t="s">
        <v>245</v>
      </c>
      <c r="AM3308" s="868" t="s">
        <v>254</v>
      </c>
      <c r="AN3308" s="869" t="s">
        <v>255</v>
      </c>
      <c r="AO3308" s="505" t="s">
        <v>251</v>
      </c>
    </row>
    <row r="3309" spans="1:41" s="504" customFormat="1" ht="12" customHeight="1">
      <c r="A3309" s="870">
        <v>1</v>
      </c>
      <c r="B3309" s="871" t="s">
        <v>335</v>
      </c>
      <c r="C3309" s="872"/>
      <c r="D3309" s="873" t="s">
        <v>810</v>
      </c>
      <c r="E3309" s="874">
        <f>IF(AND($A3309=0,$A$1="DIF"),0, ROUND(ROUND(($R3313*$S$2+($T3313*$T$2))/A3309,2)*$C$2,2))</f>
        <v>124.4</v>
      </c>
      <c r="F3309" s="875">
        <f>ROUND($A3309*$E3309,2)</f>
        <v>124.4</v>
      </c>
      <c r="G3309" s="876" t="s">
        <v>139</v>
      </c>
      <c r="H3309" s="877"/>
      <c r="I3309" s="878"/>
      <c r="J3309" s="877"/>
      <c r="K3309" s="877" t="s">
        <v>3</v>
      </c>
      <c r="L3309" s="879" t="s">
        <v>140</v>
      </c>
      <c r="M3309" s="879"/>
      <c r="N3309" s="879"/>
      <c r="O3309" s="879"/>
      <c r="P3309" s="879"/>
      <c r="Q3309" s="50"/>
      <c r="T3309" s="880" t="str">
        <f>IF(AND($R3313=0,$T3313=0),"0.00","mu :" &amp; ROUND($F3309/$C$2/($R3313+$T3313*$D$9),2))</f>
        <v>mu :1.22</v>
      </c>
      <c r="W3309" s="507"/>
      <c r="AG3309" s="465">
        <f>IF($E3309=0,0,ROUND($R3313*$S$2*$C$2/$A3309,2))</f>
        <v>124.4</v>
      </c>
      <c r="AH3309" s="465">
        <f>$AG3309*$A3309</f>
        <v>124.4</v>
      </c>
      <c r="AI3309" s="508">
        <f>$E3309-$AG3309</f>
        <v>0</v>
      </c>
      <c r="AJ3309" s="508">
        <f>$A3309*$AI3309</f>
        <v>0</v>
      </c>
      <c r="AK3309" s="509">
        <f>ROUND(($AG3309+$AI3309)*$A3309,2)</f>
        <v>124.4</v>
      </c>
      <c r="AM3309" s="510">
        <f>ROUND(R3313,2)</f>
        <v>101.97</v>
      </c>
      <c r="AN3309" s="511">
        <f>ROUND(T3313,2)</f>
        <v>0</v>
      </c>
      <c r="AO3309" s="512">
        <f>ROUND(AM3309+AN3309,2)*A3309</f>
        <v>101.97</v>
      </c>
    </row>
    <row r="3310" spans="1:41" s="504" customFormat="1" ht="13.2">
      <c r="A3310" s="872"/>
      <c r="B3310"/>
      <c r="C3310" s="872"/>
      <c r="D3310" s="873" t="s">
        <v>461</v>
      </c>
      <c r="F3310" s="877"/>
      <c r="G3310" s="3"/>
      <c r="H3310" s="877"/>
      <c r="I3310" s="878"/>
      <c r="J3310" s="877"/>
      <c r="K3310" s="877" t="s">
        <v>141</v>
      </c>
      <c r="L3310" s="877"/>
      <c r="M3310" s="877"/>
      <c r="N3310" s="877"/>
      <c r="O3310" s="877"/>
      <c r="P3310" s="877"/>
      <c r="Q3310" s="50"/>
      <c r="R3310" s="513"/>
      <c r="S3310" s="881"/>
      <c r="T3310" s="877"/>
    </row>
    <row r="3311" spans="1:41" s="504" customFormat="1" ht="13.2">
      <c r="A3311">
        <v>1</v>
      </c>
      <c r="B3311" s="1039" t="s">
        <v>949</v>
      </c>
      <c r="C3311" s="1039"/>
      <c r="D3311" s="1039" t="s">
        <v>1351</v>
      </c>
      <c r="E3311" s="1039"/>
      <c r="F3311" s="1039"/>
      <c r="G3311" s="1040" t="s">
        <v>950</v>
      </c>
      <c r="H3311" s="1041">
        <v>510</v>
      </c>
      <c r="I3311" s="1039" t="s">
        <v>951</v>
      </c>
      <c r="J3311" s="1039"/>
      <c r="K3311" s="882"/>
      <c r="L3311" s="1039"/>
      <c r="M3311" s="1039"/>
      <c r="N3311" s="1039"/>
      <c r="O3311" s="1042">
        <v>2</v>
      </c>
      <c r="P3311" s="1043"/>
      <c r="Q3311" s="1044">
        <f>95.2+6.77</f>
        <v>101.97</v>
      </c>
      <c r="R3311" s="883">
        <f>$A3311*Q3311</f>
        <v>101.97</v>
      </c>
      <c r="S3311" s="1044"/>
      <c r="T3311" s="1046">
        <f>$A3311*S3311*$T$1</f>
        <v>0</v>
      </c>
    </row>
    <row r="3312" spans="1:41" s="504" customFormat="1" ht="12">
      <c r="A3312" s="882"/>
      <c r="B3312" s="882"/>
      <c r="C3312" s="882"/>
      <c r="D3312" s="882"/>
      <c r="E3312" s="882"/>
      <c r="F3312" s="877"/>
      <c r="G3312" s="882"/>
      <c r="H3312" s="882"/>
      <c r="I3312" s="503"/>
      <c r="J3312" s="882"/>
      <c r="K3312" s="882"/>
      <c r="L3312" s="882"/>
      <c r="M3312" s="882"/>
      <c r="N3312" s="882"/>
      <c r="O3312" s="882"/>
      <c r="P3312" s="882"/>
      <c r="Q3312" s="503"/>
      <c r="R3312" s="883">
        <f>$A3312*Q3312</f>
        <v>0</v>
      </c>
      <c r="S3312" s="503"/>
      <c r="T3312" s="884">
        <f>$A3312*S3312*$T$1</f>
        <v>0</v>
      </c>
    </row>
    <row r="3313" spans="1:41" s="504" customFormat="1" ht="12.6" thickBot="1">
      <c r="A3313" s="885" t="s">
        <v>142</v>
      </c>
      <c r="B3313" s="886">
        <f>(R3312+T3312)</f>
        <v>0</v>
      </c>
      <c r="C3313" s="887"/>
      <c r="D3313" s="887"/>
      <c r="E3313" s="887"/>
      <c r="F3313" s="888"/>
      <c r="G3313" s="887" t="s">
        <v>143</v>
      </c>
      <c r="H3313" s="887"/>
      <c r="I3313" s="889"/>
      <c r="J3313" s="887"/>
      <c r="K3313" s="887" t="s">
        <v>3</v>
      </c>
      <c r="L3313" s="890" t="s">
        <v>140</v>
      </c>
      <c r="M3313" s="890"/>
      <c r="N3313" s="890"/>
      <c r="O3313" s="890"/>
      <c r="P3313" s="890"/>
      <c r="Q3313" s="891"/>
      <c r="R3313" s="892">
        <f>SUM(R3310:R3312)</f>
        <v>101.97</v>
      </c>
      <c r="S3313" s="887"/>
      <c r="T3313" s="892">
        <f>SUM(T3310:T3312)</f>
        <v>0</v>
      </c>
      <c r="U3313" s="514"/>
      <c r="V3313" s="514"/>
      <c r="W3313" s="514"/>
      <c r="X3313" s="514"/>
      <c r="Y3313" s="514"/>
      <c r="Z3313" s="514"/>
      <c r="AA3313" s="514"/>
      <c r="AB3313" s="514"/>
      <c r="AC3313" s="514"/>
      <c r="AD3313" s="514"/>
      <c r="AE3313" s="514"/>
      <c r="AF3313" s="514"/>
      <c r="AG3313" s="514"/>
      <c r="AH3313" s="514"/>
      <c r="AI3313" s="514"/>
      <c r="AJ3313" s="514"/>
      <c r="AK3313" s="514"/>
      <c r="AL3313" s="514"/>
      <c r="AM3313" s="514"/>
      <c r="AN3313" s="514"/>
      <c r="AO3313" s="514"/>
    </row>
    <row r="3314" spans="1:41" s="504" customFormat="1" ht="12" thickTop="1">
      <c r="A3314" s="50"/>
      <c r="B3314" s="40"/>
      <c r="C3314" s="50"/>
      <c r="E3314" s="41" t="s">
        <v>136</v>
      </c>
      <c r="F3314" s="41" t="s">
        <v>137</v>
      </c>
      <c r="G3314" s="50"/>
      <c r="H3314" s="50"/>
      <c r="I3314" s="50"/>
      <c r="J3314" s="50"/>
      <c r="K3314" s="50" t="s">
        <v>138</v>
      </c>
      <c r="L3314" s="50"/>
      <c r="M3314" s="50"/>
      <c r="N3314" s="50"/>
      <c r="O3314" s="51"/>
      <c r="P3314" s="50"/>
      <c r="Q3314" s="50"/>
      <c r="R3314" s="50"/>
      <c r="S3314" s="50"/>
      <c r="T3314" s="40"/>
      <c r="AG3314" s="867" t="s">
        <v>241</v>
      </c>
      <c r="AH3314" s="867" t="s">
        <v>242</v>
      </c>
      <c r="AI3314" s="867" t="s">
        <v>243</v>
      </c>
      <c r="AJ3314" s="867" t="s">
        <v>244</v>
      </c>
      <c r="AK3314" s="867" t="s">
        <v>245</v>
      </c>
      <c r="AM3314" s="868" t="s">
        <v>254</v>
      </c>
      <c r="AN3314" s="869" t="s">
        <v>255</v>
      </c>
      <c r="AO3314" s="505" t="s">
        <v>251</v>
      </c>
    </row>
    <row r="3315" spans="1:41" s="504" customFormat="1" ht="12" customHeight="1">
      <c r="A3315" s="870">
        <v>2</v>
      </c>
      <c r="B3315" s="871" t="s">
        <v>335</v>
      </c>
      <c r="C3315" s="872"/>
      <c r="D3315" s="873" t="s">
        <v>812</v>
      </c>
      <c r="E3315" s="874">
        <f>IF(AND($A3315=0,$A$1="DIF"),0, ROUND(ROUND(($R3319*$S$2+($T3319*$T$2))/A3315,2)*$C$2,2))</f>
        <v>23.42</v>
      </c>
      <c r="F3315" s="875">
        <f>ROUND($A3315*$E3315,2)</f>
        <v>46.84</v>
      </c>
      <c r="G3315" s="876" t="s">
        <v>139</v>
      </c>
      <c r="H3315" s="877"/>
      <c r="I3315" s="878"/>
      <c r="J3315" s="877"/>
      <c r="K3315" s="877" t="s">
        <v>3</v>
      </c>
      <c r="L3315" s="879" t="s">
        <v>140</v>
      </c>
      <c r="M3315" s="879"/>
      <c r="N3315" s="879"/>
      <c r="O3315" s="879"/>
      <c r="P3315" s="879"/>
      <c r="Q3315" s="50"/>
      <c r="T3315" s="880" t="str">
        <f>IF(AND($R3319=0,$T3319=0),"0.00","mu :" &amp; ROUND($F3315/$C$2/($R3319+$T3319*$D$9),2))</f>
        <v>mu :1.22</v>
      </c>
      <c r="W3315" s="507"/>
      <c r="AG3315" s="465">
        <f>IF($E3315=0,0,ROUND($R3319*$S$2*$C$2/$A3315,2))</f>
        <v>23.42</v>
      </c>
      <c r="AH3315" s="465">
        <f>$AG3315*$A3315</f>
        <v>46.84</v>
      </c>
      <c r="AI3315" s="508">
        <f>$E3315-$AG3315</f>
        <v>0</v>
      </c>
      <c r="AJ3315" s="508">
        <f>$A3315*$AI3315</f>
        <v>0</v>
      </c>
      <c r="AK3315" s="509">
        <f>ROUND(($AG3315+$AI3315)*$A3315,2)</f>
        <v>46.84</v>
      </c>
      <c r="AM3315" s="510">
        <f>ROUND(R3319,2)</f>
        <v>38.4</v>
      </c>
      <c r="AN3315" s="511">
        <f>ROUND(T3319,2)</f>
        <v>0</v>
      </c>
      <c r="AO3315" s="512">
        <f>ROUND(AM3315+AN3315,2)*A3315</f>
        <v>76.8</v>
      </c>
    </row>
    <row r="3316" spans="1:41" s="504" customFormat="1" ht="13.2">
      <c r="A3316" s="872"/>
      <c r="B3316"/>
      <c r="C3316" s="872"/>
      <c r="D3316" s="873" t="s">
        <v>367</v>
      </c>
      <c r="F3316" s="877"/>
      <c r="G3316" s="3"/>
      <c r="H3316" s="877"/>
      <c r="I3316" s="878"/>
      <c r="J3316" s="877"/>
      <c r="K3316" s="877" t="s">
        <v>141</v>
      </c>
      <c r="L3316" s="877"/>
      <c r="M3316" s="877"/>
      <c r="N3316" s="877"/>
      <c r="O3316" s="877"/>
      <c r="P3316" s="877"/>
      <c r="Q3316" s="50"/>
      <c r="R3316" s="513"/>
      <c r="S3316" s="881"/>
      <c r="T3316" s="877"/>
    </row>
    <row r="3317" spans="1:41" s="504" customFormat="1" ht="13.2">
      <c r="A3317" s="112">
        <v>2</v>
      </c>
      <c r="B3317" s="1039" t="s">
        <v>949</v>
      </c>
      <c r="C3317" s="1039"/>
      <c r="D3317" s="1039" t="s">
        <v>1260</v>
      </c>
      <c r="E3317" s="1039" t="s">
        <v>1251</v>
      </c>
      <c r="F3317" s="1039" t="s">
        <v>1252</v>
      </c>
      <c r="G3317" s="1040" t="s">
        <v>1245</v>
      </c>
      <c r="H3317" s="1041">
        <v>510</v>
      </c>
      <c r="I3317" s="1039" t="s">
        <v>1246</v>
      </c>
      <c r="J3317" s="1039" t="s">
        <v>1247</v>
      </c>
      <c r="K3317" s="882"/>
      <c r="L3317" s="1039"/>
      <c r="M3317" s="1039"/>
      <c r="N3317" s="1039"/>
      <c r="O3317" s="1042">
        <v>2</v>
      </c>
      <c r="P3317" s="1043">
        <v>36880</v>
      </c>
      <c r="Q3317" s="1044">
        <v>19.2</v>
      </c>
      <c r="R3317" s="1072">
        <f>$A3317*Q3317</f>
        <v>38.4</v>
      </c>
      <c r="S3317" s="1044"/>
      <c r="T3317" s="1046">
        <f>$A3317*S3317*$T$1</f>
        <v>0</v>
      </c>
    </row>
    <row r="3318" spans="1:41" s="504" customFormat="1" ht="12">
      <c r="A3318" s="882"/>
      <c r="B3318" s="882"/>
      <c r="C3318" s="882"/>
      <c r="D3318" s="882"/>
      <c r="E3318" s="882"/>
      <c r="F3318" s="877"/>
      <c r="G3318" s="882"/>
      <c r="H3318" s="882"/>
      <c r="I3318" s="503"/>
      <c r="J3318" s="882"/>
      <c r="K3318" s="882"/>
      <c r="L3318" s="882"/>
      <c r="M3318" s="882"/>
      <c r="N3318" s="882"/>
      <c r="O3318" s="882"/>
      <c r="P3318" s="882"/>
      <c r="Q3318" s="503"/>
      <c r="R3318" s="883">
        <f>$A3318*Q3318</f>
        <v>0</v>
      </c>
      <c r="S3318" s="503"/>
      <c r="T3318" s="884">
        <f>$A3318*S3318*$T$1</f>
        <v>0</v>
      </c>
    </row>
    <row r="3319" spans="1:41" s="504" customFormat="1" ht="12.6" thickBot="1">
      <c r="A3319" s="885" t="s">
        <v>142</v>
      </c>
      <c r="B3319" s="886">
        <f>(R3318+T3318)</f>
        <v>0</v>
      </c>
      <c r="C3319" s="887"/>
      <c r="D3319" s="887"/>
      <c r="E3319" s="887"/>
      <c r="F3319" s="888"/>
      <c r="G3319" s="887" t="s">
        <v>143</v>
      </c>
      <c r="H3319" s="887"/>
      <c r="I3319" s="889"/>
      <c r="J3319" s="887"/>
      <c r="K3319" s="887" t="s">
        <v>3</v>
      </c>
      <c r="L3319" s="890" t="s">
        <v>140</v>
      </c>
      <c r="M3319" s="890"/>
      <c r="N3319" s="890"/>
      <c r="O3319" s="890"/>
      <c r="P3319" s="890"/>
      <c r="Q3319" s="891"/>
      <c r="R3319" s="892">
        <f>SUM(R3316:R3318)</f>
        <v>38.4</v>
      </c>
      <c r="S3319" s="887"/>
      <c r="T3319" s="892">
        <f>SUM(T3316:T3318)</f>
        <v>0</v>
      </c>
      <c r="U3319" s="514"/>
      <c r="V3319" s="514"/>
      <c r="W3319" s="514"/>
      <c r="X3319" s="514"/>
      <c r="Y3319" s="514"/>
      <c r="Z3319" s="514"/>
      <c r="AA3319" s="514"/>
      <c r="AB3319" s="514"/>
      <c r="AC3319" s="514"/>
      <c r="AD3319" s="514"/>
      <c r="AE3319" s="514"/>
      <c r="AF3319" s="514"/>
      <c r="AG3319" s="514"/>
      <c r="AH3319" s="514"/>
      <c r="AI3319" s="514"/>
      <c r="AJ3319" s="514"/>
      <c r="AK3319" s="514"/>
      <c r="AL3319" s="514"/>
      <c r="AM3319" s="514"/>
      <c r="AN3319" s="514"/>
      <c r="AO3319" s="514"/>
    </row>
    <row r="3320" spans="1:41" s="504" customFormat="1" thickTop="1">
      <c r="A3320" s="50"/>
      <c r="B3320" s="50"/>
      <c r="C3320" s="3"/>
      <c r="D3320" s="3"/>
      <c r="E3320" s="50"/>
      <c r="F3320" s="50"/>
      <c r="G3320" s="50"/>
      <c r="H3320" s="50"/>
      <c r="I3320" s="50"/>
      <c r="J3320" s="50"/>
      <c r="K3320" s="50" t="s">
        <v>133</v>
      </c>
      <c r="L3320" s="50"/>
      <c r="M3320" s="50"/>
      <c r="N3320" s="50"/>
      <c r="O3320" s="51"/>
      <c r="P3320" s="50"/>
      <c r="Q3320" s="50"/>
      <c r="R3320" s="50"/>
      <c r="S3320" s="50"/>
      <c r="T3320" s="50"/>
    </row>
    <row r="3321" spans="1:41" s="504" customFormat="1" ht="12">
      <c r="A3321" s="50"/>
      <c r="B3321" s="50"/>
      <c r="C3321" s="50" t="s">
        <v>134</v>
      </c>
      <c r="D3321" s="37" t="s">
        <v>893</v>
      </c>
      <c r="E3321" s="50"/>
      <c r="F3321" s="50"/>
      <c r="G3321" s="50"/>
      <c r="H3321" s="50"/>
      <c r="I3321" s="50"/>
      <c r="J3321" s="50"/>
      <c r="K3321" s="50"/>
      <c r="L3321" s="50"/>
      <c r="M3321" s="50"/>
      <c r="N3321" s="50"/>
      <c r="O3321" s="51"/>
      <c r="P3321" s="50"/>
      <c r="Q3321" s="50"/>
      <c r="R3321" s="50"/>
      <c r="S3321" s="50"/>
      <c r="T3321" s="50"/>
    </row>
    <row r="3322" spans="1:41" s="504" customFormat="1" ht="12">
      <c r="A3322" s="50"/>
      <c r="B3322" s="50"/>
      <c r="C3322" s="50"/>
      <c r="D3322" s="37" t="s">
        <v>304</v>
      </c>
      <c r="E3322" s="50"/>
      <c r="F3322" s="50"/>
      <c r="G3322" s="50"/>
      <c r="H3322" s="50"/>
      <c r="I3322" s="50"/>
      <c r="J3322" s="50"/>
      <c r="K3322" s="50"/>
      <c r="L3322" s="50"/>
      <c r="M3322" s="50"/>
      <c r="N3322" s="50"/>
      <c r="O3322" s="51"/>
      <c r="P3322" s="50"/>
      <c r="Q3322" s="50"/>
      <c r="R3322" s="50"/>
      <c r="S3322" s="38"/>
      <c r="T3322" s="38"/>
    </row>
    <row r="3323" spans="1:41" s="3" customFormat="1" thickBot="1">
      <c r="A3323" s="514"/>
      <c r="O3323" s="103"/>
    </row>
    <row r="3324" spans="1:41" s="504" customFormat="1" ht="12" thickTop="1">
      <c r="A3324" s="50"/>
      <c r="B3324" s="40"/>
      <c r="C3324" s="50"/>
      <c r="E3324" s="41" t="s">
        <v>136</v>
      </c>
      <c r="F3324" s="41" t="s">
        <v>137</v>
      </c>
      <c r="G3324" s="50"/>
      <c r="H3324" s="50"/>
      <c r="I3324" s="50"/>
      <c r="J3324" s="50"/>
      <c r="K3324" s="50" t="s">
        <v>138</v>
      </c>
      <c r="L3324" s="50"/>
      <c r="M3324" s="50"/>
      <c r="N3324" s="50"/>
      <c r="O3324" s="51"/>
      <c r="P3324" s="50"/>
      <c r="Q3324" s="50"/>
      <c r="R3324" s="50"/>
      <c r="S3324" s="50"/>
      <c r="T3324" s="40"/>
      <c r="AG3324" s="867" t="s">
        <v>241</v>
      </c>
      <c r="AH3324" s="867" t="s">
        <v>242</v>
      </c>
      <c r="AI3324" s="867" t="s">
        <v>243</v>
      </c>
      <c r="AJ3324" s="867" t="s">
        <v>244</v>
      </c>
      <c r="AK3324" s="867" t="s">
        <v>245</v>
      </c>
      <c r="AM3324" s="868" t="s">
        <v>254</v>
      </c>
      <c r="AN3324" s="869" t="s">
        <v>255</v>
      </c>
      <c r="AO3324" s="505" t="s">
        <v>251</v>
      </c>
    </row>
    <row r="3325" spans="1:41" s="504" customFormat="1" ht="12" customHeight="1">
      <c r="A3325" s="870">
        <v>1</v>
      </c>
      <c r="B3325" s="871" t="s">
        <v>335</v>
      </c>
      <c r="C3325" s="872"/>
      <c r="D3325" s="873" t="s">
        <v>804</v>
      </c>
      <c r="E3325" s="874">
        <f>IF(AND($A3325=0,$A$1="DIF"),0, ROUND(ROUND(($R3332*$S$2+($T3332*$T$2))/A3325,2)*$C$2,2))</f>
        <v>272.55</v>
      </c>
      <c r="F3325" s="875">
        <f>ROUND($A3325*$E3325,2)</f>
        <v>272.55</v>
      </c>
      <c r="G3325" s="876" t="s">
        <v>139</v>
      </c>
      <c r="H3325" s="877"/>
      <c r="I3325" s="878"/>
      <c r="J3325" s="877"/>
      <c r="K3325" s="877" t="s">
        <v>3</v>
      </c>
      <c r="L3325" s="879" t="s">
        <v>140</v>
      </c>
      <c r="M3325" s="879"/>
      <c r="N3325" s="879"/>
      <c r="O3325" s="879"/>
      <c r="P3325" s="879"/>
      <c r="Q3325" s="50"/>
      <c r="T3325" s="880" t="str">
        <f>IF(AND($R3332=0,$T3332=0),"0.00","mu :" &amp; ROUND($F3325/$C$2/($R3332+$T3332*$D$9),2))</f>
        <v>mu :1.22</v>
      </c>
      <c r="W3325" s="507"/>
      <c r="AG3325" s="465">
        <f>IF($E3325=0,0,ROUND($R3332*$S$2*$C$2/$A3325,2))</f>
        <v>12.34</v>
      </c>
      <c r="AH3325" s="465">
        <f>$AG3325*$A3325</f>
        <v>12.34</v>
      </c>
      <c r="AI3325" s="508">
        <f>$E3325-$AG3325</f>
        <v>260.21000000000004</v>
      </c>
      <c r="AJ3325" s="508">
        <f>$A3325*$AI3325</f>
        <v>260.21000000000004</v>
      </c>
      <c r="AK3325" s="509">
        <f>ROUND(($AG3325+$AI3325)*$A3325,2)</f>
        <v>272.55</v>
      </c>
      <c r="AM3325" s="510">
        <f>ROUND(R3332,2)</f>
        <v>10.119999999999999</v>
      </c>
      <c r="AN3325" s="511">
        <f>ROUND(T3332,2)</f>
        <v>7.4</v>
      </c>
      <c r="AO3325" s="512">
        <f>ROUND(AM3325+AN3325,2)*A3325</f>
        <v>17.52</v>
      </c>
    </row>
    <row r="3326" spans="1:41" s="504" customFormat="1" ht="13.2">
      <c r="A3326" s="872"/>
      <c r="B3326"/>
      <c r="C3326" s="872"/>
      <c r="D3326" s="873" t="s">
        <v>458</v>
      </c>
      <c r="F3326" s="877"/>
      <c r="G3326" s="3"/>
      <c r="H3326" s="877"/>
      <c r="I3326" s="878"/>
      <c r="J3326" s="877"/>
      <c r="K3326" s="877" t="s">
        <v>141</v>
      </c>
      <c r="L3326" s="877"/>
      <c r="M3326" s="877"/>
      <c r="N3326" s="877"/>
      <c r="O3326" s="877"/>
      <c r="P3326" s="877"/>
      <c r="Q3326" s="50"/>
      <c r="R3326" s="513"/>
      <c r="S3326" s="881"/>
      <c r="T3326" s="877"/>
    </row>
    <row r="3327" spans="1:41" s="504" customFormat="1" ht="13.2">
      <c r="A3327">
        <v>1</v>
      </c>
      <c r="B3327" s="1039" t="s">
        <v>949</v>
      </c>
      <c r="C3327" s="1039"/>
      <c r="D3327" s="1039" t="s">
        <v>1352</v>
      </c>
      <c r="E3327" s="1039"/>
      <c r="F3327" s="1039"/>
      <c r="G3327" s="1040" t="s">
        <v>950</v>
      </c>
      <c r="H3327" s="1041">
        <v>510</v>
      </c>
      <c r="I3327" s="1039" t="s">
        <v>951</v>
      </c>
      <c r="J3327" s="1039"/>
      <c r="K3327" s="882"/>
      <c r="L3327" s="1039"/>
      <c r="M3327" s="1039"/>
      <c r="N3327" s="1039"/>
      <c r="O3327" s="1042">
        <v>2</v>
      </c>
      <c r="P3327" s="1043"/>
      <c r="Q3327" s="1044">
        <v>0</v>
      </c>
      <c r="R3327" s="883">
        <f>$A3327*Q3327</f>
        <v>0</v>
      </c>
      <c r="S3327" s="1044">
        <f>2+(10*0.5)</f>
        <v>7</v>
      </c>
      <c r="T3327" s="1046">
        <f>$A3327*S3327*$T$1</f>
        <v>7.3500000000000005</v>
      </c>
    </row>
    <row r="3328" spans="1:41" s="504" customFormat="1" ht="13.2">
      <c r="A3328" s="112">
        <v>1</v>
      </c>
      <c r="B3328" s="1039" t="s">
        <v>949</v>
      </c>
      <c r="C3328" s="1039"/>
      <c r="D3328" s="1039" t="s">
        <v>957</v>
      </c>
      <c r="E3328" s="1039"/>
      <c r="F3328" s="1039"/>
      <c r="G3328" s="1040" t="s">
        <v>958</v>
      </c>
      <c r="H3328" s="1041">
        <v>875</v>
      </c>
      <c r="I3328" s="1039" t="s">
        <v>951</v>
      </c>
      <c r="J3328" s="1039"/>
      <c r="K3328" s="882"/>
      <c r="L3328" s="1039"/>
      <c r="M3328" s="1039"/>
      <c r="N3328" s="1039"/>
      <c r="O3328" s="1042">
        <v>3</v>
      </c>
      <c r="P3328" s="1043">
        <v>34820</v>
      </c>
      <c r="Q3328" s="1044">
        <f>0.9 *(5.82)</f>
        <v>5.2380000000000004</v>
      </c>
      <c r="R3328" s="883">
        <f>$A3328*Q3328</f>
        <v>5.2380000000000004</v>
      </c>
      <c r="S3328" s="1044">
        <f>0.9 *(0.05)</f>
        <v>4.5000000000000005E-2</v>
      </c>
      <c r="T3328" s="1046">
        <f>$A3328*S3328*$T$1</f>
        <v>4.7250000000000007E-2</v>
      </c>
    </row>
    <row r="3329" spans="1:41" s="504" customFormat="1" ht="13.2">
      <c r="A3329" s="112">
        <v>1</v>
      </c>
      <c r="B3329" s="1039" t="s">
        <v>949</v>
      </c>
      <c r="C3329" s="1039"/>
      <c r="D3329" s="1039" t="s">
        <v>1239</v>
      </c>
      <c r="E3329" s="1039"/>
      <c r="F3329" s="1039"/>
      <c r="G3329" s="1040" t="s">
        <v>1240</v>
      </c>
      <c r="H3329" s="1041">
        <v>880</v>
      </c>
      <c r="I3329" s="1039" t="s">
        <v>951</v>
      </c>
      <c r="J3329" s="1039"/>
      <c r="K3329" s="882"/>
      <c r="L3329" s="1039"/>
      <c r="M3329" s="1039"/>
      <c r="N3329" s="1039"/>
      <c r="O3329" s="1042">
        <v>3</v>
      </c>
      <c r="P3329" s="1043">
        <v>35443</v>
      </c>
      <c r="Q3329" s="1044">
        <f>0.9 *(4.66)</f>
        <v>4.194</v>
      </c>
      <c r="R3329" s="883">
        <f>$A3329*Q3329</f>
        <v>4.194</v>
      </c>
      <c r="S3329" s="1044"/>
      <c r="T3329" s="1046">
        <f>$A3329*S3329*$T$1</f>
        <v>0</v>
      </c>
    </row>
    <row r="3330" spans="1:41" s="504" customFormat="1" ht="13.2">
      <c r="A3330" s="112">
        <v>4</v>
      </c>
      <c r="B3330" s="1039" t="s">
        <v>949</v>
      </c>
      <c r="C3330" s="1039"/>
      <c r="D3330" s="1039" t="s">
        <v>1241</v>
      </c>
      <c r="E3330" s="1039"/>
      <c r="F3330" s="1039"/>
      <c r="G3330" s="1040" t="s">
        <v>1242</v>
      </c>
      <c r="H3330" s="1041">
        <v>875</v>
      </c>
      <c r="I3330" s="1039" t="s">
        <v>1243</v>
      </c>
      <c r="J3330" s="1039" t="s">
        <v>1244</v>
      </c>
      <c r="K3330" s="882"/>
      <c r="L3330" s="1039"/>
      <c r="M3330" s="1039"/>
      <c r="N3330" s="1039"/>
      <c r="O3330" s="1042">
        <v>1</v>
      </c>
      <c r="P3330" s="1043">
        <v>36175</v>
      </c>
      <c r="Q3330" s="1044">
        <f>0.9 *(0.19)</f>
        <v>0.17100000000000001</v>
      </c>
      <c r="R3330" s="883">
        <f>$A3330*Q3330</f>
        <v>0.68400000000000005</v>
      </c>
      <c r="S3330" s="1044"/>
      <c r="T3330" s="1046">
        <f>$A3330*S3330*$T$1</f>
        <v>0</v>
      </c>
    </row>
    <row r="3331" spans="1:41" s="504" customFormat="1" ht="12">
      <c r="A3331" s="882"/>
      <c r="B3331" s="882"/>
      <c r="C3331" s="882"/>
      <c r="D3331" s="882"/>
      <c r="E3331" s="882"/>
      <c r="F3331" s="877"/>
      <c r="G3331" s="882"/>
      <c r="H3331" s="882"/>
      <c r="I3331" s="503"/>
      <c r="J3331" s="882"/>
      <c r="K3331" s="882"/>
      <c r="L3331" s="882"/>
      <c r="M3331" s="882"/>
      <c r="N3331" s="882"/>
      <c r="O3331" s="882"/>
      <c r="P3331" s="882"/>
      <c r="Q3331" s="503"/>
      <c r="R3331" s="883">
        <f>$A3331*Q3331</f>
        <v>0</v>
      </c>
      <c r="S3331" s="503"/>
      <c r="T3331" s="884">
        <f>$A3331*S3331*$T$1</f>
        <v>0</v>
      </c>
    </row>
    <row r="3332" spans="1:41" s="504" customFormat="1" ht="12.6" thickBot="1">
      <c r="A3332" s="885" t="s">
        <v>142</v>
      </c>
      <c r="B3332" s="886">
        <f>(R3331+T3331)</f>
        <v>0</v>
      </c>
      <c r="C3332" s="887"/>
      <c r="D3332" s="887"/>
      <c r="E3332" s="887"/>
      <c r="F3332" s="888"/>
      <c r="G3332" s="887" t="s">
        <v>143</v>
      </c>
      <c r="H3332" s="887"/>
      <c r="I3332" s="889"/>
      <c r="J3332" s="887"/>
      <c r="K3332" s="887" t="s">
        <v>3</v>
      </c>
      <c r="L3332" s="890" t="s">
        <v>140</v>
      </c>
      <c r="M3332" s="890"/>
      <c r="N3332" s="890"/>
      <c r="O3332" s="890"/>
      <c r="P3332" s="890"/>
      <c r="Q3332" s="891"/>
      <c r="R3332" s="892">
        <f>SUM(R3326:R3331)</f>
        <v>10.116</v>
      </c>
      <c r="S3332" s="887"/>
      <c r="T3332" s="892">
        <f>SUM(T3326:T3331)</f>
        <v>7.3972500000000005</v>
      </c>
      <c r="U3332" s="514"/>
      <c r="V3332" s="514"/>
      <c r="W3332" s="514"/>
      <c r="X3332" s="514"/>
      <c r="Y3332" s="514"/>
      <c r="Z3332" s="514"/>
      <c r="AA3332" s="514"/>
      <c r="AB3332" s="514"/>
      <c r="AC3332" s="514"/>
      <c r="AD3332" s="514"/>
      <c r="AE3332" s="514"/>
      <c r="AF3332" s="514"/>
      <c r="AG3332" s="514"/>
      <c r="AH3332" s="514"/>
      <c r="AI3332" s="514"/>
      <c r="AJ3332" s="514"/>
      <c r="AK3332" s="514"/>
      <c r="AL3332" s="514"/>
      <c r="AM3332" s="514"/>
      <c r="AN3332" s="514"/>
      <c r="AO3332" s="514"/>
    </row>
    <row r="3333" spans="1:41" s="504" customFormat="1" ht="12" thickTop="1">
      <c r="A3333" s="50"/>
      <c r="B3333" s="40"/>
      <c r="C3333" s="50"/>
      <c r="E3333" s="41" t="s">
        <v>136</v>
      </c>
      <c r="F3333" s="41" t="s">
        <v>137</v>
      </c>
      <c r="G3333" s="50"/>
      <c r="H3333" s="50"/>
      <c r="I3333" s="50"/>
      <c r="J3333" s="50"/>
      <c r="K3333" s="50" t="s">
        <v>138</v>
      </c>
      <c r="L3333" s="50"/>
      <c r="M3333" s="50"/>
      <c r="N3333" s="50"/>
      <c r="O3333" s="51"/>
      <c r="P3333" s="50"/>
      <c r="Q3333" s="50"/>
      <c r="R3333" s="50"/>
      <c r="S3333" s="50"/>
      <c r="T3333" s="40"/>
      <c r="AG3333" s="867" t="s">
        <v>241</v>
      </c>
      <c r="AH3333" s="867" t="s">
        <v>242</v>
      </c>
      <c r="AI3333" s="867" t="s">
        <v>243</v>
      </c>
      <c r="AJ3333" s="867" t="s">
        <v>244</v>
      </c>
      <c r="AK3333" s="867" t="s">
        <v>245</v>
      </c>
      <c r="AM3333" s="868" t="s">
        <v>254</v>
      </c>
      <c r="AN3333" s="869" t="s">
        <v>255</v>
      </c>
      <c r="AO3333" s="505" t="s">
        <v>251</v>
      </c>
    </row>
    <row r="3334" spans="1:41" s="504" customFormat="1" ht="12" customHeight="1">
      <c r="A3334" s="870">
        <v>1</v>
      </c>
      <c r="B3334" s="871" t="s">
        <v>335</v>
      </c>
      <c r="C3334" s="872"/>
      <c r="D3334" s="873" t="s">
        <v>806</v>
      </c>
      <c r="E3334" s="874">
        <f>IF(AND($A3334=0,$A$1="DIF"),0, ROUND(ROUND(($R3342*$S$2+($T3342*$T$2))/A3334,2)*$C$2,2))</f>
        <v>161.1</v>
      </c>
      <c r="F3334" s="875">
        <f>ROUND($A3334*$E3334,2)</f>
        <v>161.1</v>
      </c>
      <c r="G3334" s="876" t="s">
        <v>139</v>
      </c>
      <c r="H3334" s="877"/>
      <c r="I3334" s="878"/>
      <c r="J3334" s="877"/>
      <c r="K3334" s="877" t="s">
        <v>3</v>
      </c>
      <c r="L3334" s="879" t="s">
        <v>140</v>
      </c>
      <c r="M3334" s="879"/>
      <c r="N3334" s="879"/>
      <c r="O3334" s="879"/>
      <c r="P3334" s="879"/>
      <c r="Q3334" s="50"/>
      <c r="T3334" s="880" t="str">
        <f>IF(AND($R3342=0,$T3342=0),"0.00","mu :" &amp; ROUND($F3334/$C$2/($R3342+$T3342*$D$9),2))</f>
        <v>mu :1.22</v>
      </c>
      <c r="W3334" s="507"/>
      <c r="AG3334" s="465">
        <f>IF($E3334=0,0,ROUND($R3342*$S$2*$C$2/$A3334,2))</f>
        <v>11.7</v>
      </c>
      <c r="AH3334" s="465">
        <f>$AG3334*$A3334</f>
        <v>11.7</v>
      </c>
      <c r="AI3334" s="508">
        <f>$E3334-$AG3334</f>
        <v>149.4</v>
      </c>
      <c r="AJ3334" s="508">
        <f>$A3334*$AI3334</f>
        <v>149.4</v>
      </c>
      <c r="AK3334" s="509">
        <f>ROUND(($AG3334+$AI3334)*$A3334,2)</f>
        <v>161.1</v>
      </c>
      <c r="AM3334" s="510">
        <f>ROUND(R3342,2)</f>
        <v>9.59</v>
      </c>
      <c r="AN3334" s="511">
        <f>ROUND(T3342,2)</f>
        <v>4.25</v>
      </c>
      <c r="AO3334" s="512">
        <f>ROUND(AM3334+AN3334,2)*A3334</f>
        <v>13.84</v>
      </c>
    </row>
    <row r="3335" spans="1:41" s="504" customFormat="1" ht="13.2">
      <c r="A3335" s="872"/>
      <c r="B3335"/>
      <c r="C3335" s="872"/>
      <c r="D3335" s="873" t="s">
        <v>459</v>
      </c>
      <c r="F3335" s="877"/>
      <c r="G3335" s="3"/>
      <c r="H3335" s="877"/>
      <c r="I3335" s="878"/>
      <c r="J3335" s="877"/>
      <c r="K3335" s="877" t="s">
        <v>141</v>
      </c>
      <c r="L3335" s="877"/>
      <c r="M3335" s="877"/>
      <c r="N3335" s="877"/>
      <c r="O3335" s="877"/>
      <c r="P3335" s="877"/>
      <c r="Q3335" s="50"/>
      <c r="R3335" s="513"/>
      <c r="S3335" s="881"/>
      <c r="T3335" s="877"/>
    </row>
    <row r="3336" spans="1:41" s="504" customFormat="1" ht="13.2">
      <c r="A3336">
        <v>1</v>
      </c>
      <c r="B3336" s="1039" t="s">
        <v>949</v>
      </c>
      <c r="C3336" s="1039"/>
      <c r="D3336" s="1039" t="s">
        <v>1353</v>
      </c>
      <c r="E3336" s="1039"/>
      <c r="F3336" s="1039"/>
      <c r="G3336" s="1040" t="s">
        <v>950</v>
      </c>
      <c r="H3336" s="1041">
        <v>510</v>
      </c>
      <c r="I3336" s="1039" t="s">
        <v>951</v>
      </c>
      <c r="J3336" s="1039"/>
      <c r="K3336" s="882"/>
      <c r="L3336" s="1039"/>
      <c r="M3336" s="1039"/>
      <c r="N3336" s="1039"/>
      <c r="O3336" s="1042">
        <v>2</v>
      </c>
      <c r="P3336" s="1043"/>
      <c r="Q3336" s="1044">
        <v>0</v>
      </c>
      <c r="R3336" s="883">
        <f t="shared" ref="R3336:R3341" si="42">$A3336*Q3336</f>
        <v>0</v>
      </c>
      <c r="S3336" s="1044">
        <f>2+(4*0.5)</f>
        <v>4</v>
      </c>
      <c r="T3336" s="1046">
        <f t="shared" ref="T3336:T3341" si="43">$A3336*S3336*$T$1</f>
        <v>4.2</v>
      </c>
    </row>
    <row r="3337" spans="1:41" s="504" customFormat="1" ht="13.2">
      <c r="A3337" s="112">
        <v>1</v>
      </c>
      <c r="B3337" s="1039" t="s">
        <v>949</v>
      </c>
      <c r="C3337" s="1039"/>
      <c r="D3337" s="1039" t="s">
        <v>957</v>
      </c>
      <c r="E3337" s="1039"/>
      <c r="F3337" s="1039"/>
      <c r="G3337" s="1040" t="s">
        <v>958</v>
      </c>
      <c r="H3337" s="1041">
        <v>875</v>
      </c>
      <c r="I3337" s="1039" t="s">
        <v>951</v>
      </c>
      <c r="J3337" s="1039"/>
      <c r="K3337" s="882"/>
      <c r="L3337" s="1039"/>
      <c r="M3337" s="1039"/>
      <c r="N3337" s="1039"/>
      <c r="O3337" s="1042">
        <v>3</v>
      </c>
      <c r="P3337" s="1043">
        <v>34820</v>
      </c>
      <c r="Q3337" s="1044">
        <f>0.9 *(5.82)</f>
        <v>5.2380000000000004</v>
      </c>
      <c r="R3337" s="883">
        <f t="shared" si="42"/>
        <v>5.2380000000000004</v>
      </c>
      <c r="S3337" s="1044">
        <f>0.9 *(0.05)</f>
        <v>4.5000000000000005E-2</v>
      </c>
      <c r="T3337" s="1046">
        <f t="shared" si="43"/>
        <v>4.7250000000000007E-2</v>
      </c>
    </row>
    <row r="3338" spans="1:41" s="1039" customFormat="1" ht="13.2">
      <c r="A3338" s="112">
        <v>1</v>
      </c>
      <c r="B3338" s="1039" t="s">
        <v>949</v>
      </c>
      <c r="D3338" s="1039" t="s">
        <v>1311</v>
      </c>
      <c r="G3338" s="1040" t="s">
        <v>1312</v>
      </c>
      <c r="H3338" s="1041">
        <v>880</v>
      </c>
      <c r="I3338" s="1039" t="s">
        <v>951</v>
      </c>
      <c r="O3338" s="1042">
        <v>3</v>
      </c>
      <c r="P3338" s="1043">
        <v>35443</v>
      </c>
      <c r="Q3338" s="1044">
        <f>0.9 *(4.66)</f>
        <v>4.194</v>
      </c>
      <c r="R3338" s="1045">
        <f t="shared" si="42"/>
        <v>4.194</v>
      </c>
      <c r="S3338" s="1044"/>
      <c r="T3338" s="1046">
        <f t="shared" si="43"/>
        <v>0</v>
      </c>
    </row>
    <row r="3339" spans="1:41" s="1039" customFormat="1" ht="13.2">
      <c r="A3339" s="112">
        <v>4</v>
      </c>
      <c r="B3339" s="1039" t="s">
        <v>949</v>
      </c>
      <c r="D3339" s="1039" t="s">
        <v>965</v>
      </c>
      <c r="G3339" s="1040" t="s">
        <v>966</v>
      </c>
      <c r="H3339" s="1041">
        <v>875</v>
      </c>
      <c r="I3339" s="1039" t="s">
        <v>951</v>
      </c>
      <c r="K3339" s="1039" t="s">
        <v>967</v>
      </c>
      <c r="O3339" s="1042">
        <v>1</v>
      </c>
      <c r="P3339" s="1043">
        <v>34669</v>
      </c>
      <c r="Q3339" s="1044">
        <v>0.02</v>
      </c>
      <c r="R3339" s="1045">
        <f t="shared" si="42"/>
        <v>0.08</v>
      </c>
      <c r="S3339" s="1044"/>
      <c r="T3339" s="1046">
        <f t="shared" si="43"/>
        <v>0</v>
      </c>
    </row>
    <row r="3340" spans="1:41" s="1039" customFormat="1" ht="13.2">
      <c r="A3340" s="112">
        <v>4</v>
      </c>
      <c r="B3340" s="1039" t="s">
        <v>949</v>
      </c>
      <c r="D3340" s="1039" t="s">
        <v>968</v>
      </c>
      <c r="G3340" s="1040" t="s">
        <v>969</v>
      </c>
      <c r="H3340" s="1041">
        <v>875</v>
      </c>
      <c r="I3340" s="1039" t="s">
        <v>951</v>
      </c>
      <c r="K3340" s="1039" t="s">
        <v>970</v>
      </c>
      <c r="O3340" s="1042">
        <v>1</v>
      </c>
      <c r="P3340" s="1043">
        <v>34669</v>
      </c>
      <c r="Q3340" s="1044">
        <v>0.02</v>
      </c>
      <c r="R3340" s="1045">
        <f t="shared" si="42"/>
        <v>0.08</v>
      </c>
      <c r="S3340" s="1044"/>
      <c r="T3340" s="1046">
        <f t="shared" si="43"/>
        <v>0</v>
      </c>
    </row>
    <row r="3341" spans="1:41" s="504" customFormat="1" ht="12">
      <c r="A3341" s="882"/>
      <c r="B3341" s="882"/>
      <c r="C3341" s="882"/>
      <c r="D3341" s="882"/>
      <c r="E3341" s="882"/>
      <c r="F3341" s="877"/>
      <c r="G3341" s="882"/>
      <c r="H3341" s="882"/>
      <c r="I3341" s="503"/>
      <c r="J3341" s="882"/>
      <c r="K3341" s="882"/>
      <c r="L3341" s="882"/>
      <c r="M3341" s="882"/>
      <c r="N3341" s="882"/>
      <c r="O3341" s="882"/>
      <c r="P3341" s="882"/>
      <c r="Q3341" s="503"/>
      <c r="R3341" s="883">
        <f t="shared" si="42"/>
        <v>0</v>
      </c>
      <c r="S3341" s="503"/>
      <c r="T3341" s="884">
        <f t="shared" si="43"/>
        <v>0</v>
      </c>
    </row>
    <row r="3342" spans="1:41" s="504" customFormat="1" ht="12.6" thickBot="1">
      <c r="A3342" s="885" t="s">
        <v>142</v>
      </c>
      <c r="B3342" s="886">
        <f>(R3341+T3341)</f>
        <v>0</v>
      </c>
      <c r="C3342" s="887"/>
      <c r="D3342" s="887"/>
      <c r="E3342" s="887"/>
      <c r="F3342" s="888"/>
      <c r="G3342" s="887" t="s">
        <v>143</v>
      </c>
      <c r="H3342" s="887"/>
      <c r="I3342" s="889"/>
      <c r="J3342" s="887"/>
      <c r="K3342" s="887" t="s">
        <v>3</v>
      </c>
      <c r="L3342" s="890" t="s">
        <v>140</v>
      </c>
      <c r="M3342" s="890"/>
      <c r="N3342" s="890"/>
      <c r="O3342" s="890"/>
      <c r="P3342" s="890"/>
      <c r="Q3342" s="891"/>
      <c r="R3342" s="892">
        <f>SUM(R3335:R3341)</f>
        <v>9.5920000000000005</v>
      </c>
      <c r="S3342" s="887"/>
      <c r="T3342" s="892">
        <f>SUM(T3335:T3341)</f>
        <v>4.2472500000000002</v>
      </c>
      <c r="U3342" s="514"/>
      <c r="V3342" s="514"/>
      <c r="W3342" s="514"/>
      <c r="X3342" s="514"/>
      <c r="Y3342" s="514"/>
      <c r="Z3342" s="514"/>
      <c r="AA3342" s="514"/>
      <c r="AB3342" s="514"/>
      <c r="AC3342" s="514"/>
      <c r="AD3342" s="514"/>
      <c r="AE3342" s="514"/>
      <c r="AF3342" s="514"/>
      <c r="AG3342" s="514"/>
      <c r="AH3342" s="514"/>
      <c r="AI3342" s="514"/>
      <c r="AJ3342" s="514"/>
      <c r="AK3342" s="514"/>
      <c r="AL3342" s="514"/>
      <c r="AM3342" s="514"/>
      <c r="AN3342" s="514"/>
      <c r="AO3342" s="514"/>
    </row>
    <row r="3343" spans="1:41" s="504" customFormat="1" ht="12" thickTop="1">
      <c r="A3343" s="50"/>
      <c r="B3343" s="40"/>
      <c r="C3343" s="50"/>
      <c r="E3343" s="41" t="s">
        <v>136</v>
      </c>
      <c r="F3343" s="41" t="s">
        <v>137</v>
      </c>
      <c r="G3343" s="50"/>
      <c r="H3343" s="50"/>
      <c r="I3343" s="50"/>
      <c r="J3343" s="50"/>
      <c r="K3343" s="50" t="s">
        <v>138</v>
      </c>
      <c r="L3343" s="50"/>
      <c r="M3343" s="50"/>
      <c r="N3343" s="50"/>
      <c r="O3343" s="51"/>
      <c r="P3343" s="50"/>
      <c r="Q3343" s="50"/>
      <c r="R3343" s="50"/>
      <c r="S3343" s="50"/>
      <c r="T3343" s="40"/>
      <c r="AG3343" s="867" t="s">
        <v>241</v>
      </c>
      <c r="AH3343" s="867" t="s">
        <v>242</v>
      </c>
      <c r="AI3343" s="867" t="s">
        <v>243</v>
      </c>
      <c r="AJ3343" s="867" t="s">
        <v>244</v>
      </c>
      <c r="AK3343" s="867" t="s">
        <v>245</v>
      </c>
      <c r="AM3343" s="868" t="s">
        <v>254</v>
      </c>
      <c r="AN3343" s="869" t="s">
        <v>255</v>
      </c>
      <c r="AO3343" s="505" t="s">
        <v>251</v>
      </c>
    </row>
    <row r="3344" spans="1:41" s="504" customFormat="1" ht="12" customHeight="1">
      <c r="A3344" s="870">
        <v>1</v>
      </c>
      <c r="B3344" s="871" t="s">
        <v>335</v>
      </c>
      <c r="C3344" s="872"/>
      <c r="D3344" s="873" t="s">
        <v>808</v>
      </c>
      <c r="E3344" s="874">
        <f>IF(AND($A3344=0,$A$1="DIF"),0, ROUND(ROUND(($R3352*$S$2+($T3352*$T$2))/A3344,2)*$C$2,2))</f>
        <v>161.1</v>
      </c>
      <c r="F3344" s="875">
        <f>ROUND($A3344*$E3344,2)</f>
        <v>161.1</v>
      </c>
      <c r="G3344" s="876" t="s">
        <v>139</v>
      </c>
      <c r="H3344" s="877"/>
      <c r="I3344" s="878"/>
      <c r="J3344" s="877"/>
      <c r="K3344" s="877" t="s">
        <v>3</v>
      </c>
      <c r="L3344" s="879" t="s">
        <v>140</v>
      </c>
      <c r="M3344" s="879"/>
      <c r="N3344" s="879"/>
      <c r="O3344" s="879"/>
      <c r="P3344" s="879"/>
      <c r="Q3344" s="50"/>
      <c r="T3344" s="880" t="str">
        <f>IF(AND($R3352=0,$T3352=0),"0.00","mu :" &amp; ROUND($F3344/$C$2/($R3352+$T3352*$D$9),2))</f>
        <v>mu :1.22</v>
      </c>
      <c r="W3344" s="507"/>
      <c r="AG3344" s="465">
        <f>IF($E3344=0,0,ROUND($R3352*$S$2*$C$2/$A3344,2))</f>
        <v>11.7</v>
      </c>
      <c r="AH3344" s="465">
        <f>$AG3344*$A3344</f>
        <v>11.7</v>
      </c>
      <c r="AI3344" s="508">
        <f>$E3344-$AG3344</f>
        <v>149.4</v>
      </c>
      <c r="AJ3344" s="508">
        <f>$A3344*$AI3344</f>
        <v>149.4</v>
      </c>
      <c r="AK3344" s="509">
        <f>ROUND(($AG3344+$AI3344)*$A3344,2)</f>
        <v>161.1</v>
      </c>
      <c r="AM3344" s="510">
        <f>ROUND(R3352,2)</f>
        <v>9.59</v>
      </c>
      <c r="AN3344" s="511">
        <f>ROUND(T3352,2)</f>
        <v>4.25</v>
      </c>
      <c r="AO3344" s="512">
        <f>ROUND(AM3344+AN3344,2)*A3344</f>
        <v>13.84</v>
      </c>
    </row>
    <row r="3345" spans="1:41" s="504" customFormat="1" ht="13.2">
      <c r="A3345" s="872"/>
      <c r="B3345"/>
      <c r="C3345" s="872"/>
      <c r="D3345" s="873" t="s">
        <v>460</v>
      </c>
      <c r="F3345" s="877"/>
      <c r="G3345" s="3"/>
      <c r="H3345" s="877"/>
      <c r="I3345" s="878"/>
      <c r="J3345" s="877"/>
      <c r="K3345" s="877" t="s">
        <v>141</v>
      </c>
      <c r="L3345" s="877"/>
      <c r="M3345" s="877"/>
      <c r="N3345" s="877"/>
      <c r="O3345" s="877"/>
      <c r="P3345" s="877"/>
      <c r="Q3345" s="50"/>
      <c r="R3345" s="513"/>
      <c r="S3345" s="881"/>
      <c r="T3345" s="877"/>
    </row>
    <row r="3346" spans="1:41" s="504" customFormat="1" ht="13.2">
      <c r="A3346">
        <v>1</v>
      </c>
      <c r="B3346" s="1039" t="s">
        <v>949</v>
      </c>
      <c r="C3346" s="1039"/>
      <c r="D3346" s="1039" t="s">
        <v>1354</v>
      </c>
      <c r="E3346" s="1039"/>
      <c r="F3346" s="1039"/>
      <c r="G3346" s="1040" t="s">
        <v>950</v>
      </c>
      <c r="H3346" s="1041">
        <v>510</v>
      </c>
      <c r="I3346" s="1039" t="s">
        <v>951</v>
      </c>
      <c r="J3346" s="1039"/>
      <c r="K3346" s="882"/>
      <c r="L3346" s="1039"/>
      <c r="M3346" s="1039"/>
      <c r="N3346" s="1039"/>
      <c r="O3346" s="1042">
        <v>2</v>
      </c>
      <c r="P3346" s="1043"/>
      <c r="Q3346" s="1044">
        <v>0</v>
      </c>
      <c r="R3346" s="883">
        <f t="shared" ref="R3346:R3351" si="44">$A3346*Q3346</f>
        <v>0</v>
      </c>
      <c r="S3346" s="1044">
        <f>2+(4*0.5)</f>
        <v>4</v>
      </c>
      <c r="T3346" s="1046">
        <f t="shared" ref="T3346:T3351" si="45">$A3346*S3346*$T$1</f>
        <v>4.2</v>
      </c>
    </row>
    <row r="3347" spans="1:41" s="504" customFormat="1" ht="13.2">
      <c r="A3347" s="112">
        <v>1</v>
      </c>
      <c r="B3347" s="1039" t="s">
        <v>949</v>
      </c>
      <c r="C3347" s="1039"/>
      <c r="D3347" s="1039" t="s">
        <v>957</v>
      </c>
      <c r="E3347" s="1039"/>
      <c r="F3347" s="1039"/>
      <c r="G3347" s="1040" t="s">
        <v>958</v>
      </c>
      <c r="H3347" s="1041">
        <v>875</v>
      </c>
      <c r="I3347" s="1039" t="s">
        <v>951</v>
      </c>
      <c r="J3347" s="1039"/>
      <c r="K3347" s="882"/>
      <c r="L3347" s="1039"/>
      <c r="M3347" s="1039"/>
      <c r="N3347" s="1039"/>
      <c r="O3347" s="1042">
        <v>3</v>
      </c>
      <c r="P3347" s="1043">
        <v>34820</v>
      </c>
      <c r="Q3347" s="1044">
        <f>0.9 *(5.82)</f>
        <v>5.2380000000000004</v>
      </c>
      <c r="R3347" s="883">
        <f t="shared" si="44"/>
        <v>5.2380000000000004</v>
      </c>
      <c r="S3347" s="1044">
        <f>0.9 *(0.05)</f>
        <v>4.5000000000000005E-2</v>
      </c>
      <c r="T3347" s="1046">
        <f t="shared" si="45"/>
        <v>4.7250000000000007E-2</v>
      </c>
    </row>
    <row r="3348" spans="1:41" s="1039" customFormat="1" ht="13.2">
      <c r="A3348" s="112">
        <v>1</v>
      </c>
      <c r="B3348" s="1039" t="s">
        <v>949</v>
      </c>
      <c r="D3348" s="1039" t="s">
        <v>1311</v>
      </c>
      <c r="G3348" s="1040" t="s">
        <v>1312</v>
      </c>
      <c r="H3348" s="1041">
        <v>880</v>
      </c>
      <c r="I3348" s="1039" t="s">
        <v>951</v>
      </c>
      <c r="O3348" s="1042">
        <v>3</v>
      </c>
      <c r="P3348" s="1043">
        <v>35443</v>
      </c>
      <c r="Q3348" s="1044">
        <f>0.9 *(4.66)</f>
        <v>4.194</v>
      </c>
      <c r="R3348" s="1045">
        <f t="shared" si="44"/>
        <v>4.194</v>
      </c>
      <c r="S3348" s="1044"/>
      <c r="T3348" s="1046">
        <f t="shared" si="45"/>
        <v>0</v>
      </c>
    </row>
    <row r="3349" spans="1:41" s="1039" customFormat="1" ht="13.2">
      <c r="A3349" s="112">
        <v>4</v>
      </c>
      <c r="B3349" s="1039" t="s">
        <v>949</v>
      </c>
      <c r="D3349" s="1039" t="s">
        <v>965</v>
      </c>
      <c r="G3349" s="1040" t="s">
        <v>966</v>
      </c>
      <c r="H3349" s="1041">
        <v>875</v>
      </c>
      <c r="I3349" s="1039" t="s">
        <v>951</v>
      </c>
      <c r="K3349" s="1039" t="s">
        <v>967</v>
      </c>
      <c r="O3349" s="1042">
        <v>1</v>
      </c>
      <c r="P3349" s="1043">
        <v>34669</v>
      </c>
      <c r="Q3349" s="1044">
        <v>0.02</v>
      </c>
      <c r="R3349" s="1045">
        <f t="shared" si="44"/>
        <v>0.08</v>
      </c>
      <c r="S3349" s="1044"/>
      <c r="T3349" s="1046">
        <f t="shared" si="45"/>
        <v>0</v>
      </c>
    </row>
    <row r="3350" spans="1:41" s="1039" customFormat="1" ht="13.2">
      <c r="A3350" s="112">
        <v>4</v>
      </c>
      <c r="B3350" s="1039" t="s">
        <v>949</v>
      </c>
      <c r="D3350" s="1039" t="s">
        <v>968</v>
      </c>
      <c r="G3350" s="1040" t="s">
        <v>969</v>
      </c>
      <c r="H3350" s="1041">
        <v>875</v>
      </c>
      <c r="I3350" s="1039" t="s">
        <v>951</v>
      </c>
      <c r="K3350" s="1039" t="s">
        <v>970</v>
      </c>
      <c r="O3350" s="1042">
        <v>1</v>
      </c>
      <c r="P3350" s="1043">
        <v>34669</v>
      </c>
      <c r="Q3350" s="1044">
        <v>0.02</v>
      </c>
      <c r="R3350" s="1045">
        <f t="shared" si="44"/>
        <v>0.08</v>
      </c>
      <c r="S3350" s="1044"/>
      <c r="T3350" s="1046">
        <f t="shared" si="45"/>
        <v>0</v>
      </c>
    </row>
    <row r="3351" spans="1:41" s="504" customFormat="1" ht="12">
      <c r="A3351" s="882"/>
      <c r="B3351" s="882"/>
      <c r="C3351" s="882"/>
      <c r="D3351" s="882"/>
      <c r="E3351" s="882"/>
      <c r="F3351" s="877"/>
      <c r="G3351" s="882"/>
      <c r="H3351" s="882"/>
      <c r="I3351" s="503"/>
      <c r="J3351" s="882"/>
      <c r="K3351" s="882"/>
      <c r="L3351" s="882"/>
      <c r="M3351" s="882"/>
      <c r="N3351" s="882"/>
      <c r="O3351" s="882"/>
      <c r="P3351" s="882"/>
      <c r="Q3351" s="503"/>
      <c r="R3351" s="883">
        <f t="shared" si="44"/>
        <v>0</v>
      </c>
      <c r="S3351" s="503"/>
      <c r="T3351" s="884">
        <f t="shared" si="45"/>
        <v>0</v>
      </c>
    </row>
    <row r="3352" spans="1:41" s="504" customFormat="1" ht="12.6" thickBot="1">
      <c r="A3352" s="885" t="s">
        <v>142</v>
      </c>
      <c r="B3352" s="886">
        <f>(R3351+T3351)</f>
        <v>0</v>
      </c>
      <c r="C3352" s="887"/>
      <c r="D3352" s="887"/>
      <c r="E3352" s="887"/>
      <c r="F3352" s="888"/>
      <c r="G3352" s="887" t="s">
        <v>143</v>
      </c>
      <c r="H3352" s="887"/>
      <c r="I3352" s="889"/>
      <c r="J3352" s="887"/>
      <c r="K3352" s="887" t="s">
        <v>3</v>
      </c>
      <c r="L3352" s="890" t="s">
        <v>140</v>
      </c>
      <c r="M3352" s="890"/>
      <c r="N3352" s="890"/>
      <c r="O3352" s="890"/>
      <c r="P3352" s="890"/>
      <c r="Q3352" s="891"/>
      <c r="R3352" s="892">
        <f>SUM(R3345:R3351)</f>
        <v>9.5920000000000005</v>
      </c>
      <c r="S3352" s="887"/>
      <c r="T3352" s="892">
        <f>SUM(T3345:T3351)</f>
        <v>4.2472500000000002</v>
      </c>
      <c r="U3352" s="514"/>
      <c r="V3352" s="514"/>
      <c r="W3352" s="514"/>
      <c r="X3352" s="514"/>
      <c r="Y3352" s="514"/>
      <c r="Z3352" s="514"/>
      <c r="AA3352" s="514"/>
      <c r="AB3352" s="514"/>
      <c r="AC3352" s="514"/>
      <c r="AD3352" s="514"/>
      <c r="AE3352" s="514"/>
      <c r="AF3352" s="514"/>
      <c r="AG3352" s="514"/>
      <c r="AH3352" s="514"/>
      <c r="AI3352" s="514"/>
      <c r="AJ3352" s="514"/>
      <c r="AK3352" s="514"/>
      <c r="AL3352" s="514"/>
      <c r="AM3352" s="514"/>
      <c r="AN3352" s="514"/>
      <c r="AO3352" s="514"/>
    </row>
    <row r="3353" spans="1:41" s="504" customFormat="1" ht="12" thickTop="1">
      <c r="A3353" s="50"/>
      <c r="B3353" s="40"/>
      <c r="C3353" s="50"/>
      <c r="E3353" s="41" t="s">
        <v>136</v>
      </c>
      <c r="F3353" s="41" t="s">
        <v>137</v>
      </c>
      <c r="G3353" s="50"/>
      <c r="H3353" s="50"/>
      <c r="I3353" s="50"/>
      <c r="J3353" s="50"/>
      <c r="K3353" s="50" t="s">
        <v>138</v>
      </c>
      <c r="L3353" s="50"/>
      <c r="M3353" s="50"/>
      <c r="N3353" s="50"/>
      <c r="O3353" s="51"/>
      <c r="P3353" s="50"/>
      <c r="Q3353" s="50"/>
      <c r="R3353" s="50"/>
      <c r="S3353" s="50"/>
      <c r="T3353" s="40"/>
      <c r="AG3353" s="867" t="s">
        <v>241</v>
      </c>
      <c r="AH3353" s="867" t="s">
        <v>242</v>
      </c>
      <c r="AI3353" s="867" t="s">
        <v>243</v>
      </c>
      <c r="AJ3353" s="867" t="s">
        <v>244</v>
      </c>
      <c r="AK3353" s="867" t="s">
        <v>245</v>
      </c>
      <c r="AM3353" s="868" t="s">
        <v>254</v>
      </c>
      <c r="AN3353" s="869" t="s">
        <v>255</v>
      </c>
      <c r="AO3353" s="505" t="s">
        <v>251</v>
      </c>
    </row>
    <row r="3354" spans="1:41" s="504" customFormat="1" ht="12" customHeight="1">
      <c r="A3354" s="870">
        <v>1</v>
      </c>
      <c r="B3354" s="871" t="s">
        <v>335</v>
      </c>
      <c r="C3354" s="872"/>
      <c r="D3354" s="873" t="s">
        <v>810</v>
      </c>
      <c r="E3354" s="874">
        <f>IF(AND($A3354=0,$A$1="DIF"),0, ROUND(ROUND(($R3362*$S$2+($T3362*$T$2))/A3354,2)*$C$2,2))</f>
        <v>161.1</v>
      </c>
      <c r="F3354" s="875">
        <f>ROUND($A3354*$E3354,2)</f>
        <v>161.1</v>
      </c>
      <c r="G3354" s="876" t="s">
        <v>139</v>
      </c>
      <c r="H3354" s="877"/>
      <c r="I3354" s="878"/>
      <c r="J3354" s="877"/>
      <c r="K3354" s="877" t="s">
        <v>3</v>
      </c>
      <c r="L3354" s="879" t="s">
        <v>140</v>
      </c>
      <c r="M3354" s="879"/>
      <c r="N3354" s="879"/>
      <c r="O3354" s="879"/>
      <c r="P3354" s="879"/>
      <c r="Q3354" s="50"/>
      <c r="T3354" s="880" t="str">
        <f>IF(AND($R3362=0,$T3362=0),"0.00","mu :" &amp; ROUND($F3354/$C$2/($R3362+$T3362*$D$9),2))</f>
        <v>mu :1.22</v>
      </c>
      <c r="W3354" s="507"/>
      <c r="AG3354" s="465">
        <f>IF($E3354=0,0,ROUND($R3362*$S$2*$C$2/$A3354,2))</f>
        <v>11.7</v>
      </c>
      <c r="AH3354" s="465">
        <f>$AG3354*$A3354</f>
        <v>11.7</v>
      </c>
      <c r="AI3354" s="508">
        <f>$E3354-$AG3354</f>
        <v>149.4</v>
      </c>
      <c r="AJ3354" s="508">
        <f>$A3354*$AI3354</f>
        <v>149.4</v>
      </c>
      <c r="AK3354" s="509">
        <f>ROUND(($AG3354+$AI3354)*$A3354,2)</f>
        <v>161.1</v>
      </c>
      <c r="AM3354" s="510">
        <f>ROUND(R3362,2)</f>
        <v>9.59</v>
      </c>
      <c r="AN3354" s="511">
        <f>ROUND(T3362,2)</f>
        <v>4.25</v>
      </c>
      <c r="AO3354" s="512">
        <f>ROUND(AM3354+AN3354,2)*A3354</f>
        <v>13.84</v>
      </c>
    </row>
    <row r="3355" spans="1:41" s="504" customFormat="1" ht="13.2">
      <c r="A3355" s="872"/>
      <c r="B3355"/>
      <c r="C3355" s="872"/>
      <c r="D3355" s="873" t="s">
        <v>461</v>
      </c>
      <c r="F3355" s="877"/>
      <c r="G3355" s="3"/>
      <c r="H3355" s="877"/>
      <c r="I3355" s="878"/>
      <c r="J3355" s="877"/>
      <c r="K3355" s="877" t="s">
        <v>141</v>
      </c>
      <c r="L3355" s="877"/>
      <c r="M3355" s="877"/>
      <c r="N3355" s="877"/>
      <c r="O3355" s="877"/>
      <c r="P3355" s="877"/>
      <c r="Q3355" s="50"/>
      <c r="R3355" s="513"/>
      <c r="S3355" s="881"/>
      <c r="T3355" s="877"/>
    </row>
    <row r="3356" spans="1:41" s="504" customFormat="1" ht="13.2">
      <c r="A3356">
        <v>1</v>
      </c>
      <c r="B3356" s="1039" t="s">
        <v>949</v>
      </c>
      <c r="C3356" s="1039"/>
      <c r="D3356" s="1039" t="s">
        <v>1355</v>
      </c>
      <c r="E3356" s="1039"/>
      <c r="F3356" s="1039"/>
      <c r="G3356" s="1040" t="s">
        <v>950</v>
      </c>
      <c r="H3356" s="1041">
        <v>510</v>
      </c>
      <c r="I3356" s="1039" t="s">
        <v>951</v>
      </c>
      <c r="J3356" s="1039"/>
      <c r="K3356" s="882"/>
      <c r="L3356" s="1039"/>
      <c r="M3356" s="1039"/>
      <c r="N3356" s="1039"/>
      <c r="O3356" s="1042">
        <v>2</v>
      </c>
      <c r="P3356" s="1043"/>
      <c r="Q3356" s="1044">
        <v>0</v>
      </c>
      <c r="R3356" s="883">
        <f t="shared" ref="R3356:R3361" si="46">$A3356*Q3356</f>
        <v>0</v>
      </c>
      <c r="S3356" s="1044">
        <f>2+(4*0.5)</f>
        <v>4</v>
      </c>
      <c r="T3356" s="1046">
        <f t="shared" ref="T3356:T3361" si="47">$A3356*S3356*$T$1</f>
        <v>4.2</v>
      </c>
    </row>
    <row r="3357" spans="1:41" s="504" customFormat="1" ht="13.2">
      <c r="A3357" s="112">
        <v>1</v>
      </c>
      <c r="B3357" s="1039" t="s">
        <v>949</v>
      </c>
      <c r="C3357" s="1039"/>
      <c r="D3357" s="1039" t="s">
        <v>957</v>
      </c>
      <c r="E3357" s="1039"/>
      <c r="F3357" s="1039"/>
      <c r="G3357" s="1040" t="s">
        <v>958</v>
      </c>
      <c r="H3357" s="1041">
        <v>875</v>
      </c>
      <c r="I3357" s="1039" t="s">
        <v>951</v>
      </c>
      <c r="J3357" s="1039"/>
      <c r="K3357" s="882"/>
      <c r="L3357" s="1039"/>
      <c r="M3357" s="1039"/>
      <c r="N3357" s="1039"/>
      <c r="O3357" s="1042">
        <v>3</v>
      </c>
      <c r="P3357" s="1043">
        <v>34820</v>
      </c>
      <c r="Q3357" s="1044">
        <f>0.9 *(5.82)</f>
        <v>5.2380000000000004</v>
      </c>
      <c r="R3357" s="883">
        <f t="shared" si="46"/>
        <v>5.2380000000000004</v>
      </c>
      <c r="S3357" s="1044">
        <f>0.9 *(0.05)</f>
        <v>4.5000000000000005E-2</v>
      </c>
      <c r="T3357" s="1046">
        <f t="shared" si="47"/>
        <v>4.7250000000000007E-2</v>
      </c>
    </row>
    <row r="3358" spans="1:41" s="1039" customFormat="1" ht="13.2">
      <c r="A3358" s="112">
        <v>1</v>
      </c>
      <c r="B3358" s="1039" t="s">
        <v>949</v>
      </c>
      <c r="D3358" s="1039" t="s">
        <v>1311</v>
      </c>
      <c r="G3358" s="1040" t="s">
        <v>1312</v>
      </c>
      <c r="H3358" s="1041">
        <v>880</v>
      </c>
      <c r="I3358" s="1039" t="s">
        <v>951</v>
      </c>
      <c r="O3358" s="1042">
        <v>3</v>
      </c>
      <c r="P3358" s="1043">
        <v>35443</v>
      </c>
      <c r="Q3358" s="1044">
        <f>0.9 *(4.66)</f>
        <v>4.194</v>
      </c>
      <c r="R3358" s="1045">
        <f t="shared" si="46"/>
        <v>4.194</v>
      </c>
      <c r="S3358" s="1044"/>
      <c r="T3358" s="1046">
        <f t="shared" si="47"/>
        <v>0</v>
      </c>
    </row>
    <row r="3359" spans="1:41" s="1039" customFormat="1" ht="13.2">
      <c r="A3359" s="112">
        <v>4</v>
      </c>
      <c r="B3359" s="1039" t="s">
        <v>949</v>
      </c>
      <c r="D3359" s="1039" t="s">
        <v>965</v>
      </c>
      <c r="G3359" s="1040" t="s">
        <v>966</v>
      </c>
      <c r="H3359" s="1041">
        <v>875</v>
      </c>
      <c r="I3359" s="1039" t="s">
        <v>951</v>
      </c>
      <c r="K3359" s="1039" t="s">
        <v>967</v>
      </c>
      <c r="O3359" s="1042">
        <v>1</v>
      </c>
      <c r="P3359" s="1043">
        <v>34669</v>
      </c>
      <c r="Q3359" s="1044">
        <v>0.02</v>
      </c>
      <c r="R3359" s="1045">
        <f t="shared" si="46"/>
        <v>0.08</v>
      </c>
      <c r="S3359" s="1044"/>
      <c r="T3359" s="1046">
        <f t="shared" si="47"/>
        <v>0</v>
      </c>
    </row>
    <row r="3360" spans="1:41" s="1039" customFormat="1" ht="13.2">
      <c r="A3360" s="112">
        <v>4</v>
      </c>
      <c r="B3360" s="1039" t="s">
        <v>949</v>
      </c>
      <c r="D3360" s="1039" t="s">
        <v>968</v>
      </c>
      <c r="G3360" s="1040" t="s">
        <v>969</v>
      </c>
      <c r="H3360" s="1041">
        <v>875</v>
      </c>
      <c r="I3360" s="1039" t="s">
        <v>951</v>
      </c>
      <c r="K3360" s="1039" t="s">
        <v>970</v>
      </c>
      <c r="O3360" s="1042">
        <v>1</v>
      </c>
      <c r="P3360" s="1043">
        <v>34669</v>
      </c>
      <c r="Q3360" s="1044">
        <v>0.02</v>
      </c>
      <c r="R3360" s="1045">
        <f t="shared" si="46"/>
        <v>0.08</v>
      </c>
      <c r="S3360" s="1044"/>
      <c r="T3360" s="1046">
        <f t="shared" si="47"/>
        <v>0</v>
      </c>
    </row>
    <row r="3361" spans="1:41" s="504" customFormat="1" ht="12">
      <c r="A3361" s="882"/>
      <c r="B3361" s="882"/>
      <c r="C3361" s="882"/>
      <c r="D3361" s="882"/>
      <c r="E3361" s="882"/>
      <c r="F3361" s="877"/>
      <c r="G3361" s="882"/>
      <c r="H3361" s="882"/>
      <c r="I3361" s="503"/>
      <c r="J3361" s="882"/>
      <c r="K3361" s="882"/>
      <c r="L3361" s="882"/>
      <c r="M3361" s="882"/>
      <c r="N3361" s="882"/>
      <c r="O3361" s="882"/>
      <c r="P3361" s="882"/>
      <c r="Q3361" s="503"/>
      <c r="R3361" s="883">
        <f t="shared" si="46"/>
        <v>0</v>
      </c>
      <c r="S3361" s="503"/>
      <c r="T3361" s="884">
        <f t="shared" si="47"/>
        <v>0</v>
      </c>
    </row>
    <row r="3362" spans="1:41" s="504" customFormat="1" ht="12.6" thickBot="1">
      <c r="A3362" s="885" t="s">
        <v>142</v>
      </c>
      <c r="B3362" s="886">
        <f>(R3361+T3361)</f>
        <v>0</v>
      </c>
      <c r="C3362" s="887"/>
      <c r="D3362" s="887"/>
      <c r="E3362" s="887"/>
      <c r="F3362" s="888"/>
      <c r="G3362" s="887" t="s">
        <v>143</v>
      </c>
      <c r="H3362" s="887"/>
      <c r="I3362" s="889"/>
      <c r="J3362" s="887"/>
      <c r="K3362" s="887" t="s">
        <v>3</v>
      </c>
      <c r="L3362" s="890" t="s">
        <v>140</v>
      </c>
      <c r="M3362" s="890"/>
      <c r="N3362" s="890"/>
      <c r="O3362" s="890"/>
      <c r="P3362" s="890"/>
      <c r="Q3362" s="891"/>
      <c r="R3362" s="892">
        <f>SUM(R3355:R3361)</f>
        <v>9.5920000000000005</v>
      </c>
      <c r="S3362" s="887"/>
      <c r="T3362" s="892">
        <f>SUM(T3355:T3361)</f>
        <v>4.2472500000000002</v>
      </c>
      <c r="U3362" s="514"/>
      <c r="V3362" s="514"/>
      <c r="W3362" s="514"/>
      <c r="X3362" s="514"/>
      <c r="Y3362" s="514"/>
      <c r="Z3362" s="514"/>
      <c r="AA3362" s="514"/>
      <c r="AB3362" s="514"/>
      <c r="AC3362" s="514"/>
      <c r="AD3362" s="514"/>
      <c r="AE3362" s="514"/>
      <c r="AF3362" s="514"/>
      <c r="AG3362" s="514"/>
      <c r="AH3362" s="514"/>
      <c r="AI3362" s="514"/>
      <c r="AJ3362" s="514"/>
      <c r="AK3362" s="514"/>
      <c r="AL3362" s="514"/>
      <c r="AM3362" s="514"/>
      <c r="AN3362" s="514"/>
      <c r="AO3362" s="514"/>
    </row>
    <row r="3363" spans="1:41" s="504" customFormat="1" ht="12" thickTop="1">
      <c r="A3363" s="50"/>
      <c r="B3363" s="40"/>
      <c r="C3363" s="50"/>
      <c r="E3363" s="41" t="s">
        <v>136</v>
      </c>
      <c r="F3363" s="41" t="s">
        <v>137</v>
      </c>
      <c r="G3363" s="50"/>
      <c r="H3363" s="50"/>
      <c r="I3363" s="50"/>
      <c r="J3363" s="50"/>
      <c r="K3363" s="50" t="s">
        <v>138</v>
      </c>
      <c r="L3363" s="50"/>
      <c r="M3363" s="50"/>
      <c r="N3363" s="50"/>
      <c r="O3363" s="51"/>
      <c r="P3363" s="50"/>
      <c r="Q3363" s="50"/>
      <c r="R3363" s="50"/>
      <c r="S3363" s="50"/>
      <c r="T3363" s="40"/>
      <c r="AG3363" s="867" t="s">
        <v>241</v>
      </c>
      <c r="AH3363" s="867" t="s">
        <v>242</v>
      </c>
      <c r="AI3363" s="867" t="s">
        <v>243</v>
      </c>
      <c r="AJ3363" s="867" t="s">
        <v>244</v>
      </c>
      <c r="AK3363" s="867" t="s">
        <v>245</v>
      </c>
      <c r="AM3363" s="868" t="s">
        <v>254</v>
      </c>
      <c r="AN3363" s="869" t="s">
        <v>255</v>
      </c>
      <c r="AO3363" s="505" t="s">
        <v>251</v>
      </c>
    </row>
    <row r="3364" spans="1:41" s="504" customFormat="1" ht="12" customHeight="1">
      <c r="A3364" s="870">
        <v>2</v>
      </c>
      <c r="B3364" s="871" t="s">
        <v>335</v>
      </c>
      <c r="C3364" s="872"/>
      <c r="D3364" s="873" t="s">
        <v>812</v>
      </c>
      <c r="E3364" s="874">
        <f>IF(AND($A3364=0,$A$1="DIF"),0, ROUND(ROUND(($R3371*$S$2+($T3371*$T$2))/A3364,2)*$C$2,2))</f>
        <v>13.69</v>
      </c>
      <c r="F3364" s="875">
        <f>ROUND($A3364*$E3364,2)</f>
        <v>27.38</v>
      </c>
      <c r="G3364" s="876" t="s">
        <v>139</v>
      </c>
      <c r="H3364" s="877"/>
      <c r="I3364" s="878"/>
      <c r="J3364" s="877"/>
      <c r="K3364" s="877" t="s">
        <v>3</v>
      </c>
      <c r="L3364" s="879" t="s">
        <v>140</v>
      </c>
      <c r="M3364" s="879"/>
      <c r="N3364" s="879"/>
      <c r="O3364" s="879"/>
      <c r="P3364" s="879"/>
      <c r="Q3364" s="50"/>
      <c r="T3364" s="880" t="str">
        <f>IF(AND($R3371=0,$T3371=0),"0.00","mu :" &amp; ROUND($F3364/$C$2/($R3371+$T3371*$D$9),2))</f>
        <v>mu :1.22</v>
      </c>
      <c r="W3364" s="507"/>
      <c r="AG3364" s="465">
        <f>IF($E3364=0,0,ROUND($R3371*$S$2*$C$2/$A3364,2))</f>
        <v>4.45</v>
      </c>
      <c r="AH3364" s="465">
        <f>$AG3364*$A3364</f>
        <v>8.9</v>
      </c>
      <c r="AI3364" s="508">
        <f>$E3364-$AG3364</f>
        <v>9.2399999999999984</v>
      </c>
      <c r="AJ3364" s="508">
        <f>$A3364*$AI3364</f>
        <v>18.479999999999997</v>
      </c>
      <c r="AK3364" s="509">
        <f>ROUND(($AG3364+$AI3364)*$A3364,2)</f>
        <v>27.38</v>
      </c>
      <c r="AM3364" s="510">
        <f>ROUND(R3371,2)</f>
        <v>7.3</v>
      </c>
      <c r="AN3364" s="511">
        <f>ROUND(T3371,2)</f>
        <v>0.53</v>
      </c>
      <c r="AO3364" s="512">
        <f>ROUND(AM3364+AN3364,2)*A3364</f>
        <v>15.66</v>
      </c>
    </row>
    <row r="3365" spans="1:41" s="504" customFormat="1" ht="13.2">
      <c r="A3365" s="872"/>
      <c r="B3365"/>
      <c r="C3365" s="872"/>
      <c r="D3365" s="873" t="s">
        <v>367</v>
      </c>
      <c r="F3365" s="877"/>
      <c r="G3365" s="3"/>
      <c r="H3365" s="877"/>
      <c r="I3365" s="878"/>
      <c r="J3365" s="877"/>
      <c r="K3365" s="877" t="s">
        <v>141</v>
      </c>
      <c r="L3365" s="877"/>
      <c r="M3365" s="877"/>
      <c r="N3365" s="877"/>
      <c r="O3365" s="877"/>
      <c r="P3365" s="877"/>
      <c r="Q3365" s="50"/>
      <c r="R3365" s="513"/>
      <c r="S3365" s="881"/>
      <c r="T3365" s="877"/>
    </row>
    <row r="3366" spans="1:41" s="504" customFormat="1" ht="13.2">
      <c r="A3366" s="112">
        <v>2</v>
      </c>
      <c r="B3366" s="1039" t="s">
        <v>949</v>
      </c>
      <c r="C3366" s="1039"/>
      <c r="D3366" s="1039" t="s">
        <v>1262</v>
      </c>
      <c r="E3366" s="1039" t="s">
        <v>1251</v>
      </c>
      <c r="F3366" s="1039" t="s">
        <v>1252</v>
      </c>
      <c r="G3366" s="1040" t="s">
        <v>1245</v>
      </c>
      <c r="H3366" s="1041">
        <v>510</v>
      </c>
      <c r="I3366" s="1039" t="s">
        <v>1246</v>
      </c>
      <c r="J3366" s="1039" t="s">
        <v>1247</v>
      </c>
      <c r="K3366" s="882"/>
      <c r="L3366" s="1039"/>
      <c r="M3366" s="1039"/>
      <c r="N3366" s="1039"/>
      <c r="O3366" s="1042">
        <v>2</v>
      </c>
      <c r="P3366" s="1043">
        <v>36880</v>
      </c>
      <c r="Q3366" s="1044">
        <v>0</v>
      </c>
      <c r="R3366" s="1072">
        <f>$A3366*Q3366</f>
        <v>0</v>
      </c>
      <c r="S3366" s="1044">
        <v>0.25</v>
      </c>
      <c r="T3366" s="1046">
        <f>$A3366*S3366*$T$1</f>
        <v>0.52500000000000002</v>
      </c>
    </row>
    <row r="3367" spans="1:41" s="504" customFormat="1" ht="13.2">
      <c r="A3367" s="112">
        <v>8</v>
      </c>
      <c r="B3367" s="1039" t="s">
        <v>949</v>
      </c>
      <c r="C3367" s="1039"/>
      <c r="D3367" s="1039" t="s">
        <v>965</v>
      </c>
      <c r="E3367" s="1039"/>
      <c r="F3367" s="1039"/>
      <c r="G3367" s="1040" t="s">
        <v>966</v>
      </c>
      <c r="H3367" s="1041">
        <v>875</v>
      </c>
      <c r="I3367" s="1039" t="s">
        <v>951</v>
      </c>
      <c r="J3367" s="1039"/>
      <c r="K3367" s="882"/>
      <c r="L3367" s="1039"/>
      <c r="M3367" s="1039"/>
      <c r="N3367" s="1039"/>
      <c r="O3367" s="1042">
        <v>1</v>
      </c>
      <c r="P3367" s="1043">
        <v>34669</v>
      </c>
      <c r="Q3367" s="1044">
        <v>0.02</v>
      </c>
      <c r="R3367" s="1072">
        <f>$A3367*Q3367</f>
        <v>0.16</v>
      </c>
      <c r="S3367" s="1044"/>
      <c r="T3367" s="1046">
        <f>$A3367*S3367*$T$1</f>
        <v>0</v>
      </c>
    </row>
    <row r="3368" spans="1:41" s="504" customFormat="1" ht="13.2">
      <c r="A3368" s="112">
        <v>8</v>
      </c>
      <c r="B3368" s="1039" t="s">
        <v>949</v>
      </c>
      <c r="C3368" s="1039"/>
      <c r="D3368" s="1039" t="s">
        <v>968</v>
      </c>
      <c r="E3368" s="1039"/>
      <c r="F3368" s="1039"/>
      <c r="G3368" s="1040" t="s">
        <v>969</v>
      </c>
      <c r="H3368" s="1041">
        <v>875</v>
      </c>
      <c r="I3368" s="1039" t="s">
        <v>951</v>
      </c>
      <c r="J3368" s="1039"/>
      <c r="K3368" s="882"/>
      <c r="L3368" s="1039"/>
      <c r="M3368" s="1039"/>
      <c r="N3368" s="1039"/>
      <c r="O3368" s="1042">
        <v>1</v>
      </c>
      <c r="P3368" s="1043">
        <v>34669</v>
      </c>
      <c r="Q3368" s="1044">
        <v>0.02</v>
      </c>
      <c r="R3368" s="1072">
        <f>$A3368*Q3368</f>
        <v>0.16</v>
      </c>
      <c r="S3368" s="1044"/>
      <c r="T3368" s="1046">
        <f>$A3368*S3368*$T$1</f>
        <v>0</v>
      </c>
    </row>
    <row r="3369" spans="1:41" s="504" customFormat="1" ht="13.2">
      <c r="A3369" s="112">
        <v>2</v>
      </c>
      <c r="B3369" s="1039" t="s">
        <v>949</v>
      </c>
      <c r="C3369" s="1039"/>
      <c r="D3369" s="1039" t="s">
        <v>961</v>
      </c>
      <c r="E3369" s="1039"/>
      <c r="F3369" s="1039"/>
      <c r="G3369" s="1040" t="s">
        <v>962</v>
      </c>
      <c r="H3369" s="1041">
        <v>875</v>
      </c>
      <c r="I3369" s="1039" t="s">
        <v>951</v>
      </c>
      <c r="J3369" s="1039"/>
      <c r="K3369" s="882"/>
      <c r="L3369" s="1039"/>
      <c r="M3369" s="1039"/>
      <c r="N3369" s="1039"/>
      <c r="O3369" s="1042">
        <v>3</v>
      </c>
      <c r="P3369" s="1043">
        <v>34820</v>
      </c>
      <c r="Q3369" s="1044">
        <v>3.49</v>
      </c>
      <c r="R3369" s="1072">
        <f>$A3369*Q3369</f>
        <v>6.98</v>
      </c>
      <c r="S3369" s="1044"/>
      <c r="T3369" s="1046">
        <f>$A3369*S3369*$T$1</f>
        <v>0</v>
      </c>
    </row>
    <row r="3370" spans="1:41" s="504" customFormat="1" ht="12">
      <c r="A3370" s="882"/>
      <c r="B3370" s="882"/>
      <c r="C3370" s="882"/>
      <c r="D3370" s="882"/>
      <c r="E3370" s="882"/>
      <c r="F3370" s="877"/>
      <c r="G3370" s="882"/>
      <c r="H3370" s="882"/>
      <c r="I3370" s="503"/>
      <c r="J3370" s="882"/>
      <c r="K3370" s="882"/>
      <c r="L3370" s="882"/>
      <c r="M3370" s="882"/>
      <c r="N3370" s="882"/>
      <c r="O3370" s="882"/>
      <c r="P3370" s="882"/>
      <c r="Q3370" s="503"/>
      <c r="R3370" s="883">
        <f>$A3370*Q3370</f>
        <v>0</v>
      </c>
      <c r="S3370" s="503"/>
      <c r="T3370" s="884">
        <f>$A3370*S3370*$T$1</f>
        <v>0</v>
      </c>
    </row>
    <row r="3371" spans="1:41" s="504" customFormat="1" ht="12.6" thickBot="1">
      <c r="A3371" s="885" t="s">
        <v>142</v>
      </c>
      <c r="B3371" s="886">
        <f>(R3370+T3370)</f>
        <v>0</v>
      </c>
      <c r="C3371" s="887"/>
      <c r="D3371" s="887"/>
      <c r="E3371" s="887"/>
      <c r="F3371" s="888"/>
      <c r="G3371" s="887" t="s">
        <v>143</v>
      </c>
      <c r="H3371" s="887"/>
      <c r="I3371" s="889"/>
      <c r="J3371" s="887"/>
      <c r="K3371" s="887" t="s">
        <v>3</v>
      </c>
      <c r="L3371" s="890" t="s">
        <v>140</v>
      </c>
      <c r="M3371" s="890"/>
      <c r="N3371" s="890"/>
      <c r="O3371" s="890"/>
      <c r="P3371" s="890"/>
      <c r="Q3371" s="891"/>
      <c r="R3371" s="892">
        <f>SUM(R3365:R3370)</f>
        <v>7.3000000000000007</v>
      </c>
      <c r="S3371" s="887"/>
      <c r="T3371" s="892">
        <f>SUM(T3365:T3370)</f>
        <v>0.52500000000000002</v>
      </c>
      <c r="U3371" s="514"/>
      <c r="V3371" s="514"/>
      <c r="W3371" s="514"/>
      <c r="X3371" s="514"/>
      <c r="Y3371" s="514"/>
      <c r="Z3371" s="514"/>
      <c r="AA3371" s="514"/>
      <c r="AB3371" s="514"/>
      <c r="AC3371" s="514"/>
      <c r="AD3371" s="514"/>
      <c r="AE3371" s="514"/>
      <c r="AF3371" s="514"/>
      <c r="AG3371" s="514"/>
      <c r="AH3371" s="514"/>
      <c r="AI3371" s="514"/>
      <c r="AJ3371" s="514"/>
      <c r="AK3371" s="514"/>
      <c r="AL3371" s="514"/>
      <c r="AM3371" s="514"/>
      <c r="AN3371" s="514"/>
      <c r="AO3371" s="514"/>
    </row>
    <row r="3372" spans="1:41" s="504" customFormat="1" ht="12" thickTop="1">
      <c r="A3372" s="47" t="s">
        <v>145</v>
      </c>
      <c r="D3372" s="13"/>
      <c r="E3372" s="41"/>
      <c r="O3372" s="893"/>
    </row>
    <row r="3373" spans="1:41" s="504" customFormat="1" ht="13.2">
      <c r="B3373" s="3"/>
      <c r="O3373" s="893"/>
    </row>
    <row r="3374" spans="1:41" s="504" customFormat="1" ht="12">
      <c r="B3374" s="894">
        <f ca="1">$F3374/$C$2-($R3374*$S$2+$T3374*$T$2)</f>
        <v>-5.1876699999411358E-2</v>
      </c>
      <c r="D3374" s="895" t="s">
        <v>817</v>
      </c>
      <c r="E3374" s="896"/>
      <c r="F3374" s="897">
        <f ca="1">SUMIF($L3210:$L3372,"ITEM",F3210:F3372)</f>
        <v>6562.95</v>
      </c>
      <c r="G3374" s="882"/>
      <c r="H3374" s="882"/>
      <c r="I3374" s="503"/>
      <c r="J3374" s="882"/>
      <c r="K3374" s="882"/>
      <c r="L3374" s="879" t="s">
        <v>154</v>
      </c>
      <c r="M3374" s="879"/>
      <c r="N3374" s="879"/>
      <c r="O3374" s="879"/>
      <c r="P3374" s="879"/>
      <c r="R3374" s="897">
        <f ca="1">SUMIF($L3210:$L3372,"ITEM",R3210:R3372)</f>
        <v>2660.7019999999998</v>
      </c>
      <c r="S3374" s="898"/>
      <c r="T3374" s="897">
        <f ca="1">SUMIF($L3210:$L3372,"ITEM",T3210:T3372)</f>
        <v>94.294999999999987</v>
      </c>
    </row>
    <row r="3375" spans="1:41" s="504" customFormat="1" ht="13.2">
      <c r="A3375" s="50"/>
      <c r="B3375" s="48" t="s">
        <v>816</v>
      </c>
      <c r="C3375" s="50"/>
      <c r="D3375" s="3"/>
      <c r="F3375" s="899" t="s">
        <v>155</v>
      </c>
      <c r="G3375" s="882"/>
      <c r="H3375" s="882"/>
      <c r="I3375" s="503"/>
      <c r="J3375" s="882"/>
      <c r="K3375" s="882"/>
      <c r="L3375" s="882"/>
      <c r="M3375" s="882"/>
      <c r="N3375" s="882"/>
      <c r="O3375" s="882"/>
      <c r="P3375" s="882"/>
      <c r="Q3375" s="900"/>
      <c r="R3375" s="899" t="s">
        <v>156</v>
      </c>
      <c r="S3375" s="38"/>
      <c r="T3375" s="899" t="s">
        <v>157</v>
      </c>
    </row>
    <row r="3376" spans="1:41" s="504" customFormat="1" ht="13.2">
      <c r="A3376" s="882"/>
      <c r="B3376" s="3"/>
      <c r="C3376" s="882"/>
      <c r="D3376" s="3"/>
      <c r="E3376" s="3"/>
      <c r="G3376" s="3"/>
      <c r="H3376" s="3"/>
      <c r="I3376" s="3"/>
      <c r="J3376" s="3"/>
      <c r="K3376" s="3"/>
      <c r="L3376" s="3"/>
      <c r="M3376" s="3"/>
      <c r="N3376" s="3"/>
      <c r="O3376" s="103"/>
      <c r="P3376" s="3"/>
      <c r="Q3376" s="3"/>
      <c r="R3376" s="3"/>
      <c r="S3376" s="3"/>
      <c r="T3376" s="3"/>
    </row>
    <row r="3377" spans="1:41" s="504" customFormat="1" ht="12" thickBot="1">
      <c r="A3377" s="514"/>
      <c r="B3377" s="887"/>
      <c r="C3377" s="887"/>
      <c r="D3377" s="514"/>
      <c r="E3377" s="39"/>
      <c r="F3377" s="901"/>
      <c r="G3377" s="887"/>
      <c r="H3377" s="887"/>
      <c r="I3377" s="889"/>
      <c r="J3377" s="887"/>
      <c r="K3377" s="887"/>
      <c r="L3377" s="890"/>
      <c r="M3377" s="890"/>
      <c r="N3377" s="890"/>
      <c r="O3377" s="890"/>
      <c r="P3377" s="890"/>
      <c r="Q3377" s="891"/>
      <c r="R3377" s="901"/>
      <c r="S3377" s="902"/>
      <c r="T3377" s="901"/>
      <c r="U3377" s="514"/>
      <c r="V3377" s="514"/>
      <c r="W3377" s="514"/>
      <c r="X3377" s="514"/>
      <c r="Y3377" s="514"/>
      <c r="Z3377" s="514"/>
      <c r="AA3377" s="514"/>
      <c r="AB3377" s="514"/>
      <c r="AC3377" s="514"/>
      <c r="AD3377" s="514"/>
      <c r="AE3377" s="514"/>
      <c r="AF3377" s="514"/>
      <c r="AG3377" s="514"/>
      <c r="AH3377" s="514"/>
      <c r="AI3377" s="514"/>
      <c r="AJ3377" s="514"/>
      <c r="AK3377" s="514"/>
    </row>
    <row r="3378" spans="1:41" s="504" customFormat="1" thickTop="1">
      <c r="A3378" s="50"/>
      <c r="B3378" s="50"/>
      <c r="C3378" s="3"/>
      <c r="D3378" s="3"/>
      <c r="E3378" s="50"/>
      <c r="F3378" s="50"/>
      <c r="G3378" s="50"/>
      <c r="H3378" s="50"/>
      <c r="I3378" s="50"/>
      <c r="J3378" s="50"/>
      <c r="K3378" s="50" t="s">
        <v>133</v>
      </c>
      <c r="L3378" s="50"/>
      <c r="M3378" s="50"/>
      <c r="N3378" s="50"/>
      <c r="O3378" s="51"/>
      <c r="P3378" s="50"/>
      <c r="Q3378" s="50"/>
      <c r="R3378" s="50"/>
      <c r="S3378" s="50"/>
      <c r="T3378" s="50"/>
    </row>
    <row r="3379" spans="1:41" s="504" customFormat="1" ht="12">
      <c r="A3379" s="50"/>
      <c r="B3379" s="50"/>
      <c r="C3379" s="50" t="s">
        <v>134</v>
      </c>
      <c r="D3379" s="37"/>
      <c r="E3379" s="50"/>
      <c r="F3379" s="50"/>
      <c r="G3379" s="50"/>
      <c r="H3379" s="50"/>
      <c r="I3379" s="50"/>
      <c r="J3379" s="50"/>
      <c r="K3379" s="50"/>
      <c r="L3379" s="50"/>
      <c r="M3379" s="50"/>
      <c r="N3379" s="50"/>
      <c r="O3379" s="51"/>
      <c r="P3379" s="50"/>
      <c r="Q3379" s="50"/>
      <c r="R3379" s="50"/>
      <c r="S3379" s="50"/>
      <c r="T3379" s="50"/>
    </row>
    <row r="3380" spans="1:41" s="504" customFormat="1" ht="12">
      <c r="A3380" s="50"/>
      <c r="B3380" s="50"/>
      <c r="C3380" s="50"/>
      <c r="D3380" s="37" t="s">
        <v>305</v>
      </c>
      <c r="E3380" s="50"/>
      <c r="F3380" s="50"/>
      <c r="G3380" s="50"/>
      <c r="H3380" s="50"/>
      <c r="I3380" s="50"/>
      <c r="J3380" s="50"/>
      <c r="K3380" s="50"/>
      <c r="L3380" s="50"/>
      <c r="M3380" s="50"/>
      <c r="N3380" s="50"/>
      <c r="O3380" s="51"/>
      <c r="P3380" s="50"/>
      <c r="Q3380" s="50"/>
      <c r="R3380" s="50"/>
      <c r="S3380" s="38"/>
      <c r="T3380" s="38"/>
    </row>
    <row r="3381" spans="1:41" s="3" customFormat="1" thickBot="1">
      <c r="A3381" s="514"/>
      <c r="O3381" s="103"/>
    </row>
    <row r="3382" spans="1:41" s="504" customFormat="1" thickTop="1">
      <c r="A3382" s="50"/>
      <c r="B3382" s="50"/>
      <c r="C3382" s="3"/>
      <c r="D3382" s="3"/>
      <c r="E3382" s="50"/>
      <c r="F3382" s="50"/>
      <c r="G3382" s="50"/>
      <c r="H3382" s="50"/>
      <c r="I3382" s="50"/>
      <c r="J3382" s="50"/>
      <c r="K3382" s="50" t="s">
        <v>133</v>
      </c>
      <c r="L3382" s="50"/>
      <c r="M3382" s="50"/>
      <c r="N3382" s="50"/>
      <c r="O3382" s="51"/>
      <c r="P3382" s="50"/>
      <c r="Q3382" s="50"/>
      <c r="R3382" s="50"/>
      <c r="S3382" s="50"/>
      <c r="T3382" s="50"/>
    </row>
    <row r="3383" spans="1:41" s="504" customFormat="1" ht="12">
      <c r="A3383" s="50"/>
      <c r="B3383" s="50"/>
      <c r="C3383" s="50" t="s">
        <v>134</v>
      </c>
      <c r="D3383" s="873" t="s">
        <v>894</v>
      </c>
      <c r="E3383" s="50"/>
      <c r="F3383" s="50"/>
      <c r="G3383" s="50"/>
      <c r="H3383" s="50"/>
      <c r="I3383" s="50"/>
      <c r="J3383" s="50"/>
      <c r="K3383" s="50"/>
      <c r="L3383" s="50"/>
      <c r="M3383" s="50"/>
      <c r="N3383" s="50"/>
      <c r="O3383" s="51"/>
      <c r="P3383" s="50"/>
      <c r="Q3383" s="50"/>
      <c r="R3383" s="50"/>
      <c r="S3383" s="50"/>
      <c r="T3383" s="50"/>
    </row>
    <row r="3384" spans="1:41" s="504" customFormat="1" ht="13.2">
      <c r="A3384" s="872"/>
      <c r="B3384"/>
      <c r="C3384" s="872"/>
      <c r="D3384" s="916" t="s">
        <v>687</v>
      </c>
      <c r="E3384" s="917"/>
      <c r="F3384" s="918"/>
      <c r="G3384" s="919"/>
      <c r="H3384" s="918"/>
      <c r="I3384" s="920"/>
      <c r="J3384" s="918"/>
      <c r="K3384" s="918"/>
      <c r="L3384" s="918"/>
      <c r="M3384" s="918"/>
      <c r="N3384" s="918"/>
      <c r="O3384" s="918"/>
      <c r="P3384" s="918"/>
      <c r="Q3384" s="921"/>
      <c r="R3384" s="513"/>
      <c r="S3384" s="881"/>
      <c r="T3384" s="877"/>
    </row>
    <row r="3385" spans="1:41" s="3" customFormat="1" thickBot="1">
      <c r="A3385" s="514"/>
      <c r="O3385" s="103"/>
    </row>
    <row r="3386" spans="1:41" s="504" customFormat="1" ht="12" thickTop="1">
      <c r="A3386" s="50"/>
      <c r="B3386" s="40"/>
      <c r="C3386" s="50"/>
      <c r="E3386" s="41" t="s">
        <v>136</v>
      </c>
      <c r="F3386" s="41" t="s">
        <v>137</v>
      </c>
      <c r="G3386" s="50"/>
      <c r="H3386" s="50"/>
      <c r="I3386" s="50"/>
      <c r="J3386" s="50"/>
      <c r="K3386" s="50" t="s">
        <v>138</v>
      </c>
      <c r="L3386" s="50"/>
      <c r="M3386" s="50"/>
      <c r="N3386" s="50"/>
      <c r="O3386" s="51"/>
      <c r="P3386" s="50"/>
      <c r="Q3386" s="50"/>
      <c r="R3386" s="50"/>
      <c r="S3386" s="50"/>
      <c r="T3386" s="40"/>
      <c r="AG3386" s="867" t="s">
        <v>241</v>
      </c>
      <c r="AH3386" s="867" t="s">
        <v>242</v>
      </c>
      <c r="AI3386" s="867" t="s">
        <v>243</v>
      </c>
      <c r="AJ3386" s="867" t="s">
        <v>244</v>
      </c>
      <c r="AK3386" s="867" t="s">
        <v>245</v>
      </c>
      <c r="AM3386" s="868" t="s">
        <v>254</v>
      </c>
      <c r="AN3386" s="869" t="s">
        <v>255</v>
      </c>
      <c r="AO3386" s="505" t="s">
        <v>251</v>
      </c>
    </row>
    <row r="3387" spans="1:41" s="504" customFormat="1" ht="12" customHeight="1">
      <c r="A3387" s="870">
        <v>10</v>
      </c>
      <c r="B3387" s="871" t="s">
        <v>306</v>
      </c>
      <c r="C3387" s="872"/>
      <c r="D3387" s="873" t="s">
        <v>804</v>
      </c>
      <c r="E3387" s="874">
        <f ca="1">IF(AND($A3387=0,$A$1="DIF"),0, ROUND(ROUND(($R3392*$S$2+($T3392*$T$2))/A3387,2)*$C$2,2))</f>
        <v>6.75</v>
      </c>
      <c r="F3387" s="875">
        <f ca="1">ROUND($A3387*$E3387,2)</f>
        <v>67.5</v>
      </c>
      <c r="G3387" s="876" t="s">
        <v>139</v>
      </c>
      <c r="H3387" s="877"/>
      <c r="I3387" s="878"/>
      <c r="J3387" s="877"/>
      <c r="K3387" s="877" t="s">
        <v>3</v>
      </c>
      <c r="L3387" s="879" t="s">
        <v>140</v>
      </c>
      <c r="M3387" s="879"/>
      <c r="N3387" s="879"/>
      <c r="O3387" s="879"/>
      <c r="P3387" s="879"/>
      <c r="Q3387" s="50"/>
      <c r="T3387" s="880" t="str">
        <f ca="1">IF(AND($R3392=0,$T3392=0),"0.00","mu :" &amp; ROUND($F3387/$C$2/($R3392+$T3392*$D$9),2))</f>
        <v>mu :1.22</v>
      </c>
      <c r="W3387" s="507"/>
      <c r="AG3387" s="465">
        <f ca="1">IF($E3387=0,0,ROUND($R3392*$S$2*$C$2/$A3387,2))</f>
        <v>2.5299999999999998</v>
      </c>
      <c r="AH3387" s="465">
        <f ca="1">$AG3387*$A3387</f>
        <v>25.299999999999997</v>
      </c>
      <c r="AI3387" s="508">
        <f ca="1">$E3387-$AG3387</f>
        <v>4.2200000000000006</v>
      </c>
      <c r="AJ3387" s="508">
        <f ca="1">$A3387*$AI3387</f>
        <v>42.2</v>
      </c>
      <c r="AK3387" s="509">
        <f ca="1">ROUND(($AG3387+$AI3387)*$A3387,2)</f>
        <v>67.5</v>
      </c>
      <c r="AM3387" s="510">
        <f ca="1">ROUND(R3392,2)</f>
        <v>20.7</v>
      </c>
      <c r="AN3387" s="511">
        <f ca="1">ROUND(T3392,2)</f>
        <v>1.2</v>
      </c>
      <c r="AO3387" s="512">
        <f ca="1">ROUND(AM3387+AN3387,2)*A3387</f>
        <v>219</v>
      </c>
    </row>
    <row r="3388" spans="1:41" s="504" customFormat="1" ht="13.2">
      <c r="A3388" s="872"/>
      <c r="B3388"/>
      <c r="C3388" s="872"/>
      <c r="D3388" s="873" t="s">
        <v>776</v>
      </c>
      <c r="F3388" s="877"/>
      <c r="G3388" s="3"/>
      <c r="H3388" s="877"/>
      <c r="I3388" s="878"/>
      <c r="J3388" s="877"/>
      <c r="K3388" s="877" t="s">
        <v>141</v>
      </c>
      <c r="L3388" s="877"/>
      <c r="M3388" s="877"/>
      <c r="N3388" s="877"/>
      <c r="O3388" s="877"/>
      <c r="P3388" s="877"/>
      <c r="Q3388" s="50"/>
      <c r="R3388" s="513"/>
      <c r="S3388" s="881"/>
      <c r="T3388" s="877"/>
    </row>
    <row r="3389" spans="1:41" s="997" customFormat="1" ht="13.2">
      <c r="A3389"/>
      <c r="B3389" s="1065"/>
      <c r="C3389" s="1065" t="s">
        <v>1006</v>
      </c>
      <c r="D3389" s="1065" t="str">
        <f ca="1">CELL("Address",Elec_Rates!D$95)</f>
        <v>[EL25_0662B_Brittania_Hotel_Elec_Revised_Estim_B.xlsx]Elec_Rates!$D$95</v>
      </c>
      <c r="E3389" s="1066"/>
      <c r="F3389" s="1066"/>
      <c r="G3389" s="1067" t="s">
        <v>1007</v>
      </c>
      <c r="H3389" s="1067"/>
      <c r="I3389" s="1067"/>
      <c r="J3389" s="1067"/>
      <c r="K3389" s="1068"/>
      <c r="L3389" s="1066"/>
      <c r="M3389" s="1066"/>
      <c r="N3389" s="1066"/>
      <c r="O3389" s="1069"/>
      <c r="P3389" s="1066"/>
      <c r="Q3389" s="1070"/>
      <c r="R3389" s="1071"/>
      <c r="S3389" s="1070"/>
      <c r="T3389" s="1072"/>
      <c r="U3389" s="1073"/>
    </row>
    <row r="3390" spans="1:41" s="997" customFormat="1" ht="11.4">
      <c r="A3390" s="1074">
        <v>10</v>
      </c>
      <c r="B3390" s="1075">
        <v>1</v>
      </c>
      <c r="C3390" s="1075">
        <f>$A3390*$B3390</f>
        <v>10</v>
      </c>
      <c r="D3390" s="1076" t="str">
        <f>Elec_Rates!$D$95</f>
        <v>009# 3 core x 4.0 mm2 FG16(O)M16 Cable</v>
      </c>
      <c r="E3390" s="1076"/>
      <c r="F3390" s="1076"/>
      <c r="G3390" s="1077" t="s">
        <v>1008</v>
      </c>
      <c r="H3390" s="1077"/>
      <c r="I3390" s="1077"/>
      <c r="J3390" s="1077"/>
      <c r="K3390" s="1078"/>
      <c r="L3390" s="1073"/>
      <c r="M3390" s="1073"/>
      <c r="N3390" s="1073"/>
      <c r="O3390" s="1079"/>
      <c r="P3390" s="1076"/>
      <c r="Q3390" s="1080">
        <f ca="1">$B3390*Elec_Rates!$R$95</f>
        <v>2.0699999999999998</v>
      </c>
      <c r="R3390" s="1071">
        <f ca="1">$A3390*Q3390</f>
        <v>20.7</v>
      </c>
      <c r="S3390" s="1080">
        <f ca="1">$B3390*Elec_Rates!$T$95</f>
        <v>0.12</v>
      </c>
      <c r="T3390" s="1072">
        <f ca="1">$A3390*S3390</f>
        <v>1.2</v>
      </c>
      <c r="U3390" s="1081"/>
    </row>
    <row r="3391" spans="1:41" s="504" customFormat="1" ht="12">
      <c r="A3391" s="882"/>
      <c r="B3391" s="882"/>
      <c r="C3391" s="882"/>
      <c r="D3391" s="882"/>
      <c r="E3391" s="882"/>
      <c r="F3391" s="877"/>
      <c r="G3391" s="882"/>
      <c r="H3391" s="882"/>
      <c r="I3391" s="503"/>
      <c r="J3391" s="882"/>
      <c r="K3391" s="882"/>
      <c r="L3391" s="882"/>
      <c r="M3391" s="882"/>
      <c r="N3391" s="882"/>
      <c r="O3391" s="882"/>
      <c r="P3391" s="882"/>
      <c r="Q3391" s="503"/>
      <c r="R3391" s="883">
        <f>$A3391*Q3391</f>
        <v>0</v>
      </c>
      <c r="S3391" s="503"/>
      <c r="T3391" s="884">
        <f>$A3391*S3391*$T$1</f>
        <v>0</v>
      </c>
    </row>
    <row r="3392" spans="1:41" s="504" customFormat="1" ht="12.6" thickBot="1">
      <c r="A3392" s="885" t="s">
        <v>142</v>
      </c>
      <c r="B3392" s="886">
        <f>(R3391+T3391)</f>
        <v>0</v>
      </c>
      <c r="C3392" s="887"/>
      <c r="D3392" s="887"/>
      <c r="E3392" s="887"/>
      <c r="F3392" s="888"/>
      <c r="G3392" s="887" t="s">
        <v>143</v>
      </c>
      <c r="H3392" s="887"/>
      <c r="I3392" s="889"/>
      <c r="J3392" s="887"/>
      <c r="K3392" s="887" t="s">
        <v>3</v>
      </c>
      <c r="L3392" s="890" t="s">
        <v>140</v>
      </c>
      <c r="M3392" s="890"/>
      <c r="N3392" s="890"/>
      <c r="O3392" s="890"/>
      <c r="P3392" s="890"/>
      <c r="Q3392" s="891"/>
      <c r="R3392" s="892">
        <f ca="1">SUM(R3388:R3391)</f>
        <v>20.7</v>
      </c>
      <c r="S3392" s="887"/>
      <c r="T3392" s="892">
        <f ca="1">SUM(T3388:T3391)</f>
        <v>1.2</v>
      </c>
      <c r="U3392" s="514"/>
      <c r="V3392" s="514"/>
      <c r="W3392" s="514"/>
      <c r="X3392" s="514"/>
      <c r="Y3392" s="514"/>
      <c r="Z3392" s="514"/>
      <c r="AA3392" s="514"/>
      <c r="AB3392" s="514"/>
      <c r="AC3392" s="514"/>
      <c r="AD3392" s="514"/>
      <c r="AE3392" s="514"/>
      <c r="AF3392" s="514"/>
      <c r="AG3392" s="514"/>
      <c r="AH3392" s="514"/>
      <c r="AI3392" s="514"/>
      <c r="AJ3392" s="514"/>
      <c r="AK3392" s="514"/>
      <c r="AL3392" s="514"/>
      <c r="AM3392" s="514"/>
      <c r="AN3392" s="514"/>
      <c r="AO3392" s="514"/>
    </row>
    <row r="3393" spans="1:41" s="504" customFormat="1" ht="12" thickTop="1">
      <c r="A3393" s="50"/>
      <c r="B3393" s="40"/>
      <c r="C3393" s="50"/>
      <c r="E3393" s="41" t="s">
        <v>136</v>
      </c>
      <c r="F3393" s="41" t="s">
        <v>137</v>
      </c>
      <c r="G3393" s="50"/>
      <c r="H3393" s="50"/>
      <c r="I3393" s="50"/>
      <c r="J3393" s="50"/>
      <c r="K3393" s="50" t="s">
        <v>138</v>
      </c>
      <c r="L3393" s="50"/>
      <c r="M3393" s="50"/>
      <c r="N3393" s="50"/>
      <c r="O3393" s="51"/>
      <c r="P3393" s="50"/>
      <c r="Q3393" s="50"/>
      <c r="R3393" s="50"/>
      <c r="S3393" s="50"/>
      <c r="T3393" s="40"/>
      <c r="AG3393" s="867" t="s">
        <v>241</v>
      </c>
      <c r="AH3393" s="867" t="s">
        <v>242</v>
      </c>
      <c r="AI3393" s="867" t="s">
        <v>243</v>
      </c>
      <c r="AJ3393" s="867" t="s">
        <v>244</v>
      </c>
      <c r="AK3393" s="867" t="s">
        <v>245</v>
      </c>
      <c r="AM3393" s="868" t="s">
        <v>254</v>
      </c>
      <c r="AN3393" s="869" t="s">
        <v>255</v>
      </c>
      <c r="AO3393" s="505" t="s">
        <v>251</v>
      </c>
    </row>
    <row r="3394" spans="1:41" s="504" customFormat="1" ht="12" customHeight="1">
      <c r="A3394" s="870">
        <v>14</v>
      </c>
      <c r="B3394" s="871" t="s">
        <v>306</v>
      </c>
      <c r="C3394" s="872"/>
      <c r="D3394" s="873" t="s">
        <v>806</v>
      </c>
      <c r="E3394" s="874">
        <f ca="1">IF(AND($A3394=0,$A$1="DIF"),0, ROUND(ROUND(($R3399*$S$2+($T3399*$T$2))/A3394,2)*$C$2,2))</f>
        <v>6.75</v>
      </c>
      <c r="F3394" s="875">
        <f ca="1">ROUND($A3394*$E3394,2)</f>
        <v>94.5</v>
      </c>
      <c r="G3394" s="876" t="s">
        <v>139</v>
      </c>
      <c r="H3394" s="877"/>
      <c r="I3394" s="878"/>
      <c r="J3394" s="877"/>
      <c r="K3394" s="877" t="s">
        <v>3</v>
      </c>
      <c r="L3394" s="879" t="s">
        <v>140</v>
      </c>
      <c r="M3394" s="879"/>
      <c r="N3394" s="879"/>
      <c r="O3394" s="879"/>
      <c r="P3394" s="879"/>
      <c r="Q3394" s="50"/>
      <c r="T3394" s="880" t="str">
        <f ca="1">IF(AND($R3399=0,$T3399=0),"0.00","mu :" &amp; ROUND($F3394/$C$2/($R3399+$T3399*$D$9),2))</f>
        <v>mu :1.22</v>
      </c>
      <c r="W3394" s="507"/>
      <c r="AG3394" s="465">
        <f ca="1">IF($E3394=0,0,ROUND($R3399*$S$2*$C$2/$A3394,2))</f>
        <v>2.5299999999999998</v>
      </c>
      <c r="AH3394" s="465">
        <f ca="1">$AG3394*$A3394</f>
        <v>35.419999999999995</v>
      </c>
      <c r="AI3394" s="508">
        <f ca="1">$E3394-$AG3394</f>
        <v>4.2200000000000006</v>
      </c>
      <c r="AJ3394" s="508">
        <f ca="1">$A3394*$AI3394</f>
        <v>59.080000000000013</v>
      </c>
      <c r="AK3394" s="509">
        <f ca="1">ROUND(($AG3394+$AI3394)*$A3394,2)</f>
        <v>94.5</v>
      </c>
      <c r="AM3394" s="510">
        <f ca="1">ROUND(R3399,2)</f>
        <v>28.98</v>
      </c>
      <c r="AN3394" s="511">
        <f ca="1">ROUND(T3399,2)</f>
        <v>1.68</v>
      </c>
      <c r="AO3394" s="512">
        <f ca="1">ROUND(AM3394+AN3394,2)*A3394</f>
        <v>429.24</v>
      </c>
    </row>
    <row r="3395" spans="1:41" s="504" customFormat="1" ht="13.2">
      <c r="A3395" s="872"/>
      <c r="B3395"/>
      <c r="C3395" s="872"/>
      <c r="D3395" s="873" t="s">
        <v>777</v>
      </c>
      <c r="F3395" s="877"/>
      <c r="G3395" s="3"/>
      <c r="H3395" s="877"/>
      <c r="I3395" s="878"/>
      <c r="J3395" s="877"/>
      <c r="K3395" s="877" t="s">
        <v>141</v>
      </c>
      <c r="L3395" s="877"/>
      <c r="M3395" s="877"/>
      <c r="N3395" s="877"/>
      <c r="O3395" s="877"/>
      <c r="P3395" s="877"/>
      <c r="Q3395" s="50"/>
      <c r="R3395" s="513"/>
      <c r="S3395" s="881"/>
      <c r="T3395" s="877"/>
    </row>
    <row r="3396" spans="1:41" s="997" customFormat="1" ht="13.2">
      <c r="A3396"/>
      <c r="B3396" s="1065"/>
      <c r="C3396" s="1065" t="s">
        <v>1006</v>
      </c>
      <c r="D3396" s="1065" t="str">
        <f ca="1">CELL("Address",Elec_Rates!D$95)</f>
        <v>[EL25_0662B_Brittania_Hotel_Elec_Revised_Estim_B.xlsx]Elec_Rates!$D$95</v>
      </c>
      <c r="E3396" s="1066"/>
      <c r="F3396" s="1066"/>
      <c r="G3396" s="1067" t="s">
        <v>1007</v>
      </c>
      <c r="H3396" s="1067"/>
      <c r="I3396" s="1067"/>
      <c r="J3396" s="1067"/>
      <c r="K3396" s="1068"/>
      <c r="L3396" s="1066"/>
      <c r="M3396" s="1066"/>
      <c r="N3396" s="1066"/>
      <c r="O3396" s="1069"/>
      <c r="P3396" s="1066"/>
      <c r="Q3396" s="1070"/>
      <c r="R3396" s="1071"/>
      <c r="S3396" s="1070"/>
      <c r="T3396" s="1072"/>
      <c r="U3396" s="1073"/>
    </row>
    <row r="3397" spans="1:41" s="997" customFormat="1" ht="11.4">
      <c r="A3397" s="1074">
        <v>14</v>
      </c>
      <c r="B3397" s="1075">
        <v>1</v>
      </c>
      <c r="C3397" s="1075">
        <f>$A3397*$B3397</f>
        <v>14</v>
      </c>
      <c r="D3397" s="1076" t="str">
        <f>Elec_Rates!$D$95</f>
        <v>009# 3 core x 4.0 mm2 FG16(O)M16 Cable</v>
      </c>
      <c r="E3397" s="1076"/>
      <c r="F3397" s="1076"/>
      <c r="G3397" s="1077" t="s">
        <v>1008</v>
      </c>
      <c r="H3397" s="1077"/>
      <c r="I3397" s="1077"/>
      <c r="J3397" s="1077"/>
      <c r="K3397" s="1078"/>
      <c r="L3397" s="1073"/>
      <c r="M3397" s="1073"/>
      <c r="N3397" s="1073"/>
      <c r="O3397" s="1079"/>
      <c r="P3397" s="1076"/>
      <c r="Q3397" s="1080">
        <f ca="1">$B3397*Elec_Rates!$R$95</f>
        <v>2.0699999999999998</v>
      </c>
      <c r="R3397" s="1071">
        <f ca="1">$A3397*Q3397</f>
        <v>28.979999999999997</v>
      </c>
      <c r="S3397" s="1080">
        <f ca="1">$B3397*Elec_Rates!$T$95</f>
        <v>0.12</v>
      </c>
      <c r="T3397" s="1072">
        <f ca="1">$A3397*S3397</f>
        <v>1.68</v>
      </c>
      <c r="U3397" s="1081"/>
    </row>
    <row r="3398" spans="1:41" s="504" customFormat="1" ht="12">
      <c r="A3398" s="882"/>
      <c r="B3398" s="882"/>
      <c r="C3398" s="882"/>
      <c r="D3398" s="882"/>
      <c r="E3398" s="882"/>
      <c r="F3398" s="877"/>
      <c r="G3398" s="882"/>
      <c r="H3398" s="882"/>
      <c r="I3398" s="503"/>
      <c r="J3398" s="882"/>
      <c r="K3398" s="882"/>
      <c r="L3398" s="882"/>
      <c r="M3398" s="882"/>
      <c r="N3398" s="882"/>
      <c r="O3398" s="882"/>
      <c r="P3398" s="882"/>
      <c r="Q3398" s="503"/>
      <c r="R3398" s="883">
        <f>$A3398*Q3398</f>
        <v>0</v>
      </c>
      <c r="S3398" s="503"/>
      <c r="T3398" s="884">
        <f>$A3398*S3398*$T$1</f>
        <v>0</v>
      </c>
    </row>
    <row r="3399" spans="1:41" s="504" customFormat="1" ht="12.6" thickBot="1">
      <c r="A3399" s="885" t="s">
        <v>142</v>
      </c>
      <c r="B3399" s="886">
        <f>(R3398+T3398)</f>
        <v>0</v>
      </c>
      <c r="C3399" s="887"/>
      <c r="D3399" s="887"/>
      <c r="E3399" s="887"/>
      <c r="F3399" s="888"/>
      <c r="G3399" s="887" t="s">
        <v>143</v>
      </c>
      <c r="H3399" s="887"/>
      <c r="I3399" s="889"/>
      <c r="J3399" s="887"/>
      <c r="K3399" s="887" t="s">
        <v>3</v>
      </c>
      <c r="L3399" s="890" t="s">
        <v>140</v>
      </c>
      <c r="M3399" s="890"/>
      <c r="N3399" s="890"/>
      <c r="O3399" s="890"/>
      <c r="P3399" s="890"/>
      <c r="Q3399" s="891"/>
      <c r="R3399" s="892">
        <f ca="1">SUM(R3395:R3398)</f>
        <v>28.979999999999997</v>
      </c>
      <c r="S3399" s="887"/>
      <c r="T3399" s="892">
        <f ca="1">SUM(T3395:T3398)</f>
        <v>1.68</v>
      </c>
      <c r="U3399" s="514"/>
      <c r="V3399" s="514"/>
      <c r="W3399" s="514"/>
      <c r="X3399" s="514"/>
      <c r="Y3399" s="514"/>
      <c r="Z3399" s="514"/>
      <c r="AA3399" s="514"/>
      <c r="AB3399" s="514"/>
      <c r="AC3399" s="514"/>
      <c r="AD3399" s="514"/>
      <c r="AE3399" s="514"/>
      <c r="AF3399" s="514"/>
      <c r="AG3399" s="514"/>
      <c r="AH3399" s="514"/>
      <c r="AI3399" s="514"/>
      <c r="AJ3399" s="514"/>
      <c r="AK3399" s="514"/>
      <c r="AL3399" s="514"/>
      <c r="AM3399" s="514"/>
      <c r="AN3399" s="514"/>
      <c r="AO3399" s="514"/>
    </row>
    <row r="3400" spans="1:41" s="504" customFormat="1" ht="12" thickTop="1">
      <c r="A3400" s="50"/>
      <c r="B3400" s="40"/>
      <c r="C3400" s="50"/>
      <c r="E3400" s="41" t="s">
        <v>136</v>
      </c>
      <c r="F3400" s="41" t="s">
        <v>137</v>
      </c>
      <c r="G3400" s="50"/>
      <c r="H3400" s="50"/>
      <c r="I3400" s="50"/>
      <c r="J3400" s="50"/>
      <c r="K3400" s="50" t="s">
        <v>138</v>
      </c>
      <c r="L3400" s="50"/>
      <c r="M3400" s="50"/>
      <c r="N3400" s="50"/>
      <c r="O3400" s="51"/>
      <c r="P3400" s="50"/>
      <c r="Q3400" s="50"/>
      <c r="R3400" s="50"/>
      <c r="S3400" s="50"/>
      <c r="T3400" s="40"/>
      <c r="AG3400" s="867" t="s">
        <v>241</v>
      </c>
      <c r="AH3400" s="867" t="s">
        <v>242</v>
      </c>
      <c r="AI3400" s="867" t="s">
        <v>243</v>
      </c>
      <c r="AJ3400" s="867" t="s">
        <v>244</v>
      </c>
      <c r="AK3400" s="867" t="s">
        <v>245</v>
      </c>
      <c r="AM3400" s="868" t="s">
        <v>254</v>
      </c>
      <c r="AN3400" s="869" t="s">
        <v>255</v>
      </c>
      <c r="AO3400" s="505" t="s">
        <v>251</v>
      </c>
    </row>
    <row r="3401" spans="1:41" s="504" customFormat="1" ht="12" customHeight="1">
      <c r="A3401" s="870">
        <v>17</v>
      </c>
      <c r="B3401" s="871" t="s">
        <v>306</v>
      </c>
      <c r="C3401" s="872"/>
      <c r="D3401" s="873" t="s">
        <v>808</v>
      </c>
      <c r="E3401" s="874">
        <f ca="1">IF(AND($A3401=0,$A$1="DIF"),0, ROUND(ROUND(($R3406*$S$2+($T3406*$T$2))/A3401,2)*$C$2,2))</f>
        <v>6.75</v>
      </c>
      <c r="F3401" s="875">
        <f ca="1">ROUND($A3401*$E3401,2)</f>
        <v>114.75</v>
      </c>
      <c r="G3401" s="876" t="s">
        <v>139</v>
      </c>
      <c r="H3401" s="877"/>
      <c r="I3401" s="878"/>
      <c r="J3401" s="877"/>
      <c r="K3401" s="877" t="s">
        <v>3</v>
      </c>
      <c r="L3401" s="879" t="s">
        <v>140</v>
      </c>
      <c r="M3401" s="879"/>
      <c r="N3401" s="879"/>
      <c r="O3401" s="879"/>
      <c r="P3401" s="879"/>
      <c r="Q3401" s="50"/>
      <c r="T3401" s="880" t="str">
        <f ca="1">IF(AND($R3406=0,$T3406=0),"0.00","mu :" &amp; ROUND($F3401/$C$2/($R3406+$T3406*$D$9),2))</f>
        <v>mu :1.22</v>
      </c>
      <c r="W3401" s="507"/>
      <c r="AG3401" s="465">
        <f ca="1">IF($E3401=0,0,ROUND($R3406*$S$2*$C$2/$A3401,2))</f>
        <v>2.5299999999999998</v>
      </c>
      <c r="AH3401" s="465">
        <f ca="1">$AG3401*$A3401</f>
        <v>43.01</v>
      </c>
      <c r="AI3401" s="508">
        <f ca="1">$E3401-$AG3401</f>
        <v>4.2200000000000006</v>
      </c>
      <c r="AJ3401" s="508">
        <f ca="1">$A3401*$AI3401</f>
        <v>71.740000000000009</v>
      </c>
      <c r="AK3401" s="509">
        <f ca="1">ROUND(($AG3401+$AI3401)*$A3401,2)</f>
        <v>114.75</v>
      </c>
      <c r="AM3401" s="510">
        <f ca="1">ROUND(R3406,2)</f>
        <v>35.19</v>
      </c>
      <c r="AN3401" s="511">
        <f ca="1">ROUND(T3406,2)</f>
        <v>2.04</v>
      </c>
      <c r="AO3401" s="512">
        <f ca="1">ROUND(AM3401+AN3401,2)*A3401</f>
        <v>632.91</v>
      </c>
    </row>
    <row r="3402" spans="1:41" s="504" customFormat="1" ht="13.2">
      <c r="A3402" s="872"/>
      <c r="B3402"/>
      <c r="C3402" s="872"/>
      <c r="D3402" s="873" t="s">
        <v>778</v>
      </c>
      <c r="F3402" s="877"/>
      <c r="G3402" s="3"/>
      <c r="H3402" s="877"/>
      <c r="I3402" s="878"/>
      <c r="J3402" s="877"/>
      <c r="K3402" s="877" t="s">
        <v>141</v>
      </c>
      <c r="L3402" s="877"/>
      <c r="M3402" s="877"/>
      <c r="N3402" s="877"/>
      <c r="O3402" s="877"/>
      <c r="P3402" s="877"/>
      <c r="Q3402" s="50"/>
      <c r="R3402" s="513"/>
      <c r="S3402" s="881"/>
      <c r="T3402" s="877"/>
    </row>
    <row r="3403" spans="1:41" s="997" customFormat="1" ht="13.2">
      <c r="A3403"/>
      <c r="B3403" s="1065"/>
      <c r="C3403" s="1065" t="s">
        <v>1006</v>
      </c>
      <c r="D3403" s="1065" t="str">
        <f ca="1">CELL("Address",Elec_Rates!D$95)</f>
        <v>[EL25_0662B_Brittania_Hotel_Elec_Revised_Estim_B.xlsx]Elec_Rates!$D$95</v>
      </c>
      <c r="E3403" s="1066"/>
      <c r="F3403" s="1066"/>
      <c r="G3403" s="1067" t="s">
        <v>1007</v>
      </c>
      <c r="H3403" s="1067"/>
      <c r="I3403" s="1067"/>
      <c r="J3403" s="1067"/>
      <c r="K3403" s="1068"/>
      <c r="L3403" s="1066"/>
      <c r="M3403" s="1066"/>
      <c r="N3403" s="1066"/>
      <c r="O3403" s="1069"/>
      <c r="P3403" s="1066"/>
      <c r="Q3403" s="1070"/>
      <c r="R3403" s="1071"/>
      <c r="S3403" s="1070"/>
      <c r="T3403" s="1072"/>
      <c r="U3403" s="1073"/>
    </row>
    <row r="3404" spans="1:41" s="997" customFormat="1" ht="11.4">
      <c r="A3404" s="1074">
        <v>17</v>
      </c>
      <c r="B3404" s="1075">
        <v>1</v>
      </c>
      <c r="C3404" s="1075">
        <f>$A3404*$B3404</f>
        <v>17</v>
      </c>
      <c r="D3404" s="1076" t="str">
        <f>Elec_Rates!$D$95</f>
        <v>009# 3 core x 4.0 mm2 FG16(O)M16 Cable</v>
      </c>
      <c r="E3404" s="1076"/>
      <c r="F3404" s="1076"/>
      <c r="G3404" s="1077" t="s">
        <v>1008</v>
      </c>
      <c r="H3404" s="1077"/>
      <c r="I3404" s="1077"/>
      <c r="J3404" s="1077"/>
      <c r="K3404" s="1078"/>
      <c r="L3404" s="1073"/>
      <c r="M3404" s="1073"/>
      <c r="N3404" s="1073"/>
      <c r="O3404" s="1079"/>
      <c r="P3404" s="1076"/>
      <c r="Q3404" s="1080">
        <f ca="1">$B3404*Elec_Rates!$R$95</f>
        <v>2.0699999999999998</v>
      </c>
      <c r="R3404" s="1071">
        <f ca="1">$A3404*Q3404</f>
        <v>35.19</v>
      </c>
      <c r="S3404" s="1080">
        <f ca="1">$B3404*Elec_Rates!$T$95</f>
        <v>0.12</v>
      </c>
      <c r="T3404" s="1072">
        <f ca="1">$A3404*S3404</f>
        <v>2.04</v>
      </c>
      <c r="U3404" s="1081"/>
    </row>
    <row r="3405" spans="1:41" s="504" customFormat="1" ht="12">
      <c r="A3405" s="882"/>
      <c r="B3405" s="882"/>
      <c r="C3405" s="882"/>
      <c r="D3405" s="882"/>
      <c r="E3405" s="882"/>
      <c r="F3405" s="877"/>
      <c r="G3405" s="882"/>
      <c r="H3405" s="882"/>
      <c r="I3405" s="503"/>
      <c r="J3405" s="882"/>
      <c r="K3405" s="882"/>
      <c r="L3405" s="882"/>
      <c r="M3405" s="882"/>
      <c r="N3405" s="882"/>
      <c r="O3405" s="882"/>
      <c r="P3405" s="882"/>
      <c r="Q3405" s="503"/>
      <c r="R3405" s="883">
        <f>$A3405*Q3405</f>
        <v>0</v>
      </c>
      <c r="S3405" s="503"/>
      <c r="T3405" s="884">
        <f>$A3405*S3405*$T$1</f>
        <v>0</v>
      </c>
    </row>
    <row r="3406" spans="1:41" s="504" customFormat="1" ht="12.6" thickBot="1">
      <c r="A3406" s="885" t="s">
        <v>142</v>
      </c>
      <c r="B3406" s="886">
        <f>(R3405+T3405)</f>
        <v>0</v>
      </c>
      <c r="C3406" s="887"/>
      <c r="D3406" s="887"/>
      <c r="E3406" s="887"/>
      <c r="F3406" s="888"/>
      <c r="G3406" s="887" t="s">
        <v>143</v>
      </c>
      <c r="H3406" s="887"/>
      <c r="I3406" s="889"/>
      <c r="J3406" s="887"/>
      <c r="K3406" s="887" t="s">
        <v>3</v>
      </c>
      <c r="L3406" s="890" t="s">
        <v>140</v>
      </c>
      <c r="M3406" s="890"/>
      <c r="N3406" s="890"/>
      <c r="O3406" s="890"/>
      <c r="P3406" s="890"/>
      <c r="Q3406" s="891"/>
      <c r="R3406" s="892">
        <f ca="1">SUM(R3402:R3405)</f>
        <v>35.19</v>
      </c>
      <c r="S3406" s="887"/>
      <c r="T3406" s="892">
        <f ca="1">SUM(T3402:T3405)</f>
        <v>2.04</v>
      </c>
      <c r="U3406" s="514"/>
      <c r="V3406" s="514"/>
      <c r="W3406" s="514"/>
      <c r="X3406" s="514"/>
      <c r="Y3406" s="514"/>
      <c r="Z3406" s="514"/>
      <c r="AA3406" s="514"/>
      <c r="AB3406" s="514"/>
      <c r="AC3406" s="514"/>
      <c r="AD3406" s="514"/>
      <c r="AE3406" s="514"/>
      <c r="AF3406" s="514"/>
      <c r="AG3406" s="514"/>
      <c r="AH3406" s="514"/>
      <c r="AI3406" s="514"/>
      <c r="AJ3406" s="514"/>
      <c r="AK3406" s="514"/>
      <c r="AL3406" s="514"/>
      <c r="AM3406" s="514"/>
      <c r="AN3406" s="514"/>
      <c r="AO3406" s="514"/>
    </row>
    <row r="3407" spans="1:41" s="504" customFormat="1" ht="12" thickTop="1">
      <c r="A3407" s="47" t="s">
        <v>145</v>
      </c>
      <c r="D3407" s="13"/>
      <c r="E3407" s="41"/>
      <c r="O3407" s="893"/>
    </row>
    <row r="3408" spans="1:41" s="504" customFormat="1" ht="13.2">
      <c r="B3408" s="3"/>
      <c r="O3408" s="893"/>
    </row>
    <row r="3409" spans="1:37" s="504" customFormat="1" ht="12">
      <c r="B3409" s="894">
        <f ca="1">$F3409/$C$2-($R3409*$S$2+$T3409*$T$2)</f>
        <v>0.14140080000004218</v>
      </c>
      <c r="D3409" s="895" t="s">
        <v>817</v>
      </c>
      <c r="E3409" s="896"/>
      <c r="F3409" s="897">
        <f ca="1">SUMIF($L3378:$L3407,"ITEM",F3378:F3407)</f>
        <v>276.75</v>
      </c>
      <c r="G3409" s="882"/>
      <c r="H3409" s="882"/>
      <c r="I3409" s="503"/>
      <c r="J3409" s="882"/>
      <c r="K3409" s="882"/>
      <c r="L3409" s="879" t="s">
        <v>154</v>
      </c>
      <c r="M3409" s="879"/>
      <c r="N3409" s="879"/>
      <c r="O3409" s="879"/>
      <c r="P3409" s="879"/>
      <c r="R3409" s="897">
        <f ca="1">SUMIF($L3378:$L3407,"ITEM",R3378:R3407)</f>
        <v>84.86999999999999</v>
      </c>
      <c r="S3409" s="898"/>
      <c r="T3409" s="897">
        <f ca="1">SUMIF($L3378:$L3407,"ITEM",T3378:T3407)</f>
        <v>4.92</v>
      </c>
    </row>
    <row r="3410" spans="1:37" s="504" customFormat="1" ht="13.2">
      <c r="A3410" s="50"/>
      <c r="B3410" s="48" t="s">
        <v>816</v>
      </c>
      <c r="C3410" s="50"/>
      <c r="D3410" s="3"/>
      <c r="F3410" s="899" t="s">
        <v>155</v>
      </c>
      <c r="G3410" s="882"/>
      <c r="H3410" s="882"/>
      <c r="I3410" s="503"/>
      <c r="J3410" s="882"/>
      <c r="K3410" s="882"/>
      <c r="L3410" s="882"/>
      <c r="M3410" s="882"/>
      <c r="N3410" s="882"/>
      <c r="O3410" s="882"/>
      <c r="P3410" s="882"/>
      <c r="Q3410" s="900"/>
      <c r="R3410" s="899" t="s">
        <v>156</v>
      </c>
      <c r="S3410" s="38"/>
      <c r="T3410" s="899" t="s">
        <v>157</v>
      </c>
    </row>
    <row r="3411" spans="1:37" s="504" customFormat="1" ht="13.2">
      <c r="A3411" s="882"/>
      <c r="B3411" s="3"/>
      <c r="C3411" s="882"/>
      <c r="D3411" s="3"/>
      <c r="E3411" s="3"/>
      <c r="G3411" s="3"/>
      <c r="H3411" s="3"/>
      <c r="I3411" s="3"/>
      <c r="J3411" s="3"/>
      <c r="K3411" s="3"/>
      <c r="L3411" s="3"/>
      <c r="M3411" s="3"/>
      <c r="N3411" s="3"/>
      <c r="O3411" s="103"/>
      <c r="P3411" s="3"/>
      <c r="Q3411" s="3"/>
      <c r="R3411" s="3"/>
      <c r="S3411" s="3"/>
      <c r="T3411" s="3"/>
    </row>
    <row r="3412" spans="1:37" s="504" customFormat="1" ht="12" thickBot="1">
      <c r="A3412" s="514"/>
      <c r="B3412" s="887"/>
      <c r="C3412" s="887"/>
      <c r="D3412" s="514"/>
      <c r="E3412" s="39"/>
      <c r="F3412" s="901"/>
      <c r="G3412" s="887"/>
      <c r="H3412" s="887"/>
      <c r="I3412" s="889"/>
      <c r="J3412" s="887"/>
      <c r="K3412" s="887"/>
      <c r="L3412" s="890"/>
      <c r="M3412" s="890"/>
      <c r="N3412" s="890"/>
      <c r="O3412" s="890"/>
      <c r="P3412" s="890"/>
      <c r="Q3412" s="891"/>
      <c r="R3412" s="901"/>
      <c r="S3412" s="902"/>
      <c r="T3412" s="901"/>
      <c r="U3412" s="514"/>
      <c r="V3412" s="514"/>
      <c r="W3412" s="514"/>
      <c r="X3412" s="514"/>
      <c r="Y3412" s="514"/>
      <c r="Z3412" s="514"/>
      <c r="AA3412" s="514"/>
      <c r="AB3412" s="514"/>
      <c r="AC3412" s="514"/>
      <c r="AD3412" s="514"/>
      <c r="AE3412" s="514"/>
      <c r="AF3412" s="514"/>
      <c r="AG3412" s="514"/>
      <c r="AH3412" s="514"/>
      <c r="AI3412" s="514"/>
      <c r="AJ3412" s="514"/>
      <c r="AK3412" s="514"/>
    </row>
    <row r="3413" spans="1:37" s="504" customFormat="1" thickTop="1">
      <c r="A3413" s="50"/>
      <c r="B3413" s="50"/>
      <c r="C3413" s="3"/>
      <c r="D3413" s="3"/>
      <c r="E3413" s="50"/>
      <c r="F3413" s="50"/>
      <c r="G3413" s="50"/>
      <c r="H3413" s="50"/>
      <c r="I3413" s="50"/>
      <c r="J3413" s="50"/>
      <c r="K3413" s="50" t="s">
        <v>133</v>
      </c>
      <c r="L3413" s="50"/>
      <c r="M3413" s="50"/>
      <c r="N3413" s="50"/>
      <c r="O3413" s="51"/>
      <c r="P3413" s="50"/>
      <c r="Q3413" s="50"/>
      <c r="R3413" s="50"/>
      <c r="S3413" s="50"/>
      <c r="T3413" s="50"/>
    </row>
    <row r="3414" spans="1:37" s="504" customFormat="1" ht="12">
      <c r="A3414" s="50"/>
      <c r="B3414" s="50"/>
      <c r="C3414" s="50" t="s">
        <v>134</v>
      </c>
      <c r="D3414" s="37"/>
      <c r="E3414" s="50"/>
      <c r="F3414" s="50"/>
      <c r="G3414" s="50"/>
      <c r="H3414" s="50"/>
      <c r="I3414" s="50"/>
      <c r="J3414" s="50"/>
      <c r="K3414" s="50"/>
      <c r="L3414" s="50"/>
      <c r="M3414" s="50"/>
      <c r="N3414" s="50"/>
      <c r="O3414" s="51"/>
      <c r="P3414" s="50"/>
      <c r="Q3414" s="50"/>
      <c r="R3414" s="50"/>
      <c r="S3414" s="50"/>
      <c r="T3414" s="50"/>
    </row>
    <row r="3415" spans="1:37" s="504" customFormat="1" ht="12">
      <c r="A3415" s="50"/>
      <c r="B3415" s="50"/>
      <c r="C3415" s="50"/>
      <c r="D3415" s="37" t="s">
        <v>462</v>
      </c>
      <c r="E3415" s="50"/>
      <c r="F3415" s="50"/>
      <c r="G3415" s="50"/>
      <c r="H3415" s="50"/>
      <c r="I3415" s="50"/>
      <c r="J3415" s="50"/>
      <c r="K3415" s="50"/>
      <c r="L3415" s="50"/>
      <c r="M3415" s="50"/>
      <c r="N3415" s="50"/>
      <c r="O3415" s="51"/>
      <c r="P3415" s="50"/>
      <c r="Q3415" s="50"/>
      <c r="R3415" s="50"/>
      <c r="S3415" s="38"/>
      <c r="T3415" s="38"/>
    </row>
    <row r="3416" spans="1:37" s="3" customFormat="1" thickBot="1">
      <c r="A3416" s="514"/>
      <c r="O3416" s="103"/>
    </row>
    <row r="3417" spans="1:37" s="504" customFormat="1" thickTop="1">
      <c r="A3417" s="50"/>
      <c r="B3417" s="50"/>
      <c r="C3417" s="3"/>
      <c r="D3417" s="3"/>
      <c r="E3417" s="50"/>
      <c r="F3417" s="50"/>
      <c r="G3417" s="50"/>
      <c r="H3417" s="50"/>
      <c r="I3417" s="50"/>
      <c r="J3417" s="50"/>
      <c r="K3417" s="50" t="s">
        <v>133</v>
      </c>
      <c r="L3417" s="50"/>
      <c r="M3417" s="50"/>
      <c r="N3417" s="50"/>
      <c r="O3417" s="51"/>
      <c r="P3417" s="50"/>
      <c r="Q3417" s="50"/>
      <c r="R3417" s="50"/>
      <c r="S3417" s="50"/>
      <c r="T3417" s="50"/>
    </row>
    <row r="3418" spans="1:37" s="504" customFormat="1" ht="12">
      <c r="A3418" s="50"/>
      <c r="B3418" s="50"/>
      <c r="C3418" s="50" t="s">
        <v>134</v>
      </c>
      <c r="D3418" s="37"/>
      <c r="E3418" s="50"/>
      <c r="F3418" s="50"/>
      <c r="G3418" s="50"/>
      <c r="H3418" s="50"/>
      <c r="I3418" s="50"/>
      <c r="J3418" s="50"/>
      <c r="K3418" s="50"/>
      <c r="L3418" s="50"/>
      <c r="M3418" s="50"/>
      <c r="N3418" s="50"/>
      <c r="O3418" s="51"/>
      <c r="P3418" s="50"/>
      <c r="Q3418" s="50"/>
      <c r="R3418" s="50"/>
      <c r="S3418" s="50"/>
      <c r="T3418" s="50"/>
    </row>
    <row r="3419" spans="1:37" s="504" customFormat="1" ht="12">
      <c r="A3419" s="50"/>
      <c r="B3419" s="50"/>
      <c r="C3419" s="50"/>
      <c r="D3419" s="37" t="s">
        <v>332</v>
      </c>
      <c r="E3419" s="50"/>
      <c r="F3419" s="50"/>
      <c r="G3419" s="50"/>
      <c r="H3419" s="50"/>
      <c r="I3419" s="50"/>
      <c r="J3419" s="50"/>
      <c r="K3419" s="50"/>
      <c r="L3419" s="50"/>
      <c r="M3419" s="50"/>
      <c r="N3419" s="50"/>
      <c r="O3419" s="51"/>
      <c r="P3419" s="50"/>
      <c r="Q3419" s="50"/>
      <c r="R3419" s="50"/>
      <c r="S3419" s="38"/>
      <c r="T3419" s="38"/>
    </row>
    <row r="3420" spans="1:37" s="3" customFormat="1" thickBot="1">
      <c r="A3420" s="514"/>
      <c r="O3420" s="103"/>
    </row>
    <row r="3421" spans="1:37" s="504" customFormat="1" thickTop="1">
      <c r="A3421" s="50"/>
      <c r="B3421" s="50"/>
      <c r="C3421" s="3"/>
      <c r="D3421" s="3"/>
      <c r="E3421" s="50"/>
      <c r="F3421" s="50"/>
      <c r="G3421" s="50"/>
      <c r="H3421" s="50"/>
      <c r="I3421" s="50"/>
      <c r="J3421" s="50"/>
      <c r="K3421" s="50" t="s">
        <v>133</v>
      </c>
      <c r="L3421" s="50"/>
      <c r="M3421" s="50"/>
      <c r="N3421" s="50"/>
      <c r="O3421" s="51"/>
      <c r="P3421" s="50"/>
      <c r="Q3421" s="50"/>
      <c r="R3421" s="50"/>
      <c r="S3421" s="50"/>
      <c r="T3421" s="50"/>
    </row>
    <row r="3422" spans="1:37" s="504" customFormat="1" ht="12">
      <c r="A3422" s="50"/>
      <c r="B3422" s="50"/>
      <c r="C3422" s="50" t="s">
        <v>134</v>
      </c>
      <c r="D3422" s="37" t="s">
        <v>895</v>
      </c>
      <c r="E3422" s="50"/>
      <c r="F3422" s="50"/>
      <c r="G3422" s="50"/>
      <c r="H3422" s="50"/>
      <c r="I3422" s="50"/>
      <c r="J3422" s="50"/>
      <c r="K3422" s="50"/>
      <c r="L3422" s="50"/>
      <c r="M3422" s="50"/>
      <c r="N3422" s="50"/>
      <c r="O3422" s="51"/>
      <c r="P3422" s="50"/>
      <c r="Q3422" s="50"/>
      <c r="R3422" s="50"/>
      <c r="S3422" s="50"/>
      <c r="T3422" s="50"/>
    </row>
    <row r="3423" spans="1:37" s="504" customFormat="1" ht="13.2">
      <c r="A3423" s="872"/>
      <c r="B3423"/>
      <c r="C3423" s="872"/>
      <c r="D3423" s="916" t="s">
        <v>839</v>
      </c>
      <c r="E3423" s="917"/>
      <c r="F3423" s="918"/>
      <c r="G3423" s="919"/>
      <c r="H3423" s="918"/>
      <c r="I3423" s="920"/>
      <c r="J3423" s="918"/>
      <c r="K3423" s="918"/>
      <c r="L3423" s="918"/>
      <c r="M3423" s="918"/>
      <c r="N3423" s="918"/>
      <c r="O3423" s="918"/>
      <c r="P3423" s="918"/>
      <c r="Q3423" s="921"/>
      <c r="R3423" s="513"/>
      <c r="S3423" s="881"/>
      <c r="T3423" s="877"/>
    </row>
    <row r="3424" spans="1:37" s="3" customFormat="1" thickBot="1">
      <c r="A3424" s="514"/>
      <c r="O3424" s="103"/>
    </row>
    <row r="3425" spans="1:41" s="504" customFormat="1" ht="12" thickTop="1">
      <c r="A3425" s="50"/>
      <c r="B3425" s="40"/>
      <c r="C3425" s="50"/>
      <c r="E3425" s="41" t="s">
        <v>136</v>
      </c>
      <c r="F3425" s="41" t="s">
        <v>137</v>
      </c>
      <c r="G3425" s="50"/>
      <c r="H3425" s="50"/>
      <c r="I3425" s="50"/>
      <c r="J3425" s="50"/>
      <c r="K3425" s="50" t="s">
        <v>138</v>
      </c>
      <c r="L3425" s="50"/>
      <c r="M3425" s="50"/>
      <c r="N3425" s="50"/>
      <c r="O3425" s="51"/>
      <c r="P3425" s="50"/>
      <c r="Q3425" s="50"/>
      <c r="R3425" s="50"/>
      <c r="S3425" s="50"/>
      <c r="T3425" s="40"/>
      <c r="AG3425" s="867" t="s">
        <v>241</v>
      </c>
      <c r="AH3425" s="867" t="s">
        <v>242</v>
      </c>
      <c r="AI3425" s="867" t="s">
        <v>243</v>
      </c>
      <c r="AJ3425" s="867" t="s">
        <v>244</v>
      </c>
      <c r="AK3425" s="867" t="s">
        <v>245</v>
      </c>
      <c r="AM3425" s="868" t="s">
        <v>254</v>
      </c>
      <c r="AN3425" s="869" t="s">
        <v>255</v>
      </c>
      <c r="AO3425" s="505" t="s">
        <v>251</v>
      </c>
    </row>
    <row r="3426" spans="1:41" s="504" customFormat="1" ht="12" customHeight="1">
      <c r="A3426" s="870">
        <v>1</v>
      </c>
      <c r="B3426" s="871" t="s">
        <v>335</v>
      </c>
      <c r="C3426" s="872"/>
      <c r="D3426" s="873" t="s">
        <v>804</v>
      </c>
      <c r="E3426" s="874">
        <f ca="1">IF(AND($A3426=0,$A$1="DIF"),0, ROUND(ROUND(($R3431*$S$2+($T3431*$T$2))/A3426,2)*$C$2,2))</f>
        <v>57.85</v>
      </c>
      <c r="F3426" s="875">
        <f ca="1">ROUND($A3426*$E3426,2)</f>
        <v>57.85</v>
      </c>
      <c r="G3426" s="876" t="s">
        <v>139</v>
      </c>
      <c r="H3426" s="877"/>
      <c r="I3426" s="878"/>
      <c r="J3426" s="877"/>
      <c r="K3426" s="877" t="s">
        <v>3</v>
      </c>
      <c r="L3426" s="879" t="s">
        <v>140</v>
      </c>
      <c r="M3426" s="879"/>
      <c r="N3426" s="879"/>
      <c r="O3426" s="879"/>
      <c r="P3426" s="879"/>
      <c r="Q3426" s="50"/>
      <c r="T3426" s="880" t="str">
        <f ca="1">IF(AND($R3431=0,$T3431=0),"0.00","mu :" &amp; ROUND($F3426/$C$2/($R3431+$T3431*$D$9),2))</f>
        <v>mu :1.22</v>
      </c>
      <c r="W3426" s="507"/>
      <c r="AG3426" s="465">
        <f ca="1">IF($E3426=0,0,ROUND($R3431*$S$2*$C$2/$A3426,2))</f>
        <v>11.77</v>
      </c>
      <c r="AH3426" s="465">
        <f ca="1">$AG3426*$A3426</f>
        <v>11.77</v>
      </c>
      <c r="AI3426" s="508">
        <f ca="1">$E3426-$AG3426</f>
        <v>46.08</v>
      </c>
      <c r="AJ3426" s="508">
        <f ca="1">$A3426*$AI3426</f>
        <v>46.08</v>
      </c>
      <c r="AK3426" s="509">
        <f ca="1">ROUND(($AG3426+$AI3426)*$A3426,2)</f>
        <v>57.85</v>
      </c>
      <c r="AM3426" s="510">
        <f ca="1">ROUND(R3431,2)</f>
        <v>9.65</v>
      </c>
      <c r="AN3426" s="511">
        <f ca="1">ROUND(T3431,2)</f>
        <v>1.31</v>
      </c>
      <c r="AO3426" s="512">
        <f ca="1">ROUND(AM3426+AN3426,2)*A3426</f>
        <v>10.96</v>
      </c>
    </row>
    <row r="3427" spans="1:41" s="504" customFormat="1" ht="13.2">
      <c r="A3427" s="872"/>
      <c r="B3427"/>
      <c r="C3427" s="872"/>
      <c r="D3427" s="873" t="s">
        <v>334</v>
      </c>
      <c r="F3427" s="877"/>
      <c r="G3427" s="3"/>
      <c r="H3427" s="877"/>
      <c r="I3427" s="878"/>
      <c r="J3427" s="877"/>
      <c r="K3427" s="877" t="s">
        <v>141</v>
      </c>
      <c r="L3427" s="877"/>
      <c r="M3427" s="877"/>
      <c r="N3427" s="877"/>
      <c r="O3427" s="877"/>
      <c r="P3427" s="877"/>
      <c r="Q3427" s="50"/>
      <c r="R3427" s="513"/>
      <c r="S3427" s="881"/>
      <c r="T3427" s="877"/>
    </row>
    <row r="3428" spans="1:41" s="997" customFormat="1" ht="13.2">
      <c r="A3428"/>
      <c r="B3428" s="1065"/>
      <c r="C3428" s="1065" t="s">
        <v>1006</v>
      </c>
      <c r="D3428" s="1065" t="str">
        <f ca="1">CELL("Address",Elec_Rates!D$200)</f>
        <v>[EL25_0662B_Brittania_Hotel_Elec_Revised_Estim_B.xlsx]Elec_Rates!$D$200</v>
      </c>
      <c r="E3428" s="1066"/>
      <c r="F3428" s="1066"/>
      <c r="G3428" s="1067" t="s">
        <v>1007</v>
      </c>
      <c r="H3428" s="1067"/>
      <c r="I3428" s="1067"/>
      <c r="J3428" s="1067"/>
      <c r="K3428" s="1068"/>
      <c r="L3428" s="1066"/>
      <c r="M3428" s="1066"/>
      <c r="N3428" s="1066"/>
      <c r="O3428" s="1069"/>
      <c r="P3428" s="1066"/>
      <c r="Q3428" s="1070"/>
      <c r="R3428" s="1071"/>
      <c r="S3428" s="1070"/>
      <c r="T3428" s="1072"/>
      <c r="U3428" s="1073"/>
    </row>
    <row r="3429" spans="1:41" s="997" customFormat="1" ht="11.4">
      <c r="A3429" s="1074">
        <v>1</v>
      </c>
      <c r="B3429" s="1075">
        <v>1</v>
      </c>
      <c r="C3429" s="1075">
        <f>$A3429*$B3429</f>
        <v>1</v>
      </c>
      <c r="D3429" s="1076" t="str">
        <f>Elec_Rates!$D$200</f>
        <v>019# Lighting point in LSZH Conduit</v>
      </c>
      <c r="E3429" s="1076"/>
      <c r="F3429" s="1076" t="s">
        <v>1293</v>
      </c>
      <c r="G3429" s="1077" t="s">
        <v>1008</v>
      </c>
      <c r="H3429" s="1077"/>
      <c r="I3429" s="1077"/>
      <c r="J3429" s="1077"/>
      <c r="K3429" s="1078"/>
      <c r="L3429" s="1073"/>
      <c r="M3429" s="1073"/>
      <c r="N3429" s="1073"/>
      <c r="O3429" s="1079"/>
      <c r="P3429" s="1076"/>
      <c r="Q3429" s="1080">
        <f ca="1">$B3429*Elec_Rates!$R$200</f>
        <v>9.65</v>
      </c>
      <c r="R3429" s="1071">
        <f ca="1">$A3429*Q3429</f>
        <v>9.65</v>
      </c>
      <c r="S3429" s="1080">
        <f ca="1">$B3429*Elec_Rates!$T$200</f>
        <v>1.31</v>
      </c>
      <c r="T3429" s="1072">
        <f ca="1">$A3429*S3429</f>
        <v>1.31</v>
      </c>
      <c r="U3429" s="1081"/>
    </row>
    <row r="3430" spans="1:41" s="504" customFormat="1" ht="12">
      <c r="A3430" s="882"/>
      <c r="B3430" s="882"/>
      <c r="C3430" s="882"/>
      <c r="D3430" s="882"/>
      <c r="E3430" s="882"/>
      <c r="F3430" s="877"/>
      <c r="G3430" s="882"/>
      <c r="H3430" s="882"/>
      <c r="I3430" s="503"/>
      <c r="J3430" s="882"/>
      <c r="K3430" s="882"/>
      <c r="L3430" s="882"/>
      <c r="M3430" s="882"/>
      <c r="N3430" s="882"/>
      <c r="O3430" s="882"/>
      <c r="P3430" s="882"/>
      <c r="Q3430" s="503"/>
      <c r="R3430" s="883">
        <f>$A3430*Q3430</f>
        <v>0</v>
      </c>
      <c r="S3430" s="503"/>
      <c r="T3430" s="884">
        <f>$A3430*S3430*$T$1</f>
        <v>0</v>
      </c>
    </row>
    <row r="3431" spans="1:41" s="504" customFormat="1" ht="12.6" thickBot="1">
      <c r="A3431" s="885" t="s">
        <v>142</v>
      </c>
      <c r="B3431" s="886">
        <f>(R3430+T3430)</f>
        <v>0</v>
      </c>
      <c r="C3431" s="887"/>
      <c r="D3431" s="887"/>
      <c r="E3431" s="887"/>
      <c r="F3431" s="888"/>
      <c r="G3431" s="887" t="s">
        <v>143</v>
      </c>
      <c r="H3431" s="887"/>
      <c r="I3431" s="889"/>
      <c r="J3431" s="887"/>
      <c r="K3431" s="887" t="s">
        <v>3</v>
      </c>
      <c r="L3431" s="890" t="s">
        <v>140</v>
      </c>
      <c r="M3431" s="890"/>
      <c r="N3431" s="890"/>
      <c r="O3431" s="890"/>
      <c r="P3431" s="890"/>
      <c r="Q3431" s="891"/>
      <c r="R3431" s="892">
        <f ca="1">SUM(R3427:R3430)</f>
        <v>9.65</v>
      </c>
      <c r="S3431" s="887"/>
      <c r="T3431" s="892">
        <f ca="1">SUM(T3427:T3430)</f>
        <v>1.31</v>
      </c>
      <c r="U3431" s="514"/>
      <c r="V3431" s="514"/>
      <c r="W3431" s="514"/>
      <c r="X3431" s="514"/>
      <c r="Y3431" s="514"/>
      <c r="Z3431" s="514"/>
      <c r="AA3431" s="514"/>
      <c r="AB3431" s="514"/>
      <c r="AC3431" s="514"/>
      <c r="AD3431" s="514"/>
      <c r="AE3431" s="514"/>
      <c r="AF3431" s="514"/>
      <c r="AG3431" s="514"/>
      <c r="AH3431" s="514"/>
      <c r="AI3431" s="514"/>
      <c r="AJ3431" s="514"/>
      <c r="AK3431" s="514"/>
      <c r="AL3431" s="514"/>
      <c r="AM3431" s="514"/>
      <c r="AN3431" s="514"/>
      <c r="AO3431" s="514"/>
    </row>
    <row r="3432" spans="1:41" s="504" customFormat="1" ht="12" thickTop="1">
      <c r="A3432" s="50"/>
      <c r="B3432" s="40"/>
      <c r="C3432" s="50"/>
      <c r="E3432" s="41" t="s">
        <v>136</v>
      </c>
      <c r="F3432" s="41" t="s">
        <v>137</v>
      </c>
      <c r="G3432" s="50"/>
      <c r="H3432" s="50"/>
      <c r="I3432" s="50"/>
      <c r="J3432" s="50"/>
      <c r="K3432" s="50" t="s">
        <v>138</v>
      </c>
      <c r="L3432" s="50"/>
      <c r="M3432" s="50"/>
      <c r="N3432" s="50"/>
      <c r="O3432" s="51"/>
      <c r="P3432" s="50"/>
      <c r="Q3432" s="50"/>
      <c r="R3432" s="50"/>
      <c r="S3432" s="50"/>
      <c r="T3432" s="40"/>
      <c r="AG3432" s="867" t="s">
        <v>241</v>
      </c>
      <c r="AH3432" s="867" t="s">
        <v>242</v>
      </c>
      <c r="AI3432" s="867" t="s">
        <v>243</v>
      </c>
      <c r="AJ3432" s="867" t="s">
        <v>244</v>
      </c>
      <c r="AK3432" s="867" t="s">
        <v>245</v>
      </c>
      <c r="AM3432" s="868" t="s">
        <v>254</v>
      </c>
      <c r="AN3432" s="869" t="s">
        <v>255</v>
      </c>
      <c r="AO3432" s="505" t="s">
        <v>251</v>
      </c>
    </row>
    <row r="3433" spans="1:41" s="504" customFormat="1" ht="12" customHeight="1">
      <c r="A3433" s="870">
        <v>2</v>
      </c>
      <c r="B3433" s="871" t="s">
        <v>335</v>
      </c>
      <c r="C3433" s="872"/>
      <c r="D3433" s="873" t="s">
        <v>806</v>
      </c>
      <c r="E3433" s="874">
        <f ca="1">IF(AND($A3433=0,$A$1="DIF"),0, ROUND(ROUND(($R3438*$S$2+($T3438*$T$2))/A3433,2)*$C$2,2))</f>
        <v>86.78</v>
      </c>
      <c r="F3433" s="875">
        <f ca="1">ROUND($A3433*$E3433,2)</f>
        <v>173.56</v>
      </c>
      <c r="G3433" s="876" t="s">
        <v>139</v>
      </c>
      <c r="H3433" s="877"/>
      <c r="I3433" s="878"/>
      <c r="J3433" s="877"/>
      <c r="K3433" s="877" t="s">
        <v>3</v>
      </c>
      <c r="L3433" s="879" t="s">
        <v>140</v>
      </c>
      <c r="M3433" s="879"/>
      <c r="N3433" s="879"/>
      <c r="O3433" s="879"/>
      <c r="P3433" s="879"/>
      <c r="Q3433" s="50"/>
      <c r="T3433" s="880" t="str">
        <f ca="1">IF(AND($R3438=0,$T3438=0),"0.00","mu :" &amp; ROUND($F3433/$C$2/($R3438+$T3438*$D$9),2))</f>
        <v>mu :1.22</v>
      </c>
      <c r="W3433" s="507"/>
      <c r="AG3433" s="465">
        <f ca="1">IF($E3433=0,0,ROUND($R3438*$S$2*$C$2/$A3433,2))</f>
        <v>17.66</v>
      </c>
      <c r="AH3433" s="465">
        <f ca="1">$AG3433*$A3433</f>
        <v>35.32</v>
      </c>
      <c r="AI3433" s="508">
        <f ca="1">$E3433-$AG3433</f>
        <v>69.12</v>
      </c>
      <c r="AJ3433" s="508">
        <f ca="1">$A3433*$AI3433</f>
        <v>138.24</v>
      </c>
      <c r="AK3433" s="509">
        <f ca="1">ROUND(($AG3433+$AI3433)*$A3433,2)</f>
        <v>173.56</v>
      </c>
      <c r="AM3433" s="510">
        <f ca="1">ROUND(R3438,2)</f>
        <v>28.95</v>
      </c>
      <c r="AN3433" s="511">
        <f ca="1">ROUND(T3438,2)</f>
        <v>3.93</v>
      </c>
      <c r="AO3433" s="512">
        <f ca="1">ROUND(AM3433+AN3433,2)*A3433</f>
        <v>65.760000000000005</v>
      </c>
    </row>
    <row r="3434" spans="1:41" s="504" customFormat="1" ht="13.2">
      <c r="A3434" s="872"/>
      <c r="B3434"/>
      <c r="C3434" s="872"/>
      <c r="D3434" s="873" t="s">
        <v>401</v>
      </c>
      <c r="F3434" s="877"/>
      <c r="G3434" s="3"/>
      <c r="H3434" s="877"/>
      <c r="I3434" s="878"/>
      <c r="J3434" s="877"/>
      <c r="K3434" s="877" t="s">
        <v>141</v>
      </c>
      <c r="L3434" s="877"/>
      <c r="M3434" s="877"/>
      <c r="N3434" s="877"/>
      <c r="O3434" s="877"/>
      <c r="P3434" s="877"/>
      <c r="Q3434" s="50"/>
      <c r="R3434" s="513"/>
      <c r="S3434" s="881"/>
      <c r="T3434" s="877"/>
    </row>
    <row r="3435" spans="1:41" s="997" customFormat="1" ht="13.2">
      <c r="A3435"/>
      <c r="B3435" s="1065"/>
      <c r="C3435" s="1065" t="s">
        <v>1006</v>
      </c>
      <c r="D3435" s="1065" t="str">
        <f ca="1">CELL("Address",Elec_Rates!D$200)</f>
        <v>[EL25_0662B_Brittania_Hotel_Elec_Revised_Estim_B.xlsx]Elec_Rates!$D$200</v>
      </c>
      <c r="E3435" s="1066"/>
      <c r="F3435" s="1066"/>
      <c r="G3435" s="1067" t="s">
        <v>1007</v>
      </c>
      <c r="H3435" s="1067"/>
      <c r="I3435" s="1067"/>
      <c r="J3435" s="1067"/>
      <c r="K3435" s="1068"/>
      <c r="L3435" s="1066"/>
      <c r="M3435" s="1066"/>
      <c r="N3435" s="1066"/>
      <c r="O3435" s="1069"/>
      <c r="P3435" s="1066"/>
      <c r="Q3435" s="1070"/>
      <c r="R3435" s="1071"/>
      <c r="S3435" s="1070"/>
      <c r="T3435" s="1072"/>
      <c r="U3435" s="1073"/>
    </row>
    <row r="3436" spans="1:41" s="997" customFormat="1" ht="11.4">
      <c r="A3436" s="1074">
        <v>2</v>
      </c>
      <c r="B3436" s="1075">
        <v>1.5</v>
      </c>
      <c r="C3436" s="1075">
        <f>$A3436*$B3436</f>
        <v>3</v>
      </c>
      <c r="D3436" s="1076" t="str">
        <f>Elec_Rates!$D$200</f>
        <v>019# Lighting point in LSZH Conduit</v>
      </c>
      <c r="E3436" s="1076"/>
      <c r="F3436" s="1076" t="s">
        <v>1294</v>
      </c>
      <c r="G3436" s="1077" t="s">
        <v>1008</v>
      </c>
      <c r="H3436" s="1077"/>
      <c r="I3436" s="1077"/>
      <c r="J3436" s="1077"/>
      <c r="K3436" s="1078"/>
      <c r="L3436" s="1073"/>
      <c r="M3436" s="1073"/>
      <c r="N3436" s="1073"/>
      <c r="O3436" s="1079"/>
      <c r="P3436" s="1076"/>
      <c r="Q3436" s="1080">
        <f ca="1">$B3436*Elec_Rates!$R$200</f>
        <v>14.475000000000001</v>
      </c>
      <c r="R3436" s="1071">
        <f ca="1">$A3436*Q3436</f>
        <v>28.950000000000003</v>
      </c>
      <c r="S3436" s="1080">
        <f ca="1">$B3436*Elec_Rates!$T$200</f>
        <v>1.9650000000000001</v>
      </c>
      <c r="T3436" s="1072">
        <f ca="1">$A3436*S3436</f>
        <v>3.93</v>
      </c>
      <c r="U3436" s="1081"/>
    </row>
    <row r="3437" spans="1:41" s="504" customFormat="1" ht="12">
      <c r="A3437" s="882"/>
      <c r="B3437" s="882"/>
      <c r="C3437" s="882"/>
      <c r="D3437" s="882"/>
      <c r="E3437" s="882"/>
      <c r="F3437" s="877"/>
      <c r="G3437" s="882"/>
      <c r="H3437" s="882"/>
      <c r="I3437" s="503"/>
      <c r="J3437" s="882"/>
      <c r="K3437" s="882"/>
      <c r="L3437" s="882"/>
      <c r="M3437" s="882"/>
      <c r="N3437" s="882"/>
      <c r="O3437" s="882"/>
      <c r="P3437" s="882"/>
      <c r="Q3437" s="503"/>
      <c r="R3437" s="883">
        <f>$A3437*Q3437</f>
        <v>0</v>
      </c>
      <c r="S3437" s="503"/>
      <c r="T3437" s="884">
        <f>$A3437*S3437*$T$1</f>
        <v>0</v>
      </c>
    </row>
    <row r="3438" spans="1:41" s="504" customFormat="1" ht="12.6" thickBot="1">
      <c r="A3438" s="885" t="s">
        <v>142</v>
      </c>
      <c r="B3438" s="886">
        <f>(R3437+T3437)</f>
        <v>0</v>
      </c>
      <c r="C3438" s="887"/>
      <c r="D3438" s="887"/>
      <c r="E3438" s="887"/>
      <c r="F3438" s="888"/>
      <c r="G3438" s="887" t="s">
        <v>143</v>
      </c>
      <c r="H3438" s="887"/>
      <c r="I3438" s="889"/>
      <c r="J3438" s="887"/>
      <c r="K3438" s="887" t="s">
        <v>3</v>
      </c>
      <c r="L3438" s="890" t="s">
        <v>140</v>
      </c>
      <c r="M3438" s="890"/>
      <c r="N3438" s="890"/>
      <c r="O3438" s="890"/>
      <c r="P3438" s="890"/>
      <c r="Q3438" s="891"/>
      <c r="R3438" s="892">
        <f ca="1">SUM(R3434:R3437)</f>
        <v>28.950000000000003</v>
      </c>
      <c r="S3438" s="887"/>
      <c r="T3438" s="892">
        <f ca="1">SUM(T3434:T3437)</f>
        <v>3.93</v>
      </c>
      <c r="U3438" s="514"/>
      <c r="V3438" s="514"/>
      <c r="W3438" s="514"/>
      <c r="X3438" s="514"/>
      <c r="Y3438" s="514"/>
      <c r="Z3438" s="514"/>
      <c r="AA3438" s="514"/>
      <c r="AB3438" s="514"/>
      <c r="AC3438" s="514"/>
      <c r="AD3438" s="514"/>
      <c r="AE3438" s="514"/>
      <c r="AF3438" s="514"/>
      <c r="AG3438" s="514"/>
      <c r="AH3438" s="514"/>
      <c r="AI3438" s="514"/>
      <c r="AJ3438" s="514"/>
      <c r="AK3438" s="514"/>
      <c r="AL3438" s="514"/>
      <c r="AM3438" s="514"/>
      <c r="AN3438" s="514"/>
      <c r="AO3438" s="514"/>
    </row>
    <row r="3439" spans="1:41" s="504" customFormat="1" ht="12" thickTop="1">
      <c r="A3439" s="50"/>
      <c r="B3439" s="40"/>
      <c r="C3439" s="50"/>
      <c r="E3439" s="41" t="s">
        <v>136</v>
      </c>
      <c r="F3439" s="41" t="s">
        <v>137</v>
      </c>
      <c r="G3439" s="50"/>
      <c r="H3439" s="50"/>
      <c r="I3439" s="50"/>
      <c r="J3439" s="50"/>
      <c r="K3439" s="50" t="s">
        <v>138</v>
      </c>
      <c r="L3439" s="50"/>
      <c r="M3439" s="50"/>
      <c r="N3439" s="50"/>
      <c r="O3439" s="51"/>
      <c r="P3439" s="50"/>
      <c r="Q3439" s="50"/>
      <c r="R3439" s="50"/>
      <c r="S3439" s="50"/>
      <c r="T3439" s="40"/>
      <c r="AG3439" s="867" t="s">
        <v>241</v>
      </c>
      <c r="AH3439" s="867" t="s">
        <v>242</v>
      </c>
      <c r="AI3439" s="867" t="s">
        <v>243</v>
      </c>
      <c r="AJ3439" s="867" t="s">
        <v>244</v>
      </c>
      <c r="AK3439" s="867" t="s">
        <v>245</v>
      </c>
      <c r="AM3439" s="868" t="s">
        <v>254</v>
      </c>
      <c r="AN3439" s="869" t="s">
        <v>255</v>
      </c>
      <c r="AO3439" s="505" t="s">
        <v>251</v>
      </c>
    </row>
    <row r="3440" spans="1:41" s="504" customFormat="1" ht="12" customHeight="1">
      <c r="A3440" s="870">
        <v>2</v>
      </c>
      <c r="B3440" s="871" t="s">
        <v>335</v>
      </c>
      <c r="C3440" s="872"/>
      <c r="D3440" s="873" t="s">
        <v>808</v>
      </c>
      <c r="E3440" s="874">
        <f ca="1">IF(AND($A3440=0,$A$1="DIF"),0, ROUND(ROUND(($R3445*$S$2+($T3445*$T$2))/A3440,2)*$C$2,2))</f>
        <v>144.63</v>
      </c>
      <c r="F3440" s="875">
        <f ca="1">ROUND($A3440*$E3440,2)</f>
        <v>289.26</v>
      </c>
      <c r="G3440" s="876" t="s">
        <v>139</v>
      </c>
      <c r="H3440" s="877"/>
      <c r="I3440" s="878"/>
      <c r="J3440" s="877"/>
      <c r="K3440" s="877" t="s">
        <v>3</v>
      </c>
      <c r="L3440" s="879" t="s">
        <v>140</v>
      </c>
      <c r="M3440" s="879"/>
      <c r="N3440" s="879"/>
      <c r="O3440" s="879"/>
      <c r="P3440" s="879"/>
      <c r="Q3440" s="50"/>
      <c r="T3440" s="880" t="str">
        <f ca="1">IF(AND($R3445=0,$T3445=0),"0.00","mu :" &amp; ROUND($F3440/$C$2/($R3445+$T3445*$D$9),2))</f>
        <v>mu :1.22</v>
      </c>
      <c r="W3440" s="507"/>
      <c r="AG3440" s="465">
        <f ca="1">IF($E3440=0,0,ROUND($R3445*$S$2*$C$2/$A3440,2))</f>
        <v>29.43</v>
      </c>
      <c r="AH3440" s="465">
        <f ca="1">$AG3440*$A3440</f>
        <v>58.86</v>
      </c>
      <c r="AI3440" s="508">
        <f ca="1">$E3440-$AG3440</f>
        <v>115.19999999999999</v>
      </c>
      <c r="AJ3440" s="508">
        <f ca="1">$A3440*$AI3440</f>
        <v>230.39999999999998</v>
      </c>
      <c r="AK3440" s="509">
        <f ca="1">ROUND(($AG3440+$AI3440)*$A3440,2)</f>
        <v>289.26</v>
      </c>
      <c r="AM3440" s="510">
        <f ca="1">ROUND(R3445,2)</f>
        <v>48.25</v>
      </c>
      <c r="AN3440" s="511">
        <f ca="1">ROUND(T3445,2)</f>
        <v>6.55</v>
      </c>
      <c r="AO3440" s="512">
        <f ca="1">ROUND(AM3440+AN3440,2)*A3440</f>
        <v>109.6</v>
      </c>
    </row>
    <row r="3441" spans="1:41" s="504" customFormat="1" ht="13.2">
      <c r="A3441" s="872"/>
      <c r="B3441"/>
      <c r="C3441" s="872"/>
      <c r="D3441" s="873" t="s">
        <v>463</v>
      </c>
      <c r="F3441" s="877"/>
      <c r="G3441" s="3"/>
      <c r="H3441" s="877"/>
      <c r="I3441" s="878"/>
      <c r="J3441" s="877"/>
      <c r="K3441" s="877" t="s">
        <v>141</v>
      </c>
      <c r="L3441" s="877"/>
      <c r="M3441" s="877"/>
      <c r="N3441" s="877"/>
      <c r="O3441" s="877"/>
      <c r="P3441" s="877"/>
      <c r="Q3441" s="50"/>
      <c r="R3441" s="513"/>
      <c r="S3441" s="881"/>
      <c r="T3441" s="877"/>
    </row>
    <row r="3442" spans="1:41" s="997" customFormat="1" ht="13.2">
      <c r="A3442"/>
      <c r="B3442" s="1065"/>
      <c r="C3442" s="1065" t="s">
        <v>1006</v>
      </c>
      <c r="D3442" s="1065" t="str">
        <f ca="1">CELL("Address",Elec_Rates!D$200)</f>
        <v>[EL25_0662B_Brittania_Hotel_Elec_Revised_Estim_B.xlsx]Elec_Rates!$D$200</v>
      </c>
      <c r="E3442" s="1066"/>
      <c r="F3442" s="1066"/>
      <c r="G3442" s="1067" t="s">
        <v>1007</v>
      </c>
      <c r="H3442" s="1067"/>
      <c r="I3442" s="1067"/>
      <c r="J3442" s="1067"/>
      <c r="K3442" s="1068"/>
      <c r="L3442" s="1066"/>
      <c r="M3442" s="1066"/>
      <c r="N3442" s="1066"/>
      <c r="O3442" s="1069"/>
      <c r="P3442" s="1066"/>
      <c r="Q3442" s="1070"/>
      <c r="R3442" s="1071"/>
      <c r="S3442" s="1070"/>
      <c r="T3442" s="1072"/>
      <c r="U3442" s="1073"/>
    </row>
    <row r="3443" spans="1:41" s="997" customFormat="1" ht="11.4">
      <c r="A3443" s="1074">
        <v>2</v>
      </c>
      <c r="B3443" s="1075">
        <v>2.5</v>
      </c>
      <c r="C3443" s="1075">
        <f>$A3443*$B3443</f>
        <v>5</v>
      </c>
      <c r="D3443" s="1076" t="str">
        <f>Elec_Rates!$D$200</f>
        <v>019# Lighting point in LSZH Conduit</v>
      </c>
      <c r="E3443" s="1076"/>
      <c r="F3443" s="1076" t="s">
        <v>1356</v>
      </c>
      <c r="G3443" s="1077" t="s">
        <v>1008</v>
      </c>
      <c r="H3443" s="1077"/>
      <c r="I3443" s="1077"/>
      <c r="J3443" s="1077"/>
      <c r="K3443" s="1078"/>
      <c r="L3443" s="1073"/>
      <c r="M3443" s="1073"/>
      <c r="N3443" s="1073"/>
      <c r="O3443" s="1079"/>
      <c r="P3443" s="1076"/>
      <c r="Q3443" s="1080">
        <f ca="1">$B3443*Elec_Rates!$R$200</f>
        <v>24.125</v>
      </c>
      <c r="R3443" s="1071">
        <f ca="1">$A3443*Q3443</f>
        <v>48.25</v>
      </c>
      <c r="S3443" s="1080">
        <f ca="1">$B3443*Elec_Rates!$T$200</f>
        <v>3.2750000000000004</v>
      </c>
      <c r="T3443" s="1072">
        <f ca="1">$A3443*S3443</f>
        <v>6.5500000000000007</v>
      </c>
      <c r="U3443" s="1081"/>
    </row>
    <row r="3444" spans="1:41" s="504" customFormat="1" ht="12">
      <c r="A3444" s="882"/>
      <c r="B3444" s="882"/>
      <c r="C3444" s="882"/>
      <c r="D3444" s="882"/>
      <c r="E3444" s="882"/>
      <c r="F3444" s="877"/>
      <c r="G3444" s="882"/>
      <c r="H3444" s="882"/>
      <c r="I3444" s="503"/>
      <c r="J3444" s="882"/>
      <c r="K3444" s="882"/>
      <c r="L3444" s="882"/>
      <c r="M3444" s="882"/>
      <c r="N3444" s="882"/>
      <c r="O3444" s="882"/>
      <c r="P3444" s="882"/>
      <c r="Q3444" s="503"/>
      <c r="R3444" s="883">
        <f>$A3444*Q3444</f>
        <v>0</v>
      </c>
      <c r="S3444" s="503"/>
      <c r="T3444" s="884">
        <f>$A3444*S3444*$T$1</f>
        <v>0</v>
      </c>
    </row>
    <row r="3445" spans="1:41" s="504" customFormat="1" ht="12.6" thickBot="1">
      <c r="A3445" s="885" t="s">
        <v>142</v>
      </c>
      <c r="B3445" s="886">
        <f>(R3444+T3444)</f>
        <v>0</v>
      </c>
      <c r="C3445" s="887"/>
      <c r="D3445" s="887"/>
      <c r="E3445" s="887"/>
      <c r="F3445" s="888"/>
      <c r="G3445" s="887" t="s">
        <v>143</v>
      </c>
      <c r="H3445" s="887"/>
      <c r="I3445" s="889"/>
      <c r="J3445" s="887"/>
      <c r="K3445" s="887" t="s">
        <v>3</v>
      </c>
      <c r="L3445" s="890" t="s">
        <v>140</v>
      </c>
      <c r="M3445" s="890"/>
      <c r="N3445" s="890"/>
      <c r="O3445" s="890"/>
      <c r="P3445" s="890"/>
      <c r="Q3445" s="891"/>
      <c r="R3445" s="892">
        <f ca="1">SUM(R3441:R3444)</f>
        <v>48.25</v>
      </c>
      <c r="S3445" s="887"/>
      <c r="T3445" s="892">
        <f ca="1">SUM(T3441:T3444)</f>
        <v>6.5500000000000007</v>
      </c>
      <c r="U3445" s="514"/>
      <c r="V3445" s="514"/>
      <c r="W3445" s="514"/>
      <c r="X3445" s="514"/>
      <c r="Y3445" s="514"/>
      <c r="Z3445" s="514"/>
      <c r="AA3445" s="514"/>
      <c r="AB3445" s="514"/>
      <c r="AC3445" s="514"/>
      <c r="AD3445" s="514"/>
      <c r="AE3445" s="514"/>
      <c r="AF3445" s="514"/>
      <c r="AG3445" s="514"/>
      <c r="AH3445" s="514"/>
      <c r="AI3445" s="514"/>
      <c r="AJ3445" s="514"/>
      <c r="AK3445" s="514"/>
      <c r="AL3445" s="514"/>
      <c r="AM3445" s="514"/>
      <c r="AN3445" s="514"/>
      <c r="AO3445" s="514"/>
    </row>
    <row r="3446" spans="1:41" s="504" customFormat="1" ht="12" thickTop="1">
      <c r="A3446" s="50"/>
      <c r="B3446" s="40"/>
      <c r="C3446" s="50"/>
      <c r="E3446" s="41" t="s">
        <v>136</v>
      </c>
      <c r="F3446" s="41" t="s">
        <v>137</v>
      </c>
      <c r="G3446" s="50"/>
      <c r="H3446" s="50"/>
      <c r="I3446" s="50"/>
      <c r="J3446" s="50"/>
      <c r="K3446" s="50" t="s">
        <v>138</v>
      </c>
      <c r="L3446" s="50"/>
      <c r="M3446" s="50"/>
      <c r="N3446" s="50"/>
      <c r="O3446" s="51"/>
      <c r="P3446" s="50"/>
      <c r="Q3446" s="50"/>
      <c r="R3446" s="50"/>
      <c r="S3446" s="50"/>
      <c r="T3446" s="40"/>
      <c r="AG3446" s="867" t="s">
        <v>241</v>
      </c>
      <c r="AH3446" s="867" t="s">
        <v>242</v>
      </c>
      <c r="AI3446" s="867" t="s">
        <v>243</v>
      </c>
      <c r="AJ3446" s="867" t="s">
        <v>244</v>
      </c>
      <c r="AK3446" s="867" t="s">
        <v>245</v>
      </c>
      <c r="AM3446" s="868" t="s">
        <v>254</v>
      </c>
      <c r="AN3446" s="869" t="s">
        <v>255</v>
      </c>
      <c r="AO3446" s="505" t="s">
        <v>251</v>
      </c>
    </row>
    <row r="3447" spans="1:41" s="504" customFormat="1" ht="12" customHeight="1">
      <c r="A3447" s="870">
        <v>1</v>
      </c>
      <c r="B3447" s="871" t="s">
        <v>335</v>
      </c>
      <c r="C3447" s="872"/>
      <c r="D3447" s="873" t="s">
        <v>810</v>
      </c>
      <c r="E3447" s="874">
        <f ca="1">IF(AND($A3447=0,$A$1="DIF"),0, ROUND(ROUND(($R3452*$S$2+($T3452*$T$2))/A3447,2)*$C$2,2))</f>
        <v>173.56</v>
      </c>
      <c r="F3447" s="875">
        <f ca="1">ROUND($A3447*$E3447,2)</f>
        <v>173.56</v>
      </c>
      <c r="G3447" s="876" t="s">
        <v>139</v>
      </c>
      <c r="H3447" s="877"/>
      <c r="I3447" s="878"/>
      <c r="J3447" s="877"/>
      <c r="K3447" s="877" t="s">
        <v>3</v>
      </c>
      <c r="L3447" s="879" t="s">
        <v>140</v>
      </c>
      <c r="M3447" s="879"/>
      <c r="N3447" s="879"/>
      <c r="O3447" s="879"/>
      <c r="P3447" s="879"/>
      <c r="Q3447" s="50"/>
      <c r="T3447" s="880" t="str">
        <f ca="1">IF(AND($R3452=0,$T3452=0),"0.00","mu :" &amp; ROUND($F3447/$C$2/($R3452+$T3452*$D$9),2))</f>
        <v>mu :1.22</v>
      </c>
      <c r="W3447" s="507"/>
      <c r="AG3447" s="465">
        <f ca="1">IF($E3447=0,0,ROUND($R3452*$S$2*$C$2/$A3447,2))</f>
        <v>35.32</v>
      </c>
      <c r="AH3447" s="465">
        <f ca="1">$AG3447*$A3447</f>
        <v>35.32</v>
      </c>
      <c r="AI3447" s="508">
        <f ca="1">$E3447-$AG3447</f>
        <v>138.24</v>
      </c>
      <c r="AJ3447" s="508">
        <f ca="1">$A3447*$AI3447</f>
        <v>138.24</v>
      </c>
      <c r="AK3447" s="509">
        <f ca="1">ROUND(($AG3447+$AI3447)*$A3447,2)</f>
        <v>173.56</v>
      </c>
      <c r="AM3447" s="510">
        <f ca="1">ROUND(R3452,2)</f>
        <v>28.95</v>
      </c>
      <c r="AN3447" s="511">
        <f ca="1">ROUND(T3452,2)</f>
        <v>3.93</v>
      </c>
      <c r="AO3447" s="512">
        <f ca="1">ROUND(AM3447+AN3447,2)*A3447</f>
        <v>32.880000000000003</v>
      </c>
    </row>
    <row r="3448" spans="1:41" s="504" customFormat="1" ht="13.2">
      <c r="A3448" s="872"/>
      <c r="B3448"/>
      <c r="C3448" s="872"/>
      <c r="D3448" s="873" t="s">
        <v>464</v>
      </c>
      <c r="F3448" s="877"/>
      <c r="G3448" s="3"/>
      <c r="H3448" s="877"/>
      <c r="I3448" s="878"/>
      <c r="J3448" s="877"/>
      <c r="K3448" s="877" t="s">
        <v>141</v>
      </c>
      <c r="L3448" s="877"/>
      <c r="M3448" s="877"/>
      <c r="N3448" s="877"/>
      <c r="O3448" s="877"/>
      <c r="P3448" s="877"/>
      <c r="Q3448" s="50"/>
      <c r="R3448" s="513"/>
      <c r="S3448" s="881"/>
      <c r="T3448" s="877"/>
    </row>
    <row r="3449" spans="1:41" s="997" customFormat="1" ht="13.2">
      <c r="A3449"/>
      <c r="B3449" s="1065"/>
      <c r="C3449" s="1065" t="s">
        <v>1006</v>
      </c>
      <c r="D3449" s="1065" t="str">
        <f ca="1">CELL("Address",Elec_Rates!D$200)</f>
        <v>[EL25_0662B_Brittania_Hotel_Elec_Revised_Estim_B.xlsx]Elec_Rates!$D$200</v>
      </c>
      <c r="E3449" s="1066"/>
      <c r="F3449" s="1066"/>
      <c r="G3449" s="1067" t="s">
        <v>1007</v>
      </c>
      <c r="H3449" s="1067"/>
      <c r="I3449" s="1067"/>
      <c r="J3449" s="1067"/>
      <c r="K3449" s="1068"/>
      <c r="L3449" s="1066"/>
      <c r="M3449" s="1066"/>
      <c r="N3449" s="1066"/>
      <c r="O3449" s="1069"/>
      <c r="P3449" s="1066"/>
      <c r="Q3449" s="1070"/>
      <c r="R3449" s="1071"/>
      <c r="S3449" s="1070"/>
      <c r="T3449" s="1072"/>
      <c r="U3449" s="1073"/>
    </row>
    <row r="3450" spans="1:41" s="997" customFormat="1" ht="11.4">
      <c r="A3450" s="1074">
        <v>1</v>
      </c>
      <c r="B3450" s="1075">
        <v>3</v>
      </c>
      <c r="C3450" s="1075">
        <f>$A3450*$B3450</f>
        <v>3</v>
      </c>
      <c r="D3450" s="1076" t="str">
        <f>Elec_Rates!$D$200</f>
        <v>019# Lighting point in LSZH Conduit</v>
      </c>
      <c r="E3450" s="1076"/>
      <c r="F3450" s="1076" t="s">
        <v>1357</v>
      </c>
      <c r="G3450" s="1077" t="s">
        <v>1008</v>
      </c>
      <c r="H3450" s="1077"/>
      <c r="I3450" s="1077"/>
      <c r="J3450" s="1077"/>
      <c r="K3450" s="1078"/>
      <c r="L3450" s="1073"/>
      <c r="M3450" s="1073"/>
      <c r="N3450" s="1073"/>
      <c r="O3450" s="1079"/>
      <c r="P3450" s="1076"/>
      <c r="Q3450" s="1080">
        <f ca="1">$B3450*Elec_Rates!$R$200</f>
        <v>28.950000000000003</v>
      </c>
      <c r="R3450" s="1071">
        <f ca="1">$A3450*Q3450</f>
        <v>28.950000000000003</v>
      </c>
      <c r="S3450" s="1080">
        <f ca="1">$B3450*Elec_Rates!$T$200</f>
        <v>3.93</v>
      </c>
      <c r="T3450" s="1072">
        <f ca="1">$A3450*S3450</f>
        <v>3.93</v>
      </c>
      <c r="U3450" s="1081"/>
    </row>
    <row r="3451" spans="1:41" s="504" customFormat="1" ht="12">
      <c r="A3451" s="882"/>
      <c r="B3451" s="882"/>
      <c r="C3451" s="882"/>
      <c r="D3451" s="882"/>
      <c r="E3451" s="882"/>
      <c r="F3451" s="877"/>
      <c r="G3451" s="882"/>
      <c r="H3451" s="882"/>
      <c r="I3451" s="503"/>
      <c r="J3451" s="882"/>
      <c r="K3451" s="882"/>
      <c r="L3451" s="882"/>
      <c r="M3451" s="882"/>
      <c r="N3451" s="882"/>
      <c r="O3451" s="882"/>
      <c r="P3451" s="882"/>
      <c r="Q3451" s="503"/>
      <c r="R3451" s="883">
        <f>$A3451*Q3451</f>
        <v>0</v>
      </c>
      <c r="S3451" s="503"/>
      <c r="T3451" s="884">
        <f>$A3451*S3451*$T$1</f>
        <v>0</v>
      </c>
    </row>
    <row r="3452" spans="1:41" s="504" customFormat="1" ht="12.6" thickBot="1">
      <c r="A3452" s="885" t="s">
        <v>142</v>
      </c>
      <c r="B3452" s="886">
        <f>(R3451+T3451)</f>
        <v>0</v>
      </c>
      <c r="C3452" s="887"/>
      <c r="D3452" s="887"/>
      <c r="E3452" s="887"/>
      <c r="F3452" s="888"/>
      <c r="G3452" s="887" t="s">
        <v>143</v>
      </c>
      <c r="H3452" s="887"/>
      <c r="I3452" s="889"/>
      <c r="J3452" s="887"/>
      <c r="K3452" s="887" t="s">
        <v>3</v>
      </c>
      <c r="L3452" s="890" t="s">
        <v>140</v>
      </c>
      <c r="M3452" s="890"/>
      <c r="N3452" s="890"/>
      <c r="O3452" s="890"/>
      <c r="P3452" s="890"/>
      <c r="Q3452" s="891"/>
      <c r="R3452" s="892">
        <f ca="1">SUM(R3448:R3451)</f>
        <v>28.950000000000003</v>
      </c>
      <c r="S3452" s="887"/>
      <c r="T3452" s="892">
        <f ca="1">SUM(T3448:T3451)</f>
        <v>3.93</v>
      </c>
      <c r="U3452" s="514"/>
      <c r="V3452" s="514"/>
      <c r="W3452" s="514"/>
      <c r="X3452" s="514"/>
      <c r="Y3452" s="514"/>
      <c r="Z3452" s="514"/>
      <c r="AA3452" s="514"/>
      <c r="AB3452" s="514"/>
      <c r="AC3452" s="514"/>
      <c r="AD3452" s="514"/>
      <c r="AE3452" s="514"/>
      <c r="AF3452" s="514"/>
      <c r="AG3452" s="514"/>
      <c r="AH3452" s="514"/>
      <c r="AI3452" s="514"/>
      <c r="AJ3452" s="514"/>
      <c r="AK3452" s="514"/>
      <c r="AL3452" s="514"/>
      <c r="AM3452" s="514"/>
      <c r="AN3452" s="514"/>
      <c r="AO3452" s="514"/>
    </row>
    <row r="3453" spans="1:41" s="504" customFormat="1" ht="12" thickTop="1">
      <c r="A3453" s="50"/>
      <c r="B3453" s="40"/>
      <c r="C3453" s="50"/>
      <c r="E3453" s="41" t="s">
        <v>136</v>
      </c>
      <c r="F3453" s="41" t="s">
        <v>137</v>
      </c>
      <c r="G3453" s="50"/>
      <c r="H3453" s="50"/>
      <c r="I3453" s="50"/>
      <c r="J3453" s="50"/>
      <c r="K3453" s="50" t="s">
        <v>138</v>
      </c>
      <c r="L3453" s="50"/>
      <c r="M3453" s="50"/>
      <c r="N3453" s="50"/>
      <c r="O3453" s="51"/>
      <c r="P3453" s="50"/>
      <c r="Q3453" s="50"/>
      <c r="R3453" s="50"/>
      <c r="S3453" s="50"/>
      <c r="T3453" s="40"/>
      <c r="AG3453" s="867" t="s">
        <v>241</v>
      </c>
      <c r="AH3453" s="867" t="s">
        <v>242</v>
      </c>
      <c r="AI3453" s="867" t="s">
        <v>243</v>
      </c>
      <c r="AJ3453" s="867" t="s">
        <v>244</v>
      </c>
      <c r="AK3453" s="867" t="s">
        <v>245</v>
      </c>
      <c r="AM3453" s="868" t="s">
        <v>254</v>
      </c>
      <c r="AN3453" s="869" t="s">
        <v>255</v>
      </c>
      <c r="AO3453" s="505" t="s">
        <v>251</v>
      </c>
    </row>
    <row r="3454" spans="1:41" s="504" customFormat="1" ht="12" customHeight="1">
      <c r="A3454" s="870">
        <v>2</v>
      </c>
      <c r="B3454" s="871" t="s">
        <v>335</v>
      </c>
      <c r="C3454" s="872"/>
      <c r="D3454" s="873" t="s">
        <v>812</v>
      </c>
      <c r="E3454" s="874">
        <f ca="1">IF(AND($A3454=0,$A$1="DIF"),0, ROUND(ROUND(($R3459*$S$2+($T3459*$T$2))/A3454,2)*$C$2,2))</f>
        <v>289.27</v>
      </c>
      <c r="F3454" s="875">
        <f ca="1">ROUND($A3454*$E3454,2)</f>
        <v>578.54</v>
      </c>
      <c r="G3454" s="876" t="s">
        <v>139</v>
      </c>
      <c r="H3454" s="877"/>
      <c r="I3454" s="878"/>
      <c r="J3454" s="877"/>
      <c r="K3454" s="877" t="s">
        <v>3</v>
      </c>
      <c r="L3454" s="879" t="s">
        <v>140</v>
      </c>
      <c r="M3454" s="879"/>
      <c r="N3454" s="879"/>
      <c r="O3454" s="879"/>
      <c r="P3454" s="879"/>
      <c r="Q3454" s="50"/>
      <c r="T3454" s="880" t="str">
        <f ca="1">IF(AND($R3459=0,$T3459=0),"0.00","mu :" &amp; ROUND($F3454/$C$2/($R3459+$T3459*$D$9),2))</f>
        <v>mu :1.22</v>
      </c>
      <c r="W3454" s="507"/>
      <c r="AG3454" s="465">
        <f ca="1">IF($E3454=0,0,ROUND($R3459*$S$2*$C$2/$A3454,2))</f>
        <v>58.87</v>
      </c>
      <c r="AH3454" s="465">
        <f ca="1">$AG3454*$A3454</f>
        <v>117.74</v>
      </c>
      <c r="AI3454" s="508">
        <f ca="1">$E3454-$AG3454</f>
        <v>230.39999999999998</v>
      </c>
      <c r="AJ3454" s="508">
        <f ca="1">$A3454*$AI3454</f>
        <v>460.79999999999995</v>
      </c>
      <c r="AK3454" s="509">
        <f ca="1">ROUND(($AG3454+$AI3454)*$A3454,2)</f>
        <v>578.54</v>
      </c>
      <c r="AM3454" s="510">
        <f ca="1">ROUND(R3459,2)</f>
        <v>96.5</v>
      </c>
      <c r="AN3454" s="511">
        <f ca="1">ROUND(T3459,2)</f>
        <v>13.1</v>
      </c>
      <c r="AO3454" s="512">
        <f ca="1">ROUND(AM3454+AN3454,2)*A3454</f>
        <v>219.2</v>
      </c>
    </row>
    <row r="3455" spans="1:41" s="504" customFormat="1" ht="13.2">
      <c r="A3455" s="872"/>
      <c r="B3455"/>
      <c r="C3455" s="872"/>
      <c r="D3455" s="873" t="s">
        <v>465</v>
      </c>
      <c r="F3455" s="877"/>
      <c r="G3455" s="3"/>
      <c r="H3455" s="877"/>
      <c r="I3455" s="878"/>
      <c r="J3455" s="877"/>
      <c r="K3455" s="877" t="s">
        <v>141</v>
      </c>
      <c r="L3455" s="877"/>
      <c r="M3455" s="877"/>
      <c r="N3455" s="877"/>
      <c r="O3455" s="877"/>
      <c r="P3455" s="877"/>
      <c r="Q3455" s="50"/>
      <c r="R3455" s="513"/>
      <c r="S3455" s="881"/>
      <c r="T3455" s="877"/>
    </row>
    <row r="3456" spans="1:41" s="997" customFormat="1" ht="13.2">
      <c r="A3456"/>
      <c r="B3456" s="1065"/>
      <c r="C3456" s="1065" t="s">
        <v>1006</v>
      </c>
      <c r="D3456" s="1065" t="str">
        <f ca="1">CELL("Address",Elec_Rates!D$200)</f>
        <v>[EL25_0662B_Brittania_Hotel_Elec_Revised_Estim_B.xlsx]Elec_Rates!$D$200</v>
      </c>
      <c r="E3456" s="1066"/>
      <c r="F3456" s="1066"/>
      <c r="G3456" s="1067" t="s">
        <v>1007</v>
      </c>
      <c r="H3456" s="1067"/>
      <c r="I3456" s="1067"/>
      <c r="J3456" s="1067"/>
      <c r="K3456" s="1068"/>
      <c r="L3456" s="1066"/>
      <c r="M3456" s="1066"/>
      <c r="N3456" s="1066"/>
      <c r="O3456" s="1069"/>
      <c r="P3456" s="1066"/>
      <c r="Q3456" s="1070"/>
      <c r="R3456" s="1071"/>
      <c r="S3456" s="1070"/>
      <c r="T3456" s="1072"/>
      <c r="U3456" s="1073"/>
    </row>
    <row r="3457" spans="1:41" s="997" customFormat="1" ht="11.4">
      <c r="A3457" s="1074">
        <v>2</v>
      </c>
      <c r="B3457" s="1075">
        <v>5</v>
      </c>
      <c r="C3457" s="1075">
        <f>$A3457*$B3457</f>
        <v>10</v>
      </c>
      <c r="D3457" s="1076" t="str">
        <f>Elec_Rates!$D$200</f>
        <v>019# Lighting point in LSZH Conduit</v>
      </c>
      <c r="E3457" s="1076"/>
      <c r="F3457" s="1076" t="s">
        <v>1358</v>
      </c>
      <c r="G3457" s="1077" t="s">
        <v>1008</v>
      </c>
      <c r="H3457" s="1077"/>
      <c r="I3457" s="1077"/>
      <c r="J3457" s="1077"/>
      <c r="K3457" s="1078"/>
      <c r="L3457" s="1073"/>
      <c r="M3457" s="1073"/>
      <c r="N3457" s="1073"/>
      <c r="O3457" s="1079"/>
      <c r="P3457" s="1076"/>
      <c r="Q3457" s="1080">
        <f ca="1">$B3457*Elec_Rates!$R$200</f>
        <v>48.25</v>
      </c>
      <c r="R3457" s="1071">
        <f ca="1">$A3457*Q3457</f>
        <v>96.5</v>
      </c>
      <c r="S3457" s="1080">
        <f ca="1">$B3457*Elec_Rates!$T$200</f>
        <v>6.5500000000000007</v>
      </c>
      <c r="T3457" s="1072">
        <f ca="1">$A3457*S3457</f>
        <v>13.100000000000001</v>
      </c>
      <c r="U3457" s="1081"/>
    </row>
    <row r="3458" spans="1:41" s="504" customFormat="1" ht="12">
      <c r="A3458" s="882"/>
      <c r="B3458" s="882"/>
      <c r="C3458" s="882"/>
      <c r="D3458" s="882"/>
      <c r="E3458" s="882"/>
      <c r="F3458" s="877"/>
      <c r="G3458" s="882"/>
      <c r="H3458" s="882"/>
      <c r="I3458" s="503"/>
      <c r="J3458" s="882"/>
      <c r="K3458" s="882"/>
      <c r="L3458" s="882"/>
      <c r="M3458" s="882"/>
      <c r="N3458" s="882"/>
      <c r="O3458" s="882"/>
      <c r="P3458" s="882"/>
      <c r="Q3458" s="503"/>
      <c r="R3458" s="883">
        <f>$A3458*Q3458</f>
        <v>0</v>
      </c>
      <c r="S3458" s="503"/>
      <c r="T3458" s="884">
        <f>$A3458*S3458*$T$1</f>
        <v>0</v>
      </c>
    </row>
    <row r="3459" spans="1:41" s="504" customFormat="1" ht="12.6" thickBot="1">
      <c r="A3459" s="885" t="s">
        <v>142</v>
      </c>
      <c r="B3459" s="886">
        <f>(R3458+T3458)</f>
        <v>0</v>
      </c>
      <c r="C3459" s="887"/>
      <c r="D3459" s="887"/>
      <c r="E3459" s="887"/>
      <c r="F3459" s="888"/>
      <c r="G3459" s="887" t="s">
        <v>143</v>
      </c>
      <c r="H3459" s="887"/>
      <c r="I3459" s="889"/>
      <c r="J3459" s="887"/>
      <c r="K3459" s="887" t="s">
        <v>3</v>
      </c>
      <c r="L3459" s="890" t="s">
        <v>140</v>
      </c>
      <c r="M3459" s="890"/>
      <c r="N3459" s="890"/>
      <c r="O3459" s="890"/>
      <c r="P3459" s="890"/>
      <c r="Q3459" s="891"/>
      <c r="R3459" s="892">
        <f ca="1">SUM(R3455:R3458)</f>
        <v>96.5</v>
      </c>
      <c r="S3459" s="887"/>
      <c r="T3459" s="892">
        <f ca="1">SUM(T3455:T3458)</f>
        <v>13.100000000000001</v>
      </c>
      <c r="U3459" s="514"/>
      <c r="V3459" s="514"/>
      <c r="W3459" s="514"/>
      <c r="X3459" s="514"/>
      <c r="Y3459" s="514"/>
      <c r="Z3459" s="514"/>
      <c r="AA3459" s="514"/>
      <c r="AB3459" s="514"/>
      <c r="AC3459" s="514"/>
      <c r="AD3459" s="514"/>
      <c r="AE3459" s="514"/>
      <c r="AF3459" s="514"/>
      <c r="AG3459" s="514"/>
      <c r="AH3459" s="514"/>
      <c r="AI3459" s="514"/>
      <c r="AJ3459" s="514"/>
      <c r="AK3459" s="514"/>
      <c r="AL3459" s="514"/>
      <c r="AM3459" s="514"/>
      <c r="AN3459" s="514"/>
      <c r="AO3459" s="514"/>
    </row>
    <row r="3460" spans="1:41" s="504" customFormat="1" ht="12" thickTop="1">
      <c r="A3460" s="50"/>
      <c r="B3460" s="40"/>
      <c r="C3460" s="50"/>
      <c r="E3460" s="41" t="s">
        <v>136</v>
      </c>
      <c r="F3460" s="41" t="s">
        <v>137</v>
      </c>
      <c r="G3460" s="50"/>
      <c r="H3460" s="50"/>
      <c r="I3460" s="50"/>
      <c r="J3460" s="50"/>
      <c r="K3460" s="50" t="s">
        <v>138</v>
      </c>
      <c r="L3460" s="50"/>
      <c r="M3460" s="50"/>
      <c r="N3460" s="50"/>
      <c r="O3460" s="51"/>
      <c r="P3460" s="50"/>
      <c r="Q3460" s="50"/>
      <c r="R3460" s="50"/>
      <c r="S3460" s="50"/>
      <c r="T3460" s="40"/>
      <c r="AG3460" s="867" t="s">
        <v>241</v>
      </c>
      <c r="AH3460" s="867" t="s">
        <v>242</v>
      </c>
      <c r="AI3460" s="867" t="s">
        <v>243</v>
      </c>
      <c r="AJ3460" s="867" t="s">
        <v>244</v>
      </c>
      <c r="AK3460" s="867" t="s">
        <v>245</v>
      </c>
      <c r="AM3460" s="868" t="s">
        <v>254</v>
      </c>
      <c r="AN3460" s="869" t="s">
        <v>255</v>
      </c>
      <c r="AO3460" s="505" t="s">
        <v>251</v>
      </c>
    </row>
    <row r="3461" spans="1:41" s="504" customFormat="1" ht="12" customHeight="1">
      <c r="A3461" s="870">
        <v>1</v>
      </c>
      <c r="B3461" s="871" t="s">
        <v>335</v>
      </c>
      <c r="C3461" s="872"/>
      <c r="D3461" s="873" t="s">
        <v>819</v>
      </c>
      <c r="E3461" s="874">
        <f ca="1">IF(AND($A3461=0,$A$1="DIF"),0, ROUND(ROUND(($R3466*$S$2+($T3466*$T$2))/A3461,2)*$C$2,2))</f>
        <v>260.33999999999997</v>
      </c>
      <c r="F3461" s="875">
        <f ca="1">ROUND($A3461*$E3461,2)</f>
        <v>260.33999999999997</v>
      </c>
      <c r="G3461" s="876" t="s">
        <v>139</v>
      </c>
      <c r="H3461" s="877"/>
      <c r="I3461" s="878"/>
      <c r="J3461" s="877"/>
      <c r="K3461" s="877" t="s">
        <v>3</v>
      </c>
      <c r="L3461" s="879" t="s">
        <v>140</v>
      </c>
      <c r="M3461" s="879"/>
      <c r="N3461" s="879"/>
      <c r="O3461" s="879"/>
      <c r="P3461" s="879"/>
      <c r="Q3461" s="50"/>
      <c r="T3461" s="880" t="str">
        <f ca="1">IF(AND($R3466=0,$T3466=0),"0.00","mu :" &amp; ROUND($F3461/$C$2/($R3466+$T3466*$D$9),2))</f>
        <v>mu :1.22</v>
      </c>
      <c r="W3461" s="507"/>
      <c r="AG3461" s="465">
        <f ca="1">IF($E3461=0,0,ROUND($R3466*$S$2*$C$2/$A3461,2))</f>
        <v>52.98</v>
      </c>
      <c r="AH3461" s="465">
        <f ca="1">$AG3461*$A3461</f>
        <v>52.98</v>
      </c>
      <c r="AI3461" s="508">
        <f ca="1">$E3461-$AG3461</f>
        <v>207.35999999999999</v>
      </c>
      <c r="AJ3461" s="508">
        <f ca="1">$A3461*$AI3461</f>
        <v>207.35999999999999</v>
      </c>
      <c r="AK3461" s="509">
        <f ca="1">ROUND(($AG3461+$AI3461)*$A3461,2)</f>
        <v>260.33999999999997</v>
      </c>
      <c r="AM3461" s="510">
        <f ca="1">ROUND(R3466,2)</f>
        <v>43.43</v>
      </c>
      <c r="AN3461" s="511">
        <f ca="1">ROUND(T3466,2)</f>
        <v>5.9</v>
      </c>
      <c r="AO3461" s="512">
        <f ca="1">ROUND(AM3461+AN3461,2)*A3461</f>
        <v>49.33</v>
      </c>
    </row>
    <row r="3462" spans="1:41" s="504" customFormat="1" ht="13.2">
      <c r="A3462" s="872"/>
      <c r="B3462"/>
      <c r="C3462" s="872"/>
      <c r="D3462" s="873" t="s">
        <v>404</v>
      </c>
      <c r="F3462" s="877"/>
      <c r="G3462" s="3"/>
      <c r="H3462" s="877"/>
      <c r="I3462" s="878"/>
      <c r="J3462" s="877"/>
      <c r="K3462" s="877" t="s">
        <v>141</v>
      </c>
      <c r="L3462" s="877"/>
      <c r="M3462" s="877"/>
      <c r="N3462" s="877"/>
      <c r="O3462" s="877"/>
      <c r="P3462" s="877"/>
      <c r="Q3462" s="50"/>
      <c r="R3462" s="513"/>
      <c r="S3462" s="881"/>
      <c r="T3462" s="877"/>
    </row>
    <row r="3463" spans="1:41" s="997" customFormat="1" ht="13.2">
      <c r="A3463"/>
      <c r="B3463" s="1065"/>
      <c r="C3463" s="1065" t="s">
        <v>1006</v>
      </c>
      <c r="D3463" s="1065" t="str">
        <f ca="1">CELL("Address",Elec_Rates!D$200)</f>
        <v>[EL25_0662B_Brittania_Hotel_Elec_Revised_Estim_B.xlsx]Elec_Rates!$D$200</v>
      </c>
      <c r="E3463" s="1066"/>
      <c r="F3463" s="1066"/>
      <c r="G3463" s="1067" t="s">
        <v>1007</v>
      </c>
      <c r="H3463" s="1067"/>
      <c r="I3463" s="1067"/>
      <c r="J3463" s="1067"/>
      <c r="K3463" s="1068"/>
      <c r="L3463" s="1066"/>
      <c r="M3463" s="1066"/>
      <c r="N3463" s="1066"/>
      <c r="O3463" s="1069"/>
      <c r="P3463" s="1066"/>
      <c r="Q3463" s="1070"/>
      <c r="R3463" s="1071"/>
      <c r="S3463" s="1070"/>
      <c r="T3463" s="1072"/>
      <c r="U3463" s="1073"/>
    </row>
    <row r="3464" spans="1:41" s="997" customFormat="1" ht="11.4">
      <c r="A3464" s="1074">
        <v>1</v>
      </c>
      <c r="B3464" s="1075">
        <v>4.5</v>
      </c>
      <c r="C3464" s="1075">
        <f>$A3464*$B3464</f>
        <v>4.5</v>
      </c>
      <c r="D3464" s="1076" t="str">
        <f>Elec_Rates!$D$200</f>
        <v>019# Lighting point in LSZH Conduit</v>
      </c>
      <c r="E3464" s="1076"/>
      <c r="F3464" s="1076" t="s">
        <v>1297</v>
      </c>
      <c r="G3464" s="1077" t="s">
        <v>1008</v>
      </c>
      <c r="H3464" s="1077"/>
      <c r="I3464" s="1077"/>
      <c r="J3464" s="1077"/>
      <c r="K3464" s="1078"/>
      <c r="L3464" s="1073"/>
      <c r="M3464" s="1073"/>
      <c r="N3464" s="1073"/>
      <c r="O3464" s="1079"/>
      <c r="P3464" s="1076"/>
      <c r="Q3464" s="1080">
        <f ca="1">$B3464*Elec_Rates!$R$200</f>
        <v>43.425000000000004</v>
      </c>
      <c r="R3464" s="1071">
        <f ca="1">$A3464*Q3464</f>
        <v>43.425000000000004</v>
      </c>
      <c r="S3464" s="1080">
        <f ca="1">$B3464*Elec_Rates!$T$200</f>
        <v>5.8950000000000005</v>
      </c>
      <c r="T3464" s="1072">
        <f ca="1">$A3464*S3464</f>
        <v>5.8950000000000005</v>
      </c>
      <c r="U3464" s="1081"/>
    </row>
    <row r="3465" spans="1:41" s="504" customFormat="1" ht="12">
      <c r="A3465" s="882"/>
      <c r="B3465" s="882"/>
      <c r="C3465" s="882"/>
      <c r="D3465" s="882"/>
      <c r="E3465" s="882"/>
      <c r="F3465" s="877"/>
      <c r="G3465" s="882"/>
      <c r="H3465" s="882"/>
      <c r="I3465" s="503"/>
      <c r="J3465" s="882"/>
      <c r="K3465" s="882"/>
      <c r="L3465" s="882"/>
      <c r="M3465" s="882"/>
      <c r="N3465" s="882"/>
      <c r="O3465" s="882"/>
      <c r="P3465" s="882"/>
      <c r="Q3465" s="503"/>
      <c r="R3465" s="883">
        <f>$A3465*Q3465</f>
        <v>0</v>
      </c>
      <c r="S3465" s="503"/>
      <c r="T3465" s="884">
        <f>$A3465*S3465*$T$1</f>
        <v>0</v>
      </c>
    </row>
    <row r="3466" spans="1:41" s="504" customFormat="1" ht="12.6" thickBot="1">
      <c r="A3466" s="885" t="s">
        <v>142</v>
      </c>
      <c r="B3466" s="886">
        <f>(R3465+T3465)</f>
        <v>0</v>
      </c>
      <c r="C3466" s="887"/>
      <c r="D3466" s="887"/>
      <c r="E3466" s="887"/>
      <c r="F3466" s="888"/>
      <c r="G3466" s="887" t="s">
        <v>143</v>
      </c>
      <c r="H3466" s="887"/>
      <c r="I3466" s="889"/>
      <c r="J3466" s="887"/>
      <c r="K3466" s="887" t="s">
        <v>3</v>
      </c>
      <c r="L3466" s="890" t="s">
        <v>140</v>
      </c>
      <c r="M3466" s="890"/>
      <c r="N3466" s="890"/>
      <c r="O3466" s="890"/>
      <c r="P3466" s="890"/>
      <c r="Q3466" s="891"/>
      <c r="R3466" s="892">
        <f ca="1">SUM(R3462:R3465)</f>
        <v>43.425000000000004</v>
      </c>
      <c r="S3466" s="887"/>
      <c r="T3466" s="892">
        <f ca="1">SUM(T3462:T3465)</f>
        <v>5.8950000000000005</v>
      </c>
      <c r="U3466" s="514"/>
      <c r="V3466" s="514"/>
      <c r="W3466" s="514"/>
      <c r="X3466" s="514"/>
      <c r="Y3466" s="514"/>
      <c r="Z3466" s="514"/>
      <c r="AA3466" s="514"/>
      <c r="AB3466" s="514"/>
      <c r="AC3466" s="514"/>
      <c r="AD3466" s="514"/>
      <c r="AE3466" s="514"/>
      <c r="AF3466" s="514"/>
      <c r="AG3466" s="514"/>
      <c r="AH3466" s="514"/>
      <c r="AI3466" s="514"/>
      <c r="AJ3466" s="514"/>
      <c r="AK3466" s="514"/>
      <c r="AL3466" s="514"/>
      <c r="AM3466" s="514"/>
      <c r="AN3466" s="514"/>
      <c r="AO3466" s="514"/>
    </row>
    <row r="3467" spans="1:41" s="504" customFormat="1" ht="12" thickTop="1">
      <c r="A3467" s="50"/>
      <c r="B3467" s="40"/>
      <c r="C3467" s="50"/>
      <c r="E3467" s="41" t="s">
        <v>136</v>
      </c>
      <c r="F3467" s="41" t="s">
        <v>137</v>
      </c>
      <c r="G3467" s="50"/>
      <c r="H3467" s="50"/>
      <c r="I3467" s="50"/>
      <c r="J3467" s="50"/>
      <c r="K3467" s="50" t="s">
        <v>138</v>
      </c>
      <c r="L3467" s="50"/>
      <c r="M3467" s="50"/>
      <c r="N3467" s="50"/>
      <c r="O3467" s="51"/>
      <c r="P3467" s="50"/>
      <c r="Q3467" s="50"/>
      <c r="R3467" s="50"/>
      <c r="S3467" s="50"/>
      <c r="T3467" s="40"/>
      <c r="AG3467" s="867" t="s">
        <v>241</v>
      </c>
      <c r="AH3467" s="867" t="s">
        <v>242</v>
      </c>
      <c r="AI3467" s="867" t="s">
        <v>243</v>
      </c>
      <c r="AJ3467" s="867" t="s">
        <v>244</v>
      </c>
      <c r="AK3467" s="867" t="s">
        <v>245</v>
      </c>
      <c r="AM3467" s="868" t="s">
        <v>254</v>
      </c>
      <c r="AN3467" s="869" t="s">
        <v>255</v>
      </c>
      <c r="AO3467" s="505" t="s">
        <v>251</v>
      </c>
    </row>
    <row r="3468" spans="1:41" s="504" customFormat="1" ht="12" customHeight="1">
      <c r="A3468" s="870">
        <v>1</v>
      </c>
      <c r="B3468" s="871" t="s">
        <v>335</v>
      </c>
      <c r="C3468" s="872"/>
      <c r="D3468" s="873" t="s">
        <v>820</v>
      </c>
      <c r="E3468" s="874">
        <f ca="1">IF(AND($A3468=0,$A$1="DIF"),0, ROUND(ROUND(($R3473*$S$2+($T3473*$T$2))/A3468,2)*$C$2,2))</f>
        <v>289.27</v>
      </c>
      <c r="F3468" s="875">
        <f ca="1">ROUND($A3468*$E3468,2)</f>
        <v>289.27</v>
      </c>
      <c r="G3468" s="876" t="s">
        <v>139</v>
      </c>
      <c r="H3468" s="877"/>
      <c r="I3468" s="878"/>
      <c r="J3468" s="877"/>
      <c r="K3468" s="877" t="s">
        <v>3</v>
      </c>
      <c r="L3468" s="879" t="s">
        <v>140</v>
      </c>
      <c r="M3468" s="879"/>
      <c r="N3468" s="879"/>
      <c r="O3468" s="879"/>
      <c r="P3468" s="879"/>
      <c r="Q3468" s="50"/>
      <c r="T3468" s="880" t="str">
        <f ca="1">IF(AND($R3473=0,$T3473=0),"0.00","mu :" &amp; ROUND($F3468/$C$2/($R3473+$T3473*$D$9),2))</f>
        <v>mu :1.22</v>
      </c>
      <c r="W3468" s="507"/>
      <c r="AG3468" s="465">
        <f ca="1">IF($E3468=0,0,ROUND($R3473*$S$2*$C$2/$A3468,2))</f>
        <v>58.87</v>
      </c>
      <c r="AH3468" s="465">
        <f ca="1">$AG3468*$A3468</f>
        <v>58.87</v>
      </c>
      <c r="AI3468" s="508">
        <f ca="1">$E3468-$AG3468</f>
        <v>230.39999999999998</v>
      </c>
      <c r="AJ3468" s="508">
        <f ca="1">$A3468*$AI3468</f>
        <v>230.39999999999998</v>
      </c>
      <c r="AK3468" s="509">
        <f ca="1">ROUND(($AG3468+$AI3468)*$A3468,2)</f>
        <v>289.27</v>
      </c>
      <c r="AM3468" s="510">
        <f ca="1">ROUND(R3473,2)</f>
        <v>48.25</v>
      </c>
      <c r="AN3468" s="511">
        <f ca="1">ROUND(T3473,2)</f>
        <v>6.55</v>
      </c>
      <c r="AO3468" s="512">
        <f ca="1">ROUND(AM3468+AN3468,2)*A3468</f>
        <v>54.8</v>
      </c>
    </row>
    <row r="3469" spans="1:41" s="504" customFormat="1" ht="13.2">
      <c r="A3469" s="872"/>
      <c r="B3469"/>
      <c r="C3469" s="872"/>
      <c r="D3469" s="873" t="s">
        <v>466</v>
      </c>
      <c r="F3469" s="877"/>
      <c r="G3469" s="3"/>
      <c r="H3469" s="877"/>
      <c r="I3469" s="878"/>
      <c r="J3469" s="877"/>
      <c r="K3469" s="877" t="s">
        <v>141</v>
      </c>
      <c r="L3469" s="877"/>
      <c r="M3469" s="877"/>
      <c r="N3469" s="877"/>
      <c r="O3469" s="877"/>
      <c r="P3469" s="877"/>
      <c r="Q3469" s="50"/>
      <c r="R3469" s="513"/>
      <c r="S3469" s="881"/>
      <c r="T3469" s="877"/>
    </row>
    <row r="3470" spans="1:41" s="997" customFormat="1" ht="13.2">
      <c r="A3470"/>
      <c r="B3470" s="1065"/>
      <c r="C3470" s="1065" t="s">
        <v>1006</v>
      </c>
      <c r="D3470" s="1065" t="str">
        <f ca="1">CELL("Address",Elec_Rates!D$200)</f>
        <v>[EL25_0662B_Brittania_Hotel_Elec_Revised_Estim_B.xlsx]Elec_Rates!$D$200</v>
      </c>
      <c r="E3470" s="1066"/>
      <c r="F3470" s="1066"/>
      <c r="G3470" s="1067" t="s">
        <v>1007</v>
      </c>
      <c r="H3470" s="1067"/>
      <c r="I3470" s="1067"/>
      <c r="J3470" s="1067"/>
      <c r="K3470" s="1068"/>
      <c r="L3470" s="1066"/>
      <c r="M3470" s="1066"/>
      <c r="N3470" s="1066"/>
      <c r="O3470" s="1069"/>
      <c r="P3470" s="1066"/>
      <c r="Q3470" s="1070"/>
      <c r="R3470" s="1071"/>
      <c r="S3470" s="1070"/>
      <c r="T3470" s="1072"/>
      <c r="U3470" s="1073"/>
    </row>
    <row r="3471" spans="1:41" s="997" customFormat="1" ht="11.4">
      <c r="A3471" s="1074">
        <v>1</v>
      </c>
      <c r="B3471" s="1075">
        <v>5</v>
      </c>
      <c r="C3471" s="1075">
        <f>$A3471*$B3471</f>
        <v>5</v>
      </c>
      <c r="D3471" s="1076" t="str">
        <f>Elec_Rates!$D$200</f>
        <v>019# Lighting point in LSZH Conduit</v>
      </c>
      <c r="E3471" s="1076"/>
      <c r="F3471" s="1076" t="s">
        <v>1359</v>
      </c>
      <c r="G3471" s="1077" t="s">
        <v>1008</v>
      </c>
      <c r="H3471" s="1077"/>
      <c r="I3471" s="1077"/>
      <c r="J3471" s="1077"/>
      <c r="K3471" s="1078"/>
      <c r="L3471" s="1073"/>
      <c r="M3471" s="1073"/>
      <c r="N3471" s="1073"/>
      <c r="O3471" s="1079"/>
      <c r="P3471" s="1076"/>
      <c r="Q3471" s="1080">
        <f ca="1">$B3471*Elec_Rates!$R$200</f>
        <v>48.25</v>
      </c>
      <c r="R3471" s="1071">
        <f ca="1">$A3471*Q3471</f>
        <v>48.25</v>
      </c>
      <c r="S3471" s="1080">
        <f ca="1">$B3471*Elec_Rates!$T$200</f>
        <v>6.5500000000000007</v>
      </c>
      <c r="T3471" s="1072">
        <f ca="1">$A3471*S3471</f>
        <v>6.5500000000000007</v>
      </c>
      <c r="U3471" s="1081"/>
    </row>
    <row r="3472" spans="1:41" s="504" customFormat="1" ht="12">
      <c r="A3472" s="882"/>
      <c r="B3472" s="882"/>
      <c r="C3472" s="882"/>
      <c r="D3472" s="882"/>
      <c r="E3472" s="882"/>
      <c r="F3472" s="877"/>
      <c r="G3472" s="882"/>
      <c r="H3472" s="882"/>
      <c r="I3472" s="503"/>
      <c r="J3472" s="882"/>
      <c r="K3472" s="882"/>
      <c r="L3472" s="882"/>
      <c r="M3472" s="882"/>
      <c r="N3472" s="882"/>
      <c r="O3472" s="882"/>
      <c r="P3472" s="882"/>
      <c r="Q3472" s="503"/>
      <c r="R3472" s="883">
        <f>$A3472*Q3472</f>
        <v>0</v>
      </c>
      <c r="S3472" s="503"/>
      <c r="T3472" s="884">
        <f>$A3472*S3472*$T$1</f>
        <v>0</v>
      </c>
    </row>
    <row r="3473" spans="1:41" s="504" customFormat="1" ht="12.6" thickBot="1">
      <c r="A3473" s="885" t="s">
        <v>142</v>
      </c>
      <c r="B3473" s="886">
        <f>(R3472+T3472)</f>
        <v>0</v>
      </c>
      <c r="C3473" s="887"/>
      <c r="D3473" s="887"/>
      <c r="E3473" s="887"/>
      <c r="F3473" s="888"/>
      <c r="G3473" s="887" t="s">
        <v>143</v>
      </c>
      <c r="H3473" s="887"/>
      <c r="I3473" s="889"/>
      <c r="J3473" s="887"/>
      <c r="K3473" s="887" t="s">
        <v>3</v>
      </c>
      <c r="L3473" s="890" t="s">
        <v>140</v>
      </c>
      <c r="M3473" s="890"/>
      <c r="N3473" s="890"/>
      <c r="O3473" s="890"/>
      <c r="P3473" s="890"/>
      <c r="Q3473" s="891"/>
      <c r="R3473" s="892">
        <f ca="1">SUM(R3469:R3472)</f>
        <v>48.25</v>
      </c>
      <c r="S3473" s="887"/>
      <c r="T3473" s="892">
        <f ca="1">SUM(T3469:T3472)</f>
        <v>6.5500000000000007</v>
      </c>
      <c r="U3473" s="514"/>
      <c r="V3473" s="514"/>
      <c r="W3473" s="514"/>
      <c r="X3473" s="514"/>
      <c r="Y3473" s="514"/>
      <c r="Z3473" s="514"/>
      <c r="AA3473" s="514"/>
      <c r="AB3473" s="514"/>
      <c r="AC3473" s="514"/>
      <c r="AD3473" s="514"/>
      <c r="AE3473" s="514"/>
      <c r="AF3473" s="514"/>
      <c r="AG3473" s="514"/>
      <c r="AH3473" s="514"/>
      <c r="AI3473" s="514"/>
      <c r="AJ3473" s="514"/>
      <c r="AK3473" s="514"/>
      <c r="AL3473" s="514"/>
      <c r="AM3473" s="514"/>
      <c r="AN3473" s="514"/>
      <c r="AO3473" s="514"/>
    </row>
    <row r="3474" spans="1:41" s="504" customFormat="1" ht="12" thickTop="1">
      <c r="A3474" s="50"/>
      <c r="B3474" s="40"/>
      <c r="C3474" s="50"/>
      <c r="E3474" s="41" t="s">
        <v>136</v>
      </c>
      <c r="F3474" s="41" t="s">
        <v>137</v>
      </c>
      <c r="G3474" s="50"/>
      <c r="H3474" s="50"/>
      <c r="I3474" s="50"/>
      <c r="J3474" s="50"/>
      <c r="K3474" s="50" t="s">
        <v>138</v>
      </c>
      <c r="L3474" s="50"/>
      <c r="M3474" s="50"/>
      <c r="N3474" s="50"/>
      <c r="O3474" s="51"/>
      <c r="P3474" s="50"/>
      <c r="Q3474" s="50"/>
      <c r="R3474" s="50"/>
      <c r="S3474" s="50"/>
      <c r="T3474" s="40"/>
      <c r="AG3474" s="867" t="s">
        <v>241</v>
      </c>
      <c r="AH3474" s="867" t="s">
        <v>242</v>
      </c>
      <c r="AI3474" s="867" t="s">
        <v>243</v>
      </c>
      <c r="AJ3474" s="867" t="s">
        <v>244</v>
      </c>
      <c r="AK3474" s="867" t="s">
        <v>245</v>
      </c>
      <c r="AM3474" s="868" t="s">
        <v>254</v>
      </c>
      <c r="AN3474" s="869" t="s">
        <v>255</v>
      </c>
      <c r="AO3474" s="505" t="s">
        <v>251</v>
      </c>
    </row>
    <row r="3475" spans="1:41" s="504" customFormat="1" ht="12" customHeight="1">
      <c r="A3475" s="870">
        <v>1</v>
      </c>
      <c r="B3475" s="871" t="s">
        <v>335</v>
      </c>
      <c r="C3475" s="872"/>
      <c r="D3475" s="873" t="s">
        <v>821</v>
      </c>
      <c r="E3475" s="874">
        <f ca="1">IF(AND($A3475=0,$A$1="DIF"),0, ROUND(ROUND(($R3481*$S$2+($T3481*$T$2))/A3475,2)*$C$2,2))</f>
        <v>284.92</v>
      </c>
      <c r="F3475" s="875">
        <f ca="1">ROUND($A3475*$E3475,2)</f>
        <v>284.92</v>
      </c>
      <c r="G3475" s="876" t="s">
        <v>139</v>
      </c>
      <c r="H3475" s="877"/>
      <c r="I3475" s="878"/>
      <c r="J3475" s="877"/>
      <c r="K3475" s="877" t="s">
        <v>3</v>
      </c>
      <c r="L3475" s="879" t="s">
        <v>140</v>
      </c>
      <c r="M3475" s="879"/>
      <c r="N3475" s="879"/>
      <c r="O3475" s="879"/>
      <c r="P3475" s="879"/>
      <c r="Q3475" s="50"/>
      <c r="T3475" s="880" t="str">
        <f ca="1">IF(AND($R3481=0,$T3481=0),"0.00","mu :" &amp; ROUND($F3475/$C$2/($R3481+$T3481*$D$9),2))</f>
        <v>mu :1.22</v>
      </c>
      <c r="W3475" s="507"/>
      <c r="AG3475" s="465">
        <f ca="1">IF($E3475=0,0,ROUND($R3481*$S$2*$C$2/$A3475,2))</f>
        <v>71.28</v>
      </c>
      <c r="AH3475" s="465">
        <f ca="1">$AG3475*$A3475</f>
        <v>71.28</v>
      </c>
      <c r="AI3475" s="508">
        <f ca="1">$E3475-$AG3475</f>
        <v>213.64000000000001</v>
      </c>
      <c r="AJ3475" s="508">
        <f ca="1">$A3475*$AI3475</f>
        <v>213.64000000000001</v>
      </c>
      <c r="AK3475" s="509">
        <f ca="1">ROUND(($AG3475+$AI3475)*$A3475,2)</f>
        <v>284.92</v>
      </c>
      <c r="AM3475" s="510">
        <f ca="1">ROUND(R3481,2)</f>
        <v>58.43</v>
      </c>
      <c r="AN3475" s="511">
        <f ca="1">ROUND(T3481,2)</f>
        <v>6.07</v>
      </c>
      <c r="AO3475" s="512">
        <f ca="1">ROUND(AM3475+AN3475,2)*A3475</f>
        <v>64.5</v>
      </c>
    </row>
    <row r="3476" spans="1:41" s="504" customFormat="1" ht="13.2">
      <c r="A3476" s="872"/>
      <c r="B3476"/>
      <c r="C3476" s="872"/>
      <c r="D3476" s="873" t="s">
        <v>467</v>
      </c>
      <c r="F3476" s="877"/>
      <c r="G3476" s="3"/>
      <c r="H3476" s="877"/>
      <c r="I3476" s="878"/>
      <c r="J3476" s="877"/>
      <c r="K3476" s="877" t="s">
        <v>141</v>
      </c>
      <c r="L3476" s="877"/>
      <c r="M3476" s="877"/>
      <c r="N3476" s="877"/>
      <c r="O3476" s="877"/>
      <c r="P3476" s="877"/>
      <c r="Q3476" s="50"/>
      <c r="R3476" s="513"/>
      <c r="S3476" s="881"/>
      <c r="T3476" s="877"/>
    </row>
    <row r="3477" spans="1:41" s="997" customFormat="1" ht="13.2">
      <c r="A3477"/>
      <c r="B3477" s="1065"/>
      <c r="C3477" s="1065" t="s">
        <v>1006</v>
      </c>
      <c r="D3477" s="1065" t="str">
        <f ca="1">CELL("Address",Elec_Rates!D$200)</f>
        <v>[EL25_0662B_Brittania_Hotel_Elec_Revised_Estim_B.xlsx]Elec_Rates!$D$200</v>
      </c>
      <c r="E3477" s="1066"/>
      <c r="F3477" s="1066"/>
      <c r="G3477" s="1067" t="s">
        <v>1007</v>
      </c>
      <c r="H3477" s="1067"/>
      <c r="I3477" s="1067"/>
      <c r="J3477" s="1067"/>
      <c r="K3477" s="1068"/>
      <c r="L3477" s="1066"/>
      <c r="M3477" s="1066"/>
      <c r="N3477" s="1066"/>
      <c r="O3477" s="1069"/>
      <c r="P3477" s="1066"/>
      <c r="Q3477" s="1070"/>
      <c r="R3477" s="1071"/>
      <c r="S3477" s="1070"/>
      <c r="T3477" s="1072"/>
      <c r="U3477" s="1073"/>
    </row>
    <row r="3478" spans="1:41" s="997" customFormat="1" ht="11.4">
      <c r="A3478" s="1074">
        <v>1</v>
      </c>
      <c r="B3478" s="1075">
        <v>4.5</v>
      </c>
      <c r="C3478" s="1075">
        <f>$A3478*$B3478</f>
        <v>4.5</v>
      </c>
      <c r="D3478" s="1076" t="str">
        <f>Elec_Rates!$D$200</f>
        <v>019# Lighting point in LSZH Conduit</v>
      </c>
      <c r="E3478" s="1076"/>
      <c r="F3478" s="1076" t="s">
        <v>1360</v>
      </c>
      <c r="G3478" s="1077" t="s">
        <v>1008</v>
      </c>
      <c r="H3478" s="1077"/>
      <c r="I3478" s="1077"/>
      <c r="J3478" s="1077"/>
      <c r="K3478" s="1078"/>
      <c r="L3478" s="1073"/>
      <c r="M3478" s="1073"/>
      <c r="N3478" s="1073"/>
      <c r="O3478" s="1079"/>
      <c r="P3478" s="1076"/>
      <c r="Q3478" s="1080">
        <f ca="1">$B3478*Elec_Rates!$R$200</f>
        <v>43.425000000000004</v>
      </c>
      <c r="R3478" s="1071">
        <f ca="1">$A3478*Q3478</f>
        <v>43.425000000000004</v>
      </c>
      <c r="S3478" s="1080">
        <f ca="1">$B3478*Elec_Rates!$T$200</f>
        <v>5.8950000000000005</v>
      </c>
      <c r="T3478" s="1072">
        <f ca="1">$A3478*S3478</f>
        <v>5.8950000000000005</v>
      </c>
      <c r="U3478" s="1081"/>
    </row>
    <row r="3479" spans="1:41" s="1039" customFormat="1" ht="11.4">
      <c r="A3479" s="1074">
        <v>1</v>
      </c>
      <c r="B3479" s="1039" t="s">
        <v>949</v>
      </c>
      <c r="D3479" s="1039" t="s">
        <v>1361</v>
      </c>
      <c r="G3479" s="1040" t="s">
        <v>1182</v>
      </c>
      <c r="H3479" s="1041">
        <v>705</v>
      </c>
      <c r="I3479" s="1039" t="s">
        <v>1183</v>
      </c>
      <c r="J3479" s="1039" t="s">
        <v>1184</v>
      </c>
      <c r="O3479" s="1042">
        <v>3</v>
      </c>
      <c r="P3479" s="1043">
        <v>34669</v>
      </c>
      <c r="Q3479" s="1044">
        <v>15</v>
      </c>
      <c r="R3479" s="1045">
        <f>$A3479*Q3479</f>
        <v>15</v>
      </c>
      <c r="S3479" s="1044">
        <v>0.17</v>
      </c>
      <c r="T3479" s="1046">
        <f>$A3479*S3479*$T$1</f>
        <v>0.17850000000000002</v>
      </c>
    </row>
    <row r="3480" spans="1:41" s="504" customFormat="1" ht="12">
      <c r="A3480" s="882"/>
      <c r="B3480" s="882"/>
      <c r="C3480" s="882"/>
      <c r="D3480" s="882"/>
      <c r="E3480" s="882"/>
      <c r="F3480" s="877"/>
      <c r="G3480" s="882"/>
      <c r="H3480" s="882"/>
      <c r="I3480" s="503"/>
      <c r="J3480" s="882"/>
      <c r="K3480" s="882"/>
      <c r="L3480" s="882"/>
      <c r="M3480" s="882"/>
      <c r="N3480" s="882"/>
      <c r="O3480" s="882"/>
      <c r="P3480" s="882"/>
      <c r="Q3480" s="503"/>
      <c r="R3480" s="883">
        <f>$A3480*Q3480</f>
        <v>0</v>
      </c>
      <c r="S3480" s="503"/>
      <c r="T3480" s="884">
        <f>$A3480*S3480*$T$1</f>
        <v>0</v>
      </c>
    </row>
    <row r="3481" spans="1:41" s="504" customFormat="1" ht="12.6" thickBot="1">
      <c r="A3481" s="885" t="s">
        <v>142</v>
      </c>
      <c r="B3481" s="886">
        <f>(R3480+T3480)</f>
        <v>0</v>
      </c>
      <c r="C3481" s="887"/>
      <c r="D3481" s="887"/>
      <c r="E3481" s="887"/>
      <c r="F3481" s="888"/>
      <c r="G3481" s="887" t="s">
        <v>143</v>
      </c>
      <c r="H3481" s="887"/>
      <c r="I3481" s="889"/>
      <c r="J3481" s="887"/>
      <c r="K3481" s="887" t="s">
        <v>3</v>
      </c>
      <c r="L3481" s="890" t="s">
        <v>140</v>
      </c>
      <c r="M3481" s="890"/>
      <c r="N3481" s="890"/>
      <c r="O3481" s="890"/>
      <c r="P3481" s="890"/>
      <c r="Q3481" s="891"/>
      <c r="R3481" s="892">
        <f ca="1">SUM(R3476:R3480)</f>
        <v>58.425000000000004</v>
      </c>
      <c r="S3481" s="887"/>
      <c r="T3481" s="892">
        <f ca="1">SUM(T3476:T3480)</f>
        <v>6.0735000000000001</v>
      </c>
      <c r="U3481" s="514"/>
      <c r="V3481" s="514"/>
      <c r="W3481" s="514"/>
      <c r="X3481" s="514"/>
      <c r="Y3481" s="514"/>
      <c r="Z3481" s="514"/>
      <c r="AA3481" s="514"/>
      <c r="AB3481" s="514"/>
      <c r="AC3481" s="514"/>
      <c r="AD3481" s="514"/>
      <c r="AE3481" s="514"/>
      <c r="AF3481" s="514"/>
      <c r="AG3481" s="514"/>
      <c r="AH3481" s="514"/>
      <c r="AI3481" s="514"/>
      <c r="AJ3481" s="514"/>
      <c r="AK3481" s="514"/>
      <c r="AL3481" s="514"/>
      <c r="AM3481" s="514"/>
      <c r="AN3481" s="514"/>
      <c r="AO3481" s="514"/>
    </row>
    <row r="3482" spans="1:41" s="504" customFormat="1" ht="12" thickTop="1">
      <c r="A3482" s="50"/>
      <c r="B3482" s="40"/>
      <c r="C3482" s="50"/>
      <c r="E3482" s="41" t="s">
        <v>136</v>
      </c>
      <c r="F3482" s="41" t="s">
        <v>137</v>
      </c>
      <c r="G3482" s="50"/>
      <c r="H3482" s="50"/>
      <c r="I3482" s="50"/>
      <c r="J3482" s="50"/>
      <c r="K3482" s="50" t="s">
        <v>138</v>
      </c>
      <c r="L3482" s="50"/>
      <c r="M3482" s="50"/>
      <c r="N3482" s="50"/>
      <c r="O3482" s="51"/>
      <c r="P3482" s="50"/>
      <c r="Q3482" s="50"/>
      <c r="R3482" s="50"/>
      <c r="S3482" s="50"/>
      <c r="T3482" s="40"/>
      <c r="AG3482" s="867" t="s">
        <v>241</v>
      </c>
      <c r="AH3482" s="867" t="s">
        <v>242</v>
      </c>
      <c r="AI3482" s="867" t="s">
        <v>243</v>
      </c>
      <c r="AJ3482" s="867" t="s">
        <v>244</v>
      </c>
      <c r="AK3482" s="867" t="s">
        <v>245</v>
      </c>
      <c r="AM3482" s="868" t="s">
        <v>254</v>
      </c>
      <c r="AN3482" s="869" t="s">
        <v>255</v>
      </c>
      <c r="AO3482" s="505" t="s">
        <v>251</v>
      </c>
    </row>
    <row r="3483" spans="1:41" s="504" customFormat="1" ht="12" customHeight="1">
      <c r="A3483" s="870">
        <v>1</v>
      </c>
      <c r="B3483" s="871" t="s">
        <v>335</v>
      </c>
      <c r="C3483" s="872"/>
      <c r="D3483" s="873" t="s">
        <v>822</v>
      </c>
      <c r="E3483" s="874">
        <f ca="1">IF(AND($A3483=0,$A$1="DIF"),0, ROUND(ROUND(($R3488*$S$2+($T3488*$T$2))/A3483,2)*$C$2,2))</f>
        <v>144.63</v>
      </c>
      <c r="F3483" s="875">
        <f ca="1">ROUND($A3483*$E3483,2)</f>
        <v>144.63</v>
      </c>
      <c r="G3483" s="876" t="s">
        <v>139</v>
      </c>
      <c r="H3483" s="877"/>
      <c r="I3483" s="878"/>
      <c r="J3483" s="877"/>
      <c r="K3483" s="877" t="s">
        <v>3</v>
      </c>
      <c r="L3483" s="879" t="s">
        <v>140</v>
      </c>
      <c r="M3483" s="879"/>
      <c r="N3483" s="879"/>
      <c r="O3483" s="879"/>
      <c r="P3483" s="879"/>
      <c r="Q3483" s="50"/>
      <c r="T3483" s="880" t="str">
        <f ca="1">IF(AND($R3488=0,$T3488=0),"0.00","mu :" &amp; ROUND($F3483/$C$2/($R3488+$T3488*$D$9),2))</f>
        <v>mu :1.22</v>
      </c>
      <c r="W3483" s="507"/>
      <c r="AG3483" s="465">
        <f ca="1">IF($E3483=0,0,ROUND($R3488*$S$2*$C$2/$A3483,2))</f>
        <v>29.43</v>
      </c>
      <c r="AH3483" s="465">
        <f ca="1">$AG3483*$A3483</f>
        <v>29.43</v>
      </c>
      <c r="AI3483" s="508">
        <f ca="1">$E3483-$AG3483</f>
        <v>115.19999999999999</v>
      </c>
      <c r="AJ3483" s="508">
        <f ca="1">$A3483*$AI3483</f>
        <v>115.19999999999999</v>
      </c>
      <c r="AK3483" s="509">
        <f ca="1">ROUND(($AG3483+$AI3483)*$A3483,2)</f>
        <v>144.63</v>
      </c>
      <c r="AM3483" s="510">
        <f ca="1">ROUND(R3488,2)</f>
        <v>24.13</v>
      </c>
      <c r="AN3483" s="511">
        <f ca="1">ROUND(T3488,2)</f>
        <v>3.28</v>
      </c>
      <c r="AO3483" s="512">
        <f ca="1">ROUND(AM3483+AN3483,2)*A3483</f>
        <v>27.41</v>
      </c>
    </row>
    <row r="3484" spans="1:41" s="504" customFormat="1" ht="13.2">
      <c r="A3484" s="872"/>
      <c r="B3484"/>
      <c r="C3484" s="872"/>
      <c r="D3484" s="916" t="s">
        <v>435</v>
      </c>
      <c r="E3484" s="917"/>
      <c r="F3484" s="918"/>
      <c r="G3484" s="919"/>
      <c r="H3484" s="918"/>
      <c r="I3484" s="920"/>
      <c r="J3484" s="918"/>
      <c r="K3484" s="918"/>
      <c r="L3484" s="918"/>
      <c r="M3484" s="918"/>
      <c r="N3484" s="918"/>
      <c r="O3484" s="918"/>
      <c r="P3484" s="918"/>
      <c r="Q3484" s="921"/>
      <c r="R3484" s="513"/>
      <c r="S3484" s="881"/>
      <c r="T3484" s="877"/>
    </row>
    <row r="3485" spans="1:41" s="997" customFormat="1" ht="13.2">
      <c r="A3485"/>
      <c r="B3485" s="1065"/>
      <c r="C3485" s="1065" t="s">
        <v>1006</v>
      </c>
      <c r="D3485" s="1065" t="str">
        <f ca="1">CELL("Address",Elec_Rates!D$200)</f>
        <v>[EL25_0662B_Brittania_Hotel_Elec_Revised_Estim_B.xlsx]Elec_Rates!$D$200</v>
      </c>
      <c r="E3485" s="1066"/>
      <c r="F3485" s="1066"/>
      <c r="G3485" s="1067" t="s">
        <v>1007</v>
      </c>
      <c r="H3485" s="1067"/>
      <c r="I3485" s="1067"/>
      <c r="J3485" s="1067"/>
      <c r="K3485" s="1068"/>
      <c r="L3485" s="1066"/>
      <c r="M3485" s="1066"/>
      <c r="N3485" s="1066"/>
      <c r="O3485" s="1069"/>
      <c r="P3485" s="1066"/>
      <c r="Q3485" s="1070"/>
      <c r="R3485" s="1071"/>
      <c r="S3485" s="1070"/>
      <c r="T3485" s="1072"/>
      <c r="U3485" s="1073"/>
    </row>
    <row r="3486" spans="1:41" s="997" customFormat="1" ht="11.4">
      <c r="A3486" s="1074">
        <v>1</v>
      </c>
      <c r="B3486" s="1075">
        <v>2.5</v>
      </c>
      <c r="C3486" s="1075">
        <f>$A3486*$B3486</f>
        <v>2.5</v>
      </c>
      <c r="D3486" s="1076" t="str">
        <f>Elec_Rates!$D$200</f>
        <v>019# Lighting point in LSZH Conduit</v>
      </c>
      <c r="E3486" s="1076"/>
      <c r="F3486" s="1076" t="s">
        <v>1356</v>
      </c>
      <c r="G3486" s="1077" t="s">
        <v>1008</v>
      </c>
      <c r="H3486" s="1077"/>
      <c r="I3486" s="1077"/>
      <c r="J3486" s="1077"/>
      <c r="K3486" s="1078"/>
      <c r="L3486" s="1073"/>
      <c r="M3486" s="1073"/>
      <c r="N3486" s="1073"/>
      <c r="O3486" s="1079"/>
      <c r="P3486" s="1076"/>
      <c r="Q3486" s="1080">
        <f ca="1">$B3486*Elec_Rates!$R$200</f>
        <v>24.125</v>
      </c>
      <c r="R3486" s="1071">
        <f ca="1">$A3486*Q3486</f>
        <v>24.125</v>
      </c>
      <c r="S3486" s="1080">
        <f ca="1">$B3486*Elec_Rates!$T$200</f>
        <v>3.2750000000000004</v>
      </c>
      <c r="T3486" s="1072">
        <f ca="1">$A3486*S3486</f>
        <v>3.2750000000000004</v>
      </c>
      <c r="U3486" s="1081"/>
    </row>
    <row r="3487" spans="1:41" s="504" customFormat="1" ht="12">
      <c r="A3487" s="882"/>
      <c r="B3487" s="882"/>
      <c r="C3487" s="882"/>
      <c r="D3487" s="882"/>
      <c r="E3487" s="882"/>
      <c r="F3487" s="877"/>
      <c r="G3487" s="882"/>
      <c r="H3487" s="882"/>
      <c r="I3487" s="503"/>
      <c r="J3487" s="882"/>
      <c r="K3487" s="882"/>
      <c r="L3487" s="882"/>
      <c r="M3487" s="882"/>
      <c r="N3487" s="882"/>
      <c r="O3487" s="882"/>
      <c r="P3487" s="882"/>
      <c r="Q3487" s="503"/>
      <c r="R3487" s="883">
        <f>$A3487*Q3487</f>
        <v>0</v>
      </c>
      <c r="S3487" s="503"/>
      <c r="T3487" s="884">
        <f>$A3487*S3487*$T$1</f>
        <v>0</v>
      </c>
    </row>
    <row r="3488" spans="1:41" s="504" customFormat="1" ht="12.6" thickBot="1">
      <c r="A3488" s="885" t="s">
        <v>142</v>
      </c>
      <c r="B3488" s="886">
        <f>(R3487+T3487)</f>
        <v>0</v>
      </c>
      <c r="C3488" s="887"/>
      <c r="D3488" s="887"/>
      <c r="E3488" s="887"/>
      <c r="F3488" s="888"/>
      <c r="G3488" s="887" t="s">
        <v>143</v>
      </c>
      <c r="H3488" s="887"/>
      <c r="I3488" s="889"/>
      <c r="J3488" s="887"/>
      <c r="K3488" s="887" t="s">
        <v>3</v>
      </c>
      <c r="L3488" s="890" t="s">
        <v>140</v>
      </c>
      <c r="M3488" s="890"/>
      <c r="N3488" s="890"/>
      <c r="O3488" s="890"/>
      <c r="P3488" s="890"/>
      <c r="Q3488" s="891"/>
      <c r="R3488" s="892">
        <f ca="1">SUM(R3484:R3487)</f>
        <v>24.125</v>
      </c>
      <c r="S3488" s="887"/>
      <c r="T3488" s="892">
        <f ca="1">SUM(T3484:T3487)</f>
        <v>3.2750000000000004</v>
      </c>
      <c r="U3488" s="514"/>
      <c r="V3488" s="514"/>
      <c r="W3488" s="514"/>
      <c r="X3488" s="514"/>
      <c r="Y3488" s="514"/>
      <c r="Z3488" s="514"/>
      <c r="AA3488" s="514"/>
      <c r="AB3488" s="514"/>
      <c r="AC3488" s="514"/>
      <c r="AD3488" s="514"/>
      <c r="AE3488" s="514"/>
      <c r="AF3488" s="514"/>
      <c r="AG3488" s="514"/>
      <c r="AH3488" s="514"/>
      <c r="AI3488" s="514"/>
      <c r="AJ3488" s="514"/>
      <c r="AK3488" s="514"/>
      <c r="AL3488" s="514"/>
      <c r="AM3488" s="514"/>
      <c r="AN3488" s="514"/>
      <c r="AO3488" s="514"/>
    </row>
    <row r="3489" spans="1:41" s="504" customFormat="1" ht="12" thickTop="1">
      <c r="A3489" s="50"/>
      <c r="B3489" s="40"/>
      <c r="C3489" s="50"/>
      <c r="E3489" s="41" t="s">
        <v>136</v>
      </c>
      <c r="F3489" s="41" t="s">
        <v>137</v>
      </c>
      <c r="G3489" s="50"/>
      <c r="H3489" s="50"/>
      <c r="I3489" s="50"/>
      <c r="J3489" s="50"/>
      <c r="K3489" s="50" t="s">
        <v>138</v>
      </c>
      <c r="L3489" s="50"/>
      <c r="M3489" s="50"/>
      <c r="N3489" s="50"/>
      <c r="O3489" s="51"/>
      <c r="P3489" s="50"/>
      <c r="Q3489" s="50"/>
      <c r="R3489" s="50"/>
      <c r="S3489" s="50"/>
      <c r="T3489" s="40"/>
      <c r="AG3489" s="867" t="s">
        <v>241</v>
      </c>
      <c r="AH3489" s="867" t="s">
        <v>242</v>
      </c>
      <c r="AI3489" s="867" t="s">
        <v>243</v>
      </c>
      <c r="AJ3489" s="867" t="s">
        <v>244</v>
      </c>
      <c r="AK3489" s="867" t="s">
        <v>245</v>
      </c>
      <c r="AM3489" s="868" t="s">
        <v>254</v>
      </c>
      <c r="AN3489" s="869" t="s">
        <v>255</v>
      </c>
      <c r="AO3489" s="505" t="s">
        <v>251</v>
      </c>
    </row>
    <row r="3490" spans="1:41" s="504" customFormat="1" ht="12" customHeight="1">
      <c r="A3490" s="870">
        <v>1</v>
      </c>
      <c r="B3490" s="871" t="s">
        <v>335</v>
      </c>
      <c r="C3490" s="872"/>
      <c r="D3490" s="873" t="s">
        <v>823</v>
      </c>
      <c r="E3490" s="874">
        <f ca="1">IF(AND($A3490=0,$A$1="DIF"),0, ROUND(ROUND(($R3495*$S$2+($T3495*$T$2))/A3490,2)*$C$2,2))</f>
        <v>173.56</v>
      </c>
      <c r="F3490" s="875">
        <f ca="1">ROUND($A3490*$E3490,2)</f>
        <v>173.56</v>
      </c>
      <c r="G3490" s="876" t="s">
        <v>139</v>
      </c>
      <c r="H3490" s="877"/>
      <c r="I3490" s="878"/>
      <c r="J3490" s="877"/>
      <c r="K3490" s="877" t="s">
        <v>3</v>
      </c>
      <c r="L3490" s="879" t="s">
        <v>140</v>
      </c>
      <c r="M3490" s="879"/>
      <c r="N3490" s="879"/>
      <c r="O3490" s="879"/>
      <c r="P3490" s="879"/>
      <c r="Q3490" s="50"/>
      <c r="T3490" s="880" t="str">
        <f ca="1">IF(AND($R3495=0,$T3495=0),"0.00","mu :" &amp; ROUND($F3490/$C$2/($R3495+$T3495*$D$9),2))</f>
        <v>mu :1.22</v>
      </c>
      <c r="W3490" s="507"/>
      <c r="AG3490" s="465">
        <f ca="1">IF($E3490=0,0,ROUND($R3495*$S$2*$C$2/$A3490,2))</f>
        <v>35.32</v>
      </c>
      <c r="AH3490" s="465">
        <f ca="1">$AG3490*$A3490</f>
        <v>35.32</v>
      </c>
      <c r="AI3490" s="508">
        <f ca="1">$E3490-$AG3490</f>
        <v>138.24</v>
      </c>
      <c r="AJ3490" s="508">
        <f ca="1">$A3490*$AI3490</f>
        <v>138.24</v>
      </c>
      <c r="AK3490" s="509">
        <f ca="1">ROUND(($AG3490+$AI3490)*$A3490,2)</f>
        <v>173.56</v>
      </c>
      <c r="AM3490" s="510">
        <f ca="1">ROUND(R3495,2)</f>
        <v>28.95</v>
      </c>
      <c r="AN3490" s="511">
        <f ca="1">ROUND(T3495,2)</f>
        <v>3.93</v>
      </c>
      <c r="AO3490" s="512">
        <f ca="1">ROUND(AM3490+AN3490,2)*A3490</f>
        <v>32.880000000000003</v>
      </c>
    </row>
    <row r="3491" spans="1:41" s="504" customFormat="1" ht="13.2">
      <c r="A3491" s="872"/>
      <c r="B3491"/>
      <c r="C3491" s="872"/>
      <c r="D3491" s="916" t="s">
        <v>402</v>
      </c>
      <c r="E3491" s="917"/>
      <c r="F3491" s="918"/>
      <c r="G3491" s="919"/>
      <c r="H3491" s="918"/>
      <c r="I3491" s="920"/>
      <c r="J3491" s="918"/>
      <c r="K3491" s="918"/>
      <c r="L3491" s="918"/>
      <c r="M3491" s="918"/>
      <c r="N3491" s="918"/>
      <c r="O3491" s="918"/>
      <c r="P3491" s="918"/>
      <c r="Q3491" s="921"/>
      <c r="R3491" s="513"/>
      <c r="S3491" s="881"/>
      <c r="T3491" s="877"/>
    </row>
    <row r="3492" spans="1:41" s="997" customFormat="1" ht="13.2">
      <c r="A3492"/>
      <c r="B3492" s="1065"/>
      <c r="C3492" s="1065" t="s">
        <v>1006</v>
      </c>
      <c r="D3492" s="1065" t="str">
        <f ca="1">CELL("Address",Elec_Rates!D$200)</f>
        <v>[EL25_0662B_Brittania_Hotel_Elec_Revised_Estim_B.xlsx]Elec_Rates!$D$200</v>
      </c>
      <c r="E3492" s="1066"/>
      <c r="F3492" s="1066"/>
      <c r="G3492" s="1067" t="s">
        <v>1007</v>
      </c>
      <c r="H3492" s="1067"/>
      <c r="I3492" s="1067"/>
      <c r="J3492" s="1067"/>
      <c r="K3492" s="1068"/>
      <c r="L3492" s="1066"/>
      <c r="M3492" s="1066"/>
      <c r="N3492" s="1066"/>
      <c r="O3492" s="1069"/>
      <c r="P3492" s="1066"/>
      <c r="Q3492" s="1070"/>
      <c r="R3492" s="1071"/>
      <c r="S3492" s="1070"/>
      <c r="T3492" s="1072"/>
      <c r="U3492" s="1073"/>
    </row>
    <row r="3493" spans="1:41" s="997" customFormat="1" ht="11.4">
      <c r="A3493" s="1074">
        <v>1</v>
      </c>
      <c r="B3493" s="1075">
        <v>3</v>
      </c>
      <c r="C3493" s="1075">
        <f>$A3493*$B3493</f>
        <v>3</v>
      </c>
      <c r="D3493" s="1076" t="str">
        <f>Elec_Rates!$D$200</f>
        <v>019# Lighting point in LSZH Conduit</v>
      </c>
      <c r="E3493" s="1076"/>
      <c r="F3493" s="1076" t="s">
        <v>1295</v>
      </c>
      <c r="G3493" s="1077" t="s">
        <v>1008</v>
      </c>
      <c r="H3493" s="1077"/>
      <c r="I3493" s="1077"/>
      <c r="J3493" s="1077"/>
      <c r="K3493" s="1078"/>
      <c r="L3493" s="1073"/>
      <c r="M3493" s="1073"/>
      <c r="N3493" s="1073"/>
      <c r="O3493" s="1079"/>
      <c r="P3493" s="1076"/>
      <c r="Q3493" s="1080">
        <f ca="1">$B3493*Elec_Rates!$R$200</f>
        <v>28.950000000000003</v>
      </c>
      <c r="R3493" s="1071">
        <f ca="1">$A3493*Q3493</f>
        <v>28.950000000000003</v>
      </c>
      <c r="S3493" s="1080">
        <f ca="1">$B3493*Elec_Rates!$T$200</f>
        <v>3.93</v>
      </c>
      <c r="T3493" s="1072">
        <f ca="1">$A3493*S3493</f>
        <v>3.93</v>
      </c>
      <c r="U3493" s="1081"/>
    </row>
    <row r="3494" spans="1:41" s="504" customFormat="1" ht="12">
      <c r="A3494" s="882"/>
      <c r="B3494" s="882"/>
      <c r="C3494" s="882"/>
      <c r="D3494" s="882"/>
      <c r="E3494" s="882"/>
      <c r="F3494" s="877"/>
      <c r="G3494" s="882"/>
      <c r="H3494" s="882"/>
      <c r="I3494" s="503"/>
      <c r="J3494" s="882"/>
      <c r="K3494" s="882"/>
      <c r="L3494" s="882"/>
      <c r="M3494" s="882"/>
      <c r="N3494" s="882"/>
      <c r="O3494" s="882"/>
      <c r="P3494" s="882"/>
      <c r="Q3494" s="503"/>
      <c r="R3494" s="883">
        <f>$A3494*Q3494</f>
        <v>0</v>
      </c>
      <c r="S3494" s="503"/>
      <c r="T3494" s="884">
        <f>$A3494*S3494*$T$1</f>
        <v>0</v>
      </c>
    </row>
    <row r="3495" spans="1:41" s="504" customFormat="1" ht="12.6" thickBot="1">
      <c r="A3495" s="885" t="s">
        <v>142</v>
      </c>
      <c r="B3495" s="886">
        <f>(R3494+T3494)</f>
        <v>0</v>
      </c>
      <c r="C3495" s="887"/>
      <c r="D3495" s="887"/>
      <c r="E3495" s="887"/>
      <c r="F3495" s="888"/>
      <c r="G3495" s="887" t="s">
        <v>143</v>
      </c>
      <c r="H3495" s="887"/>
      <c r="I3495" s="889"/>
      <c r="J3495" s="887"/>
      <c r="K3495" s="887" t="s">
        <v>3</v>
      </c>
      <c r="L3495" s="890" t="s">
        <v>140</v>
      </c>
      <c r="M3495" s="890"/>
      <c r="N3495" s="890"/>
      <c r="O3495" s="890"/>
      <c r="P3495" s="890"/>
      <c r="Q3495" s="891"/>
      <c r="R3495" s="892">
        <f ca="1">SUM(R3491:R3494)</f>
        <v>28.950000000000003</v>
      </c>
      <c r="S3495" s="887"/>
      <c r="T3495" s="892">
        <f ca="1">SUM(T3491:T3494)</f>
        <v>3.93</v>
      </c>
      <c r="U3495" s="514"/>
      <c r="V3495" s="514"/>
      <c r="W3495" s="514"/>
      <c r="X3495" s="514"/>
      <c r="Y3495" s="514"/>
      <c r="Z3495" s="514"/>
      <c r="AA3495" s="514"/>
      <c r="AB3495" s="514"/>
      <c r="AC3495" s="514"/>
      <c r="AD3495" s="514"/>
      <c r="AE3495" s="514"/>
      <c r="AF3495" s="514"/>
      <c r="AG3495" s="514"/>
      <c r="AH3495" s="514"/>
      <c r="AI3495" s="514"/>
      <c r="AJ3495" s="514"/>
      <c r="AK3495" s="514"/>
      <c r="AL3495" s="514"/>
      <c r="AM3495" s="514"/>
      <c r="AN3495" s="514"/>
      <c r="AO3495" s="514"/>
    </row>
    <row r="3496" spans="1:41" s="504" customFormat="1" ht="12" thickTop="1">
      <c r="A3496" s="50"/>
      <c r="B3496" s="40"/>
      <c r="C3496" s="50"/>
      <c r="E3496" s="41" t="s">
        <v>136</v>
      </c>
      <c r="F3496" s="41" t="s">
        <v>137</v>
      </c>
      <c r="G3496" s="50"/>
      <c r="H3496" s="50"/>
      <c r="I3496" s="50"/>
      <c r="J3496" s="50"/>
      <c r="K3496" s="50" t="s">
        <v>138</v>
      </c>
      <c r="L3496" s="50"/>
      <c r="M3496" s="50"/>
      <c r="N3496" s="50"/>
      <c r="O3496" s="51"/>
      <c r="P3496" s="50"/>
      <c r="Q3496" s="50"/>
      <c r="R3496" s="50"/>
      <c r="S3496" s="50"/>
      <c r="T3496" s="40"/>
      <c r="AG3496" s="867" t="s">
        <v>241</v>
      </c>
      <c r="AH3496" s="867" t="s">
        <v>242</v>
      </c>
      <c r="AI3496" s="867" t="s">
        <v>243</v>
      </c>
      <c r="AJ3496" s="867" t="s">
        <v>244</v>
      </c>
      <c r="AK3496" s="867" t="s">
        <v>245</v>
      </c>
      <c r="AM3496" s="868" t="s">
        <v>254</v>
      </c>
      <c r="AN3496" s="869" t="s">
        <v>255</v>
      </c>
      <c r="AO3496" s="505" t="s">
        <v>251</v>
      </c>
    </row>
    <row r="3497" spans="1:41" s="504" customFormat="1" ht="12" customHeight="1">
      <c r="A3497" s="870">
        <v>2</v>
      </c>
      <c r="B3497" s="871" t="s">
        <v>335</v>
      </c>
      <c r="C3497" s="872"/>
      <c r="D3497" s="873" t="s">
        <v>824</v>
      </c>
      <c r="E3497" s="874">
        <f ca="1">IF(AND($A3497=0,$A$1="DIF"),0, ROUND(ROUND(($R3504*$S$2+($T3504*$T$2))/A3497,2)*$C$2,2))</f>
        <v>88.56</v>
      </c>
      <c r="F3497" s="875">
        <f ca="1">ROUND($A3497*$E3497,2)</f>
        <v>177.12</v>
      </c>
      <c r="G3497" s="876" t="s">
        <v>139</v>
      </c>
      <c r="H3497" s="877"/>
      <c r="I3497" s="878"/>
      <c r="J3497" s="877"/>
      <c r="K3497" s="877" t="s">
        <v>3</v>
      </c>
      <c r="L3497" s="879" t="s">
        <v>140</v>
      </c>
      <c r="M3497" s="879"/>
      <c r="N3497" s="879"/>
      <c r="O3497" s="879"/>
      <c r="P3497" s="879"/>
      <c r="Q3497" s="50"/>
      <c r="T3497" s="880" t="str">
        <f ca="1">IF(AND($R3504=0,$T3504=0),"0.00","mu :" &amp; ROUND($F3497/$C$2/($R3504+$T3504*$D$9),2))</f>
        <v>mu :1.22</v>
      </c>
      <c r="W3497" s="507"/>
      <c r="AG3497" s="465">
        <f ca="1">IF($E3497=0,0,ROUND($R3504*$S$2*$C$2/$A3497,2))</f>
        <v>33.33</v>
      </c>
      <c r="AH3497" s="465">
        <f ca="1">$AG3497*$A3497</f>
        <v>66.66</v>
      </c>
      <c r="AI3497" s="508">
        <f ca="1">$E3497-$AG3497</f>
        <v>55.230000000000004</v>
      </c>
      <c r="AJ3497" s="508">
        <f ca="1">$A3497*$AI3497</f>
        <v>110.46000000000001</v>
      </c>
      <c r="AK3497" s="509">
        <f ca="1">ROUND(($AG3497+$AI3497)*$A3497,2)</f>
        <v>177.12</v>
      </c>
      <c r="AM3497" s="510">
        <f ca="1">ROUND(R3504,2)</f>
        <v>54.64</v>
      </c>
      <c r="AN3497" s="511">
        <f ca="1">ROUND(T3504,2)</f>
        <v>3.14</v>
      </c>
      <c r="AO3497" s="512">
        <f ca="1">ROUND(AM3497+AN3497,2)*A3497</f>
        <v>115.56</v>
      </c>
    </row>
    <row r="3498" spans="1:41" s="504" customFormat="1" ht="13.2">
      <c r="A3498" s="872"/>
      <c r="B3498"/>
      <c r="C3498" s="872"/>
      <c r="D3498" s="873" t="s">
        <v>340</v>
      </c>
      <c r="F3498" s="877"/>
      <c r="G3498" s="3"/>
      <c r="H3498" s="877"/>
      <c r="I3498" s="878"/>
      <c r="J3498" s="877"/>
      <c r="K3498" s="877" t="s">
        <v>141</v>
      </c>
      <c r="L3498" s="877"/>
      <c r="M3498" s="877"/>
      <c r="N3498" s="877"/>
      <c r="O3498" s="877"/>
      <c r="P3498" s="877"/>
      <c r="Q3498" s="50"/>
      <c r="R3498" s="513"/>
      <c r="S3498" s="881"/>
      <c r="T3498" s="877"/>
    </row>
    <row r="3499" spans="1:41" s="997" customFormat="1" ht="13.2">
      <c r="A3499"/>
      <c r="B3499" s="1065"/>
      <c r="C3499" s="1065" t="s">
        <v>1006</v>
      </c>
      <c r="D3499" s="1065" t="str">
        <f ca="1">CELL("Address",Elec_Rates!D$200)</f>
        <v>[EL25_0662B_Brittania_Hotel_Elec_Revised_Estim_B.xlsx]Elec_Rates!$D$200</v>
      </c>
      <c r="E3499" s="1066"/>
      <c r="F3499" s="1066"/>
      <c r="G3499" s="1067" t="s">
        <v>1007</v>
      </c>
      <c r="H3499" s="1067"/>
      <c r="I3499" s="1067"/>
      <c r="J3499" s="1067"/>
      <c r="K3499" s="1068"/>
      <c r="L3499" s="1066"/>
      <c r="M3499" s="1066"/>
      <c r="N3499" s="1066"/>
      <c r="O3499" s="1069"/>
      <c r="P3499" s="1066"/>
      <c r="Q3499" s="1070"/>
      <c r="R3499" s="1071"/>
      <c r="S3499" s="1070"/>
      <c r="T3499" s="1072"/>
      <c r="U3499" s="1073"/>
    </row>
    <row r="3500" spans="1:41" s="997" customFormat="1" ht="11.4">
      <c r="A3500" s="1074">
        <v>2</v>
      </c>
      <c r="B3500" s="1075">
        <v>1</v>
      </c>
      <c r="C3500" s="1075">
        <f>$A3500*$B3500</f>
        <v>2</v>
      </c>
      <c r="D3500" s="1076" t="str">
        <f>Elec_Rates!$D$200</f>
        <v>019# Lighting point in LSZH Conduit</v>
      </c>
      <c r="E3500" s="1076"/>
      <c r="F3500" s="1076" t="s">
        <v>1169</v>
      </c>
      <c r="G3500" s="1077" t="s">
        <v>1008</v>
      </c>
      <c r="H3500" s="1077"/>
      <c r="I3500" s="1077"/>
      <c r="J3500" s="1077"/>
      <c r="K3500" s="1078"/>
      <c r="L3500" s="1073"/>
      <c r="M3500" s="1073"/>
      <c r="N3500" s="1073"/>
      <c r="O3500" s="1079"/>
      <c r="P3500" s="1076"/>
      <c r="Q3500" s="1080">
        <f ca="1">$B3500*Elec_Rates!$R$200</f>
        <v>9.65</v>
      </c>
      <c r="R3500" s="1071">
        <f ca="1">$A3500*Q3500</f>
        <v>19.3</v>
      </c>
      <c r="S3500" s="1080">
        <f ca="1">$B3500*Elec_Rates!$T$200</f>
        <v>1.31</v>
      </c>
      <c r="T3500" s="1072">
        <f ca="1">$A3500*S3500</f>
        <v>2.62</v>
      </c>
      <c r="U3500" s="1081"/>
    </row>
    <row r="3501" spans="1:41" s="997" customFormat="1" ht="13.2">
      <c r="A3501"/>
      <c r="B3501" s="1065"/>
      <c r="C3501" s="1065" t="s">
        <v>1006</v>
      </c>
      <c r="D3501" s="1065" t="str">
        <f ca="1">CELL("Address",Elec_Rates!D$210)</f>
        <v>[EL25_0662B_Brittania_Hotel_Elec_Revised_Estim_B.xlsx]Elec_Rates!$D$210</v>
      </c>
      <c r="E3501" s="1066"/>
      <c r="F3501" s="1066"/>
      <c r="G3501" s="1067" t="s">
        <v>1007</v>
      </c>
      <c r="H3501" s="1067"/>
      <c r="I3501" s="1067"/>
      <c r="J3501" s="1067"/>
      <c r="K3501" s="1068"/>
      <c r="L3501" s="1066"/>
      <c r="M3501" s="1066"/>
      <c r="N3501" s="1066"/>
      <c r="O3501" s="1069"/>
      <c r="P3501" s="1066"/>
      <c r="Q3501" s="1070"/>
      <c r="R3501" s="1071"/>
      <c r="S3501" s="1070"/>
      <c r="T3501" s="1072"/>
      <c r="U3501" s="1073"/>
    </row>
    <row r="3502" spans="1:41" s="997" customFormat="1" ht="11.4">
      <c r="A3502" s="1074">
        <v>2</v>
      </c>
      <c r="B3502" s="1075">
        <v>1</v>
      </c>
      <c r="C3502" s="1075">
        <f>$A3502*$B3502</f>
        <v>2</v>
      </c>
      <c r="D3502" s="1076" t="str">
        <f>Elec_Rates!$D$210</f>
        <v>020# Movement Detector</v>
      </c>
      <c r="E3502" s="1076"/>
      <c r="F3502" s="1076"/>
      <c r="G3502" s="1077" t="s">
        <v>1008</v>
      </c>
      <c r="H3502" s="1077"/>
      <c r="I3502" s="1077"/>
      <c r="J3502" s="1077"/>
      <c r="K3502" s="1078"/>
      <c r="L3502" s="1073"/>
      <c r="M3502" s="1073"/>
      <c r="N3502" s="1073"/>
      <c r="O3502" s="1079"/>
      <c r="P3502" s="1076"/>
      <c r="Q3502" s="1080">
        <f ca="1">$B3502*Elec_Rates!$R$210</f>
        <v>17.670000000000002</v>
      </c>
      <c r="R3502" s="1071">
        <f ca="1">$A3502*Q3502</f>
        <v>35.340000000000003</v>
      </c>
      <c r="S3502" s="1080">
        <f ca="1">$B3502*Elec_Rates!$T$210</f>
        <v>0.26</v>
      </c>
      <c r="T3502" s="1072">
        <f ca="1">$A3502*S3502</f>
        <v>0.52</v>
      </c>
      <c r="U3502" s="1081"/>
    </row>
    <row r="3503" spans="1:41" s="504" customFormat="1" ht="12">
      <c r="A3503" s="882"/>
      <c r="B3503" s="882"/>
      <c r="C3503" s="882"/>
      <c r="D3503" s="882"/>
      <c r="E3503" s="882"/>
      <c r="F3503" s="877"/>
      <c r="G3503" s="882"/>
      <c r="H3503" s="882"/>
      <c r="I3503" s="503"/>
      <c r="J3503" s="882"/>
      <c r="K3503" s="882"/>
      <c r="L3503" s="882"/>
      <c r="M3503" s="882"/>
      <c r="N3503" s="882"/>
      <c r="O3503" s="882"/>
      <c r="P3503" s="882"/>
      <c r="Q3503" s="503"/>
      <c r="R3503" s="883">
        <f>$A3503*Q3503</f>
        <v>0</v>
      </c>
      <c r="S3503" s="503"/>
      <c r="T3503" s="884">
        <f>$A3503*S3503*$T$1</f>
        <v>0</v>
      </c>
    </row>
    <row r="3504" spans="1:41" s="504" customFormat="1" ht="12.6" thickBot="1">
      <c r="A3504" s="885" t="s">
        <v>142</v>
      </c>
      <c r="B3504" s="886">
        <f>(R3503+T3503)</f>
        <v>0</v>
      </c>
      <c r="C3504" s="887"/>
      <c r="D3504" s="887"/>
      <c r="E3504" s="887"/>
      <c r="F3504" s="888"/>
      <c r="G3504" s="887" t="s">
        <v>143</v>
      </c>
      <c r="H3504" s="887"/>
      <c r="I3504" s="889"/>
      <c r="J3504" s="887"/>
      <c r="K3504" s="887" t="s">
        <v>3</v>
      </c>
      <c r="L3504" s="890" t="s">
        <v>140</v>
      </c>
      <c r="M3504" s="890"/>
      <c r="N3504" s="890"/>
      <c r="O3504" s="890"/>
      <c r="P3504" s="890"/>
      <c r="Q3504" s="891"/>
      <c r="R3504" s="892">
        <f ca="1">SUM(R3498:R3503)</f>
        <v>54.64</v>
      </c>
      <c r="S3504" s="887"/>
      <c r="T3504" s="892">
        <f ca="1">SUM(T3498:T3503)</f>
        <v>3.14</v>
      </c>
      <c r="U3504" s="514"/>
      <c r="V3504" s="514"/>
      <c r="W3504" s="514"/>
      <c r="X3504" s="514"/>
      <c r="Y3504" s="514"/>
      <c r="Z3504" s="514"/>
      <c r="AA3504" s="514"/>
      <c r="AB3504" s="514"/>
      <c r="AC3504" s="514"/>
      <c r="AD3504" s="514"/>
      <c r="AE3504" s="514"/>
      <c r="AF3504" s="514"/>
      <c r="AG3504" s="514"/>
      <c r="AH3504" s="514"/>
      <c r="AI3504" s="514"/>
      <c r="AJ3504" s="514"/>
      <c r="AK3504" s="514"/>
      <c r="AL3504" s="514"/>
      <c r="AM3504" s="514"/>
      <c r="AN3504" s="514"/>
      <c r="AO3504" s="514"/>
    </row>
    <row r="3505" spans="1:41" s="504" customFormat="1" ht="12" thickTop="1">
      <c r="A3505" s="50"/>
      <c r="B3505" s="40"/>
      <c r="C3505" s="50"/>
      <c r="E3505" s="41" t="s">
        <v>136</v>
      </c>
      <c r="F3505" s="41" t="s">
        <v>137</v>
      </c>
      <c r="G3505" s="50"/>
      <c r="H3505" s="50"/>
      <c r="I3505" s="50"/>
      <c r="J3505" s="50"/>
      <c r="K3505" s="50" t="s">
        <v>138</v>
      </c>
      <c r="L3505" s="50"/>
      <c r="M3505" s="50"/>
      <c r="N3505" s="50"/>
      <c r="O3505" s="51"/>
      <c r="P3505" s="50"/>
      <c r="Q3505" s="50"/>
      <c r="R3505" s="50"/>
      <c r="S3505" s="50"/>
      <c r="T3505" s="40"/>
      <c r="AG3505" s="867" t="s">
        <v>241</v>
      </c>
      <c r="AH3505" s="867" t="s">
        <v>242</v>
      </c>
      <c r="AI3505" s="867" t="s">
        <v>243</v>
      </c>
      <c r="AJ3505" s="867" t="s">
        <v>244</v>
      </c>
      <c r="AK3505" s="867" t="s">
        <v>245</v>
      </c>
      <c r="AM3505" s="868" t="s">
        <v>254</v>
      </c>
      <c r="AN3505" s="869" t="s">
        <v>255</v>
      </c>
      <c r="AO3505" s="505" t="s">
        <v>251</v>
      </c>
    </row>
    <row r="3506" spans="1:41" s="504" customFormat="1" ht="12" customHeight="1">
      <c r="A3506" s="870">
        <v>1</v>
      </c>
      <c r="B3506" s="871" t="s">
        <v>335</v>
      </c>
      <c r="C3506" s="872"/>
      <c r="D3506" s="873" t="s">
        <v>825</v>
      </c>
      <c r="E3506" s="874">
        <f ca="1">IF(AND($A3506=0,$A$1="DIF"),0, ROUND(ROUND(($R3513*$S$2+($T3513*$T$2))/A3506,2)*$C$2,2))</f>
        <v>146.41</v>
      </c>
      <c r="F3506" s="875">
        <f ca="1">ROUND($A3506*$E3506,2)</f>
        <v>146.41</v>
      </c>
      <c r="G3506" s="876" t="s">
        <v>139</v>
      </c>
      <c r="H3506" s="877"/>
      <c r="I3506" s="878"/>
      <c r="J3506" s="877"/>
      <c r="K3506" s="877" t="s">
        <v>3</v>
      </c>
      <c r="L3506" s="879" t="s">
        <v>140</v>
      </c>
      <c r="M3506" s="879"/>
      <c r="N3506" s="879"/>
      <c r="O3506" s="879"/>
      <c r="P3506" s="879"/>
      <c r="Q3506" s="50"/>
      <c r="T3506" s="880" t="str">
        <f ca="1">IF(AND($R3513=0,$T3513=0),"0.00","mu :" &amp; ROUND($F3506/$C$2/($R3513+$T3513*$D$9),2))</f>
        <v>mu :1.22</v>
      </c>
      <c r="W3506" s="507"/>
      <c r="AG3506" s="465">
        <f ca="1">IF($E3506=0,0,ROUND($R3513*$S$2*$C$2/$A3506,2))</f>
        <v>45.1</v>
      </c>
      <c r="AH3506" s="465">
        <f ca="1">$AG3506*$A3506</f>
        <v>45.1</v>
      </c>
      <c r="AI3506" s="508">
        <f ca="1">$E3506-$AG3506</f>
        <v>101.31</v>
      </c>
      <c r="AJ3506" s="508">
        <f ca="1">$A3506*$AI3506</f>
        <v>101.31</v>
      </c>
      <c r="AK3506" s="509">
        <f ca="1">ROUND(($AG3506+$AI3506)*$A3506,2)</f>
        <v>146.41</v>
      </c>
      <c r="AM3506" s="510">
        <f ca="1">ROUND(R3513,2)</f>
        <v>36.97</v>
      </c>
      <c r="AN3506" s="511">
        <f ca="1">ROUND(T3513,2)</f>
        <v>2.88</v>
      </c>
      <c r="AO3506" s="512">
        <f ca="1">ROUND(AM3506+AN3506,2)*A3506</f>
        <v>39.85</v>
      </c>
    </row>
    <row r="3507" spans="1:41" s="504" customFormat="1" ht="13.2">
      <c r="A3507" s="872"/>
      <c r="B3507"/>
      <c r="C3507" s="872"/>
      <c r="D3507" s="873" t="s">
        <v>468</v>
      </c>
      <c r="F3507" s="877"/>
      <c r="G3507" s="3"/>
      <c r="H3507" s="877"/>
      <c r="I3507" s="878"/>
      <c r="J3507" s="877"/>
      <c r="K3507" s="877" t="s">
        <v>141</v>
      </c>
      <c r="L3507" s="877"/>
      <c r="M3507" s="877"/>
      <c r="N3507" s="877"/>
      <c r="O3507" s="877"/>
      <c r="P3507" s="877"/>
      <c r="Q3507" s="50"/>
      <c r="R3507" s="513"/>
      <c r="S3507" s="881"/>
      <c r="T3507" s="877"/>
    </row>
    <row r="3508" spans="1:41" s="997" customFormat="1" ht="13.2">
      <c r="A3508"/>
      <c r="B3508" s="1065"/>
      <c r="C3508" s="1065" t="s">
        <v>1006</v>
      </c>
      <c r="D3508" s="1065" t="str">
        <f ca="1">CELL("Address",Elec_Rates!D$200)</f>
        <v>[EL25_0662B_Brittania_Hotel_Elec_Revised_Estim_B.xlsx]Elec_Rates!$D$200</v>
      </c>
      <c r="E3508" s="1066"/>
      <c r="F3508" s="1066"/>
      <c r="G3508" s="1067" t="s">
        <v>1007</v>
      </c>
      <c r="H3508" s="1067"/>
      <c r="I3508" s="1067"/>
      <c r="J3508" s="1067"/>
      <c r="K3508" s="1068"/>
      <c r="L3508" s="1066"/>
      <c r="M3508" s="1066"/>
      <c r="N3508" s="1066"/>
      <c r="O3508" s="1069"/>
      <c r="P3508" s="1066"/>
      <c r="Q3508" s="1070"/>
      <c r="R3508" s="1071"/>
      <c r="S3508" s="1070"/>
      <c r="T3508" s="1072"/>
      <c r="U3508" s="1073"/>
    </row>
    <row r="3509" spans="1:41" s="997" customFormat="1" ht="11.4">
      <c r="A3509" s="1074">
        <v>1</v>
      </c>
      <c r="B3509" s="1075">
        <v>2</v>
      </c>
      <c r="C3509" s="1075">
        <f>$A3509*$B3509</f>
        <v>2</v>
      </c>
      <c r="D3509" s="1076" t="str">
        <f>Elec_Rates!$D$200</f>
        <v>019# Lighting point in LSZH Conduit</v>
      </c>
      <c r="E3509" s="1076"/>
      <c r="F3509" s="1076" t="s">
        <v>1316</v>
      </c>
      <c r="G3509" s="1077" t="s">
        <v>1008</v>
      </c>
      <c r="H3509" s="1077"/>
      <c r="I3509" s="1077"/>
      <c r="J3509" s="1077"/>
      <c r="K3509" s="1078"/>
      <c r="L3509" s="1073"/>
      <c r="M3509" s="1073"/>
      <c r="N3509" s="1073"/>
      <c r="O3509" s="1079"/>
      <c r="P3509" s="1076"/>
      <c r="Q3509" s="1080">
        <f ca="1">$B3509*Elec_Rates!$R$200</f>
        <v>19.3</v>
      </c>
      <c r="R3509" s="1071">
        <f ca="1">$A3509*Q3509</f>
        <v>19.3</v>
      </c>
      <c r="S3509" s="1080">
        <f ca="1">$B3509*Elec_Rates!$T$200</f>
        <v>2.62</v>
      </c>
      <c r="T3509" s="1072">
        <f ca="1">$A3509*S3509</f>
        <v>2.62</v>
      </c>
      <c r="U3509" s="1081"/>
    </row>
    <row r="3510" spans="1:41" s="997" customFormat="1" ht="13.2">
      <c r="A3510"/>
      <c r="B3510" s="1065"/>
      <c r="C3510" s="1065" t="s">
        <v>1006</v>
      </c>
      <c r="D3510" s="1065" t="str">
        <f ca="1">CELL("Address",Elec_Rates!D$210)</f>
        <v>[EL25_0662B_Brittania_Hotel_Elec_Revised_Estim_B.xlsx]Elec_Rates!$D$210</v>
      </c>
      <c r="E3510" s="1066"/>
      <c r="F3510" s="1066"/>
      <c r="G3510" s="1067" t="s">
        <v>1007</v>
      </c>
      <c r="H3510" s="1067"/>
      <c r="I3510" s="1067"/>
      <c r="J3510" s="1067"/>
      <c r="K3510" s="1068"/>
      <c r="L3510" s="1066"/>
      <c r="M3510" s="1066"/>
      <c r="N3510" s="1066"/>
      <c r="O3510" s="1069"/>
      <c r="P3510" s="1066"/>
      <c r="Q3510" s="1070"/>
      <c r="R3510" s="1071"/>
      <c r="S3510" s="1070"/>
      <c r="T3510" s="1072"/>
      <c r="U3510" s="1073"/>
    </row>
    <row r="3511" spans="1:41" s="997" customFormat="1" ht="11.4">
      <c r="A3511" s="1074">
        <v>1</v>
      </c>
      <c r="B3511" s="1075">
        <v>1</v>
      </c>
      <c r="C3511" s="1075">
        <f>$A3511*$B3511</f>
        <v>1</v>
      </c>
      <c r="D3511" s="1076" t="str">
        <f>Elec_Rates!$D$210</f>
        <v>020# Movement Detector</v>
      </c>
      <c r="E3511" s="1076"/>
      <c r="F3511" s="1076"/>
      <c r="G3511" s="1077" t="s">
        <v>1008</v>
      </c>
      <c r="H3511" s="1077"/>
      <c r="I3511" s="1077"/>
      <c r="J3511" s="1077"/>
      <c r="K3511" s="1078"/>
      <c r="L3511" s="1073"/>
      <c r="M3511" s="1073"/>
      <c r="N3511" s="1073"/>
      <c r="O3511" s="1079"/>
      <c r="P3511" s="1076"/>
      <c r="Q3511" s="1080">
        <f ca="1">$B3511*Elec_Rates!$R$210</f>
        <v>17.670000000000002</v>
      </c>
      <c r="R3511" s="1071">
        <f ca="1">$A3511*Q3511</f>
        <v>17.670000000000002</v>
      </c>
      <c r="S3511" s="1080">
        <f ca="1">$B3511*Elec_Rates!$T$210</f>
        <v>0.26</v>
      </c>
      <c r="T3511" s="1072">
        <f ca="1">$A3511*S3511</f>
        <v>0.26</v>
      </c>
      <c r="U3511" s="1081"/>
    </row>
    <row r="3512" spans="1:41" s="504" customFormat="1" ht="12">
      <c r="A3512" s="882"/>
      <c r="B3512" s="882"/>
      <c r="C3512" s="882"/>
      <c r="D3512" s="882"/>
      <c r="E3512" s="882"/>
      <c r="F3512" s="877"/>
      <c r="G3512" s="882"/>
      <c r="H3512" s="882"/>
      <c r="I3512" s="503"/>
      <c r="J3512" s="882"/>
      <c r="K3512" s="882"/>
      <c r="L3512" s="882"/>
      <c r="M3512" s="882"/>
      <c r="N3512" s="882"/>
      <c r="O3512" s="882"/>
      <c r="P3512" s="882"/>
      <c r="Q3512" s="503"/>
      <c r="R3512" s="883">
        <f>$A3512*Q3512</f>
        <v>0</v>
      </c>
      <c r="S3512" s="503"/>
      <c r="T3512" s="884">
        <f>$A3512*S3512*$T$1</f>
        <v>0</v>
      </c>
    </row>
    <row r="3513" spans="1:41" s="504" customFormat="1" ht="12.6" thickBot="1">
      <c r="A3513" s="885" t="s">
        <v>142</v>
      </c>
      <c r="B3513" s="886">
        <f>(R3512+T3512)</f>
        <v>0</v>
      </c>
      <c r="C3513" s="887"/>
      <c r="D3513" s="887"/>
      <c r="E3513" s="887"/>
      <c r="F3513" s="888"/>
      <c r="G3513" s="887" t="s">
        <v>143</v>
      </c>
      <c r="H3513" s="887"/>
      <c r="I3513" s="889"/>
      <c r="J3513" s="887"/>
      <c r="K3513" s="887" t="s">
        <v>3</v>
      </c>
      <c r="L3513" s="890" t="s">
        <v>140</v>
      </c>
      <c r="M3513" s="890"/>
      <c r="N3513" s="890"/>
      <c r="O3513" s="890"/>
      <c r="P3513" s="890"/>
      <c r="Q3513" s="891"/>
      <c r="R3513" s="892">
        <f ca="1">SUM(R3507:R3512)</f>
        <v>36.97</v>
      </c>
      <c r="S3513" s="887"/>
      <c r="T3513" s="892">
        <f ca="1">SUM(T3507:T3512)</f>
        <v>2.88</v>
      </c>
      <c r="U3513" s="514"/>
      <c r="V3513" s="514"/>
      <c r="W3513" s="514"/>
      <c r="X3513" s="514"/>
      <c r="Y3513" s="514"/>
      <c r="Z3513" s="514"/>
      <c r="AA3513" s="514"/>
      <c r="AB3513" s="514"/>
      <c r="AC3513" s="514"/>
      <c r="AD3513" s="514"/>
      <c r="AE3513" s="514"/>
      <c r="AF3513" s="514"/>
      <c r="AG3513" s="514"/>
      <c r="AH3513" s="514"/>
      <c r="AI3513" s="514"/>
      <c r="AJ3513" s="514"/>
      <c r="AK3513" s="514"/>
      <c r="AL3513" s="514"/>
      <c r="AM3513" s="514"/>
      <c r="AN3513" s="514"/>
      <c r="AO3513" s="514"/>
    </row>
    <row r="3514" spans="1:41" s="504" customFormat="1" ht="12" thickTop="1">
      <c r="A3514" s="50"/>
      <c r="B3514" s="40"/>
      <c r="C3514" s="50"/>
      <c r="E3514" s="41" t="s">
        <v>136</v>
      </c>
      <c r="F3514" s="41" t="s">
        <v>137</v>
      </c>
      <c r="G3514" s="50"/>
      <c r="H3514" s="50"/>
      <c r="I3514" s="50"/>
      <c r="J3514" s="50"/>
      <c r="K3514" s="50" t="s">
        <v>138</v>
      </c>
      <c r="L3514" s="50"/>
      <c r="M3514" s="50"/>
      <c r="N3514" s="50"/>
      <c r="O3514" s="51"/>
      <c r="P3514" s="50"/>
      <c r="Q3514" s="50"/>
      <c r="R3514" s="50"/>
      <c r="S3514" s="50"/>
      <c r="T3514" s="40"/>
      <c r="AG3514" s="867" t="s">
        <v>241</v>
      </c>
      <c r="AH3514" s="867" t="s">
        <v>242</v>
      </c>
      <c r="AI3514" s="867" t="s">
        <v>243</v>
      </c>
      <c r="AJ3514" s="867" t="s">
        <v>244</v>
      </c>
      <c r="AK3514" s="867" t="s">
        <v>245</v>
      </c>
      <c r="AM3514" s="868" t="s">
        <v>254</v>
      </c>
      <c r="AN3514" s="869" t="s">
        <v>255</v>
      </c>
      <c r="AO3514" s="505" t="s">
        <v>251</v>
      </c>
    </row>
    <row r="3515" spans="1:41" s="504" customFormat="1" ht="12" customHeight="1">
      <c r="A3515" s="870">
        <v>1</v>
      </c>
      <c r="B3515" s="871" t="s">
        <v>335</v>
      </c>
      <c r="C3515" s="872"/>
      <c r="D3515" s="873" t="s">
        <v>826</v>
      </c>
      <c r="E3515" s="874">
        <f ca="1">IF(AND($A3515=0,$A$1="DIF"),0, ROUND(ROUND(($R3524*$S$2+($T3524*$T$2))/A3515,2)*$C$2,2))</f>
        <v>286.81</v>
      </c>
      <c r="F3515" s="875">
        <f ca="1">ROUND($A3515*$E3515,2)</f>
        <v>286.81</v>
      </c>
      <c r="G3515" s="876" t="s">
        <v>139</v>
      </c>
      <c r="H3515" s="877"/>
      <c r="I3515" s="878"/>
      <c r="J3515" s="877"/>
      <c r="K3515" s="877" t="s">
        <v>3</v>
      </c>
      <c r="L3515" s="879" t="s">
        <v>140</v>
      </c>
      <c r="M3515" s="879"/>
      <c r="N3515" s="879"/>
      <c r="O3515" s="879"/>
      <c r="P3515" s="879"/>
      <c r="Q3515" s="50"/>
      <c r="T3515" s="880" t="str">
        <f ca="1">IF(AND($R3524=0,$T3524=0),"0.00","mu :" &amp; ROUND($F3515/$C$2/($R3524+$T3524*$D$9),2))</f>
        <v>mu :1.22</v>
      </c>
      <c r="W3515" s="507"/>
      <c r="AG3515" s="465">
        <f ca="1">IF($E3515=0,0,ROUND($R3524*$S$2*$C$2/$A3515,2))</f>
        <v>121.13</v>
      </c>
      <c r="AH3515" s="465">
        <f ca="1">$AG3515*$A3515</f>
        <v>121.13</v>
      </c>
      <c r="AI3515" s="508">
        <f ca="1">$E3515-$AG3515</f>
        <v>165.68</v>
      </c>
      <c r="AJ3515" s="508">
        <f ca="1">$A3515*$AI3515</f>
        <v>165.68</v>
      </c>
      <c r="AK3515" s="509">
        <f ca="1">ROUND(($AG3515+$AI3515)*$A3515,2)</f>
        <v>286.81</v>
      </c>
      <c r="AM3515" s="510">
        <f ca="1">ROUND(R3524,2)</f>
        <v>99.29</v>
      </c>
      <c r="AN3515" s="511">
        <f ca="1">ROUND(T3524,2)</f>
        <v>4.71</v>
      </c>
      <c r="AO3515" s="512">
        <f ca="1">ROUND(AM3515+AN3515,2)*A3515</f>
        <v>104</v>
      </c>
    </row>
    <row r="3516" spans="1:41" s="504" customFormat="1" ht="13.2">
      <c r="A3516" s="872"/>
      <c r="B3516"/>
      <c r="C3516" s="872"/>
      <c r="D3516" s="916" t="s">
        <v>469</v>
      </c>
      <c r="E3516" s="917"/>
      <c r="F3516" s="918"/>
      <c r="G3516" s="919"/>
      <c r="H3516" s="918"/>
      <c r="I3516" s="920"/>
      <c r="J3516" s="918"/>
      <c r="K3516" s="918"/>
      <c r="L3516" s="918"/>
      <c r="M3516" s="918"/>
      <c r="N3516" s="918"/>
      <c r="O3516" s="918"/>
      <c r="P3516" s="918"/>
      <c r="Q3516" s="921"/>
      <c r="R3516" s="513"/>
      <c r="S3516" s="881"/>
      <c r="T3516" s="877"/>
    </row>
    <row r="3517" spans="1:41" s="997" customFormat="1" ht="13.2">
      <c r="A3517"/>
      <c r="B3517" s="1065"/>
      <c r="C3517" s="1065" t="s">
        <v>1006</v>
      </c>
      <c r="D3517" s="1065" t="str">
        <f ca="1">CELL("Address",Elec_Rates!D$200)</f>
        <v>[EL25_0662B_Brittania_Hotel_Elec_Revised_Estim_B.xlsx]Elec_Rates!$D$200</v>
      </c>
      <c r="E3517" s="1066"/>
      <c r="F3517" s="1066"/>
      <c r="G3517" s="1067" t="s">
        <v>1007</v>
      </c>
      <c r="H3517" s="1067"/>
      <c r="I3517" s="1067"/>
      <c r="J3517" s="1067"/>
      <c r="K3517" s="1068"/>
      <c r="L3517" s="1066"/>
      <c r="M3517" s="1066"/>
      <c r="N3517" s="1066"/>
      <c r="O3517" s="1069"/>
      <c r="P3517" s="1066"/>
      <c r="Q3517" s="1070"/>
      <c r="R3517" s="1071"/>
      <c r="S3517" s="1070"/>
      <c r="T3517" s="1072"/>
      <c r="U3517" s="1073"/>
    </row>
    <row r="3518" spans="1:41" s="997" customFormat="1" ht="11.4">
      <c r="A3518" s="1074">
        <v>1</v>
      </c>
      <c r="B3518" s="1075">
        <v>3</v>
      </c>
      <c r="C3518" s="1075">
        <f>$A3518*$B3518</f>
        <v>3</v>
      </c>
      <c r="D3518" s="1076" t="str">
        <f>Elec_Rates!$D$200</f>
        <v>019# Lighting point in LSZH Conduit</v>
      </c>
      <c r="E3518" s="1076"/>
      <c r="F3518" s="1076"/>
      <c r="G3518" s="1077" t="s">
        <v>1008</v>
      </c>
      <c r="H3518" s="1077"/>
      <c r="I3518" s="1077"/>
      <c r="J3518" s="1077"/>
      <c r="K3518" s="1078"/>
      <c r="L3518" s="1073"/>
      <c r="M3518" s="1073"/>
      <c r="N3518" s="1073"/>
      <c r="O3518" s="1079"/>
      <c r="P3518" s="1076"/>
      <c r="Q3518" s="1080">
        <f ca="1">$B3518*Elec_Rates!$R$200</f>
        <v>28.950000000000003</v>
      </c>
      <c r="R3518" s="1071">
        <f ca="1">$A3518*Q3518</f>
        <v>28.950000000000003</v>
      </c>
      <c r="S3518" s="1080">
        <f ca="1">$B3518*Elec_Rates!$T$200</f>
        <v>3.93</v>
      </c>
      <c r="T3518" s="1072">
        <f ca="1">$A3518*S3518</f>
        <v>3.93</v>
      </c>
      <c r="U3518" s="1081"/>
    </row>
    <row r="3519" spans="1:41" s="997" customFormat="1" ht="13.2">
      <c r="A3519"/>
      <c r="B3519" s="1065"/>
      <c r="C3519" s="1065" t="s">
        <v>1006</v>
      </c>
      <c r="D3519" s="1065" t="str">
        <f ca="1">CELL("Address",Elec_Rates!D$210)</f>
        <v>[EL25_0662B_Brittania_Hotel_Elec_Revised_Estim_B.xlsx]Elec_Rates!$D$210</v>
      </c>
      <c r="E3519" s="1066"/>
      <c r="F3519" s="1066"/>
      <c r="G3519" s="1067" t="s">
        <v>1007</v>
      </c>
      <c r="H3519" s="1067"/>
      <c r="I3519" s="1067"/>
      <c r="J3519" s="1067"/>
      <c r="K3519" s="1068"/>
      <c r="L3519" s="1066"/>
      <c r="M3519" s="1066"/>
      <c r="N3519" s="1066"/>
      <c r="O3519" s="1069"/>
      <c r="P3519" s="1066"/>
      <c r="Q3519" s="1070"/>
      <c r="R3519" s="1071"/>
      <c r="S3519" s="1070"/>
      <c r="T3519" s="1072"/>
      <c r="U3519" s="1073"/>
    </row>
    <row r="3520" spans="1:41" s="997" customFormat="1" ht="11.4">
      <c r="A3520" s="1074">
        <v>1</v>
      </c>
      <c r="B3520" s="1075">
        <v>2</v>
      </c>
      <c r="C3520" s="1075">
        <f>$A3520*$B3520</f>
        <v>2</v>
      </c>
      <c r="D3520" s="1076" t="str">
        <f>Elec_Rates!$D$210</f>
        <v>020# Movement Detector</v>
      </c>
      <c r="E3520" s="1076"/>
      <c r="F3520" s="1076"/>
      <c r="G3520" s="1077" t="s">
        <v>1008</v>
      </c>
      <c r="H3520" s="1077"/>
      <c r="I3520" s="1077"/>
      <c r="J3520" s="1077"/>
      <c r="K3520" s="1078"/>
      <c r="L3520" s="1073"/>
      <c r="M3520" s="1073"/>
      <c r="N3520" s="1073"/>
      <c r="O3520" s="1079"/>
      <c r="P3520" s="1076"/>
      <c r="Q3520" s="1080">
        <f ca="1">$B3520*Elec_Rates!$R$210</f>
        <v>35.340000000000003</v>
      </c>
      <c r="R3520" s="1071">
        <f ca="1">$A3520*Q3520</f>
        <v>35.340000000000003</v>
      </c>
      <c r="S3520" s="1080">
        <f ca="1">$B3520*Elec_Rates!$T$210</f>
        <v>0.52</v>
      </c>
      <c r="T3520" s="1072">
        <f ca="1">$A3520*S3520</f>
        <v>0.52</v>
      </c>
      <c r="U3520" s="1081"/>
    </row>
    <row r="3521" spans="1:41" s="997" customFormat="1" ht="13.2">
      <c r="A3521"/>
      <c r="B3521" s="1065"/>
      <c r="C3521" s="1065" t="s">
        <v>1006</v>
      </c>
      <c r="D3521" s="1065" t="str">
        <f ca="1">CELL("Address",Elec_Rates!D$524)</f>
        <v>[EL25_0662B_Brittania_Hotel_Elec_Revised_Estim_B.xlsx]Elec_Rates!$D$524</v>
      </c>
      <c r="E3521" s="1066"/>
      <c r="F3521" s="1066"/>
      <c r="G3521" s="1067" t="s">
        <v>1007</v>
      </c>
      <c r="H3521" s="1067"/>
      <c r="I3521" s="1067"/>
      <c r="J3521" s="1067"/>
      <c r="K3521" s="1068"/>
      <c r="L3521" s="1066"/>
      <c r="M3521" s="1066"/>
      <c r="N3521" s="1066"/>
      <c r="O3521" s="1069"/>
      <c r="P3521" s="1066"/>
      <c r="Q3521" s="1070"/>
      <c r="R3521" s="1071"/>
      <c r="S3521" s="1070"/>
      <c r="T3521" s="1072"/>
      <c r="U3521" s="1073"/>
    </row>
    <row r="3522" spans="1:41" s="997" customFormat="1" ht="11.4">
      <c r="A3522" s="1074">
        <v>1</v>
      </c>
      <c r="B3522" s="1075">
        <v>1</v>
      </c>
      <c r="C3522" s="1075">
        <f>$A3522*$B3522</f>
        <v>1</v>
      </c>
      <c r="D3522" s="1076" t="str">
        <f>Elec_Rates!$D$524</f>
        <v>062# 230V 2P 16A Contactor</v>
      </c>
      <c r="E3522" s="1076"/>
      <c r="F3522" s="1076"/>
      <c r="G3522" s="1077" t="s">
        <v>1008</v>
      </c>
      <c r="H3522" s="1077"/>
      <c r="I3522" s="1077"/>
      <c r="J3522" s="1077"/>
      <c r="K3522" s="1078"/>
      <c r="L3522" s="1073"/>
      <c r="M3522" s="1073"/>
      <c r="N3522" s="1073"/>
      <c r="O3522" s="1079"/>
      <c r="P3522" s="1076"/>
      <c r="Q3522" s="1080">
        <f ca="1">$B3522*Elec_Rates!$R$524</f>
        <v>35</v>
      </c>
      <c r="R3522" s="1071">
        <f ca="1">$A3522*Q3522</f>
        <v>35</v>
      </c>
      <c r="S3522" s="1080">
        <f ca="1">$B3522*Elec_Rates!$T$524</f>
        <v>0.26</v>
      </c>
      <c r="T3522" s="1072">
        <f ca="1">$A3522*S3522</f>
        <v>0.26</v>
      </c>
      <c r="U3522" s="1081"/>
    </row>
    <row r="3523" spans="1:41" s="504" customFormat="1" ht="12">
      <c r="A3523" s="882"/>
      <c r="B3523" s="882"/>
      <c r="C3523" s="882"/>
      <c r="D3523" s="882"/>
      <c r="E3523" s="882"/>
      <c r="F3523" s="877"/>
      <c r="G3523" s="882"/>
      <c r="H3523" s="882"/>
      <c r="I3523" s="503"/>
      <c r="J3523" s="882"/>
      <c r="K3523" s="882"/>
      <c r="L3523" s="882"/>
      <c r="M3523" s="882"/>
      <c r="N3523" s="882"/>
      <c r="O3523" s="882"/>
      <c r="P3523" s="882"/>
      <c r="Q3523" s="503"/>
      <c r="R3523" s="883">
        <f>$A3523*Q3523</f>
        <v>0</v>
      </c>
      <c r="S3523" s="503"/>
      <c r="T3523" s="884">
        <f>$A3523*S3523*$T$1</f>
        <v>0</v>
      </c>
    </row>
    <row r="3524" spans="1:41" s="504" customFormat="1" ht="12.6" thickBot="1">
      <c r="A3524" s="885" t="s">
        <v>142</v>
      </c>
      <c r="B3524" s="886">
        <f>(R3523+T3523)</f>
        <v>0</v>
      </c>
      <c r="C3524" s="887"/>
      <c r="D3524" s="887"/>
      <c r="E3524" s="887"/>
      <c r="F3524" s="888"/>
      <c r="G3524" s="887" t="s">
        <v>143</v>
      </c>
      <c r="H3524" s="887"/>
      <c r="I3524" s="889"/>
      <c r="J3524" s="887"/>
      <c r="K3524" s="887" t="s">
        <v>3</v>
      </c>
      <c r="L3524" s="890" t="s">
        <v>140</v>
      </c>
      <c r="M3524" s="890"/>
      <c r="N3524" s="890"/>
      <c r="O3524" s="890"/>
      <c r="P3524" s="890"/>
      <c r="Q3524" s="891"/>
      <c r="R3524" s="892">
        <f ca="1">SUM(R3516:R3523)</f>
        <v>99.29</v>
      </c>
      <c r="S3524" s="887"/>
      <c r="T3524" s="892">
        <f ca="1">SUM(T3516:T3523)</f>
        <v>4.71</v>
      </c>
      <c r="U3524" s="514"/>
      <c r="V3524" s="514"/>
      <c r="W3524" s="514"/>
      <c r="X3524" s="514"/>
      <c r="Y3524" s="514"/>
      <c r="Z3524" s="514"/>
      <c r="AA3524" s="514"/>
      <c r="AB3524" s="514"/>
      <c r="AC3524" s="514"/>
      <c r="AD3524" s="514"/>
      <c r="AE3524" s="514"/>
      <c r="AF3524" s="514"/>
      <c r="AG3524" s="514"/>
      <c r="AH3524" s="514"/>
      <c r="AI3524" s="514"/>
      <c r="AJ3524" s="514"/>
      <c r="AK3524" s="514"/>
      <c r="AL3524" s="514"/>
      <c r="AM3524" s="514"/>
      <c r="AN3524" s="514"/>
      <c r="AO3524" s="514"/>
    </row>
    <row r="3525" spans="1:41" s="504" customFormat="1" ht="12" thickTop="1">
      <c r="A3525" s="50"/>
      <c r="B3525" s="40"/>
      <c r="C3525" s="50"/>
      <c r="E3525" s="41" t="s">
        <v>136</v>
      </c>
      <c r="F3525" s="41" t="s">
        <v>137</v>
      </c>
      <c r="G3525" s="50"/>
      <c r="H3525" s="50"/>
      <c r="I3525" s="50"/>
      <c r="J3525" s="50"/>
      <c r="K3525" s="50" t="s">
        <v>138</v>
      </c>
      <c r="L3525" s="50"/>
      <c r="M3525" s="50"/>
      <c r="N3525" s="50"/>
      <c r="O3525" s="51"/>
      <c r="P3525" s="50"/>
      <c r="Q3525" s="50"/>
      <c r="R3525" s="50"/>
      <c r="S3525" s="50"/>
      <c r="T3525" s="40"/>
      <c r="AG3525" s="867" t="s">
        <v>241</v>
      </c>
      <c r="AH3525" s="867" t="s">
        <v>242</v>
      </c>
      <c r="AI3525" s="867" t="s">
        <v>243</v>
      </c>
      <c r="AJ3525" s="867" t="s">
        <v>244</v>
      </c>
      <c r="AK3525" s="867" t="s">
        <v>245</v>
      </c>
      <c r="AM3525" s="868" t="s">
        <v>254</v>
      </c>
      <c r="AN3525" s="869" t="s">
        <v>255</v>
      </c>
      <c r="AO3525" s="505" t="s">
        <v>251</v>
      </c>
    </row>
    <row r="3526" spans="1:41" s="504" customFormat="1" ht="12" customHeight="1">
      <c r="A3526" s="870">
        <v>7</v>
      </c>
      <c r="B3526" s="871" t="s">
        <v>335</v>
      </c>
      <c r="C3526" s="872"/>
      <c r="D3526" s="873" t="s">
        <v>827</v>
      </c>
      <c r="E3526" s="874">
        <f ca="1">IF(AND($A3526=0,$A$1="DIF"),0, ROUND(ROUND(($R3532*$S$2+($T3532*$T$2))/A3526,2)*$C$2,2))</f>
        <v>74.08</v>
      </c>
      <c r="F3526" s="875">
        <f ca="1">ROUND($A3526*$E3526,2)</f>
        <v>518.55999999999995</v>
      </c>
      <c r="G3526" s="876" t="s">
        <v>139</v>
      </c>
      <c r="H3526" s="877"/>
      <c r="I3526" s="878"/>
      <c r="J3526" s="877"/>
      <c r="K3526" s="877" t="s">
        <v>3</v>
      </c>
      <c r="L3526" s="879" t="s">
        <v>140</v>
      </c>
      <c r="M3526" s="879"/>
      <c r="N3526" s="879"/>
      <c r="O3526" s="879"/>
      <c r="P3526" s="879"/>
      <c r="Q3526" s="50"/>
      <c r="T3526" s="880" t="str">
        <f ca="1">IF(AND($R3532=0,$T3532=0),"0.00","mu :" &amp; ROUND($F3526/$C$2/($R3532+$T3532*$D$9),2))</f>
        <v>mu :1.22</v>
      </c>
      <c r="W3526" s="507"/>
      <c r="AG3526" s="465">
        <f ca="1">IF($E3526=0,0,ROUND($R3532*$S$2*$C$2/$A3526,2))</f>
        <v>21.72</v>
      </c>
      <c r="AH3526" s="465">
        <f ca="1">$AG3526*$A3526</f>
        <v>152.04</v>
      </c>
      <c r="AI3526" s="508">
        <f ca="1">$E3526-$AG3526</f>
        <v>52.36</v>
      </c>
      <c r="AJ3526" s="508">
        <f ca="1">$A3526*$AI3526</f>
        <v>366.52</v>
      </c>
      <c r="AK3526" s="509">
        <f ca="1">ROUND(($AG3526+$AI3526)*$A3526,2)</f>
        <v>518.55999999999995</v>
      </c>
      <c r="AM3526" s="510">
        <f ca="1">ROUND(R3532,2)</f>
        <v>124.6</v>
      </c>
      <c r="AN3526" s="511">
        <f ca="1">ROUND(T3532,2)</f>
        <v>10.42</v>
      </c>
      <c r="AO3526" s="512">
        <f ca="1">ROUND(AM3526+AN3526,2)*A3526</f>
        <v>945.1400000000001</v>
      </c>
    </row>
    <row r="3527" spans="1:41" s="504" customFormat="1" ht="13.2">
      <c r="A3527" s="872"/>
      <c r="B3527"/>
      <c r="C3527" s="872"/>
      <c r="D3527" s="873" t="s">
        <v>381</v>
      </c>
      <c r="F3527" s="877"/>
      <c r="G3527" s="3"/>
      <c r="H3527" s="877"/>
      <c r="I3527" s="878"/>
      <c r="J3527" s="877"/>
      <c r="K3527" s="877" t="s">
        <v>141</v>
      </c>
      <c r="L3527" s="877"/>
      <c r="M3527" s="877"/>
      <c r="N3527" s="877"/>
      <c r="O3527" s="877"/>
      <c r="P3527" s="877"/>
      <c r="Q3527" s="50"/>
      <c r="R3527" s="513"/>
      <c r="S3527" s="881"/>
      <c r="T3527" s="877"/>
    </row>
    <row r="3528" spans="1:41" s="997" customFormat="1" ht="13.2">
      <c r="A3528"/>
      <c r="B3528" s="1065"/>
      <c r="C3528" s="1065" t="s">
        <v>1006</v>
      </c>
      <c r="D3528" s="1065" t="str">
        <f ca="1">CELL("Address",Elec_Rates!D$200)</f>
        <v>[EL25_0662B_Brittania_Hotel_Elec_Revised_Estim_B.xlsx]Elec_Rates!$D$200</v>
      </c>
      <c r="E3528" s="1066"/>
      <c r="F3528" s="1066"/>
      <c r="G3528" s="1067" t="s">
        <v>1007</v>
      </c>
      <c r="H3528" s="1067"/>
      <c r="I3528" s="1067"/>
      <c r="J3528" s="1067"/>
      <c r="K3528" s="1068"/>
      <c r="L3528" s="1066"/>
      <c r="M3528" s="1066"/>
      <c r="N3528" s="1066"/>
      <c r="O3528" s="1069"/>
      <c r="P3528" s="1066"/>
      <c r="Q3528" s="1070"/>
      <c r="R3528" s="1071"/>
      <c r="S3528" s="1070"/>
      <c r="T3528" s="1072"/>
      <c r="U3528" s="1073"/>
    </row>
    <row r="3529" spans="1:41" s="997" customFormat="1" ht="11.4">
      <c r="A3529" s="1074">
        <v>7</v>
      </c>
      <c r="B3529" s="1075">
        <v>1</v>
      </c>
      <c r="C3529" s="1075">
        <f>$A3529*$B3529</f>
        <v>7</v>
      </c>
      <c r="D3529" s="1076" t="str">
        <f>Elec_Rates!$D$200</f>
        <v>019# Lighting point in LSZH Conduit</v>
      </c>
      <c r="E3529" s="1076"/>
      <c r="F3529" s="1076" t="s">
        <v>1169</v>
      </c>
      <c r="G3529" s="1077" t="s">
        <v>1008</v>
      </c>
      <c r="H3529" s="1077"/>
      <c r="I3529" s="1077"/>
      <c r="J3529" s="1077"/>
      <c r="K3529" s="1078"/>
      <c r="L3529" s="1073"/>
      <c r="M3529" s="1073"/>
      <c r="N3529" s="1073"/>
      <c r="O3529" s="1079"/>
      <c r="P3529" s="1076"/>
      <c r="Q3529" s="1080">
        <f ca="1">$B3529*Elec_Rates!$R$200</f>
        <v>9.65</v>
      </c>
      <c r="R3529" s="1071">
        <f ca="1">$A3529*Q3529</f>
        <v>67.55</v>
      </c>
      <c r="S3529" s="1080">
        <f ca="1">$B3529*Elec_Rates!$T$200</f>
        <v>1.31</v>
      </c>
      <c r="T3529" s="1072">
        <f ca="1">$A3529*S3529</f>
        <v>9.17</v>
      </c>
      <c r="U3529" s="1081"/>
    </row>
    <row r="3530" spans="1:41" s="1039" customFormat="1" ht="11.4">
      <c r="A3530" s="1074">
        <v>7</v>
      </c>
      <c r="B3530" s="1039" t="s">
        <v>949</v>
      </c>
      <c r="D3530" s="1039" t="s">
        <v>1299</v>
      </c>
      <c r="G3530" s="1040" t="s">
        <v>1182</v>
      </c>
      <c r="H3530" s="1041">
        <v>705</v>
      </c>
      <c r="I3530" s="1039" t="s">
        <v>1183</v>
      </c>
      <c r="J3530" s="1039" t="s">
        <v>1184</v>
      </c>
      <c r="O3530" s="1042">
        <v>3</v>
      </c>
      <c r="P3530" s="1043">
        <v>34669</v>
      </c>
      <c r="Q3530" s="1044">
        <v>8.15</v>
      </c>
      <c r="R3530" s="1045">
        <f>$A3530*Q3530</f>
        <v>57.050000000000004</v>
      </c>
      <c r="S3530" s="1044">
        <v>0.17</v>
      </c>
      <c r="T3530" s="1046">
        <f>$A3530*S3530*$T$1</f>
        <v>1.2495000000000003</v>
      </c>
    </row>
    <row r="3531" spans="1:41" s="504" customFormat="1" ht="12">
      <c r="A3531" s="882"/>
      <c r="B3531" s="882"/>
      <c r="C3531" s="882"/>
      <c r="D3531" s="882"/>
      <c r="E3531" s="882"/>
      <c r="F3531" s="877"/>
      <c r="G3531" s="882"/>
      <c r="H3531" s="882"/>
      <c r="I3531" s="503"/>
      <c r="J3531" s="882"/>
      <c r="K3531" s="882"/>
      <c r="L3531" s="882"/>
      <c r="M3531" s="882"/>
      <c r="N3531" s="882"/>
      <c r="O3531" s="882"/>
      <c r="P3531" s="882"/>
      <c r="Q3531" s="503"/>
      <c r="R3531" s="883">
        <f>$A3531*Q3531</f>
        <v>0</v>
      </c>
      <c r="S3531" s="503"/>
      <c r="T3531" s="884">
        <f>$A3531*S3531*$T$1</f>
        <v>0</v>
      </c>
    </row>
    <row r="3532" spans="1:41" s="504" customFormat="1" ht="12.6" thickBot="1">
      <c r="A3532" s="885" t="s">
        <v>142</v>
      </c>
      <c r="B3532" s="886">
        <f>(R3531+T3531)</f>
        <v>0</v>
      </c>
      <c r="C3532" s="887"/>
      <c r="D3532" s="887"/>
      <c r="E3532" s="887"/>
      <c r="F3532" s="888"/>
      <c r="G3532" s="887" t="s">
        <v>143</v>
      </c>
      <c r="H3532" s="887"/>
      <c r="I3532" s="889"/>
      <c r="J3532" s="887"/>
      <c r="K3532" s="887" t="s">
        <v>3</v>
      </c>
      <c r="L3532" s="890" t="s">
        <v>140</v>
      </c>
      <c r="M3532" s="890"/>
      <c r="N3532" s="890"/>
      <c r="O3532" s="890"/>
      <c r="P3532" s="890"/>
      <c r="Q3532" s="891"/>
      <c r="R3532" s="892">
        <f ca="1">SUM(R3527:R3531)</f>
        <v>124.6</v>
      </c>
      <c r="S3532" s="887"/>
      <c r="T3532" s="892">
        <f ca="1">SUM(T3527:T3531)</f>
        <v>10.419499999999999</v>
      </c>
      <c r="U3532" s="514"/>
      <c r="V3532" s="514"/>
      <c r="W3532" s="514"/>
      <c r="X3532" s="514"/>
      <c r="Y3532" s="514"/>
      <c r="Z3532" s="514"/>
      <c r="AA3532" s="514"/>
      <c r="AB3532" s="514"/>
      <c r="AC3532" s="514"/>
      <c r="AD3532" s="514"/>
      <c r="AE3532" s="514"/>
      <c r="AF3532" s="514"/>
      <c r="AG3532" s="514"/>
      <c r="AH3532" s="514"/>
      <c r="AI3532" s="514"/>
      <c r="AJ3532" s="514"/>
      <c r="AK3532" s="514"/>
      <c r="AL3532" s="514"/>
      <c r="AM3532" s="514"/>
      <c r="AN3532" s="514"/>
      <c r="AO3532" s="514"/>
    </row>
    <row r="3533" spans="1:41" s="504" customFormat="1" ht="12" thickTop="1">
      <c r="A3533" s="50"/>
      <c r="B3533" s="40"/>
      <c r="C3533" s="50"/>
      <c r="E3533" s="41" t="s">
        <v>136</v>
      </c>
      <c r="F3533" s="41" t="s">
        <v>137</v>
      </c>
      <c r="G3533" s="50"/>
      <c r="H3533" s="50"/>
      <c r="I3533" s="50"/>
      <c r="J3533" s="50"/>
      <c r="K3533" s="50" t="s">
        <v>138</v>
      </c>
      <c r="L3533" s="50"/>
      <c r="M3533" s="50"/>
      <c r="N3533" s="50"/>
      <c r="O3533" s="51"/>
      <c r="P3533" s="50"/>
      <c r="Q3533" s="50"/>
      <c r="R3533" s="50"/>
      <c r="S3533" s="50"/>
      <c r="T3533" s="40"/>
      <c r="AG3533" s="867" t="s">
        <v>241</v>
      </c>
      <c r="AH3533" s="867" t="s">
        <v>242</v>
      </c>
      <c r="AI3533" s="867" t="s">
        <v>243</v>
      </c>
      <c r="AJ3533" s="867" t="s">
        <v>244</v>
      </c>
      <c r="AK3533" s="867" t="s">
        <v>245</v>
      </c>
      <c r="AM3533" s="868" t="s">
        <v>254</v>
      </c>
      <c r="AN3533" s="869" t="s">
        <v>255</v>
      </c>
      <c r="AO3533" s="505" t="s">
        <v>251</v>
      </c>
    </row>
    <row r="3534" spans="1:41" s="504" customFormat="1" ht="12" customHeight="1">
      <c r="A3534" s="870">
        <v>4</v>
      </c>
      <c r="B3534" s="871" t="s">
        <v>335</v>
      </c>
      <c r="C3534" s="872"/>
      <c r="D3534" s="873" t="s">
        <v>828</v>
      </c>
      <c r="E3534" s="874">
        <f ca="1">IF(AND($A3534=0,$A$1="DIF"),0, ROUND(ROUND(($R3539*$S$2+($T3539*$T$2))/A3534,2)*$C$2,2))</f>
        <v>57.85</v>
      </c>
      <c r="F3534" s="875">
        <f ca="1">ROUND($A3534*$E3534,2)</f>
        <v>231.4</v>
      </c>
      <c r="G3534" s="876" t="s">
        <v>139</v>
      </c>
      <c r="H3534" s="877"/>
      <c r="I3534" s="878"/>
      <c r="J3534" s="877"/>
      <c r="K3534" s="877" t="s">
        <v>3</v>
      </c>
      <c r="L3534" s="879" t="s">
        <v>140</v>
      </c>
      <c r="M3534" s="879"/>
      <c r="N3534" s="879"/>
      <c r="O3534" s="879"/>
      <c r="P3534" s="879"/>
      <c r="Q3534" s="50"/>
      <c r="T3534" s="880" t="str">
        <f ca="1">IF(AND($R3539=0,$T3539=0),"0.00","mu :" &amp; ROUND($F3534/$C$2/($R3539+$T3539*$D$9),2))</f>
        <v>mu :1.22</v>
      </c>
      <c r="W3534" s="507"/>
      <c r="AG3534" s="465">
        <f ca="1">IF($E3534=0,0,ROUND($R3539*$S$2*$C$2/$A3534,2))</f>
        <v>11.77</v>
      </c>
      <c r="AH3534" s="465">
        <f ca="1">$AG3534*$A3534</f>
        <v>47.08</v>
      </c>
      <c r="AI3534" s="508">
        <f ca="1">$E3534-$AG3534</f>
        <v>46.08</v>
      </c>
      <c r="AJ3534" s="508">
        <f ca="1">$A3534*$AI3534</f>
        <v>184.32</v>
      </c>
      <c r="AK3534" s="509">
        <f ca="1">ROUND(($AG3534+$AI3534)*$A3534,2)</f>
        <v>231.4</v>
      </c>
      <c r="AM3534" s="510">
        <f ca="1">ROUND(R3539,2)</f>
        <v>38.6</v>
      </c>
      <c r="AN3534" s="511">
        <f ca="1">ROUND(T3539,2)</f>
        <v>5.24</v>
      </c>
      <c r="AO3534" s="512">
        <f ca="1">ROUND(AM3534+AN3534,2)*A3534</f>
        <v>175.36</v>
      </c>
    </row>
    <row r="3535" spans="1:41" s="504" customFormat="1" ht="13.2">
      <c r="A3535" s="872"/>
      <c r="B3535"/>
      <c r="C3535" s="872"/>
      <c r="D3535" s="873" t="s">
        <v>406</v>
      </c>
      <c r="F3535" s="877"/>
      <c r="G3535" s="3"/>
      <c r="H3535" s="877"/>
      <c r="I3535" s="878"/>
      <c r="J3535" s="877"/>
      <c r="K3535" s="877" t="s">
        <v>141</v>
      </c>
      <c r="L3535" s="877"/>
      <c r="M3535" s="877"/>
      <c r="N3535" s="877"/>
      <c r="O3535" s="877"/>
      <c r="P3535" s="877"/>
      <c r="Q3535" s="50"/>
      <c r="R3535" s="513"/>
      <c r="S3535" s="881"/>
      <c r="T3535" s="877"/>
    </row>
    <row r="3536" spans="1:41" s="997" customFormat="1" ht="13.2">
      <c r="A3536"/>
      <c r="B3536" s="1065"/>
      <c r="C3536" s="1065" t="s">
        <v>1006</v>
      </c>
      <c r="D3536" s="1065" t="str">
        <f ca="1">CELL("Address",Elec_Rates!D$200)</f>
        <v>[EL25_0662B_Brittania_Hotel_Elec_Revised_Estim_B.xlsx]Elec_Rates!$D$200</v>
      </c>
      <c r="E3536" s="1066"/>
      <c r="F3536" s="1066"/>
      <c r="G3536" s="1067" t="s">
        <v>1007</v>
      </c>
      <c r="H3536" s="1067"/>
      <c r="I3536" s="1067"/>
      <c r="J3536" s="1067"/>
      <c r="K3536" s="1068"/>
      <c r="L3536" s="1066"/>
      <c r="M3536" s="1066"/>
      <c r="N3536" s="1066"/>
      <c r="O3536" s="1069"/>
      <c r="P3536" s="1066"/>
      <c r="Q3536" s="1070"/>
      <c r="R3536" s="1071"/>
      <c r="S3536" s="1070"/>
      <c r="T3536" s="1072"/>
      <c r="U3536" s="1073"/>
    </row>
    <row r="3537" spans="1:41" s="997" customFormat="1" ht="11.4">
      <c r="A3537" s="1074">
        <v>4</v>
      </c>
      <c r="B3537" s="1075">
        <v>1</v>
      </c>
      <c r="C3537" s="1075">
        <f>$A3537*$B3537</f>
        <v>4</v>
      </c>
      <c r="D3537" s="1076" t="str">
        <f>Elec_Rates!$D$200</f>
        <v>019# Lighting point in LSZH Conduit</v>
      </c>
      <c r="E3537" s="1076"/>
      <c r="F3537" s="1076" t="s">
        <v>1169</v>
      </c>
      <c r="G3537" s="1077" t="s">
        <v>1008</v>
      </c>
      <c r="H3537" s="1077"/>
      <c r="I3537" s="1077"/>
      <c r="J3537" s="1077"/>
      <c r="K3537" s="1078"/>
      <c r="L3537" s="1073"/>
      <c r="M3537" s="1073"/>
      <c r="N3537" s="1073"/>
      <c r="O3537" s="1079"/>
      <c r="P3537" s="1076"/>
      <c r="Q3537" s="1080">
        <f ca="1">$B3537*Elec_Rates!$R$200</f>
        <v>9.65</v>
      </c>
      <c r="R3537" s="1071">
        <f ca="1">$A3537*Q3537</f>
        <v>38.6</v>
      </c>
      <c r="S3537" s="1080">
        <f ca="1">$B3537*Elec_Rates!$T$200</f>
        <v>1.31</v>
      </c>
      <c r="T3537" s="1072">
        <f ca="1">$A3537*S3537</f>
        <v>5.24</v>
      </c>
      <c r="U3537" s="1081"/>
    </row>
    <row r="3538" spans="1:41" s="504" customFormat="1" ht="12">
      <c r="A3538" s="882"/>
      <c r="B3538" s="882"/>
      <c r="C3538" s="882"/>
      <c r="D3538" s="882"/>
      <c r="E3538" s="882"/>
      <c r="F3538" s="877"/>
      <c r="G3538" s="882"/>
      <c r="H3538" s="882"/>
      <c r="I3538" s="503"/>
      <c r="J3538" s="882"/>
      <c r="K3538" s="882"/>
      <c r="L3538" s="882"/>
      <c r="M3538" s="882"/>
      <c r="N3538" s="882"/>
      <c r="O3538" s="882"/>
      <c r="P3538" s="882"/>
      <c r="Q3538" s="503"/>
      <c r="R3538" s="883">
        <f>$A3538*Q3538</f>
        <v>0</v>
      </c>
      <c r="S3538" s="503"/>
      <c r="T3538" s="884">
        <f>$A3538*S3538*$T$1</f>
        <v>0</v>
      </c>
    </row>
    <row r="3539" spans="1:41" s="504" customFormat="1" ht="12.6" thickBot="1">
      <c r="A3539" s="885" t="s">
        <v>142</v>
      </c>
      <c r="B3539" s="886">
        <f>(R3538+T3538)</f>
        <v>0</v>
      </c>
      <c r="C3539" s="887"/>
      <c r="D3539" s="887"/>
      <c r="E3539" s="887"/>
      <c r="F3539" s="888"/>
      <c r="G3539" s="887" t="s">
        <v>143</v>
      </c>
      <c r="H3539" s="887"/>
      <c r="I3539" s="889"/>
      <c r="J3539" s="887"/>
      <c r="K3539" s="887" t="s">
        <v>3</v>
      </c>
      <c r="L3539" s="890" t="s">
        <v>140</v>
      </c>
      <c r="M3539" s="890"/>
      <c r="N3539" s="890"/>
      <c r="O3539" s="890"/>
      <c r="P3539" s="890"/>
      <c r="Q3539" s="891"/>
      <c r="R3539" s="892">
        <f ca="1">SUM(R3535:R3538)</f>
        <v>38.6</v>
      </c>
      <c r="S3539" s="887"/>
      <c r="T3539" s="892">
        <f ca="1">SUM(T3535:T3538)</f>
        <v>5.24</v>
      </c>
      <c r="U3539" s="514"/>
      <c r="V3539" s="514"/>
      <c r="W3539" s="514"/>
      <c r="X3539" s="514"/>
      <c r="Y3539" s="514"/>
      <c r="Z3539" s="514"/>
      <c r="AA3539" s="514"/>
      <c r="AB3539" s="514"/>
      <c r="AC3539" s="514"/>
      <c r="AD3539" s="514"/>
      <c r="AE3539" s="514"/>
      <c r="AF3539" s="514"/>
      <c r="AG3539" s="514"/>
      <c r="AH3539" s="514"/>
      <c r="AI3539" s="514"/>
      <c r="AJ3539" s="514"/>
      <c r="AK3539" s="514"/>
      <c r="AL3539" s="514"/>
      <c r="AM3539" s="514"/>
      <c r="AN3539" s="514"/>
      <c r="AO3539" s="514"/>
    </row>
    <row r="3540" spans="1:41" s="504" customFormat="1" ht="12" thickTop="1">
      <c r="A3540" s="50"/>
      <c r="B3540" s="40"/>
      <c r="C3540" s="50"/>
      <c r="E3540" s="41" t="s">
        <v>136</v>
      </c>
      <c r="F3540" s="41" t="s">
        <v>137</v>
      </c>
      <c r="G3540" s="50"/>
      <c r="H3540" s="50"/>
      <c r="I3540" s="50"/>
      <c r="J3540" s="50"/>
      <c r="K3540" s="50" t="s">
        <v>138</v>
      </c>
      <c r="L3540" s="50"/>
      <c r="M3540" s="50"/>
      <c r="N3540" s="50"/>
      <c r="O3540" s="51"/>
      <c r="P3540" s="50"/>
      <c r="Q3540" s="50"/>
      <c r="R3540" s="50"/>
      <c r="S3540" s="50"/>
      <c r="T3540" s="40"/>
      <c r="AG3540" s="867" t="s">
        <v>241</v>
      </c>
      <c r="AH3540" s="867" t="s">
        <v>242</v>
      </c>
      <c r="AI3540" s="867" t="s">
        <v>243</v>
      </c>
      <c r="AJ3540" s="867" t="s">
        <v>244</v>
      </c>
      <c r="AK3540" s="867" t="s">
        <v>245</v>
      </c>
      <c r="AM3540" s="868" t="s">
        <v>254</v>
      </c>
      <c r="AN3540" s="869" t="s">
        <v>255</v>
      </c>
      <c r="AO3540" s="505" t="s">
        <v>251</v>
      </c>
    </row>
    <row r="3541" spans="1:41" s="504" customFormat="1" ht="12" customHeight="1">
      <c r="A3541" s="870">
        <v>2</v>
      </c>
      <c r="B3541" s="871" t="s">
        <v>335</v>
      </c>
      <c r="C3541" s="872"/>
      <c r="D3541" s="873" t="s">
        <v>829</v>
      </c>
      <c r="E3541" s="874">
        <f ca="1">IF(AND($A3541=0,$A$1="DIF"),0, ROUND(ROUND(($R3546*$S$2+($T3546*$T$2))/A3541,2)*$C$2,2))</f>
        <v>57.85</v>
      </c>
      <c r="F3541" s="875">
        <f ca="1">ROUND($A3541*$E3541,2)</f>
        <v>115.7</v>
      </c>
      <c r="G3541" s="876" t="s">
        <v>139</v>
      </c>
      <c r="H3541" s="877"/>
      <c r="I3541" s="878"/>
      <c r="J3541" s="877"/>
      <c r="K3541" s="877" t="s">
        <v>3</v>
      </c>
      <c r="L3541" s="879" t="s">
        <v>140</v>
      </c>
      <c r="M3541" s="879"/>
      <c r="N3541" s="879"/>
      <c r="O3541" s="879"/>
      <c r="P3541" s="879"/>
      <c r="Q3541" s="50"/>
      <c r="T3541" s="880" t="str">
        <f ca="1">IF(AND($R3546=0,$T3546=0),"0.00","mu :" &amp; ROUND($F3541/$C$2/($R3546+$T3546*$D$9),2))</f>
        <v>mu :1.22</v>
      </c>
      <c r="W3541" s="507"/>
      <c r="AG3541" s="465">
        <f ca="1">IF($E3541=0,0,ROUND($R3546*$S$2*$C$2/$A3541,2))</f>
        <v>11.77</v>
      </c>
      <c r="AH3541" s="465">
        <f ca="1">$AG3541*$A3541</f>
        <v>23.54</v>
      </c>
      <c r="AI3541" s="508">
        <f ca="1">$E3541-$AG3541</f>
        <v>46.08</v>
      </c>
      <c r="AJ3541" s="508">
        <f ca="1">$A3541*$AI3541</f>
        <v>92.16</v>
      </c>
      <c r="AK3541" s="509">
        <f ca="1">ROUND(($AG3541+$AI3541)*$A3541,2)</f>
        <v>115.7</v>
      </c>
      <c r="AM3541" s="510">
        <f ca="1">ROUND(R3546,2)</f>
        <v>19.3</v>
      </c>
      <c r="AN3541" s="511">
        <f ca="1">ROUND(T3546,2)</f>
        <v>2.62</v>
      </c>
      <c r="AO3541" s="512">
        <f ca="1">ROUND(AM3541+AN3541,2)*A3541</f>
        <v>43.84</v>
      </c>
    </row>
    <row r="3542" spans="1:41" s="504" customFormat="1" ht="13.2">
      <c r="A3542" s="872"/>
      <c r="B3542"/>
      <c r="C3542" s="872"/>
      <c r="D3542" s="873" t="s">
        <v>407</v>
      </c>
      <c r="F3542" s="877"/>
      <c r="G3542" s="3"/>
      <c r="H3542" s="877"/>
      <c r="I3542" s="878"/>
      <c r="J3542" s="877"/>
      <c r="K3542" s="877" t="s">
        <v>141</v>
      </c>
      <c r="L3542" s="877"/>
      <c r="M3542" s="877"/>
      <c r="N3542" s="877"/>
      <c r="O3542" s="877"/>
      <c r="P3542" s="877"/>
      <c r="Q3542" s="50"/>
      <c r="R3542" s="513"/>
      <c r="S3542" s="881"/>
      <c r="T3542" s="877"/>
    </row>
    <row r="3543" spans="1:41" s="997" customFormat="1" ht="13.2">
      <c r="A3543"/>
      <c r="B3543" s="1065"/>
      <c r="C3543" s="1065" t="s">
        <v>1006</v>
      </c>
      <c r="D3543" s="1065" t="str">
        <f ca="1">CELL("Address",Elec_Rates!D$200)</f>
        <v>[EL25_0662B_Brittania_Hotel_Elec_Revised_Estim_B.xlsx]Elec_Rates!$D$200</v>
      </c>
      <c r="E3543" s="1066"/>
      <c r="F3543" s="1066"/>
      <c r="G3543" s="1067" t="s">
        <v>1007</v>
      </c>
      <c r="H3543" s="1067"/>
      <c r="I3543" s="1067"/>
      <c r="J3543" s="1067"/>
      <c r="K3543" s="1068"/>
      <c r="L3543" s="1066"/>
      <c r="M3543" s="1066"/>
      <c r="N3543" s="1066"/>
      <c r="O3543" s="1069"/>
      <c r="P3543" s="1066"/>
      <c r="Q3543" s="1070"/>
      <c r="R3543" s="1071"/>
      <c r="S3543" s="1070"/>
      <c r="T3543" s="1072"/>
      <c r="U3543" s="1073"/>
    </row>
    <row r="3544" spans="1:41" s="997" customFormat="1" ht="11.4">
      <c r="A3544" s="1074">
        <v>2</v>
      </c>
      <c r="B3544" s="1075">
        <v>1</v>
      </c>
      <c r="C3544" s="1075">
        <f>$A3544*$B3544</f>
        <v>2</v>
      </c>
      <c r="D3544" s="1076" t="str">
        <f>Elec_Rates!$D$200</f>
        <v>019# Lighting point in LSZH Conduit</v>
      </c>
      <c r="E3544" s="1076"/>
      <c r="F3544" s="1076" t="s">
        <v>1169</v>
      </c>
      <c r="G3544" s="1077" t="s">
        <v>1008</v>
      </c>
      <c r="H3544" s="1077"/>
      <c r="I3544" s="1077"/>
      <c r="J3544" s="1077"/>
      <c r="K3544" s="1078"/>
      <c r="L3544" s="1073"/>
      <c r="M3544" s="1073"/>
      <c r="N3544" s="1073"/>
      <c r="O3544" s="1079"/>
      <c r="P3544" s="1076"/>
      <c r="Q3544" s="1080">
        <f ca="1">$B3544*Elec_Rates!$R$200</f>
        <v>9.65</v>
      </c>
      <c r="R3544" s="1071">
        <f ca="1">$A3544*Q3544</f>
        <v>19.3</v>
      </c>
      <c r="S3544" s="1080">
        <f ca="1">$B3544*Elec_Rates!$T$200</f>
        <v>1.31</v>
      </c>
      <c r="T3544" s="1072">
        <f ca="1">$A3544*S3544</f>
        <v>2.62</v>
      </c>
      <c r="U3544" s="1081"/>
    </row>
    <row r="3545" spans="1:41" s="504" customFormat="1" ht="12">
      <c r="A3545" s="882"/>
      <c r="B3545" s="882"/>
      <c r="C3545" s="882"/>
      <c r="D3545" s="882"/>
      <c r="E3545" s="882"/>
      <c r="F3545" s="877"/>
      <c r="G3545" s="882"/>
      <c r="H3545" s="882"/>
      <c r="I3545" s="503"/>
      <c r="J3545" s="882"/>
      <c r="K3545" s="882"/>
      <c r="L3545" s="882"/>
      <c r="M3545" s="882"/>
      <c r="N3545" s="882"/>
      <c r="O3545" s="882"/>
      <c r="P3545" s="882"/>
      <c r="Q3545" s="503"/>
      <c r="R3545" s="883">
        <f>$A3545*Q3545</f>
        <v>0</v>
      </c>
      <c r="S3545" s="503"/>
      <c r="T3545" s="884">
        <f>$A3545*S3545*$T$1</f>
        <v>0</v>
      </c>
    </row>
    <row r="3546" spans="1:41" s="504" customFormat="1" ht="12.6" thickBot="1">
      <c r="A3546" s="885" t="s">
        <v>142</v>
      </c>
      <c r="B3546" s="886">
        <f>(R3545+T3545)</f>
        <v>0</v>
      </c>
      <c r="C3546" s="887"/>
      <c r="D3546" s="887"/>
      <c r="E3546" s="887"/>
      <c r="F3546" s="888"/>
      <c r="G3546" s="887" t="s">
        <v>143</v>
      </c>
      <c r="H3546" s="887"/>
      <c r="I3546" s="889"/>
      <c r="J3546" s="887"/>
      <c r="K3546" s="887" t="s">
        <v>3</v>
      </c>
      <c r="L3546" s="890" t="s">
        <v>140</v>
      </c>
      <c r="M3546" s="890"/>
      <c r="N3546" s="890"/>
      <c r="O3546" s="890"/>
      <c r="P3546" s="890"/>
      <c r="Q3546" s="891"/>
      <c r="R3546" s="892">
        <f ca="1">SUM(R3542:R3545)</f>
        <v>19.3</v>
      </c>
      <c r="S3546" s="887"/>
      <c r="T3546" s="892">
        <f ca="1">SUM(T3542:T3545)</f>
        <v>2.62</v>
      </c>
      <c r="U3546" s="514"/>
      <c r="V3546" s="514"/>
      <c r="W3546" s="514"/>
      <c r="X3546" s="514"/>
      <c r="Y3546" s="514"/>
      <c r="Z3546" s="514"/>
      <c r="AA3546" s="514"/>
      <c r="AB3546" s="514"/>
      <c r="AC3546" s="514"/>
      <c r="AD3546" s="514"/>
      <c r="AE3546" s="514"/>
      <c r="AF3546" s="514"/>
      <c r="AG3546" s="514"/>
      <c r="AH3546" s="514"/>
      <c r="AI3546" s="514"/>
      <c r="AJ3546" s="514"/>
      <c r="AK3546" s="514"/>
      <c r="AL3546" s="514"/>
      <c r="AM3546" s="514"/>
      <c r="AN3546" s="514"/>
      <c r="AO3546" s="514"/>
    </row>
    <row r="3547" spans="1:41" s="504" customFormat="1" ht="12" thickTop="1">
      <c r="A3547" s="50"/>
      <c r="B3547" s="40"/>
      <c r="C3547" s="50"/>
      <c r="E3547" s="41" t="s">
        <v>136</v>
      </c>
      <c r="F3547" s="41" t="s">
        <v>137</v>
      </c>
      <c r="G3547" s="50"/>
      <c r="H3547" s="50"/>
      <c r="I3547" s="50"/>
      <c r="J3547" s="50"/>
      <c r="K3547" s="50" t="s">
        <v>138</v>
      </c>
      <c r="L3547" s="50"/>
      <c r="M3547" s="50"/>
      <c r="N3547" s="50"/>
      <c r="O3547" s="51"/>
      <c r="P3547" s="50"/>
      <c r="Q3547" s="50"/>
      <c r="R3547" s="50"/>
      <c r="S3547" s="50"/>
      <c r="T3547" s="40"/>
      <c r="AG3547" s="867" t="s">
        <v>241</v>
      </c>
      <c r="AH3547" s="867" t="s">
        <v>242</v>
      </c>
      <c r="AI3547" s="867" t="s">
        <v>243</v>
      </c>
      <c r="AJ3547" s="867" t="s">
        <v>244</v>
      </c>
      <c r="AK3547" s="867" t="s">
        <v>245</v>
      </c>
      <c r="AM3547" s="868" t="s">
        <v>254</v>
      </c>
      <c r="AN3547" s="869" t="s">
        <v>255</v>
      </c>
      <c r="AO3547" s="505" t="s">
        <v>251</v>
      </c>
    </row>
    <row r="3548" spans="1:41" s="504" customFormat="1" ht="12" customHeight="1">
      <c r="A3548" s="870">
        <v>2</v>
      </c>
      <c r="B3548" s="871" t="s">
        <v>335</v>
      </c>
      <c r="C3548" s="872"/>
      <c r="D3548" s="873" t="s">
        <v>830</v>
      </c>
      <c r="E3548" s="874">
        <f ca="1">IF(AND($A3548=0,$A$1="DIF"),0, ROUND(ROUND(($R3553*$S$2+($T3553*$T$2))/A3548,2)*$C$2,2))</f>
        <v>57.85</v>
      </c>
      <c r="F3548" s="875">
        <f ca="1">ROUND($A3548*$E3548,2)</f>
        <v>115.7</v>
      </c>
      <c r="G3548" s="876" t="s">
        <v>139</v>
      </c>
      <c r="H3548" s="877"/>
      <c r="I3548" s="878"/>
      <c r="J3548" s="877"/>
      <c r="K3548" s="877" t="s">
        <v>3</v>
      </c>
      <c r="L3548" s="879" t="s">
        <v>140</v>
      </c>
      <c r="M3548" s="879"/>
      <c r="N3548" s="879"/>
      <c r="O3548" s="879"/>
      <c r="P3548" s="879"/>
      <c r="Q3548" s="50"/>
      <c r="T3548" s="880" t="str">
        <f ca="1">IF(AND($R3553=0,$T3553=0),"0.00","mu :" &amp; ROUND($F3548/$C$2/($R3553+$T3553*$D$9),2))</f>
        <v>mu :1.22</v>
      </c>
      <c r="W3548" s="507"/>
      <c r="AG3548" s="465">
        <f ca="1">IF($E3548=0,0,ROUND($R3553*$S$2*$C$2/$A3548,2))</f>
        <v>11.77</v>
      </c>
      <c r="AH3548" s="465">
        <f ca="1">$AG3548*$A3548</f>
        <v>23.54</v>
      </c>
      <c r="AI3548" s="508">
        <f ca="1">$E3548-$AG3548</f>
        <v>46.08</v>
      </c>
      <c r="AJ3548" s="508">
        <f ca="1">$A3548*$AI3548</f>
        <v>92.16</v>
      </c>
      <c r="AK3548" s="509">
        <f ca="1">ROUND(($AG3548+$AI3548)*$A3548,2)</f>
        <v>115.7</v>
      </c>
      <c r="AM3548" s="510">
        <f ca="1">ROUND(R3553,2)</f>
        <v>19.3</v>
      </c>
      <c r="AN3548" s="511">
        <f ca="1">ROUND(T3553,2)</f>
        <v>2.62</v>
      </c>
      <c r="AO3548" s="512">
        <f ca="1">ROUND(AM3548+AN3548,2)*A3548</f>
        <v>43.84</v>
      </c>
    </row>
    <row r="3549" spans="1:41" s="504" customFormat="1" ht="13.2">
      <c r="A3549" s="872"/>
      <c r="B3549"/>
      <c r="C3549" s="872"/>
      <c r="D3549" s="873" t="s">
        <v>409</v>
      </c>
      <c r="F3549" s="877"/>
      <c r="G3549" s="3"/>
      <c r="H3549" s="877"/>
      <c r="I3549" s="878"/>
      <c r="J3549" s="877"/>
      <c r="K3549" s="877" t="s">
        <v>141</v>
      </c>
      <c r="L3549" s="877"/>
      <c r="M3549" s="877"/>
      <c r="N3549" s="877"/>
      <c r="O3549" s="877"/>
      <c r="P3549" s="877"/>
      <c r="Q3549" s="50"/>
      <c r="R3549" s="513"/>
      <c r="S3549" s="881"/>
      <c r="T3549" s="877"/>
    </row>
    <row r="3550" spans="1:41" s="997" customFormat="1" ht="13.2">
      <c r="A3550"/>
      <c r="B3550" s="1065"/>
      <c r="C3550" s="1065" t="s">
        <v>1006</v>
      </c>
      <c r="D3550" s="1065" t="str">
        <f ca="1">CELL("Address",Elec_Rates!D$200)</f>
        <v>[EL25_0662B_Brittania_Hotel_Elec_Revised_Estim_B.xlsx]Elec_Rates!$D$200</v>
      </c>
      <c r="E3550" s="1066"/>
      <c r="F3550" s="1066"/>
      <c r="G3550" s="1067" t="s">
        <v>1007</v>
      </c>
      <c r="H3550" s="1067"/>
      <c r="I3550" s="1067"/>
      <c r="J3550" s="1067"/>
      <c r="K3550" s="1068"/>
      <c r="L3550" s="1066"/>
      <c r="M3550" s="1066"/>
      <c r="N3550" s="1066"/>
      <c r="O3550" s="1069"/>
      <c r="P3550" s="1066"/>
      <c r="Q3550" s="1070"/>
      <c r="R3550" s="1071"/>
      <c r="S3550" s="1070"/>
      <c r="T3550" s="1072"/>
      <c r="U3550" s="1073"/>
    </row>
    <row r="3551" spans="1:41" s="997" customFormat="1" ht="11.4">
      <c r="A3551" s="1074">
        <v>2</v>
      </c>
      <c r="B3551" s="1075">
        <v>1</v>
      </c>
      <c r="C3551" s="1075">
        <f>$A3551*$B3551</f>
        <v>2</v>
      </c>
      <c r="D3551" s="1076" t="str">
        <f>Elec_Rates!$D$200</f>
        <v>019# Lighting point in LSZH Conduit</v>
      </c>
      <c r="E3551" s="1076"/>
      <c r="F3551" s="1076" t="s">
        <v>1169</v>
      </c>
      <c r="G3551" s="1077" t="s">
        <v>1008</v>
      </c>
      <c r="H3551" s="1077"/>
      <c r="I3551" s="1077"/>
      <c r="J3551" s="1077"/>
      <c r="K3551" s="1078"/>
      <c r="L3551" s="1073"/>
      <c r="M3551" s="1073"/>
      <c r="N3551" s="1073"/>
      <c r="O3551" s="1079"/>
      <c r="P3551" s="1076"/>
      <c r="Q3551" s="1080">
        <f ca="1">$B3551*Elec_Rates!$R$200</f>
        <v>9.65</v>
      </c>
      <c r="R3551" s="1071">
        <f ca="1">$A3551*Q3551</f>
        <v>19.3</v>
      </c>
      <c r="S3551" s="1080">
        <f ca="1">$B3551*Elec_Rates!$T$200</f>
        <v>1.31</v>
      </c>
      <c r="T3551" s="1072">
        <f ca="1">$A3551*S3551</f>
        <v>2.62</v>
      </c>
      <c r="U3551" s="1081"/>
    </row>
    <row r="3552" spans="1:41" s="504" customFormat="1" ht="12">
      <c r="A3552" s="882"/>
      <c r="B3552" s="882"/>
      <c r="C3552" s="882"/>
      <c r="D3552" s="882"/>
      <c r="E3552" s="882"/>
      <c r="F3552" s="877"/>
      <c r="G3552" s="882"/>
      <c r="H3552" s="882"/>
      <c r="I3552" s="503"/>
      <c r="J3552" s="882"/>
      <c r="K3552" s="882"/>
      <c r="L3552" s="882"/>
      <c r="M3552" s="882"/>
      <c r="N3552" s="882"/>
      <c r="O3552" s="882"/>
      <c r="P3552" s="882"/>
      <c r="Q3552" s="503"/>
      <c r="R3552" s="883">
        <f>$A3552*Q3552</f>
        <v>0</v>
      </c>
      <c r="S3552" s="503"/>
      <c r="T3552" s="884">
        <f>$A3552*S3552*$T$1</f>
        <v>0</v>
      </c>
    </row>
    <row r="3553" spans="1:41" s="504" customFormat="1" ht="12.6" thickBot="1">
      <c r="A3553" s="885" t="s">
        <v>142</v>
      </c>
      <c r="B3553" s="886">
        <f>(R3552+T3552)</f>
        <v>0</v>
      </c>
      <c r="C3553" s="887"/>
      <c r="D3553" s="887"/>
      <c r="E3553" s="887"/>
      <c r="F3553" s="888"/>
      <c r="G3553" s="887" t="s">
        <v>143</v>
      </c>
      <c r="H3553" s="887"/>
      <c r="I3553" s="889"/>
      <c r="J3553" s="887"/>
      <c r="K3553" s="887" t="s">
        <v>3</v>
      </c>
      <c r="L3553" s="890" t="s">
        <v>140</v>
      </c>
      <c r="M3553" s="890"/>
      <c r="N3553" s="890"/>
      <c r="O3553" s="890"/>
      <c r="P3553" s="890"/>
      <c r="Q3553" s="891"/>
      <c r="R3553" s="892">
        <f ca="1">SUM(R3549:R3552)</f>
        <v>19.3</v>
      </c>
      <c r="S3553" s="887"/>
      <c r="T3553" s="892">
        <f ca="1">SUM(T3549:T3552)</f>
        <v>2.62</v>
      </c>
      <c r="U3553" s="514"/>
      <c r="V3553" s="514"/>
      <c r="W3553" s="514"/>
      <c r="X3553" s="514"/>
      <c r="Y3553" s="514"/>
      <c r="Z3553" s="514"/>
      <c r="AA3553" s="514"/>
      <c r="AB3553" s="514"/>
      <c r="AC3553" s="514"/>
      <c r="AD3553" s="514"/>
      <c r="AE3553" s="514"/>
      <c r="AF3553" s="514"/>
      <c r="AG3553" s="514"/>
      <c r="AH3553" s="514"/>
      <c r="AI3553" s="514"/>
      <c r="AJ3553" s="514"/>
      <c r="AK3553" s="514"/>
      <c r="AL3553" s="514"/>
      <c r="AM3553" s="514"/>
      <c r="AN3553" s="514"/>
      <c r="AO3553" s="514"/>
    </row>
    <row r="3554" spans="1:41" s="504" customFormat="1" ht="12" thickTop="1">
      <c r="A3554" s="50"/>
      <c r="B3554" s="40"/>
      <c r="C3554" s="50"/>
      <c r="E3554" s="41" t="s">
        <v>136</v>
      </c>
      <c r="F3554" s="41" t="s">
        <v>137</v>
      </c>
      <c r="G3554" s="50"/>
      <c r="H3554" s="50"/>
      <c r="I3554" s="50"/>
      <c r="J3554" s="50"/>
      <c r="K3554" s="50" t="s">
        <v>138</v>
      </c>
      <c r="L3554" s="50"/>
      <c r="M3554" s="50"/>
      <c r="N3554" s="50"/>
      <c r="O3554" s="51"/>
      <c r="P3554" s="50"/>
      <c r="Q3554" s="50"/>
      <c r="R3554" s="50"/>
      <c r="S3554" s="50"/>
      <c r="T3554" s="40"/>
      <c r="AG3554" s="867" t="s">
        <v>241</v>
      </c>
      <c r="AH3554" s="867" t="s">
        <v>242</v>
      </c>
      <c r="AI3554" s="867" t="s">
        <v>243</v>
      </c>
      <c r="AJ3554" s="867" t="s">
        <v>244</v>
      </c>
      <c r="AK3554" s="867" t="s">
        <v>245</v>
      </c>
      <c r="AM3554" s="868" t="s">
        <v>254</v>
      </c>
      <c r="AN3554" s="869" t="s">
        <v>255</v>
      </c>
      <c r="AO3554" s="505" t="s">
        <v>251</v>
      </c>
    </row>
    <row r="3555" spans="1:41" s="504" customFormat="1" ht="12" customHeight="1">
      <c r="A3555" s="870">
        <v>1</v>
      </c>
      <c r="B3555" s="871" t="s">
        <v>335</v>
      </c>
      <c r="C3555" s="872"/>
      <c r="D3555" s="873" t="s">
        <v>831</v>
      </c>
      <c r="E3555" s="874">
        <f ca="1">IF(AND($A3555=0,$A$1="DIF"),0, ROUND(ROUND(($R3560*$S$2+($T3560*$T$2))/A3555,2)*$C$2,2))</f>
        <v>57.85</v>
      </c>
      <c r="F3555" s="875">
        <f ca="1">ROUND($A3555*$E3555,2)</f>
        <v>57.85</v>
      </c>
      <c r="G3555" s="876" t="s">
        <v>139</v>
      </c>
      <c r="H3555" s="877"/>
      <c r="I3555" s="878"/>
      <c r="J3555" s="877"/>
      <c r="K3555" s="877" t="s">
        <v>3</v>
      </c>
      <c r="L3555" s="879" t="s">
        <v>140</v>
      </c>
      <c r="M3555" s="879"/>
      <c r="N3555" s="879"/>
      <c r="O3555" s="879"/>
      <c r="P3555" s="879"/>
      <c r="Q3555" s="50"/>
      <c r="T3555" s="880" t="str">
        <f ca="1">IF(AND($R3560=0,$T3560=0),"0.00","mu :" &amp; ROUND($F3555/$C$2/($R3560+$T3560*$D$9),2))</f>
        <v>mu :1.22</v>
      </c>
      <c r="W3555" s="507"/>
      <c r="AG3555" s="465">
        <f ca="1">IF($E3555=0,0,ROUND($R3560*$S$2*$C$2/$A3555,2))</f>
        <v>11.77</v>
      </c>
      <c r="AH3555" s="465">
        <f ca="1">$AG3555*$A3555</f>
        <v>11.77</v>
      </c>
      <c r="AI3555" s="508">
        <f ca="1">$E3555-$AG3555</f>
        <v>46.08</v>
      </c>
      <c r="AJ3555" s="508">
        <f ca="1">$A3555*$AI3555</f>
        <v>46.08</v>
      </c>
      <c r="AK3555" s="509">
        <f ca="1">ROUND(($AG3555+$AI3555)*$A3555,2)</f>
        <v>57.85</v>
      </c>
      <c r="AM3555" s="510">
        <f ca="1">ROUND(R3560,2)</f>
        <v>9.65</v>
      </c>
      <c r="AN3555" s="511">
        <f ca="1">ROUND(T3560,2)</f>
        <v>1.31</v>
      </c>
      <c r="AO3555" s="512">
        <f ca="1">ROUND(AM3555+AN3555,2)*A3555</f>
        <v>10.96</v>
      </c>
    </row>
    <row r="3556" spans="1:41" s="504" customFormat="1" ht="13.2">
      <c r="A3556" s="872"/>
      <c r="B3556"/>
      <c r="C3556" s="872"/>
      <c r="D3556" s="873" t="s">
        <v>344</v>
      </c>
      <c r="F3556" s="877"/>
      <c r="G3556" s="3"/>
      <c r="H3556" s="877"/>
      <c r="I3556" s="878"/>
      <c r="J3556" s="877"/>
      <c r="K3556" s="877" t="s">
        <v>141</v>
      </c>
      <c r="L3556" s="877"/>
      <c r="M3556" s="877"/>
      <c r="N3556" s="877"/>
      <c r="O3556" s="877"/>
      <c r="P3556" s="877"/>
      <c r="Q3556" s="50"/>
      <c r="R3556" s="513"/>
      <c r="S3556" s="881"/>
      <c r="T3556" s="877"/>
    </row>
    <row r="3557" spans="1:41" s="997" customFormat="1" ht="13.2">
      <c r="A3557"/>
      <c r="B3557" s="1065"/>
      <c r="C3557" s="1065" t="s">
        <v>1006</v>
      </c>
      <c r="D3557" s="1065" t="str">
        <f ca="1">CELL("Address",Elec_Rates!D$200)</f>
        <v>[EL25_0662B_Brittania_Hotel_Elec_Revised_Estim_B.xlsx]Elec_Rates!$D$200</v>
      </c>
      <c r="E3557" s="1066"/>
      <c r="F3557" s="1066"/>
      <c r="G3557" s="1067" t="s">
        <v>1007</v>
      </c>
      <c r="H3557" s="1067"/>
      <c r="I3557" s="1067"/>
      <c r="J3557" s="1067"/>
      <c r="K3557" s="1068"/>
      <c r="L3557" s="1066"/>
      <c r="M3557" s="1066"/>
      <c r="N3557" s="1066"/>
      <c r="O3557" s="1069"/>
      <c r="P3557" s="1066"/>
      <c r="Q3557" s="1070"/>
      <c r="R3557" s="1071"/>
      <c r="S3557" s="1070"/>
      <c r="T3557" s="1072"/>
      <c r="U3557" s="1073"/>
    </row>
    <row r="3558" spans="1:41" s="997" customFormat="1" ht="11.4">
      <c r="A3558" s="1074">
        <v>1</v>
      </c>
      <c r="B3558" s="1075">
        <v>1</v>
      </c>
      <c r="C3558" s="1075">
        <f>$A3558*$B3558</f>
        <v>1</v>
      </c>
      <c r="D3558" s="1076" t="str">
        <f>Elec_Rates!$D$200</f>
        <v>019# Lighting point in LSZH Conduit</v>
      </c>
      <c r="E3558" s="1076"/>
      <c r="F3558" s="1076" t="s">
        <v>1179</v>
      </c>
      <c r="G3558" s="1077" t="s">
        <v>1008</v>
      </c>
      <c r="H3558" s="1077"/>
      <c r="I3558" s="1077"/>
      <c r="J3558" s="1077"/>
      <c r="K3558" s="1078"/>
      <c r="L3558" s="1073"/>
      <c r="M3558" s="1073"/>
      <c r="N3558" s="1073"/>
      <c r="O3558" s="1079"/>
      <c r="P3558" s="1076"/>
      <c r="Q3558" s="1080">
        <f ca="1">$B3558*Elec_Rates!$R$200</f>
        <v>9.65</v>
      </c>
      <c r="R3558" s="1071">
        <f ca="1">$A3558*Q3558</f>
        <v>9.65</v>
      </c>
      <c r="S3558" s="1080">
        <f ca="1">$B3558*Elec_Rates!$T$200</f>
        <v>1.31</v>
      </c>
      <c r="T3558" s="1072">
        <f ca="1">$A3558*S3558</f>
        <v>1.31</v>
      </c>
      <c r="U3558" s="1081"/>
    </row>
    <row r="3559" spans="1:41" s="504" customFormat="1" ht="12">
      <c r="A3559" s="882"/>
      <c r="B3559" s="882"/>
      <c r="C3559" s="882"/>
      <c r="D3559" s="882"/>
      <c r="E3559" s="882"/>
      <c r="F3559" s="877"/>
      <c r="G3559" s="882"/>
      <c r="H3559" s="882"/>
      <c r="I3559" s="503"/>
      <c r="J3559" s="882"/>
      <c r="K3559" s="882"/>
      <c r="L3559" s="882"/>
      <c r="M3559" s="882"/>
      <c r="N3559" s="882"/>
      <c r="O3559" s="882"/>
      <c r="P3559" s="882"/>
      <c r="Q3559" s="503"/>
      <c r="R3559" s="883">
        <f>$A3559*Q3559</f>
        <v>0</v>
      </c>
      <c r="S3559" s="503"/>
      <c r="T3559" s="884">
        <f>$A3559*S3559*$T$1</f>
        <v>0</v>
      </c>
    </row>
    <row r="3560" spans="1:41" s="504" customFormat="1" ht="12.6" thickBot="1">
      <c r="A3560" s="885" t="s">
        <v>142</v>
      </c>
      <c r="B3560" s="886">
        <f>(R3559+T3559)</f>
        <v>0</v>
      </c>
      <c r="C3560" s="887"/>
      <c r="D3560" s="887"/>
      <c r="E3560" s="887"/>
      <c r="F3560" s="888"/>
      <c r="G3560" s="887" t="s">
        <v>143</v>
      </c>
      <c r="H3560" s="887"/>
      <c r="I3560" s="889"/>
      <c r="J3560" s="887"/>
      <c r="K3560" s="887" t="s">
        <v>3</v>
      </c>
      <c r="L3560" s="890" t="s">
        <v>140</v>
      </c>
      <c r="M3560" s="890"/>
      <c r="N3560" s="890"/>
      <c r="O3560" s="890"/>
      <c r="P3560" s="890"/>
      <c r="Q3560" s="891"/>
      <c r="R3560" s="892">
        <f ca="1">SUM(R3556:R3559)</f>
        <v>9.65</v>
      </c>
      <c r="S3560" s="887"/>
      <c r="T3560" s="892">
        <f ca="1">SUM(T3556:T3559)</f>
        <v>1.31</v>
      </c>
      <c r="U3560" s="514"/>
      <c r="V3560" s="514"/>
      <c r="W3560" s="514"/>
      <c r="X3560" s="514"/>
      <c r="Y3560" s="514"/>
      <c r="Z3560" s="514"/>
      <c r="AA3560" s="514"/>
      <c r="AB3560" s="514"/>
      <c r="AC3560" s="514"/>
      <c r="AD3560" s="514"/>
      <c r="AE3560" s="514"/>
      <c r="AF3560" s="514"/>
      <c r="AG3560" s="514"/>
      <c r="AH3560" s="514"/>
      <c r="AI3560" s="514"/>
      <c r="AJ3560" s="514"/>
      <c r="AK3560" s="514"/>
      <c r="AL3560" s="514"/>
      <c r="AM3560" s="514"/>
      <c r="AN3560" s="514"/>
      <c r="AO3560" s="514"/>
    </row>
    <row r="3561" spans="1:41" s="504" customFormat="1" ht="12" thickTop="1">
      <c r="A3561" s="47" t="s">
        <v>145</v>
      </c>
      <c r="D3561" s="13"/>
      <c r="E3561" s="41"/>
      <c r="O3561" s="893"/>
    </row>
    <row r="3562" spans="1:41" s="504" customFormat="1" ht="13.2">
      <c r="B3562" s="3"/>
      <c r="O3562" s="893"/>
    </row>
    <row r="3563" spans="1:41" s="504" customFormat="1" ht="12">
      <c r="B3563" s="894">
        <f ca="1">$F3563/$C$2-($R3563*$S$2+$T3563*$T$2)</f>
        <v>-3.125358000079359E-2</v>
      </c>
      <c r="D3563" s="895" t="s">
        <v>817</v>
      </c>
      <c r="E3563" s="896"/>
      <c r="F3563" s="897">
        <f ca="1">SUMIF($L3413:$L3561,"ITEM",F3413:F3561)</f>
        <v>4075.0399999999991</v>
      </c>
      <c r="G3563" s="882"/>
      <c r="H3563" s="882"/>
      <c r="I3563" s="503"/>
      <c r="J3563" s="882"/>
      <c r="K3563" s="882"/>
      <c r="L3563" s="879" t="s">
        <v>154</v>
      </c>
      <c r="M3563" s="879"/>
      <c r="N3563" s="879"/>
      <c r="O3563" s="879"/>
      <c r="P3563" s="879"/>
      <c r="R3563" s="897">
        <f ca="1">SUMIF($L3413:$L3561,"ITEM",R3413:R3561)</f>
        <v>817.82499999999993</v>
      </c>
      <c r="S3563" s="898"/>
      <c r="T3563" s="897">
        <f ca="1">SUMIF($L3413:$L3561,"ITEM",T3413:T3561)</f>
        <v>87.483000000000004</v>
      </c>
    </row>
    <row r="3564" spans="1:41" s="504" customFormat="1" ht="13.2">
      <c r="A3564" s="50"/>
      <c r="B3564" s="48" t="s">
        <v>816</v>
      </c>
      <c r="C3564" s="50"/>
      <c r="D3564" s="3"/>
      <c r="F3564" s="899" t="s">
        <v>155</v>
      </c>
      <c r="G3564" s="882"/>
      <c r="H3564" s="882"/>
      <c r="I3564" s="503"/>
      <c r="J3564" s="882"/>
      <c r="K3564" s="882"/>
      <c r="L3564" s="882"/>
      <c r="M3564" s="882"/>
      <c r="N3564" s="882"/>
      <c r="O3564" s="882"/>
      <c r="P3564" s="882"/>
      <c r="Q3564" s="900"/>
      <c r="R3564" s="899" t="s">
        <v>156</v>
      </c>
      <c r="S3564" s="38"/>
      <c r="T3564" s="899" t="s">
        <v>157</v>
      </c>
    </row>
    <row r="3565" spans="1:41" s="504" customFormat="1" ht="13.2">
      <c r="A3565" s="882"/>
      <c r="B3565" s="3"/>
      <c r="C3565" s="882"/>
      <c r="D3565" s="3"/>
      <c r="E3565" s="3"/>
      <c r="G3565" s="3"/>
      <c r="H3565" s="3"/>
      <c r="I3565" s="3"/>
      <c r="J3565" s="3"/>
      <c r="K3565" s="3"/>
      <c r="L3565" s="3"/>
      <c r="M3565" s="3"/>
      <c r="N3565" s="3"/>
      <c r="O3565" s="103"/>
      <c r="P3565" s="3"/>
      <c r="Q3565" s="3"/>
      <c r="R3565" s="3"/>
      <c r="S3565" s="3"/>
      <c r="T3565" s="3"/>
    </row>
    <row r="3566" spans="1:41" s="504" customFormat="1" ht="12" thickBot="1">
      <c r="A3566" s="514"/>
      <c r="B3566" s="887"/>
      <c r="C3566" s="887"/>
      <c r="D3566" s="514"/>
      <c r="E3566" s="39"/>
      <c r="F3566" s="901"/>
      <c r="G3566" s="887"/>
      <c r="H3566" s="887"/>
      <c r="I3566" s="889"/>
      <c r="J3566" s="887"/>
      <c r="K3566" s="887"/>
      <c r="L3566" s="890"/>
      <c r="M3566" s="890"/>
      <c r="N3566" s="890"/>
      <c r="O3566" s="890"/>
      <c r="P3566" s="890"/>
      <c r="Q3566" s="891"/>
      <c r="R3566" s="901"/>
      <c r="S3566" s="902"/>
      <c r="T3566" s="901"/>
      <c r="U3566" s="514"/>
      <c r="V3566" s="514"/>
      <c r="W3566" s="514"/>
      <c r="X3566" s="514"/>
      <c r="Y3566" s="514"/>
      <c r="Z3566" s="514"/>
      <c r="AA3566" s="514"/>
      <c r="AB3566" s="514"/>
      <c r="AC3566" s="514"/>
      <c r="AD3566" s="514"/>
      <c r="AE3566" s="514"/>
      <c r="AF3566" s="514"/>
      <c r="AG3566" s="514"/>
      <c r="AH3566" s="514"/>
      <c r="AI3566" s="514"/>
      <c r="AJ3566" s="514"/>
      <c r="AK3566" s="514"/>
    </row>
    <row r="3567" spans="1:41" s="504" customFormat="1" thickTop="1">
      <c r="A3567" s="50"/>
      <c r="B3567" s="50"/>
      <c r="C3567" s="3"/>
      <c r="D3567" s="3"/>
      <c r="E3567" s="50"/>
      <c r="F3567" s="50"/>
      <c r="G3567" s="50"/>
      <c r="H3567" s="50"/>
      <c r="I3567" s="50"/>
      <c r="J3567" s="50"/>
      <c r="K3567" s="50" t="s">
        <v>133</v>
      </c>
      <c r="L3567" s="50"/>
      <c r="M3567" s="50"/>
      <c r="N3567" s="50"/>
      <c r="O3567" s="51"/>
      <c r="P3567" s="50"/>
      <c r="Q3567" s="50"/>
      <c r="R3567" s="50"/>
      <c r="S3567" s="50"/>
      <c r="T3567" s="50"/>
    </row>
    <row r="3568" spans="1:41" s="504" customFormat="1" ht="12">
      <c r="A3568" s="50"/>
      <c r="B3568" s="50"/>
      <c r="C3568" s="50" t="s">
        <v>134</v>
      </c>
      <c r="D3568" s="37" t="s">
        <v>896</v>
      </c>
      <c r="E3568" s="50"/>
      <c r="F3568" s="50"/>
      <c r="G3568" s="50"/>
      <c r="H3568" s="50"/>
      <c r="I3568" s="50"/>
      <c r="J3568" s="50"/>
      <c r="K3568" s="50"/>
      <c r="L3568" s="50"/>
      <c r="M3568" s="50"/>
      <c r="N3568" s="50"/>
      <c r="O3568" s="51"/>
      <c r="P3568" s="50"/>
      <c r="Q3568" s="50"/>
      <c r="R3568" s="50"/>
      <c r="S3568" s="50"/>
      <c r="T3568" s="50"/>
    </row>
    <row r="3569" spans="1:41" s="504" customFormat="1" ht="12">
      <c r="A3569" s="50"/>
      <c r="B3569" s="50"/>
      <c r="C3569" s="50"/>
      <c r="D3569" s="37" t="s">
        <v>850</v>
      </c>
      <c r="E3569" s="50"/>
      <c r="F3569" s="50"/>
      <c r="G3569" s="50"/>
      <c r="H3569" s="50"/>
      <c r="I3569" s="50"/>
      <c r="J3569" s="50"/>
      <c r="K3569" s="50"/>
      <c r="L3569" s="50"/>
      <c r="M3569" s="50"/>
      <c r="N3569" s="50"/>
      <c r="O3569" s="51"/>
      <c r="P3569" s="50"/>
      <c r="Q3569" s="50"/>
      <c r="R3569" s="50"/>
      <c r="S3569" s="38"/>
      <c r="T3569" s="38"/>
    </row>
    <row r="3570" spans="1:41" s="3" customFormat="1" thickBot="1">
      <c r="A3570" s="514"/>
      <c r="O3570" s="103"/>
    </row>
    <row r="3571" spans="1:41" s="504" customFormat="1" ht="12" thickTop="1">
      <c r="A3571" s="50"/>
      <c r="B3571" s="40"/>
      <c r="C3571" s="50"/>
      <c r="E3571" s="41" t="s">
        <v>136</v>
      </c>
      <c r="F3571" s="41" t="s">
        <v>137</v>
      </c>
      <c r="G3571" s="50"/>
      <c r="H3571" s="50"/>
      <c r="I3571" s="50"/>
      <c r="J3571" s="50"/>
      <c r="K3571" s="50" t="s">
        <v>138</v>
      </c>
      <c r="L3571" s="50"/>
      <c r="M3571" s="50"/>
      <c r="N3571" s="50"/>
      <c r="O3571" s="51"/>
      <c r="P3571" s="50"/>
      <c r="Q3571" s="50"/>
      <c r="R3571" s="50"/>
      <c r="S3571" s="50"/>
      <c r="T3571" s="40"/>
      <c r="AG3571" s="867" t="s">
        <v>241</v>
      </c>
      <c r="AH3571" s="867" t="s">
        <v>242</v>
      </c>
      <c r="AI3571" s="867" t="s">
        <v>243</v>
      </c>
      <c r="AJ3571" s="867" t="s">
        <v>244</v>
      </c>
      <c r="AK3571" s="867" t="s">
        <v>245</v>
      </c>
      <c r="AM3571" s="868" t="s">
        <v>254</v>
      </c>
      <c r="AN3571" s="869" t="s">
        <v>255</v>
      </c>
      <c r="AO3571" s="505" t="s">
        <v>251</v>
      </c>
    </row>
    <row r="3572" spans="1:41" s="504" customFormat="1" ht="12" customHeight="1">
      <c r="A3572" s="870">
        <v>1</v>
      </c>
      <c r="B3572" s="871" t="s">
        <v>335</v>
      </c>
      <c r="C3572" s="872"/>
      <c r="D3572" s="873" t="s">
        <v>804</v>
      </c>
      <c r="E3572" s="874">
        <f ca="1">IF(AND($A3572=0,$A$1="DIF"),0, ROUND(ROUND(($R3579*$S$2+($T3579*$T$2))/A3572,2)*$C$2,2))</f>
        <v>67.06</v>
      </c>
      <c r="F3572" s="875">
        <f ca="1">ROUND($A3572*$E3572,2)</f>
        <v>67.06</v>
      </c>
      <c r="G3572" s="876" t="s">
        <v>139</v>
      </c>
      <c r="H3572" s="877"/>
      <c r="I3572" s="878"/>
      <c r="J3572" s="877"/>
      <c r="K3572" s="877" t="s">
        <v>3</v>
      </c>
      <c r="L3572" s="879" t="s">
        <v>140</v>
      </c>
      <c r="M3572" s="879"/>
      <c r="N3572" s="879"/>
      <c r="O3572" s="879"/>
      <c r="P3572" s="879"/>
      <c r="Q3572" s="50"/>
      <c r="T3572" s="880" t="str">
        <f ca="1">IF(AND($R3579=0,$T3579=0),"0.00","mu :" &amp; ROUND($F3572/$C$2/($R3579+$T3579*$D$9),2))</f>
        <v>mu :1.22</v>
      </c>
      <c r="W3572" s="507"/>
      <c r="AG3572" s="465">
        <f ca="1">IF($E3572=0,0,ROUND($R3579*$S$2*$C$2/$A3572,2))</f>
        <v>14.3</v>
      </c>
      <c r="AH3572" s="465">
        <f ca="1">$AG3572*$A3572</f>
        <v>14.3</v>
      </c>
      <c r="AI3572" s="508">
        <f ca="1">$E3572-$AG3572</f>
        <v>52.760000000000005</v>
      </c>
      <c r="AJ3572" s="508">
        <f ca="1">$A3572*$AI3572</f>
        <v>52.760000000000005</v>
      </c>
      <c r="AK3572" s="509">
        <f ca="1">ROUND(($AG3572+$AI3572)*$A3572,2)</f>
        <v>67.06</v>
      </c>
      <c r="AM3572" s="510">
        <f ca="1">ROUND(R3579,2)</f>
        <v>11.72</v>
      </c>
      <c r="AN3572" s="511">
        <f ca="1">ROUND(T3579,2)</f>
        <v>1.5</v>
      </c>
      <c r="AO3572" s="512">
        <f ca="1">ROUND(AM3572+AN3572,2)*A3572</f>
        <v>13.22</v>
      </c>
    </row>
    <row r="3573" spans="1:41" s="504" customFormat="1" ht="13.2">
      <c r="A3573" s="872"/>
      <c r="B3573"/>
      <c r="C3573" s="872"/>
      <c r="D3573" s="873" t="s">
        <v>377</v>
      </c>
      <c r="F3573" s="877"/>
      <c r="G3573" s="3"/>
      <c r="H3573" s="877"/>
      <c r="I3573" s="878"/>
      <c r="J3573" s="877"/>
      <c r="K3573" s="877" t="s">
        <v>141</v>
      </c>
      <c r="L3573" s="877"/>
      <c r="M3573" s="877"/>
      <c r="N3573" s="877"/>
      <c r="O3573" s="877"/>
      <c r="P3573" s="877"/>
      <c r="Q3573" s="50"/>
      <c r="R3573" s="513"/>
      <c r="S3573" s="881"/>
      <c r="T3573" s="877"/>
    </row>
    <row r="3574" spans="1:41" s="997" customFormat="1" ht="13.2">
      <c r="A3574"/>
      <c r="B3574" s="1065"/>
      <c r="C3574" s="1065" t="s">
        <v>1006</v>
      </c>
      <c r="D3574" s="1065" t="str">
        <f ca="1">CELL("Address",Elec_Rates!D$200)</f>
        <v>[EL25_0662B_Brittania_Hotel_Elec_Revised_Estim_B.xlsx]Elec_Rates!$D$200</v>
      </c>
      <c r="E3574" s="1066"/>
      <c r="F3574" s="1066"/>
      <c r="G3574" s="1067" t="s">
        <v>1007</v>
      </c>
      <c r="H3574" s="1067"/>
      <c r="I3574" s="1067"/>
      <c r="J3574" s="1067"/>
      <c r="K3574" s="1068"/>
      <c r="L3574" s="1066"/>
      <c r="M3574" s="1066"/>
      <c r="N3574" s="1066"/>
      <c r="O3574" s="1069"/>
      <c r="P3574" s="1066"/>
      <c r="Q3574" s="1070"/>
      <c r="R3574" s="1071"/>
      <c r="S3574" s="1070"/>
      <c r="T3574" s="1072"/>
      <c r="U3574" s="1073"/>
    </row>
    <row r="3575" spans="1:41" s="997" customFormat="1" ht="11.4">
      <c r="A3575" s="1074">
        <v>1</v>
      </c>
      <c r="B3575" s="1075">
        <v>1</v>
      </c>
      <c r="C3575" s="1075">
        <f>$A3575*$B3575</f>
        <v>1</v>
      </c>
      <c r="D3575" s="1076" t="str">
        <f>Elec_Rates!$D$200</f>
        <v>019# Lighting point in LSZH Conduit</v>
      </c>
      <c r="E3575" s="1076"/>
      <c r="F3575" s="1076"/>
      <c r="G3575" s="1077" t="s">
        <v>1008</v>
      </c>
      <c r="H3575" s="1077"/>
      <c r="I3575" s="1077"/>
      <c r="J3575" s="1077"/>
      <c r="K3575" s="1078"/>
      <c r="L3575" s="1073"/>
      <c r="M3575" s="1073"/>
      <c r="N3575" s="1073"/>
      <c r="O3575" s="1079"/>
      <c r="P3575" s="1076"/>
      <c r="Q3575" s="1080">
        <f ca="1">$B3575*Elec_Rates!$R$200</f>
        <v>9.65</v>
      </c>
      <c r="R3575" s="1071">
        <f ca="1">$A3575*Q3575</f>
        <v>9.65</v>
      </c>
      <c r="S3575" s="1080">
        <f ca="1">$B3575*Elec_Rates!$T$200</f>
        <v>1.31</v>
      </c>
      <c r="T3575" s="1072">
        <f ca="1">$A3575*S3575</f>
        <v>1.31</v>
      </c>
      <c r="U3575" s="1081"/>
    </row>
    <row r="3576" spans="1:41" s="997" customFormat="1" ht="13.2">
      <c r="A3576"/>
      <c r="B3576" s="1065"/>
      <c r="C3576" s="1065" t="s">
        <v>1006</v>
      </c>
      <c r="D3576" s="1065" t="str">
        <f ca="1">CELL("Address",Elec_Rates!D$517)</f>
        <v>[EL25_0662B_Brittania_Hotel_Elec_Revised_Estim_B.xlsx]Elec_Rates!$D$517</v>
      </c>
      <c r="E3576" s="1066"/>
      <c r="F3576" s="1066"/>
      <c r="G3576" s="1067" t="s">
        <v>1007</v>
      </c>
      <c r="H3576" s="1067"/>
      <c r="I3576" s="1067"/>
      <c r="J3576" s="1067"/>
      <c r="K3576" s="1068"/>
      <c r="L3576" s="1066"/>
      <c r="M3576" s="1066"/>
      <c r="N3576" s="1066"/>
      <c r="O3576" s="1069"/>
      <c r="P3576" s="1066"/>
      <c r="Q3576" s="1070"/>
      <c r="R3576" s="1071"/>
      <c r="S3576" s="1070"/>
      <c r="T3576" s="1072"/>
      <c r="U3576" s="1073"/>
    </row>
    <row r="3577" spans="1:41" s="997" customFormat="1" ht="11.4">
      <c r="A3577" s="1074">
        <v>1</v>
      </c>
      <c r="B3577" s="1075">
        <v>1</v>
      </c>
      <c r="C3577" s="1075">
        <f>$A3577*$B3577</f>
        <v>1</v>
      </c>
      <c r="D3577" s="1076" t="str">
        <f>Elec_Rates!$D$517</f>
        <v>061# DALI Wiring cables</v>
      </c>
      <c r="E3577" s="1076"/>
      <c r="F3577" s="1076"/>
      <c r="G3577" s="1077" t="s">
        <v>1008</v>
      </c>
      <c r="H3577" s="1077"/>
      <c r="I3577" s="1077"/>
      <c r="J3577" s="1077"/>
      <c r="K3577" s="1078"/>
      <c r="L3577" s="1073"/>
      <c r="M3577" s="1073"/>
      <c r="N3577" s="1073"/>
      <c r="O3577" s="1079"/>
      <c r="P3577" s="1076"/>
      <c r="Q3577" s="1080">
        <f ca="1">$B3577*Elec_Rates!$R$517</f>
        <v>2.0699999999999998</v>
      </c>
      <c r="R3577" s="1071">
        <f ca="1">$A3577*Q3577</f>
        <v>2.0699999999999998</v>
      </c>
      <c r="S3577" s="1080">
        <f ca="1">$B3577*Elec_Rates!$T$517</f>
        <v>0.19</v>
      </c>
      <c r="T3577" s="1072">
        <f ca="1">$A3577*S3577</f>
        <v>0.19</v>
      </c>
      <c r="U3577" s="1081"/>
    </row>
    <row r="3578" spans="1:41" s="504" customFormat="1" ht="12">
      <c r="A3578" s="882"/>
      <c r="B3578" s="882"/>
      <c r="C3578" s="882"/>
      <c r="D3578" s="882"/>
      <c r="E3578" s="882"/>
      <c r="F3578" s="877"/>
      <c r="G3578" s="882"/>
      <c r="H3578" s="882"/>
      <c r="I3578" s="503"/>
      <c r="J3578" s="882"/>
      <c r="K3578" s="882"/>
      <c r="L3578" s="882"/>
      <c r="M3578" s="882"/>
      <c r="N3578" s="882"/>
      <c r="O3578" s="882"/>
      <c r="P3578" s="882"/>
      <c r="Q3578" s="503"/>
      <c r="R3578" s="883">
        <f>$A3578*Q3578</f>
        <v>0</v>
      </c>
      <c r="S3578" s="503"/>
      <c r="T3578" s="884">
        <f>$A3578*S3578*$T$1</f>
        <v>0</v>
      </c>
    </row>
    <row r="3579" spans="1:41" s="504" customFormat="1" ht="12.6" thickBot="1">
      <c r="A3579" s="885" t="s">
        <v>142</v>
      </c>
      <c r="B3579" s="886">
        <f>(R3578+T3578)</f>
        <v>0</v>
      </c>
      <c r="C3579" s="887"/>
      <c r="D3579" s="887"/>
      <c r="E3579" s="887"/>
      <c r="F3579" s="888"/>
      <c r="G3579" s="887" t="s">
        <v>143</v>
      </c>
      <c r="H3579" s="887"/>
      <c r="I3579" s="889"/>
      <c r="J3579" s="887"/>
      <c r="K3579" s="887" t="s">
        <v>3</v>
      </c>
      <c r="L3579" s="890" t="s">
        <v>140</v>
      </c>
      <c r="M3579" s="890"/>
      <c r="N3579" s="890"/>
      <c r="O3579" s="890"/>
      <c r="P3579" s="890"/>
      <c r="Q3579" s="891"/>
      <c r="R3579" s="892">
        <f ca="1">SUM(R3573:R3578)</f>
        <v>11.72</v>
      </c>
      <c r="S3579" s="887"/>
      <c r="T3579" s="892">
        <f ca="1">SUM(T3573:T3578)</f>
        <v>1.5</v>
      </c>
      <c r="U3579" s="514"/>
      <c r="V3579" s="514"/>
      <c r="W3579" s="514"/>
      <c r="X3579" s="514"/>
      <c r="Y3579" s="514"/>
      <c r="Z3579" s="514"/>
      <c r="AA3579" s="514"/>
      <c r="AB3579" s="514"/>
      <c r="AC3579" s="514"/>
      <c r="AD3579" s="514"/>
      <c r="AE3579" s="514"/>
      <c r="AF3579" s="514"/>
      <c r="AG3579" s="514"/>
      <c r="AH3579" s="514"/>
      <c r="AI3579" s="514"/>
      <c r="AJ3579" s="514"/>
      <c r="AK3579" s="514"/>
      <c r="AL3579" s="514"/>
      <c r="AM3579" s="514"/>
      <c r="AN3579" s="514"/>
      <c r="AO3579" s="514"/>
    </row>
    <row r="3580" spans="1:41" s="504" customFormat="1" thickTop="1">
      <c r="A3580" s="50"/>
      <c r="B3580" s="50"/>
      <c r="C3580" s="3"/>
      <c r="D3580" s="3"/>
      <c r="E3580" s="50"/>
      <c r="F3580" s="50"/>
      <c r="G3580" s="50"/>
      <c r="H3580" s="50"/>
      <c r="I3580" s="50"/>
      <c r="J3580" s="50"/>
      <c r="K3580" s="50" t="s">
        <v>133</v>
      </c>
      <c r="L3580" s="50"/>
      <c r="M3580" s="50"/>
      <c r="N3580" s="50"/>
      <c r="O3580" s="51"/>
      <c r="P3580" s="50"/>
      <c r="Q3580" s="50"/>
      <c r="R3580" s="50"/>
      <c r="S3580" s="50"/>
      <c r="T3580" s="50"/>
    </row>
    <row r="3581" spans="1:41" s="504" customFormat="1" ht="12">
      <c r="A3581" s="50"/>
      <c r="B3581" s="50"/>
      <c r="C3581" s="50" t="s">
        <v>134</v>
      </c>
      <c r="D3581" s="37" t="s">
        <v>897</v>
      </c>
      <c r="E3581" s="50"/>
      <c r="F3581" s="50"/>
      <c r="G3581" s="50"/>
      <c r="H3581" s="50"/>
      <c r="I3581" s="50"/>
      <c r="J3581" s="50"/>
      <c r="K3581" s="50"/>
      <c r="L3581" s="50"/>
      <c r="M3581" s="50"/>
      <c r="N3581" s="50"/>
      <c r="O3581" s="51"/>
      <c r="P3581" s="50"/>
      <c r="Q3581" s="50"/>
      <c r="R3581" s="50"/>
      <c r="S3581" s="50"/>
      <c r="T3581" s="50"/>
    </row>
    <row r="3582" spans="1:41" s="504" customFormat="1" ht="12">
      <c r="A3582" s="50"/>
      <c r="B3582" s="50"/>
      <c r="C3582" s="50"/>
      <c r="D3582" s="37" t="s">
        <v>852</v>
      </c>
      <c r="E3582" s="50"/>
      <c r="F3582" s="50"/>
      <c r="G3582" s="50"/>
      <c r="H3582" s="50"/>
      <c r="I3582" s="50"/>
      <c r="J3582" s="50"/>
      <c r="K3582" s="50"/>
      <c r="L3582" s="50"/>
      <c r="M3582" s="50"/>
      <c r="N3582" s="50"/>
      <c r="O3582" s="51"/>
      <c r="P3582" s="50"/>
      <c r="Q3582" s="50"/>
      <c r="R3582" s="50"/>
      <c r="S3582" s="38"/>
      <c r="T3582" s="38"/>
    </row>
    <row r="3583" spans="1:41" s="3" customFormat="1" thickBot="1">
      <c r="A3583" s="514"/>
      <c r="O3583" s="103"/>
    </row>
    <row r="3584" spans="1:41" s="504" customFormat="1" thickTop="1">
      <c r="A3584" s="50"/>
      <c r="B3584" s="40"/>
      <c r="C3584" s="50"/>
      <c r="E3584" s="41" t="s">
        <v>136</v>
      </c>
      <c r="F3584" s="41" t="s">
        <v>137</v>
      </c>
      <c r="G3584" s="50"/>
      <c r="H3584" s="50"/>
      <c r="I3584" s="50"/>
      <c r="J3584" s="50"/>
      <c r="K3584" s="50" t="s">
        <v>138</v>
      </c>
      <c r="L3584" s="1219"/>
      <c r="M3584" s="50"/>
      <c r="N3584" s="50"/>
      <c r="O3584" s="51"/>
      <c r="P3584" s="50"/>
      <c r="Q3584"/>
      <c r="R3584"/>
      <c r="S3584"/>
      <c r="T3584" s="40"/>
      <c r="AG3584" s="867" t="s">
        <v>241</v>
      </c>
      <c r="AH3584" s="867" t="s">
        <v>242</v>
      </c>
      <c r="AI3584" s="867" t="s">
        <v>243</v>
      </c>
      <c r="AJ3584" s="867" t="s">
        <v>244</v>
      </c>
      <c r="AK3584" s="867" t="s">
        <v>245</v>
      </c>
      <c r="AM3584" s="868" t="s">
        <v>254</v>
      </c>
      <c r="AN3584" s="869" t="s">
        <v>255</v>
      </c>
      <c r="AO3584" s="505" t="s">
        <v>251</v>
      </c>
    </row>
    <row r="3585" spans="1:41" s="504" customFormat="1" ht="13.2">
      <c r="A3585" s="870">
        <v>1</v>
      </c>
      <c r="B3585" s="871" t="s">
        <v>335</v>
      </c>
      <c r="C3585" s="872"/>
      <c r="D3585" s="873" t="s">
        <v>804</v>
      </c>
      <c r="E3585" s="1220">
        <f ca="1">IF(AND($A3585=0,$A$1="DIF"),0, ROUND(ROUND(SUMIF($L3587:$L3595,"SUBI",$E3587:$E3595)/$A3585,2)*$C$12,2))</f>
        <v>55.19</v>
      </c>
      <c r="F3585" s="1221">
        <f ca="1">ROUND($A3585*$E3585,2)</f>
        <v>55.19</v>
      </c>
      <c r="G3585" s="876" t="s">
        <v>139</v>
      </c>
      <c r="H3585" s="877"/>
      <c r="I3585" s="878"/>
      <c r="J3585" s="877"/>
      <c r="K3585" s="1222"/>
      <c r="L3585" s="1223" t="s">
        <v>140</v>
      </c>
      <c r="M3585" s="879"/>
      <c r="N3585" s="879"/>
      <c r="O3585" s="879"/>
      <c r="P3585" s="879"/>
      <c r="Q3585"/>
      <c r="R3585"/>
      <c r="S3585"/>
      <c r="T3585" s="1224" t="str">
        <f ca="1">IF(AND($R3601=0,$T3601=0),"0.00","mu :" &amp; ROUND($F3585/$C$12/($R3601+$T3601*$D$9),2))</f>
        <v>mu :1.22</v>
      </c>
      <c r="W3585" s="507"/>
      <c r="AG3585" s="1225">
        <f ca="1">IF(A3585=0,0,ROUND(SUM(AG3587:AG3601)/A3585,2))</f>
        <v>42.23</v>
      </c>
      <c r="AH3585" s="1225">
        <f ca="1">$AG3585*$A3585</f>
        <v>42.23</v>
      </c>
      <c r="AI3585" s="1225">
        <f ca="1">$E3585-$AG3585</f>
        <v>12.96</v>
      </c>
      <c r="AJ3585" s="1225">
        <f ca="1">$A3585*$AI3585</f>
        <v>12.96</v>
      </c>
      <c r="AK3585" s="1226">
        <f ca="1">ROUND(($AG3585+$AI3585)*$A3585,2)</f>
        <v>55.19</v>
      </c>
      <c r="AM3585" s="510">
        <f ca="1">ROUND(R3601,2)</f>
        <v>34.61</v>
      </c>
      <c r="AN3585" s="511">
        <f ca="1">ROUND(T3601,2)</f>
        <v>0.37</v>
      </c>
      <c r="AO3585" s="512">
        <f ca="1">ROUND(AM3585+AN3585,2)*A3585</f>
        <v>34.979999999999997</v>
      </c>
    </row>
    <row r="3586" spans="1:41" s="504" customFormat="1" ht="12">
      <c r="A3586" s="1302"/>
      <c r="B3586" s="1303"/>
      <c r="C3586" s="872"/>
      <c r="D3586" s="873" t="s">
        <v>411</v>
      </c>
      <c r="F3586" s="877"/>
      <c r="G3586" s="877"/>
      <c r="H3586" s="877"/>
      <c r="I3586" s="878"/>
      <c r="J3586" s="877"/>
      <c r="K3586" s="877" t="s">
        <v>141</v>
      </c>
      <c r="L3586" s="1227"/>
      <c r="M3586" s="877"/>
      <c r="N3586" s="877"/>
      <c r="O3586" s="877"/>
      <c r="P3586" s="877"/>
      <c r="Q3586" s="50"/>
      <c r="R3586" s="513"/>
      <c r="S3586" s="881"/>
      <c r="T3586" s="877"/>
    </row>
    <row r="3587" spans="1:41" s="504" customFormat="1" ht="12">
      <c r="A3587" s="1228"/>
      <c r="B3587" s="1229"/>
      <c r="C3587" s="882"/>
      <c r="D3587" s="877"/>
      <c r="E3587" s="1230">
        <f ca="1">F3585/$C$12-SUMIF($L3584:$L3601,"SUBI",$E3584:$E3601)</f>
        <v>0</v>
      </c>
      <c r="F3587" s="1231" t="s">
        <v>1472</v>
      </c>
      <c r="G3587" s="1232"/>
      <c r="H3587" s="1232"/>
      <c r="I3587" s="1233"/>
      <c r="J3587" s="1232"/>
      <c r="K3587" s="1232"/>
      <c r="L3587" s="1234"/>
      <c r="M3587" s="1235"/>
      <c r="N3587" s="1235"/>
      <c r="O3587" s="1235"/>
      <c r="P3587" s="1235"/>
      <c r="Q3587" s="1236"/>
      <c r="R3587" s="1237"/>
      <c r="S3587" s="1236"/>
      <c r="T3587" s="1238"/>
    </row>
    <row r="3588" spans="1:41" s="504" customFormat="1" ht="12" customHeight="1">
      <c r="A3588" s="1239"/>
      <c r="B3588" s="1304"/>
      <c r="C3588" s="1240"/>
      <c r="D3588" s="1240" t="str">
        <f>$F$2</f>
        <v>Electrical</v>
      </c>
      <c r="E3588" s="1240">
        <f ca="1">ROUND(($R3594*$S$2 + ($T3594*$T$2)), 2)</f>
        <v>21.66</v>
      </c>
      <c r="F3588" s="1305">
        <f ca="1">$E3588*$C$12</f>
        <v>21.66</v>
      </c>
      <c r="G3588" s="513"/>
      <c r="H3588" s="1241"/>
      <c r="I3588" s="513"/>
      <c r="J3588" s="51"/>
      <c r="K3588" s="1242" t="s">
        <v>3</v>
      </c>
      <c r="L3588" s="1243" t="s">
        <v>1473</v>
      </c>
      <c r="M3588" s="513"/>
      <c r="N3588" s="513"/>
      <c r="O3588" s="51"/>
      <c r="P3588" s="513"/>
      <c r="Q3588" s="513"/>
      <c r="R3588"/>
      <c r="S3588"/>
      <c r="T3588"/>
    </row>
    <row r="3589" spans="1:41" s="504" customFormat="1" ht="13.95" customHeight="1">
      <c r="A3589" s="930"/>
      <c r="B3589" s="1244" t="s">
        <v>1474</v>
      </c>
      <c r="C3589" s="513"/>
      <c r="D3589" s="513"/>
      <c r="E3589" s="513"/>
      <c r="F3589" s="513"/>
      <c r="G3589" s="513"/>
      <c r="H3589" s="1241"/>
      <c r="I3589" s="513"/>
      <c r="J3589" s="51"/>
      <c r="K3589" s="1245"/>
      <c r="L3589" s="1246"/>
      <c r="M3589" s="513"/>
      <c r="N3589" s="513"/>
      <c r="O3589" s="51"/>
      <c r="P3589" s="513"/>
      <c r="Q3589" s="513"/>
      <c r="R3589" s="1247">
        <f>$A3589*Q3589</f>
        <v>0</v>
      </c>
      <c r="S3589" s="513"/>
      <c r="T3589" s="884">
        <f>$A3589*S3589*$T$1</f>
        <v>0</v>
      </c>
    </row>
    <row r="3590" spans="1:41" s="997" customFormat="1" ht="13.2">
      <c r="A3590"/>
      <c r="B3590" s="1065"/>
      <c r="C3590" s="1065" t="s">
        <v>1006</v>
      </c>
      <c r="D3590" s="1065" t="str">
        <f ca="1">CELL("Address",Elec_Rates!D$517)</f>
        <v>[EL25_0662B_Brittania_Hotel_Elec_Revised_Estim_B.xlsx]Elec_Rates!$D$517</v>
      </c>
      <c r="E3590" s="1066"/>
      <c r="F3590" s="1066"/>
      <c r="G3590" s="1067" t="s">
        <v>1007</v>
      </c>
      <c r="H3590" s="1067"/>
      <c r="I3590" s="1067"/>
      <c r="J3590" s="1067"/>
      <c r="K3590" s="1068"/>
      <c r="L3590" s="1066"/>
      <c r="M3590" s="1066"/>
      <c r="N3590" s="1066"/>
      <c r="O3590" s="1069"/>
      <c r="P3590" s="1066"/>
      <c r="Q3590" s="1070"/>
      <c r="R3590" s="1071"/>
      <c r="S3590" s="1070"/>
      <c r="T3590" s="1072"/>
      <c r="U3590" s="1073"/>
    </row>
    <row r="3591" spans="1:41" s="997" customFormat="1" ht="11.4">
      <c r="A3591" s="1074">
        <v>1</v>
      </c>
      <c r="B3591" s="1075">
        <v>1</v>
      </c>
      <c r="C3591" s="1075">
        <f>$A3591*$B3591</f>
        <v>1</v>
      </c>
      <c r="D3591" s="1076" t="str">
        <f>Elec_Rates!$D$517</f>
        <v>061# DALI Wiring cables</v>
      </c>
      <c r="E3591" s="1076"/>
      <c r="F3591" s="1076"/>
      <c r="G3591" s="1077" t="s">
        <v>1008</v>
      </c>
      <c r="H3591" s="1077"/>
      <c r="I3591" s="1077"/>
      <c r="J3591" s="1077"/>
      <c r="K3591" s="1078"/>
      <c r="L3591" s="1073"/>
      <c r="M3591" s="1073"/>
      <c r="N3591" s="1073"/>
      <c r="O3591" s="1079"/>
      <c r="P3591" s="1076"/>
      <c r="Q3591" s="1080">
        <f ca="1">$B3591*Elec_Rates!$R$517</f>
        <v>2.0699999999999998</v>
      </c>
      <c r="R3591" s="1071">
        <f ca="1">$A3591*Q3591</f>
        <v>2.0699999999999998</v>
      </c>
      <c r="S3591" s="1080">
        <f ca="1">$B3591*Elec_Rates!$T$517</f>
        <v>0.19</v>
      </c>
      <c r="T3591" s="1072">
        <f ca="1">$A3591*S3591</f>
        <v>0.19</v>
      </c>
      <c r="U3591" s="1081"/>
    </row>
    <row r="3592" spans="1:41" s="1039" customFormat="1" ht="11.4">
      <c r="A3592" s="1074">
        <v>1</v>
      </c>
      <c r="B3592" s="1039" t="s">
        <v>949</v>
      </c>
      <c r="D3592" s="1039" t="s">
        <v>1522</v>
      </c>
      <c r="F3592" s="1039" t="s">
        <v>1506</v>
      </c>
      <c r="G3592" s="1040" t="s">
        <v>1182</v>
      </c>
      <c r="H3592" s="1041">
        <v>705</v>
      </c>
      <c r="I3592" s="1039" t="s">
        <v>1183</v>
      </c>
      <c r="J3592" s="1039" t="s">
        <v>1184</v>
      </c>
      <c r="O3592" s="1042">
        <v>3</v>
      </c>
      <c r="P3592" s="1043">
        <v>34669</v>
      </c>
      <c r="Q3592" s="1044">
        <v>5.0599999999999996</v>
      </c>
      <c r="R3592" s="1045">
        <f t="shared" ref="R3592" si="48">$A3592*Q3592</f>
        <v>5.0599999999999996</v>
      </c>
      <c r="S3592" s="1044">
        <v>0.17</v>
      </c>
      <c r="T3592" s="1046">
        <f t="shared" ref="T3592" si="49">$A3592*S3592*$T$1</f>
        <v>0.17850000000000002</v>
      </c>
      <c r="AC3592" s="997"/>
      <c r="AD3592" s="997"/>
      <c r="AE3592" s="997"/>
    </row>
    <row r="3593" spans="1:41" s="504" customFormat="1" ht="13.95" customHeight="1">
      <c r="A3593" s="930"/>
      <c r="B3593" s="513"/>
      <c r="C3593" s="513"/>
      <c r="D3593" s="513"/>
      <c r="E3593" s="513"/>
      <c r="F3593" s="513"/>
      <c r="G3593" s="513"/>
      <c r="H3593" s="1241"/>
      <c r="I3593" s="513"/>
      <c r="J3593" s="51"/>
      <c r="K3593" s="1245"/>
      <c r="L3593" s="1246"/>
      <c r="M3593" s="513"/>
      <c r="N3593" s="513"/>
      <c r="O3593" s="51"/>
      <c r="P3593" s="513"/>
      <c r="Q3593" s="513"/>
      <c r="R3593" s="1247">
        <f>$A3593*Q3593</f>
        <v>0</v>
      </c>
      <c r="S3593" s="513"/>
      <c r="T3593" s="884">
        <f>$A3593*S3593*$T$1</f>
        <v>0</v>
      </c>
      <c r="AC3593" s="997"/>
      <c r="AD3593" s="997"/>
      <c r="AE3593" s="997"/>
    </row>
    <row r="3594" spans="1:41" s="504" customFormat="1" ht="12">
      <c r="A3594" s="1248" t="s">
        <v>142</v>
      </c>
      <c r="B3594" s="1249">
        <f>(R3593+T3593)</f>
        <v>0</v>
      </c>
      <c r="C3594" s="882"/>
      <c r="G3594" s="1250"/>
      <c r="H3594" s="1250"/>
      <c r="I3594" s="1250"/>
      <c r="J3594" s="1250"/>
      <c r="K3594" s="1251" t="s">
        <v>3</v>
      </c>
      <c r="L3594" s="1252" t="s">
        <v>1473</v>
      </c>
      <c r="M3594" s="1250"/>
      <c r="N3594" s="1250"/>
      <c r="O3594" s="1250"/>
      <c r="P3594" s="1250"/>
      <c r="Q3594" s="1253"/>
      <c r="R3594" s="1254">
        <f ca="1">SUM(R3588:R3593)</f>
        <v>7.129999999999999</v>
      </c>
      <c r="S3594" s="1255"/>
      <c r="T3594" s="1254">
        <f ca="1">SUM(T3588:T3593)</f>
        <v>0.36850000000000005</v>
      </c>
      <c r="AG3594" s="1256">
        <f ca="1">ROUND($R3594*$S$2,2)</f>
        <v>8.6999999999999993</v>
      </c>
    </row>
    <row r="3595" spans="1:41" s="504" customFormat="1" ht="12" customHeight="1">
      <c r="A3595" s="1257"/>
      <c r="B3595" s="1306"/>
      <c r="C3595" s="1307"/>
      <c r="D3595" s="1307" t="str">
        <f>$F$3</f>
        <v>Controls Section (DALI)</v>
      </c>
      <c r="E3595" s="1307">
        <f>ROUND(($R3599*$S$3 + ($T3599*$T$3)), 2)</f>
        <v>33.53</v>
      </c>
      <c r="F3595" s="1308">
        <f ca="1">$F3585-SUMIF($L3587:$P3591,"SUBI",$F3587:$F3591)</f>
        <v>33.53</v>
      </c>
      <c r="G3595" s="503"/>
      <c r="H3595" s="503"/>
      <c r="I3595" s="503"/>
      <c r="J3595" s="503"/>
      <c r="K3595" s="1242" t="s">
        <v>5</v>
      </c>
      <c r="L3595" s="1243" t="s">
        <v>1473</v>
      </c>
      <c r="M3595" s="503"/>
      <c r="N3595" s="503"/>
      <c r="O3595" s="503"/>
      <c r="P3595" s="503"/>
      <c r="Q3595" s="503"/>
      <c r="R3595" s="1258"/>
      <c r="S3595" s="503"/>
      <c r="T3595" s="1258"/>
    </row>
    <row r="3596" spans="1:41" s="1271" customFormat="1" ht="14.4" customHeight="1">
      <c r="A3596" s="1259"/>
      <c r="B3596" s="1244" t="s">
        <v>1475</v>
      </c>
      <c r="C3596" s="1260"/>
      <c r="D3596" s="1261"/>
      <c r="E3596" s="1261"/>
      <c r="F3596" s="1261"/>
      <c r="G3596" s="1262"/>
      <c r="H3596" s="1263"/>
      <c r="I3596" s="1263"/>
      <c r="J3596" s="1264"/>
      <c r="K3596" s="1265"/>
      <c r="L3596" s="1260"/>
      <c r="M3596" s="1266"/>
      <c r="N3596" s="1267"/>
      <c r="O3596" s="1268"/>
      <c r="P3596" s="1269"/>
      <c r="Q3596" s="1270"/>
      <c r="R3596" s="1247">
        <f>$A3596*Q3596</f>
        <v>0</v>
      </c>
      <c r="S3596" s="513"/>
      <c r="T3596" s="884">
        <f>$A3596*S3596*$T$1</f>
        <v>0</v>
      </c>
    </row>
    <row r="3597" spans="1:41" s="1039" customFormat="1" ht="13.2">
      <c r="A3597">
        <v>1</v>
      </c>
      <c r="B3597" s="1039" t="s">
        <v>949</v>
      </c>
      <c r="D3597" s="1039" t="s">
        <v>1523</v>
      </c>
      <c r="G3597" s="1374" t="s">
        <v>1991</v>
      </c>
      <c r="H3597" s="1375">
        <v>512</v>
      </c>
      <c r="I3597" s="1039" t="s">
        <v>1519</v>
      </c>
      <c r="J3597" s="1039" t="s">
        <v>1520</v>
      </c>
      <c r="O3597" s="1042">
        <v>3</v>
      </c>
      <c r="P3597" s="1043">
        <v>38421</v>
      </c>
      <c r="Q3597" s="1044">
        <v>27.48</v>
      </c>
      <c r="R3597" s="1045">
        <f>$A3597*Q3597</f>
        <v>27.48</v>
      </c>
      <c r="S3597" s="513"/>
      <c r="T3597" s="1046">
        <f>$A3597*S3597*$T$1</f>
        <v>0</v>
      </c>
    </row>
    <row r="3598" spans="1:41" s="504" customFormat="1" ht="13.2">
      <c r="A3598" s="930"/>
      <c r="B3598" s="513"/>
      <c r="C3598" s="513"/>
      <c r="D3598" s="3"/>
      <c r="E3598" s="513"/>
      <c r="F3598" s="513"/>
      <c r="G3598" s="513"/>
      <c r="H3598" s="513"/>
      <c r="I3598" s="513"/>
      <c r="J3598" s="513"/>
      <c r="K3598" s="513"/>
      <c r="L3598" s="1246"/>
      <c r="M3598" s="513"/>
      <c r="N3598" s="513"/>
      <c r="O3598" s="513"/>
      <c r="P3598" s="513"/>
      <c r="Q3598" s="513"/>
      <c r="R3598" s="1247">
        <f>$A3598*Q3598</f>
        <v>0</v>
      </c>
      <c r="S3598" s="513"/>
      <c r="T3598" s="884">
        <f>$A3598*S3598*$T$1</f>
        <v>0</v>
      </c>
    </row>
    <row r="3599" spans="1:41" s="504" customFormat="1" ht="12" customHeight="1">
      <c r="A3599" s="1272" t="s">
        <v>142</v>
      </c>
      <c r="B3599" s="1273">
        <f>(R3598+T3598)</f>
        <v>0</v>
      </c>
      <c r="C3599" s="1274"/>
      <c r="D3599" s="1274"/>
      <c r="E3599" s="1274"/>
      <c r="F3599" s="1274"/>
      <c r="G3599" s="1253"/>
      <c r="H3599" s="1253"/>
      <c r="I3599" s="1253"/>
      <c r="J3599" s="1253"/>
      <c r="K3599" s="1275" t="s">
        <v>5</v>
      </c>
      <c r="L3599" s="1276" t="s">
        <v>1473</v>
      </c>
      <c r="M3599" s="1253"/>
      <c r="N3599" s="1253"/>
      <c r="O3599" s="1253"/>
      <c r="P3599" s="1253"/>
      <c r="Q3599" s="1253"/>
      <c r="R3599" s="1254">
        <f>SUM(R3595:R3598)</f>
        <v>27.48</v>
      </c>
      <c r="S3599" s="1255"/>
      <c r="T3599" s="1254">
        <f>SUM(T3595:T3598)</f>
        <v>0</v>
      </c>
      <c r="AG3599" s="1309">
        <f>ROUND($R3599*$S$3,2)</f>
        <v>33.53</v>
      </c>
    </row>
    <row r="3600" spans="1:41" s="504" customFormat="1" ht="12.75" customHeight="1">
      <c r="A3600" s="1277"/>
      <c r="B3600" s="1278"/>
      <c r="E3600" s="882"/>
      <c r="F3600" s="1279"/>
      <c r="G3600" s="882"/>
      <c r="H3600" s="882"/>
      <c r="I3600" s="503"/>
      <c r="J3600" s="882"/>
      <c r="K3600" s="882"/>
      <c r="L3600" s="1280"/>
      <c r="M3600" s="933"/>
      <c r="N3600" s="933"/>
      <c r="O3600" s="933"/>
      <c r="P3600" s="933"/>
      <c r="Q3600" s="900"/>
      <c r="R3600" s="1258"/>
      <c r="S3600" s="882"/>
      <c r="T3600" s="1258"/>
    </row>
    <row r="3601" spans="1:41" s="504" customFormat="1" ht="13.5" customHeight="1" thickBot="1">
      <c r="A3601" s="1281"/>
      <c r="B3601" s="1282"/>
      <c r="C3601" s="514"/>
      <c r="D3601" s="514"/>
      <c r="E3601" s="887"/>
      <c r="F3601" s="888"/>
      <c r="G3601" s="887" t="s">
        <v>143</v>
      </c>
      <c r="H3601" s="887"/>
      <c r="I3601" s="889"/>
      <c r="J3601" s="887"/>
      <c r="K3601" s="887"/>
      <c r="L3601" s="1283" t="s">
        <v>140</v>
      </c>
      <c r="M3601" s="890"/>
      <c r="N3601" s="890"/>
      <c r="O3601" s="890"/>
      <c r="P3601" s="890"/>
      <c r="Q3601" s="891"/>
      <c r="R3601" s="1284">
        <f ca="1">SUMIF($L3586:$L3600,"SUBI",R3586:R3600)</f>
        <v>34.61</v>
      </c>
      <c r="S3601" s="887"/>
      <c r="T3601" s="1284">
        <f ca="1">SUMIF($L3586:$L3600,"SUBI",T3586:T3600)</f>
        <v>0.36850000000000005</v>
      </c>
      <c r="U3601" s="514"/>
      <c r="V3601" s="514"/>
      <c r="W3601" s="514"/>
      <c r="X3601" s="514"/>
      <c r="Y3601" s="514"/>
      <c r="Z3601" s="514"/>
      <c r="AA3601" s="514"/>
      <c r="AB3601" s="514"/>
      <c r="AC3601" s="514"/>
      <c r="AD3601" s="514"/>
      <c r="AE3601" s="514"/>
      <c r="AF3601" s="514"/>
      <c r="AG3601" s="514"/>
      <c r="AH3601" s="514"/>
      <c r="AI3601" s="514"/>
      <c r="AJ3601" s="514"/>
      <c r="AK3601" s="514"/>
      <c r="AL3601" s="514"/>
      <c r="AM3601" s="514"/>
      <c r="AN3601" s="514"/>
      <c r="AO3601" s="514"/>
    </row>
    <row r="3602" spans="1:41" s="504" customFormat="1" thickTop="1">
      <c r="A3602" s="50"/>
      <c r="B3602" s="50"/>
      <c r="C3602" s="3"/>
      <c r="D3602" s="3"/>
      <c r="E3602" s="50"/>
      <c r="F3602" s="50"/>
      <c r="G3602" s="50"/>
      <c r="H3602" s="50"/>
      <c r="I3602" s="50"/>
      <c r="J3602" s="50"/>
      <c r="K3602" s="50" t="s">
        <v>133</v>
      </c>
      <c r="L3602" s="50"/>
      <c r="M3602" s="50"/>
      <c r="N3602" s="50"/>
      <c r="O3602" s="51"/>
      <c r="P3602" s="50"/>
      <c r="Q3602" s="50"/>
      <c r="R3602" s="50"/>
      <c r="S3602" s="50"/>
      <c r="T3602" s="50"/>
    </row>
    <row r="3603" spans="1:41" s="504" customFormat="1" ht="12">
      <c r="A3603" s="50"/>
      <c r="B3603" s="50"/>
      <c r="C3603" s="50" t="s">
        <v>134</v>
      </c>
      <c r="D3603" s="37" t="s">
        <v>898</v>
      </c>
      <c r="E3603" s="50"/>
      <c r="F3603" s="50"/>
      <c r="G3603" s="50"/>
      <c r="H3603" s="50"/>
      <c r="I3603" s="50"/>
      <c r="J3603" s="50"/>
      <c r="K3603" s="50"/>
      <c r="L3603" s="50"/>
      <c r="M3603" s="50"/>
      <c r="N3603" s="50"/>
      <c r="O3603" s="51"/>
      <c r="P3603" s="50"/>
      <c r="Q3603" s="50"/>
      <c r="R3603" s="50"/>
      <c r="S3603" s="50"/>
      <c r="T3603" s="50"/>
    </row>
    <row r="3604" spans="1:41" s="504" customFormat="1" ht="12">
      <c r="A3604" s="50"/>
      <c r="B3604" s="50"/>
      <c r="C3604" s="50"/>
      <c r="D3604" s="37" t="s">
        <v>345</v>
      </c>
      <c r="E3604" s="50"/>
      <c r="F3604" s="50"/>
      <c r="G3604" s="50"/>
      <c r="H3604" s="50"/>
      <c r="I3604" s="50"/>
      <c r="J3604" s="50"/>
      <c r="K3604" s="50"/>
      <c r="L3604" s="50"/>
      <c r="M3604" s="50"/>
      <c r="N3604" s="50"/>
      <c r="O3604" s="51"/>
      <c r="P3604" s="50"/>
      <c r="Q3604" s="50"/>
      <c r="R3604" s="50"/>
      <c r="S3604" s="38"/>
      <c r="T3604" s="38"/>
    </row>
    <row r="3605" spans="1:41" s="3" customFormat="1" thickBot="1">
      <c r="A3605" s="514"/>
      <c r="O3605" s="103"/>
    </row>
    <row r="3606" spans="1:41" s="504" customFormat="1" ht="12" thickTop="1">
      <c r="A3606" s="50"/>
      <c r="B3606" s="40"/>
      <c r="C3606" s="50"/>
      <c r="E3606" s="41" t="s">
        <v>136</v>
      </c>
      <c r="F3606" s="41" t="s">
        <v>137</v>
      </c>
      <c r="G3606" s="50"/>
      <c r="H3606" s="50"/>
      <c r="I3606" s="50"/>
      <c r="J3606" s="50"/>
      <c r="K3606" s="50" t="s">
        <v>138</v>
      </c>
      <c r="L3606" s="50"/>
      <c r="M3606" s="50"/>
      <c r="N3606" s="50"/>
      <c r="O3606" s="51"/>
      <c r="P3606" s="50"/>
      <c r="Q3606" s="50"/>
      <c r="R3606" s="50"/>
      <c r="S3606" s="50"/>
      <c r="T3606" s="40"/>
      <c r="AG3606" s="867" t="s">
        <v>241</v>
      </c>
      <c r="AH3606" s="867" t="s">
        <v>242</v>
      </c>
      <c r="AI3606" s="867" t="s">
        <v>243</v>
      </c>
      <c r="AJ3606" s="867" t="s">
        <v>244</v>
      </c>
      <c r="AK3606" s="867" t="s">
        <v>245</v>
      </c>
      <c r="AM3606" s="868" t="s">
        <v>254</v>
      </c>
      <c r="AN3606" s="869" t="s">
        <v>255</v>
      </c>
      <c r="AO3606" s="505" t="s">
        <v>251</v>
      </c>
    </row>
    <row r="3607" spans="1:41" s="504" customFormat="1" ht="12" customHeight="1">
      <c r="A3607" s="870">
        <v>8</v>
      </c>
      <c r="B3607" s="871" t="s">
        <v>335</v>
      </c>
      <c r="C3607" s="872"/>
      <c r="D3607" s="873" t="s">
        <v>804</v>
      </c>
      <c r="E3607" s="874">
        <f ca="1">IF(AND($A3607=0,$A$1="DIF"),0, ROUND(ROUND(($R3612*$S$2+($T3612*$T$2))/A3607,2)*$C$2,2))</f>
        <v>81.56</v>
      </c>
      <c r="F3607" s="875">
        <f ca="1">ROUND($A3607*$E3607,2)</f>
        <v>652.48</v>
      </c>
      <c r="G3607" s="876" t="s">
        <v>139</v>
      </c>
      <c r="H3607" s="877"/>
      <c r="I3607" s="878"/>
      <c r="J3607" s="877"/>
      <c r="K3607" s="877" t="s">
        <v>3</v>
      </c>
      <c r="L3607" s="879" t="s">
        <v>140</v>
      </c>
      <c r="M3607" s="879"/>
      <c r="N3607" s="879"/>
      <c r="O3607" s="879"/>
      <c r="P3607" s="879"/>
      <c r="Q3607" s="50"/>
      <c r="T3607" s="880" t="str">
        <f ca="1">IF(AND($R3612=0,$T3612=0),"0.00","mu :" &amp; ROUND($F3607/$C$2/($R3612+$T3612*$D$9),2))</f>
        <v>mu :1.22</v>
      </c>
      <c r="W3607" s="507"/>
      <c r="AG3607" s="465">
        <f ca="1">IF($E3607=0,0,ROUND($R3612*$S$2*$C$2/$A3607,2))</f>
        <v>81.56</v>
      </c>
      <c r="AH3607" s="465">
        <f ca="1">$AG3607*$A3607</f>
        <v>652.48</v>
      </c>
      <c r="AI3607" s="508">
        <f ca="1">$E3607-$AG3607</f>
        <v>0</v>
      </c>
      <c r="AJ3607" s="508">
        <f ca="1">$A3607*$AI3607</f>
        <v>0</v>
      </c>
      <c r="AK3607" s="509">
        <f ca="1">ROUND(($AG3607+$AI3607)*$A3607,2)</f>
        <v>652.48</v>
      </c>
      <c r="AM3607" s="510">
        <f ca="1">ROUND(R3612,2)</f>
        <v>534.79999999999995</v>
      </c>
      <c r="AN3607" s="511">
        <f ca="1">ROUND(T3612,2)</f>
        <v>0</v>
      </c>
      <c r="AO3607" s="512">
        <f ca="1">ROUND(AM3607+AN3607,2)*A3607</f>
        <v>4278.3999999999996</v>
      </c>
    </row>
    <row r="3608" spans="1:41" s="504" customFormat="1" ht="13.2">
      <c r="A3608" s="872"/>
      <c r="B3608"/>
      <c r="C3608" s="872"/>
      <c r="D3608" s="873" t="s">
        <v>471</v>
      </c>
      <c r="F3608" s="877"/>
      <c r="G3608" s="3"/>
      <c r="H3608" s="877"/>
      <c r="I3608" s="878"/>
      <c r="J3608" s="877"/>
      <c r="K3608" s="877" t="s">
        <v>141</v>
      </c>
      <c r="L3608" s="877"/>
      <c r="M3608" s="877"/>
      <c r="N3608" s="877"/>
      <c r="O3608" s="877"/>
      <c r="P3608" s="877"/>
      <c r="Q3608" s="50"/>
      <c r="R3608" s="513"/>
      <c r="S3608" s="881"/>
      <c r="T3608" s="877"/>
    </row>
    <row r="3609" spans="1:41" s="997" customFormat="1" ht="13.2">
      <c r="A3609"/>
      <c r="B3609" s="1065"/>
      <c r="C3609" s="1065" t="s">
        <v>1006</v>
      </c>
      <c r="D3609" s="1065" t="str">
        <f ca="1">CELL("Address",Elec_Rates!D$234)</f>
        <v>[EL25_0662B_Brittania_Hotel_Elec_Revised_Estim_B.xlsx]Elec_Rates!$D$234</v>
      </c>
      <c r="E3609" s="1066"/>
      <c r="F3609" s="1066"/>
      <c r="G3609" s="1067" t="s">
        <v>1007</v>
      </c>
      <c r="H3609" s="1067"/>
      <c r="I3609" s="1067"/>
      <c r="J3609" s="1067"/>
      <c r="K3609" s="1068"/>
      <c r="L3609" s="1066"/>
      <c r="M3609" s="1066"/>
      <c r="N3609" s="1066"/>
      <c r="O3609" s="1069"/>
      <c r="P3609" s="1066"/>
      <c r="Q3609" s="1070"/>
      <c r="R3609" s="1071"/>
      <c r="S3609" s="1070"/>
      <c r="T3609" s="1072"/>
      <c r="U3609" s="1073"/>
    </row>
    <row r="3610" spans="1:41" s="997" customFormat="1" ht="11.4">
      <c r="A3610" s="1074">
        <v>8</v>
      </c>
      <c r="B3610" s="1075">
        <v>1</v>
      </c>
      <c r="C3610" s="1075">
        <f>$A3610*$B3610</f>
        <v>8</v>
      </c>
      <c r="D3610" s="1076" t="str">
        <f>Elec_Rates!$D$234</f>
        <v>024# Supply Only - Outdoor wall lights for technical area, IP65</v>
      </c>
      <c r="E3610" s="1076"/>
      <c r="F3610" s="1076"/>
      <c r="G3610" s="1077" t="s">
        <v>1008</v>
      </c>
      <c r="H3610" s="1077"/>
      <c r="I3610" s="1077"/>
      <c r="J3610" s="1077"/>
      <c r="K3610" s="1078"/>
      <c r="L3610" s="1073"/>
      <c r="M3610" s="1073"/>
      <c r="N3610" s="1073"/>
      <c r="O3610" s="1079"/>
      <c r="P3610" s="1076"/>
      <c r="Q3610" s="1080">
        <f ca="1">$B3610*Elec_Rates!$R$234</f>
        <v>66.849999999999994</v>
      </c>
      <c r="R3610" s="1071">
        <f ca="1">$A3610*Q3610</f>
        <v>534.79999999999995</v>
      </c>
      <c r="S3610" s="1080">
        <f ca="1">$B3610*Elec_Rates!$T$234</f>
        <v>0</v>
      </c>
      <c r="T3610" s="1072">
        <f ca="1">$A3610*S3610</f>
        <v>0</v>
      </c>
      <c r="U3610" s="1081"/>
    </row>
    <row r="3611" spans="1:41" s="504" customFormat="1" ht="12">
      <c r="A3611" s="882"/>
      <c r="B3611" s="882"/>
      <c r="C3611" s="882"/>
      <c r="D3611" s="882"/>
      <c r="E3611" s="882"/>
      <c r="F3611" s="877"/>
      <c r="G3611" s="882"/>
      <c r="H3611" s="882"/>
      <c r="I3611" s="503"/>
      <c r="J3611" s="882"/>
      <c r="K3611" s="882"/>
      <c r="L3611" s="882"/>
      <c r="M3611" s="882"/>
      <c r="N3611" s="882"/>
      <c r="O3611" s="882"/>
      <c r="P3611" s="882"/>
      <c r="Q3611" s="503"/>
      <c r="R3611" s="883">
        <f>$A3611*Q3611</f>
        <v>0</v>
      </c>
      <c r="S3611" s="503"/>
      <c r="T3611" s="884">
        <f>$A3611*S3611*$T$1</f>
        <v>0</v>
      </c>
    </row>
    <row r="3612" spans="1:41" s="504" customFormat="1" ht="12.6" thickBot="1">
      <c r="A3612" s="885" t="s">
        <v>142</v>
      </c>
      <c r="B3612" s="886">
        <f>(R3611+T3611)</f>
        <v>0</v>
      </c>
      <c r="C3612" s="887"/>
      <c r="D3612" s="887"/>
      <c r="E3612" s="887"/>
      <c r="F3612" s="888"/>
      <c r="G3612" s="887" t="s">
        <v>143</v>
      </c>
      <c r="H3612" s="887"/>
      <c r="I3612" s="889"/>
      <c r="J3612" s="887"/>
      <c r="K3612" s="887" t="s">
        <v>3</v>
      </c>
      <c r="L3612" s="890" t="s">
        <v>140</v>
      </c>
      <c r="M3612" s="890"/>
      <c r="N3612" s="890"/>
      <c r="O3612" s="890"/>
      <c r="P3612" s="890"/>
      <c r="Q3612" s="891"/>
      <c r="R3612" s="892">
        <f ca="1">SUM(R3608:R3611)</f>
        <v>534.79999999999995</v>
      </c>
      <c r="S3612" s="887"/>
      <c r="T3612" s="892">
        <f ca="1">SUM(T3608:T3611)</f>
        <v>0</v>
      </c>
      <c r="U3612" s="514"/>
      <c r="V3612" s="514"/>
      <c r="W3612" s="514"/>
      <c r="X3612" s="514"/>
      <c r="Y3612" s="514"/>
      <c r="Z3612" s="514"/>
      <c r="AA3612" s="514"/>
      <c r="AB3612" s="514"/>
      <c r="AC3612" s="514"/>
      <c r="AD3612" s="514"/>
      <c r="AE3612" s="514"/>
      <c r="AF3612" s="514"/>
      <c r="AG3612" s="514"/>
      <c r="AH3612" s="514"/>
      <c r="AI3612" s="514"/>
      <c r="AJ3612" s="514"/>
      <c r="AK3612" s="514"/>
      <c r="AL3612" s="514"/>
      <c r="AM3612" s="514"/>
      <c r="AN3612" s="514"/>
      <c r="AO3612" s="514"/>
    </row>
    <row r="3613" spans="1:41" s="504" customFormat="1" ht="12" thickTop="1">
      <c r="A3613" s="50"/>
      <c r="B3613" s="40"/>
      <c r="C3613" s="50"/>
      <c r="E3613" s="41" t="s">
        <v>136</v>
      </c>
      <c r="F3613" s="41" t="s">
        <v>137</v>
      </c>
      <c r="G3613" s="50"/>
      <c r="H3613" s="50"/>
      <c r="I3613" s="50"/>
      <c r="J3613" s="50"/>
      <c r="K3613" s="50" t="s">
        <v>138</v>
      </c>
      <c r="L3613" s="50"/>
      <c r="M3613" s="50"/>
      <c r="N3613" s="50"/>
      <c r="O3613" s="51"/>
      <c r="P3613" s="50"/>
      <c r="Q3613" s="50"/>
      <c r="R3613" s="50"/>
      <c r="S3613" s="50"/>
      <c r="T3613" s="40"/>
      <c r="AG3613" s="867" t="s">
        <v>241</v>
      </c>
      <c r="AH3613" s="867" t="s">
        <v>242</v>
      </c>
      <c r="AI3613" s="867" t="s">
        <v>243</v>
      </c>
      <c r="AJ3613" s="867" t="s">
        <v>244</v>
      </c>
      <c r="AK3613" s="867" t="s">
        <v>245</v>
      </c>
      <c r="AM3613" s="868" t="s">
        <v>254</v>
      </c>
      <c r="AN3613" s="869" t="s">
        <v>255</v>
      </c>
      <c r="AO3613" s="505" t="s">
        <v>251</v>
      </c>
    </row>
    <row r="3614" spans="1:41" s="504" customFormat="1" ht="12" customHeight="1">
      <c r="A3614" s="870">
        <v>7</v>
      </c>
      <c r="B3614" s="871" t="s">
        <v>335</v>
      </c>
      <c r="C3614" s="872"/>
      <c r="D3614" s="873" t="s">
        <v>806</v>
      </c>
      <c r="E3614" s="874">
        <f>IF(AND($A3614=0,$A$1="DIF"),0, ROUND(ROUND(($R3619*$S$2+($T3619*$T$2))/A3614,2)*$C$2,2))</f>
        <v>0</v>
      </c>
      <c r="F3614" s="875">
        <f>ROUND($A3614*$E3614,2)</f>
        <v>0</v>
      </c>
      <c r="G3614" s="876" t="s">
        <v>139</v>
      </c>
      <c r="H3614" s="877"/>
      <c r="I3614" s="878"/>
      <c r="J3614" s="877"/>
      <c r="K3614" s="877" t="s">
        <v>3</v>
      </c>
      <c r="L3614" s="879" t="s">
        <v>140</v>
      </c>
      <c r="M3614" s="879"/>
      <c r="N3614" s="879"/>
      <c r="O3614" s="879"/>
      <c r="P3614" s="879"/>
      <c r="Q3614" s="50" t="s">
        <v>1337</v>
      </c>
      <c r="T3614" s="880" t="str">
        <f>IF(AND($R3619=0,$T3619=0),"0.00","mu :" &amp; ROUND($F3614/$C$2/($R3619+$T3619*$D$9),2))</f>
        <v>0.00</v>
      </c>
      <c r="W3614" s="507"/>
      <c r="AG3614" s="465">
        <f>IF($E3614=0,0,ROUND($R3619*$S$2*$C$2/$A3614,2))</f>
        <v>0</v>
      </c>
      <c r="AH3614" s="465">
        <f>$AG3614*$A3614</f>
        <v>0</v>
      </c>
      <c r="AI3614" s="508">
        <f>$E3614-$AG3614</f>
        <v>0</v>
      </c>
      <c r="AJ3614" s="508">
        <f>$A3614*$AI3614</f>
        <v>0</v>
      </c>
      <c r="AK3614" s="509">
        <f>ROUND(($AG3614+$AI3614)*$A3614,2)</f>
        <v>0</v>
      </c>
      <c r="AM3614" s="510">
        <f>ROUND(R3619,2)</f>
        <v>0</v>
      </c>
      <c r="AN3614" s="511">
        <f>ROUND(T3619,2)</f>
        <v>0</v>
      </c>
      <c r="AO3614" s="512">
        <f>ROUND(AM3614+AN3614,2)*A3614</f>
        <v>0</v>
      </c>
    </row>
    <row r="3615" spans="1:41" s="504" customFormat="1" ht="13.2">
      <c r="A3615" s="872"/>
      <c r="B3615"/>
      <c r="C3615" s="872"/>
      <c r="D3615" s="873" t="s">
        <v>381</v>
      </c>
      <c r="F3615" s="877"/>
      <c r="G3615" s="3"/>
      <c r="H3615" s="877"/>
      <c r="I3615" s="878"/>
      <c r="J3615" s="877"/>
      <c r="K3615" s="877" t="s">
        <v>141</v>
      </c>
      <c r="L3615" s="877"/>
      <c r="M3615" s="877"/>
      <c r="N3615" s="877"/>
      <c r="O3615" s="877"/>
      <c r="P3615" s="877"/>
      <c r="Q3615" s="50"/>
      <c r="R3615" s="513"/>
      <c r="S3615" s="881"/>
      <c r="T3615" s="877"/>
    </row>
    <row r="3616" spans="1:41" s="504" customFormat="1" ht="12">
      <c r="A3616" s="50"/>
      <c r="B3616" s="882"/>
      <c r="C3616" s="882"/>
      <c r="D3616" s="882"/>
      <c r="E3616" s="882"/>
      <c r="F3616" s="877"/>
      <c r="G3616" s="882"/>
      <c r="H3616" s="882"/>
      <c r="I3616" s="503"/>
      <c r="J3616" s="882"/>
      <c r="K3616" s="882"/>
      <c r="L3616" s="882"/>
      <c r="M3616" s="882"/>
      <c r="N3616" s="882"/>
      <c r="O3616" s="882"/>
      <c r="P3616" s="882"/>
      <c r="Q3616" s="503"/>
      <c r="R3616" s="883">
        <f>$A3616*Q3616</f>
        <v>0</v>
      </c>
      <c r="S3616" s="503"/>
      <c r="T3616" s="884">
        <f>$A3616*S3616*$T$1</f>
        <v>0</v>
      </c>
    </row>
    <row r="3617" spans="1:41" s="504" customFormat="1" ht="12">
      <c r="A3617" s="50"/>
      <c r="B3617" s="882"/>
      <c r="C3617" s="882"/>
      <c r="D3617" s="50" t="s">
        <v>1337</v>
      </c>
      <c r="E3617" s="882"/>
      <c r="F3617" s="877"/>
      <c r="G3617" s="882"/>
      <c r="H3617" s="882"/>
      <c r="I3617" s="503"/>
      <c r="J3617" s="882"/>
      <c r="K3617" s="882"/>
      <c r="L3617" s="882"/>
      <c r="M3617" s="882"/>
      <c r="N3617" s="882"/>
      <c r="O3617" s="882"/>
      <c r="P3617" s="882"/>
      <c r="Q3617" s="503"/>
      <c r="R3617" s="883">
        <f>$A3617*Q3617</f>
        <v>0</v>
      </c>
      <c r="S3617" s="503"/>
      <c r="T3617" s="884">
        <f>$A3617*S3617*$T$1</f>
        <v>0</v>
      </c>
    </row>
    <row r="3618" spans="1:41" s="504" customFormat="1" ht="12">
      <c r="A3618" s="882"/>
      <c r="B3618" s="882"/>
      <c r="C3618" s="882"/>
      <c r="D3618" s="882"/>
      <c r="E3618" s="882"/>
      <c r="F3618" s="877"/>
      <c r="G3618" s="882"/>
      <c r="H3618" s="882"/>
      <c r="I3618" s="503"/>
      <c r="J3618" s="882"/>
      <c r="K3618" s="882"/>
      <c r="L3618" s="882"/>
      <c r="M3618" s="882"/>
      <c r="N3618" s="882"/>
      <c r="O3618" s="882"/>
      <c r="P3618" s="882"/>
      <c r="Q3618" s="503"/>
      <c r="R3618" s="883">
        <f>$A3618*Q3618</f>
        <v>0</v>
      </c>
      <c r="S3618" s="503"/>
      <c r="T3618" s="884">
        <f>$A3618*S3618*$T$1</f>
        <v>0</v>
      </c>
    </row>
    <row r="3619" spans="1:41" s="504" customFormat="1" ht="12.6" thickBot="1">
      <c r="A3619" s="885" t="s">
        <v>142</v>
      </c>
      <c r="B3619" s="886">
        <f>(R3618+T3618)</f>
        <v>0</v>
      </c>
      <c r="C3619" s="887"/>
      <c r="D3619" s="887"/>
      <c r="E3619" s="887"/>
      <c r="F3619" s="888"/>
      <c r="G3619" s="887" t="s">
        <v>143</v>
      </c>
      <c r="H3619" s="887"/>
      <c r="I3619" s="889"/>
      <c r="J3619" s="887"/>
      <c r="K3619" s="887" t="s">
        <v>3</v>
      </c>
      <c r="L3619" s="890" t="s">
        <v>140</v>
      </c>
      <c r="M3619" s="890"/>
      <c r="N3619" s="890"/>
      <c r="O3619" s="890"/>
      <c r="P3619" s="890"/>
      <c r="Q3619" s="891"/>
      <c r="R3619" s="892">
        <f>SUM(R3615:R3618)</f>
        <v>0</v>
      </c>
      <c r="S3619" s="887"/>
      <c r="T3619" s="892">
        <f>SUM(T3615:T3618)</f>
        <v>0</v>
      </c>
      <c r="U3619" s="514"/>
      <c r="V3619" s="514"/>
      <c r="W3619" s="514"/>
      <c r="X3619" s="514"/>
      <c r="Y3619" s="514"/>
      <c r="Z3619" s="514"/>
      <c r="AA3619" s="514"/>
      <c r="AB3619" s="514"/>
      <c r="AC3619" s="514"/>
      <c r="AD3619" s="514"/>
      <c r="AE3619" s="514"/>
      <c r="AF3619" s="514"/>
      <c r="AG3619" s="514"/>
      <c r="AH3619" s="514"/>
      <c r="AI3619" s="514"/>
      <c r="AJ3619" s="514"/>
      <c r="AK3619" s="514"/>
      <c r="AL3619" s="514"/>
      <c r="AM3619" s="514"/>
      <c r="AN3619" s="514"/>
      <c r="AO3619" s="514"/>
    </row>
    <row r="3620" spans="1:41" s="504" customFormat="1" ht="12" thickTop="1">
      <c r="A3620" s="50"/>
      <c r="B3620" s="40"/>
      <c r="C3620" s="50"/>
      <c r="E3620" s="41" t="s">
        <v>136</v>
      </c>
      <c r="F3620" s="41" t="s">
        <v>137</v>
      </c>
      <c r="G3620" s="50"/>
      <c r="H3620" s="50"/>
      <c r="I3620" s="50"/>
      <c r="J3620" s="50"/>
      <c r="K3620" s="50" t="s">
        <v>138</v>
      </c>
      <c r="L3620" s="50"/>
      <c r="M3620" s="50"/>
      <c r="N3620" s="50"/>
      <c r="O3620" s="51"/>
      <c r="P3620" s="50"/>
      <c r="Q3620" s="50"/>
      <c r="R3620" s="50"/>
      <c r="S3620" s="50"/>
      <c r="T3620" s="40"/>
      <c r="AG3620" s="867" t="s">
        <v>241</v>
      </c>
      <c r="AH3620" s="867" t="s">
        <v>242</v>
      </c>
      <c r="AI3620" s="867" t="s">
        <v>243</v>
      </c>
      <c r="AJ3620" s="867" t="s">
        <v>244</v>
      </c>
      <c r="AK3620" s="867" t="s">
        <v>245</v>
      </c>
      <c r="AM3620" s="868" t="s">
        <v>254</v>
      </c>
      <c r="AN3620" s="869" t="s">
        <v>255</v>
      </c>
      <c r="AO3620" s="505" t="s">
        <v>251</v>
      </c>
    </row>
    <row r="3621" spans="1:41" s="504" customFormat="1" ht="12" customHeight="1">
      <c r="A3621" s="870">
        <v>1</v>
      </c>
      <c r="B3621" s="871" t="s">
        <v>335</v>
      </c>
      <c r="C3621" s="872"/>
      <c r="D3621" s="873" t="s">
        <v>808</v>
      </c>
      <c r="E3621" s="874">
        <f ca="1">IF(AND($A3621=0,$A$1="DIF"),0, ROUND(ROUND(($R3626*$S$2+($T3626*$T$2))/A3621,2)*$C$2,2))</f>
        <v>28.98</v>
      </c>
      <c r="F3621" s="875">
        <f ca="1">ROUND($A3621*$E3621,2)</f>
        <v>28.98</v>
      </c>
      <c r="G3621" s="876" t="s">
        <v>139</v>
      </c>
      <c r="H3621" s="877"/>
      <c r="I3621" s="878"/>
      <c r="J3621" s="877"/>
      <c r="K3621" s="877" t="s">
        <v>3</v>
      </c>
      <c r="L3621" s="879" t="s">
        <v>140</v>
      </c>
      <c r="M3621" s="879"/>
      <c r="N3621" s="879"/>
      <c r="O3621" s="879"/>
      <c r="P3621" s="879"/>
      <c r="Q3621" s="50"/>
      <c r="T3621" s="880" t="str">
        <f ca="1">IF(AND($R3626=0,$T3626=0),"0.00","mu :" &amp; ROUND($F3621/$C$2/($R3626+$T3626*$D$9),2))</f>
        <v>mu :1.22</v>
      </c>
      <c r="W3621" s="507"/>
      <c r="AG3621" s="465">
        <f ca="1">IF($E3621=0,0,ROUND($R3626*$S$2*$C$2/$A3621,2))</f>
        <v>28.98</v>
      </c>
      <c r="AH3621" s="465">
        <f ca="1">$AG3621*$A3621</f>
        <v>28.98</v>
      </c>
      <c r="AI3621" s="508">
        <f ca="1">$E3621-$AG3621</f>
        <v>0</v>
      </c>
      <c r="AJ3621" s="508">
        <f ca="1">$A3621*$AI3621</f>
        <v>0</v>
      </c>
      <c r="AK3621" s="509">
        <f ca="1">ROUND(($AG3621+$AI3621)*$A3621,2)</f>
        <v>28.98</v>
      </c>
      <c r="AM3621" s="510">
        <f ca="1">ROUND(R3626,2)</f>
        <v>23.75</v>
      </c>
      <c r="AN3621" s="511">
        <f ca="1">ROUND(T3626,2)</f>
        <v>0</v>
      </c>
      <c r="AO3621" s="512">
        <f ca="1">ROUND(AM3621+AN3621,2)*A3621</f>
        <v>23.75</v>
      </c>
    </row>
    <row r="3622" spans="1:41" s="504" customFormat="1" ht="13.2">
      <c r="A3622" s="872"/>
      <c r="B3622"/>
      <c r="C3622" s="872"/>
      <c r="D3622" s="873" t="s">
        <v>348</v>
      </c>
      <c r="F3622" s="877"/>
      <c r="G3622" s="3"/>
      <c r="H3622" s="877"/>
      <c r="I3622" s="878"/>
      <c r="J3622" s="877"/>
      <c r="K3622" s="877" t="s">
        <v>141</v>
      </c>
      <c r="L3622" s="877"/>
      <c r="M3622" s="877"/>
      <c r="N3622" s="877"/>
      <c r="O3622" s="877"/>
      <c r="P3622" s="877"/>
      <c r="Q3622" s="50"/>
      <c r="R3622" s="513"/>
      <c r="S3622" s="881"/>
      <c r="T3622" s="877"/>
    </row>
    <row r="3623" spans="1:41" s="997" customFormat="1" ht="13.2">
      <c r="A3623"/>
      <c r="B3623" s="1065"/>
      <c r="C3623" s="1065" t="s">
        <v>1006</v>
      </c>
      <c r="D3623" s="1065" t="str">
        <f ca="1">CELL("Address",Elec_Rates!D$222)</f>
        <v>[EL25_0662B_Brittania_Hotel_Elec_Revised_Estim_B.xlsx]Elec_Rates!$D$222</v>
      </c>
      <c r="E3623" s="1066"/>
      <c r="F3623" s="1066"/>
      <c r="G3623" s="1067" t="s">
        <v>1007</v>
      </c>
      <c r="H3623" s="1067"/>
      <c r="I3623" s="1067"/>
      <c r="J3623" s="1067"/>
      <c r="K3623" s="1068"/>
      <c r="L3623" s="1066"/>
      <c r="M3623" s="1066"/>
      <c r="N3623" s="1066"/>
      <c r="O3623" s="1069"/>
      <c r="P3623" s="1066"/>
      <c r="Q3623" s="1070"/>
      <c r="R3623" s="1071"/>
      <c r="S3623" s="1070"/>
      <c r="T3623" s="1072"/>
      <c r="U3623" s="1073"/>
    </row>
    <row r="3624" spans="1:41" s="997" customFormat="1" ht="11.4">
      <c r="A3624" s="1074">
        <v>1</v>
      </c>
      <c r="B3624" s="1075">
        <v>1</v>
      </c>
      <c r="C3624" s="1075">
        <f>$A3624*$B3624</f>
        <v>1</v>
      </c>
      <c r="D3624" s="1076" t="str">
        <f>Elec_Rates!$D$222</f>
        <v>022# Supply Only - Type 'E1' - Single Sided, Wall Mounted, Directional Exit Signage</v>
      </c>
      <c r="E3624" s="1076"/>
      <c r="F3624" s="1076"/>
      <c r="G3624" s="1077" t="s">
        <v>1008</v>
      </c>
      <c r="H3624" s="1077"/>
      <c r="I3624" s="1077"/>
      <c r="J3624" s="1077"/>
      <c r="K3624" s="1078"/>
      <c r="L3624" s="1073"/>
      <c r="M3624" s="1073"/>
      <c r="N3624" s="1073"/>
      <c r="O3624" s="1079"/>
      <c r="P3624" s="1076"/>
      <c r="Q3624" s="1080">
        <f ca="1">$B3624*Elec_Rates!$R$222</f>
        <v>23.75</v>
      </c>
      <c r="R3624" s="1071">
        <f ca="1">$A3624*Q3624</f>
        <v>23.75</v>
      </c>
      <c r="S3624" s="1080">
        <f ca="1">$B3624*Elec_Rates!$T$222</f>
        <v>0</v>
      </c>
      <c r="T3624" s="1072">
        <f ca="1">$A3624*S3624</f>
        <v>0</v>
      </c>
      <c r="U3624" s="1081"/>
    </row>
    <row r="3625" spans="1:41" s="504" customFormat="1" ht="12">
      <c r="A3625" s="882"/>
      <c r="B3625" s="882"/>
      <c r="C3625" s="882"/>
      <c r="D3625" s="882"/>
      <c r="E3625" s="882"/>
      <c r="F3625" s="877"/>
      <c r="G3625" s="882"/>
      <c r="H3625" s="882"/>
      <c r="I3625" s="503"/>
      <c r="J3625" s="882"/>
      <c r="K3625" s="882"/>
      <c r="L3625" s="882"/>
      <c r="M3625" s="882"/>
      <c r="N3625" s="882"/>
      <c r="O3625" s="882"/>
      <c r="P3625" s="882"/>
      <c r="Q3625" s="503"/>
      <c r="R3625" s="883">
        <f>$A3625*Q3625</f>
        <v>0</v>
      </c>
      <c r="S3625" s="503"/>
      <c r="T3625" s="884">
        <f>$A3625*S3625*$T$1</f>
        <v>0</v>
      </c>
    </row>
    <row r="3626" spans="1:41" s="504" customFormat="1" ht="12.6" thickBot="1">
      <c r="A3626" s="885" t="s">
        <v>142</v>
      </c>
      <c r="B3626" s="886">
        <f>(R3625+T3625)</f>
        <v>0</v>
      </c>
      <c r="C3626" s="887"/>
      <c r="D3626" s="887"/>
      <c r="E3626" s="887"/>
      <c r="F3626" s="888"/>
      <c r="G3626" s="887" t="s">
        <v>143</v>
      </c>
      <c r="H3626" s="887"/>
      <c r="I3626" s="889"/>
      <c r="J3626" s="887"/>
      <c r="K3626" s="887" t="s">
        <v>3</v>
      </c>
      <c r="L3626" s="890" t="s">
        <v>140</v>
      </c>
      <c r="M3626" s="890"/>
      <c r="N3626" s="890"/>
      <c r="O3626" s="890"/>
      <c r="P3626" s="890"/>
      <c r="Q3626" s="891"/>
      <c r="R3626" s="892">
        <f ca="1">SUM(R3622:R3625)</f>
        <v>23.75</v>
      </c>
      <c r="S3626" s="887"/>
      <c r="T3626" s="892">
        <f ca="1">SUM(T3622:T3625)</f>
        <v>0</v>
      </c>
      <c r="U3626" s="514"/>
      <c r="V3626" s="514"/>
      <c r="W3626" s="514"/>
      <c r="X3626" s="514"/>
      <c r="Y3626" s="514"/>
      <c r="Z3626" s="514"/>
      <c r="AA3626" s="514"/>
      <c r="AB3626" s="514"/>
      <c r="AC3626" s="514"/>
      <c r="AD3626" s="514"/>
      <c r="AE3626" s="514"/>
      <c r="AF3626" s="514"/>
      <c r="AG3626" s="514"/>
      <c r="AH3626" s="514"/>
      <c r="AI3626" s="514"/>
      <c r="AJ3626" s="514"/>
      <c r="AK3626" s="514"/>
      <c r="AL3626" s="514"/>
      <c r="AM3626" s="514"/>
      <c r="AN3626" s="514"/>
      <c r="AO3626" s="514"/>
    </row>
    <row r="3627" spans="1:41" s="504" customFormat="1" thickTop="1">
      <c r="A3627" s="50"/>
      <c r="B3627" s="50"/>
      <c r="C3627" s="3"/>
      <c r="D3627" s="3"/>
      <c r="E3627" s="50"/>
      <c r="F3627" s="50"/>
      <c r="G3627" s="50"/>
      <c r="H3627" s="50"/>
      <c r="I3627" s="50"/>
      <c r="J3627" s="50"/>
      <c r="K3627" s="50" t="s">
        <v>133</v>
      </c>
      <c r="L3627" s="50"/>
      <c r="M3627" s="50"/>
      <c r="N3627" s="50"/>
      <c r="O3627" s="51"/>
      <c r="P3627" s="50"/>
      <c r="Q3627" s="50"/>
      <c r="R3627" s="50"/>
      <c r="S3627" s="50"/>
      <c r="T3627" s="50"/>
    </row>
    <row r="3628" spans="1:41" s="504" customFormat="1" ht="12">
      <c r="A3628" s="50"/>
      <c r="B3628" s="50"/>
      <c r="C3628" s="50" t="s">
        <v>134</v>
      </c>
      <c r="D3628" s="37" t="s">
        <v>899</v>
      </c>
      <c r="E3628" s="50"/>
      <c r="F3628" s="50"/>
      <c r="G3628" s="50"/>
      <c r="H3628" s="50"/>
      <c r="I3628" s="50"/>
      <c r="J3628" s="50"/>
      <c r="K3628" s="50"/>
      <c r="L3628" s="50"/>
      <c r="M3628" s="50"/>
      <c r="N3628" s="50"/>
      <c r="O3628" s="51"/>
      <c r="P3628" s="50"/>
      <c r="Q3628" s="50"/>
      <c r="R3628" s="50"/>
      <c r="S3628" s="50"/>
      <c r="T3628" s="50"/>
    </row>
    <row r="3629" spans="1:41" s="504" customFormat="1" ht="13.2">
      <c r="A3629" s="872"/>
      <c r="B3629"/>
      <c r="C3629" s="872"/>
      <c r="D3629" s="916" t="s">
        <v>351</v>
      </c>
      <c r="E3629" s="917"/>
      <c r="F3629" s="918"/>
      <c r="G3629" s="919"/>
      <c r="H3629" s="918"/>
      <c r="I3629" s="920"/>
      <c r="J3629" s="918"/>
      <c r="K3629" s="918"/>
      <c r="L3629" s="918"/>
      <c r="M3629" s="918"/>
      <c r="N3629" s="918"/>
      <c r="O3629" s="918"/>
      <c r="P3629" s="918"/>
      <c r="Q3629" s="921"/>
      <c r="R3629" s="513"/>
      <c r="S3629" s="881"/>
      <c r="T3629" s="877"/>
    </row>
    <row r="3630" spans="1:41" s="3" customFormat="1" thickBot="1">
      <c r="A3630" s="514"/>
      <c r="O3630" s="103"/>
    </row>
    <row r="3631" spans="1:41" s="504" customFormat="1" ht="12" thickTop="1">
      <c r="A3631" s="50"/>
      <c r="B3631" s="40"/>
      <c r="C3631" s="50"/>
      <c r="E3631" s="41" t="s">
        <v>136</v>
      </c>
      <c r="F3631" s="41" t="s">
        <v>137</v>
      </c>
      <c r="G3631" s="50"/>
      <c r="H3631" s="50"/>
      <c r="I3631" s="50"/>
      <c r="J3631" s="50"/>
      <c r="K3631" s="50" t="s">
        <v>138</v>
      </c>
      <c r="L3631" s="50"/>
      <c r="M3631" s="50"/>
      <c r="N3631" s="50"/>
      <c r="O3631" s="51"/>
      <c r="P3631" s="50"/>
      <c r="Q3631" s="50"/>
      <c r="R3631" s="50"/>
      <c r="S3631" s="50"/>
      <c r="T3631" s="40"/>
      <c r="AG3631" s="867" t="s">
        <v>241</v>
      </c>
      <c r="AH3631" s="867" t="s">
        <v>242</v>
      </c>
      <c r="AI3631" s="867" t="s">
        <v>243</v>
      </c>
      <c r="AJ3631" s="867" t="s">
        <v>244</v>
      </c>
      <c r="AK3631" s="867" t="s">
        <v>245</v>
      </c>
      <c r="AM3631" s="868" t="s">
        <v>254</v>
      </c>
      <c r="AN3631" s="869" t="s">
        <v>255</v>
      </c>
      <c r="AO3631" s="505" t="s">
        <v>251</v>
      </c>
    </row>
    <row r="3632" spans="1:41" s="504" customFormat="1" ht="12" customHeight="1">
      <c r="A3632" s="870">
        <v>31</v>
      </c>
      <c r="B3632" s="871" t="s">
        <v>335</v>
      </c>
      <c r="C3632" s="872"/>
      <c r="D3632" s="873" t="s">
        <v>804</v>
      </c>
      <c r="E3632" s="874">
        <f ca="1">IF(AND($A3632=0,$A$1="DIF"),0, ROUND(ROUND(($R3637*$S$2+($T3637*$T$2))/A3632,2)*$C$2,2))</f>
        <v>14.36</v>
      </c>
      <c r="F3632" s="875">
        <f ca="1">ROUND($A3632*$E3632,2)</f>
        <v>445.16</v>
      </c>
      <c r="G3632" s="876" t="s">
        <v>139</v>
      </c>
      <c r="H3632" s="877"/>
      <c r="I3632" s="878"/>
      <c r="J3632" s="877"/>
      <c r="K3632" s="877" t="s">
        <v>3</v>
      </c>
      <c r="L3632" s="879" t="s">
        <v>140</v>
      </c>
      <c r="M3632" s="879"/>
      <c r="N3632" s="879"/>
      <c r="O3632" s="879"/>
      <c r="P3632" s="879"/>
      <c r="Q3632" s="50"/>
      <c r="T3632" s="880" t="str">
        <f ca="1">IF(AND($R3637=0,$T3637=0),"0.00","mu :" &amp; ROUND($F3632/$C$2/($R3637+$T3637*$D$9),2))</f>
        <v>mu :1.22</v>
      </c>
      <c r="W3632" s="507"/>
      <c r="AG3632" s="465">
        <f ca="1">IF($E3632=0,0,ROUND($R3637*$S$2*$C$2/$A3632,2))</f>
        <v>1.34</v>
      </c>
      <c r="AH3632" s="465">
        <f ca="1">$AG3632*$A3632</f>
        <v>41.54</v>
      </c>
      <c r="AI3632" s="508">
        <f ca="1">$E3632-$AG3632</f>
        <v>13.02</v>
      </c>
      <c r="AJ3632" s="508">
        <f ca="1">$A3632*$AI3632</f>
        <v>403.62</v>
      </c>
      <c r="AK3632" s="509">
        <f ca="1">ROUND(($AG3632+$AI3632)*$A3632,2)</f>
        <v>445.16</v>
      </c>
      <c r="AM3632" s="510">
        <f ca="1">ROUND(R3637,2)</f>
        <v>34.1</v>
      </c>
      <c r="AN3632" s="511">
        <f ca="1">ROUND(T3637,2)</f>
        <v>11.47</v>
      </c>
      <c r="AO3632" s="512">
        <f ca="1">ROUND(AM3632+AN3632,2)*A3632</f>
        <v>1412.67</v>
      </c>
    </row>
    <row r="3633" spans="1:41" s="504" customFormat="1" ht="13.2">
      <c r="A3633" s="872"/>
      <c r="B3633"/>
      <c r="C3633" s="872"/>
      <c r="D3633" s="873" t="s">
        <v>413</v>
      </c>
      <c r="F3633" s="877"/>
      <c r="G3633" s="3"/>
      <c r="H3633" s="877"/>
      <c r="I3633" s="878"/>
      <c r="J3633" s="877"/>
      <c r="K3633" s="877" t="s">
        <v>141</v>
      </c>
      <c r="L3633" s="877"/>
      <c r="M3633" s="877"/>
      <c r="N3633" s="877"/>
      <c r="O3633" s="877"/>
      <c r="P3633" s="877"/>
      <c r="Q3633" s="50"/>
      <c r="R3633" s="513"/>
      <c r="S3633" s="881"/>
      <c r="T3633" s="877"/>
    </row>
    <row r="3634" spans="1:41" s="997" customFormat="1" ht="13.2">
      <c r="A3634"/>
      <c r="B3634" s="1065"/>
      <c r="C3634" s="1065" t="s">
        <v>1006</v>
      </c>
      <c r="D3634" s="1065" t="str">
        <f ca="1">CELL("Address",Elec_Rates!D$369)</f>
        <v>[EL25_0662B_Brittania_Hotel_Elec_Revised_Estim_B.xlsx]Elec_Rates!$D$369</v>
      </c>
      <c r="E3634" s="1066"/>
      <c r="F3634" s="1066"/>
      <c r="G3634" s="1067" t="s">
        <v>1007</v>
      </c>
      <c r="H3634" s="1067"/>
      <c r="I3634" s="1067"/>
      <c r="J3634" s="1067"/>
      <c r="K3634" s="1068"/>
      <c r="L3634" s="1066"/>
      <c r="M3634" s="1066"/>
      <c r="N3634" s="1066"/>
      <c r="O3634" s="1069"/>
      <c r="P3634" s="1066"/>
      <c r="Q3634" s="1070"/>
      <c r="R3634" s="1071"/>
      <c r="S3634" s="1070"/>
      <c r="T3634" s="1072"/>
      <c r="U3634" s="1073"/>
    </row>
    <row r="3635" spans="1:41" s="997" customFormat="1" ht="11.4">
      <c r="A3635" s="1074">
        <v>31</v>
      </c>
      <c r="B3635" s="1075">
        <v>1</v>
      </c>
      <c r="C3635" s="1075">
        <f>$A3635*$B3635</f>
        <v>31</v>
      </c>
      <c r="D3635" s="1076" t="str">
        <f>Elec_Rates!$D$369</f>
        <v>042# Install and connect Only - Type 'LT-01' - 11W Soffit Recessed Light Fitting</v>
      </c>
      <c r="E3635" s="1076"/>
      <c r="F3635" s="1076"/>
      <c r="G3635" s="1077" t="s">
        <v>1008</v>
      </c>
      <c r="H3635" s="1077"/>
      <c r="I3635" s="1077"/>
      <c r="J3635" s="1077"/>
      <c r="K3635" s="1078"/>
      <c r="L3635" s="1073"/>
      <c r="M3635" s="1073"/>
      <c r="N3635" s="1073"/>
      <c r="O3635" s="1079"/>
      <c r="P3635" s="1076"/>
      <c r="Q3635" s="1080">
        <f ca="1">$B3635*Elec_Rates!$R$369</f>
        <v>1.1000000000000001</v>
      </c>
      <c r="R3635" s="1071">
        <f ca="1">$A3635*Q3635</f>
        <v>34.1</v>
      </c>
      <c r="S3635" s="1080">
        <f ca="1">$B3635*Elec_Rates!$T$369</f>
        <v>0.37</v>
      </c>
      <c r="T3635" s="1072">
        <f ca="1">$A3635*S3635</f>
        <v>11.47</v>
      </c>
      <c r="U3635" s="1081"/>
    </row>
    <row r="3636" spans="1:41" s="504" customFormat="1" ht="12">
      <c r="A3636" s="882"/>
      <c r="B3636" s="882"/>
      <c r="C3636" s="882"/>
      <c r="D3636" s="882"/>
      <c r="E3636" s="882"/>
      <c r="F3636" s="877"/>
      <c r="G3636" s="882"/>
      <c r="H3636" s="882"/>
      <c r="I3636" s="503"/>
      <c r="J3636" s="882"/>
      <c r="K3636" s="882"/>
      <c r="L3636" s="882"/>
      <c r="M3636" s="882"/>
      <c r="N3636" s="882"/>
      <c r="O3636" s="882"/>
      <c r="P3636" s="882"/>
      <c r="Q3636" s="503"/>
      <c r="R3636" s="883">
        <f>$A3636*Q3636</f>
        <v>0</v>
      </c>
      <c r="S3636" s="503"/>
      <c r="T3636" s="884">
        <f>$A3636*S3636*$T$1</f>
        <v>0</v>
      </c>
    </row>
    <row r="3637" spans="1:41" s="504" customFormat="1" ht="12.6" thickBot="1">
      <c r="A3637" s="885" t="s">
        <v>142</v>
      </c>
      <c r="B3637" s="886">
        <f>(R3636+T3636)</f>
        <v>0</v>
      </c>
      <c r="C3637" s="887"/>
      <c r="D3637" s="887"/>
      <c r="E3637" s="887"/>
      <c r="F3637" s="888"/>
      <c r="G3637" s="887" t="s">
        <v>143</v>
      </c>
      <c r="H3637" s="887"/>
      <c r="I3637" s="889"/>
      <c r="J3637" s="887"/>
      <c r="K3637" s="887" t="s">
        <v>3</v>
      </c>
      <c r="L3637" s="890" t="s">
        <v>140</v>
      </c>
      <c r="M3637" s="890"/>
      <c r="N3637" s="890"/>
      <c r="O3637" s="890"/>
      <c r="P3637" s="890"/>
      <c r="Q3637" s="891"/>
      <c r="R3637" s="892">
        <f ca="1">SUM(R3633:R3636)</f>
        <v>34.1</v>
      </c>
      <c r="S3637" s="887"/>
      <c r="T3637" s="892">
        <f ca="1">SUM(T3633:T3636)</f>
        <v>11.47</v>
      </c>
      <c r="U3637" s="514"/>
      <c r="V3637" s="514"/>
      <c r="W3637" s="514"/>
      <c r="X3637" s="514"/>
      <c r="Y3637" s="514"/>
      <c r="Z3637" s="514"/>
      <c r="AA3637" s="514"/>
      <c r="AB3637" s="514"/>
      <c r="AC3637" s="514"/>
      <c r="AD3637" s="514"/>
      <c r="AE3637" s="514"/>
      <c r="AF3637" s="514"/>
      <c r="AG3637" s="514"/>
      <c r="AH3637" s="514"/>
      <c r="AI3637" s="514"/>
      <c r="AJ3637" s="514"/>
      <c r="AK3637" s="514"/>
      <c r="AL3637" s="514"/>
      <c r="AM3637" s="514"/>
      <c r="AN3637" s="514"/>
      <c r="AO3637" s="514"/>
    </row>
    <row r="3638" spans="1:41" s="504" customFormat="1" ht="12" thickTop="1">
      <c r="A3638" s="50"/>
      <c r="B3638" s="40"/>
      <c r="C3638" s="50"/>
      <c r="E3638" s="41" t="s">
        <v>136</v>
      </c>
      <c r="F3638" s="41" t="s">
        <v>137</v>
      </c>
      <c r="G3638" s="50"/>
      <c r="H3638" s="50"/>
      <c r="I3638" s="50"/>
      <c r="J3638" s="50"/>
      <c r="K3638" s="50" t="s">
        <v>138</v>
      </c>
      <c r="L3638" s="50"/>
      <c r="M3638" s="50"/>
      <c r="N3638" s="50"/>
      <c r="O3638" s="51"/>
      <c r="P3638" s="50"/>
      <c r="Q3638" s="50"/>
      <c r="R3638" s="50"/>
      <c r="S3638" s="50"/>
      <c r="T3638" s="40"/>
      <c r="AG3638" s="867" t="s">
        <v>241</v>
      </c>
      <c r="AH3638" s="867" t="s">
        <v>242</v>
      </c>
      <c r="AI3638" s="867" t="s">
        <v>243</v>
      </c>
      <c r="AJ3638" s="867" t="s">
        <v>244</v>
      </c>
      <c r="AK3638" s="867" t="s">
        <v>245</v>
      </c>
      <c r="AM3638" s="868" t="s">
        <v>254</v>
      </c>
      <c r="AN3638" s="869" t="s">
        <v>255</v>
      </c>
      <c r="AO3638" s="505" t="s">
        <v>251</v>
      </c>
    </row>
    <row r="3639" spans="1:41" s="504" customFormat="1" ht="12" customHeight="1">
      <c r="A3639" s="870">
        <v>5</v>
      </c>
      <c r="B3639" s="871" t="s">
        <v>335</v>
      </c>
      <c r="C3639" s="872"/>
      <c r="D3639" s="873" t="s">
        <v>806</v>
      </c>
      <c r="E3639" s="874">
        <f ca="1">IF(AND($A3639=0,$A$1="DIF"),0, ROUND(ROUND(($R3644*$S$2+($T3644*$T$2))/A3639,2)*$C$2,2))</f>
        <v>14.36</v>
      </c>
      <c r="F3639" s="875">
        <f ca="1">ROUND($A3639*$E3639,2)</f>
        <v>71.8</v>
      </c>
      <c r="G3639" s="876" t="s">
        <v>139</v>
      </c>
      <c r="H3639" s="877"/>
      <c r="I3639" s="878"/>
      <c r="J3639" s="877"/>
      <c r="K3639" s="877" t="s">
        <v>3</v>
      </c>
      <c r="L3639" s="879" t="s">
        <v>140</v>
      </c>
      <c r="M3639" s="879"/>
      <c r="N3639" s="879"/>
      <c r="O3639" s="879"/>
      <c r="P3639" s="879"/>
      <c r="Q3639" s="50"/>
      <c r="T3639" s="880" t="str">
        <f ca="1">IF(AND($R3644=0,$T3644=0),"0.00","mu :" &amp; ROUND($F3639/$C$2/($R3644+$T3644*$D$9),2))</f>
        <v>mu :1.22</v>
      </c>
      <c r="W3639" s="507"/>
      <c r="AG3639" s="465">
        <f ca="1">IF($E3639=0,0,ROUND($R3644*$S$2*$C$2/$A3639,2))</f>
        <v>1.34</v>
      </c>
      <c r="AH3639" s="465">
        <f ca="1">$AG3639*$A3639</f>
        <v>6.7</v>
      </c>
      <c r="AI3639" s="508">
        <f ca="1">$E3639-$AG3639</f>
        <v>13.02</v>
      </c>
      <c r="AJ3639" s="508">
        <f ca="1">$A3639*$AI3639</f>
        <v>65.099999999999994</v>
      </c>
      <c r="AK3639" s="509">
        <f ca="1">ROUND(($AG3639+$AI3639)*$A3639,2)</f>
        <v>71.8</v>
      </c>
      <c r="AM3639" s="510">
        <f ca="1">ROUND(R3644,2)</f>
        <v>5.5</v>
      </c>
      <c r="AN3639" s="511">
        <f ca="1">ROUND(T3644,2)</f>
        <v>1.85</v>
      </c>
      <c r="AO3639" s="512">
        <f ca="1">ROUND(AM3639+AN3639,2)*A3639</f>
        <v>36.75</v>
      </c>
    </row>
    <row r="3640" spans="1:41" s="504" customFormat="1" ht="13.2">
      <c r="A3640" s="872"/>
      <c r="B3640"/>
      <c r="C3640" s="872"/>
      <c r="D3640" s="873" t="s">
        <v>414</v>
      </c>
      <c r="F3640" s="877"/>
      <c r="G3640" s="3"/>
      <c r="H3640" s="877"/>
      <c r="I3640" s="878"/>
      <c r="J3640" s="877"/>
      <c r="K3640" s="877" t="s">
        <v>141</v>
      </c>
      <c r="L3640" s="877"/>
      <c r="M3640" s="877"/>
      <c r="N3640" s="877"/>
      <c r="O3640" s="877"/>
      <c r="P3640" s="877"/>
      <c r="Q3640" s="50"/>
      <c r="R3640" s="513"/>
      <c r="S3640" s="881"/>
      <c r="T3640" s="877"/>
    </row>
    <row r="3641" spans="1:41" s="997" customFormat="1" ht="13.2">
      <c r="A3641"/>
      <c r="B3641" s="1065"/>
      <c r="C3641" s="1065" t="s">
        <v>1006</v>
      </c>
      <c r="D3641" s="1065" t="str">
        <f ca="1">CELL("Address",Elec_Rates!D$376)</f>
        <v>[EL25_0662B_Brittania_Hotel_Elec_Revised_Estim_B.xlsx]Elec_Rates!$D$376</v>
      </c>
      <c r="E3641" s="1066"/>
      <c r="F3641" s="1066"/>
      <c r="G3641" s="1067" t="s">
        <v>1007</v>
      </c>
      <c r="H3641" s="1067"/>
      <c r="I3641" s="1067"/>
      <c r="J3641" s="1067"/>
      <c r="K3641" s="1068"/>
      <c r="L3641" s="1066"/>
      <c r="M3641" s="1066"/>
      <c r="N3641" s="1066"/>
      <c r="O3641" s="1069"/>
      <c r="P3641" s="1066"/>
      <c r="Q3641" s="1070"/>
      <c r="R3641" s="1071"/>
      <c r="S3641" s="1070"/>
      <c r="T3641" s="1072"/>
      <c r="U3641" s="1073"/>
    </row>
    <row r="3642" spans="1:41" s="997" customFormat="1" ht="11.4">
      <c r="A3642" s="1074">
        <v>5</v>
      </c>
      <c r="B3642" s="1075">
        <v>1</v>
      </c>
      <c r="C3642" s="1075">
        <f>$A3642*$B3642</f>
        <v>5</v>
      </c>
      <c r="D3642" s="1076" t="str">
        <f>Elec_Rates!$D$376</f>
        <v>043# Install and connect Only - Type 'LT-02' - 11W Soffit Recessed Light Fitting</v>
      </c>
      <c r="E3642" s="1076"/>
      <c r="F3642" s="1076"/>
      <c r="G3642" s="1077" t="s">
        <v>1008</v>
      </c>
      <c r="H3642" s="1077"/>
      <c r="I3642" s="1077"/>
      <c r="J3642" s="1077"/>
      <c r="K3642" s="1078"/>
      <c r="L3642" s="1073"/>
      <c r="M3642" s="1073"/>
      <c r="N3642" s="1073"/>
      <c r="O3642" s="1079"/>
      <c r="P3642" s="1076"/>
      <c r="Q3642" s="1080">
        <f ca="1">$B3642*Elec_Rates!$R$376</f>
        <v>1.1000000000000001</v>
      </c>
      <c r="R3642" s="1071">
        <f ca="1">$A3642*Q3642</f>
        <v>5.5</v>
      </c>
      <c r="S3642" s="1080">
        <f ca="1">$B3642*Elec_Rates!$T$376</f>
        <v>0.37</v>
      </c>
      <c r="T3642" s="1072">
        <f ca="1">$A3642*S3642</f>
        <v>1.85</v>
      </c>
      <c r="U3642" s="1081"/>
    </row>
    <row r="3643" spans="1:41" s="504" customFormat="1" ht="12">
      <c r="A3643" s="882"/>
      <c r="B3643" s="882"/>
      <c r="C3643" s="882"/>
      <c r="D3643" s="882"/>
      <c r="E3643" s="882"/>
      <c r="F3643" s="877"/>
      <c r="G3643" s="882"/>
      <c r="H3643" s="882"/>
      <c r="I3643" s="503"/>
      <c r="J3643" s="882"/>
      <c r="K3643" s="882"/>
      <c r="L3643" s="882"/>
      <c r="M3643" s="882"/>
      <c r="N3643" s="882"/>
      <c r="O3643" s="882"/>
      <c r="P3643" s="882"/>
      <c r="Q3643" s="503"/>
      <c r="R3643" s="883">
        <f>$A3643*Q3643</f>
        <v>0</v>
      </c>
      <c r="S3643" s="503"/>
      <c r="T3643" s="884">
        <f>$A3643*S3643*$T$1</f>
        <v>0</v>
      </c>
    </row>
    <row r="3644" spans="1:41" s="504" customFormat="1" ht="12.6" thickBot="1">
      <c r="A3644" s="885" t="s">
        <v>142</v>
      </c>
      <c r="B3644" s="886">
        <f>(R3643+T3643)</f>
        <v>0</v>
      </c>
      <c r="C3644" s="887"/>
      <c r="D3644" s="887"/>
      <c r="E3644" s="887"/>
      <c r="F3644" s="888"/>
      <c r="G3644" s="887" t="s">
        <v>143</v>
      </c>
      <c r="H3644" s="887"/>
      <c r="I3644" s="889"/>
      <c r="J3644" s="887"/>
      <c r="K3644" s="887" t="s">
        <v>3</v>
      </c>
      <c r="L3644" s="890" t="s">
        <v>140</v>
      </c>
      <c r="M3644" s="890"/>
      <c r="N3644" s="890"/>
      <c r="O3644" s="890"/>
      <c r="P3644" s="890"/>
      <c r="Q3644" s="891"/>
      <c r="R3644" s="892">
        <f ca="1">SUM(R3640:R3643)</f>
        <v>5.5</v>
      </c>
      <c r="S3644" s="887"/>
      <c r="T3644" s="892">
        <f ca="1">SUM(T3640:T3643)</f>
        <v>1.85</v>
      </c>
      <c r="U3644" s="514"/>
      <c r="V3644" s="514"/>
      <c r="W3644" s="514"/>
      <c r="X3644" s="514"/>
      <c r="Y3644" s="514"/>
      <c r="Z3644" s="514"/>
      <c r="AA3644" s="514"/>
      <c r="AB3644" s="514"/>
      <c r="AC3644" s="514"/>
      <c r="AD3644" s="514"/>
      <c r="AE3644" s="514"/>
      <c r="AF3644" s="514"/>
      <c r="AG3644" s="514"/>
      <c r="AH3644" s="514"/>
      <c r="AI3644" s="514"/>
      <c r="AJ3644" s="514"/>
      <c r="AK3644" s="514"/>
      <c r="AL3644" s="514"/>
      <c r="AM3644" s="514"/>
      <c r="AN3644" s="514"/>
      <c r="AO3644" s="514"/>
    </row>
    <row r="3645" spans="1:41" s="504" customFormat="1" ht="12" thickTop="1">
      <c r="A3645" s="50"/>
      <c r="B3645" s="40"/>
      <c r="C3645" s="50"/>
      <c r="E3645" s="41" t="s">
        <v>136</v>
      </c>
      <c r="F3645" s="41" t="s">
        <v>137</v>
      </c>
      <c r="G3645" s="50"/>
      <c r="H3645" s="50"/>
      <c r="I3645" s="50"/>
      <c r="J3645" s="50"/>
      <c r="K3645" s="50" t="s">
        <v>138</v>
      </c>
      <c r="L3645" s="50"/>
      <c r="M3645" s="50"/>
      <c r="N3645" s="50"/>
      <c r="O3645" s="51"/>
      <c r="P3645" s="50"/>
      <c r="Q3645" s="50"/>
      <c r="R3645" s="50"/>
      <c r="S3645" s="50"/>
      <c r="T3645" s="40"/>
      <c r="AG3645" s="867" t="s">
        <v>241</v>
      </c>
      <c r="AH3645" s="867" t="s">
        <v>242</v>
      </c>
      <c r="AI3645" s="867" t="s">
        <v>243</v>
      </c>
      <c r="AJ3645" s="867" t="s">
        <v>244</v>
      </c>
      <c r="AK3645" s="867" t="s">
        <v>245</v>
      </c>
      <c r="AM3645" s="868" t="s">
        <v>254</v>
      </c>
      <c r="AN3645" s="869" t="s">
        <v>255</v>
      </c>
      <c r="AO3645" s="505" t="s">
        <v>251</v>
      </c>
    </row>
    <row r="3646" spans="1:41" s="504" customFormat="1" ht="12" customHeight="1">
      <c r="A3646" s="870">
        <v>3</v>
      </c>
      <c r="B3646" s="871" t="s">
        <v>335</v>
      </c>
      <c r="C3646" s="872"/>
      <c r="D3646" s="873" t="s">
        <v>808</v>
      </c>
      <c r="E3646" s="874">
        <f ca="1">IF(AND($A3646=0,$A$1="DIF"),0, ROUND(ROUND(($R3651*$S$2+($T3651*$T$2))/A3646,2)*$C$2,2))</f>
        <v>42.09</v>
      </c>
      <c r="F3646" s="875">
        <f ca="1">ROUND($A3646*$E3646,2)</f>
        <v>126.27</v>
      </c>
      <c r="G3646" s="876" t="s">
        <v>139</v>
      </c>
      <c r="H3646" s="877"/>
      <c r="I3646" s="878"/>
      <c r="J3646" s="877"/>
      <c r="K3646" s="877" t="s">
        <v>3</v>
      </c>
      <c r="L3646" s="879" t="s">
        <v>140</v>
      </c>
      <c r="M3646" s="879"/>
      <c r="N3646" s="879"/>
      <c r="O3646" s="879"/>
      <c r="P3646" s="879"/>
      <c r="Q3646" s="50"/>
      <c r="T3646" s="880" t="str">
        <f ca="1">IF(AND($R3651=0,$T3651=0),"0.00","mu :" &amp; ROUND($F3646/$C$2/($R3651+$T3651*$D$9),2))</f>
        <v>mu :1.22</v>
      </c>
      <c r="W3646" s="507"/>
      <c r="AG3646" s="465">
        <f ca="1">IF($E3646=0,0,ROUND($R3651*$S$2*$C$2/$A3646,2))</f>
        <v>21.69</v>
      </c>
      <c r="AH3646" s="465">
        <f ca="1">$AG3646*$A3646</f>
        <v>65.070000000000007</v>
      </c>
      <c r="AI3646" s="508">
        <f ca="1">$E3646-$AG3646</f>
        <v>20.400000000000002</v>
      </c>
      <c r="AJ3646" s="508">
        <f ca="1">$A3646*$AI3646</f>
        <v>61.2</v>
      </c>
      <c r="AK3646" s="509">
        <f ca="1">ROUND(($AG3646+$AI3646)*$A3646,2)</f>
        <v>126.27</v>
      </c>
      <c r="AM3646" s="510">
        <f ca="1">ROUND(R3651,2)</f>
        <v>53.34</v>
      </c>
      <c r="AN3646" s="511">
        <f ca="1">ROUND(T3651,2)</f>
        <v>1.74</v>
      </c>
      <c r="AO3646" s="512">
        <f ca="1">ROUND(AM3646+AN3646,2)*A3646</f>
        <v>165.24</v>
      </c>
    </row>
    <row r="3647" spans="1:41" s="504" customFormat="1" ht="13.2">
      <c r="A3647" s="872"/>
      <c r="B3647"/>
      <c r="C3647" s="872"/>
      <c r="D3647" s="873" t="s">
        <v>472</v>
      </c>
      <c r="F3647" s="877"/>
      <c r="G3647" s="3"/>
      <c r="H3647" s="877"/>
      <c r="I3647" s="878"/>
      <c r="J3647" s="877"/>
      <c r="K3647" s="877" t="s">
        <v>141</v>
      </c>
      <c r="L3647" s="877"/>
      <c r="M3647" s="877"/>
      <c r="N3647" s="877"/>
      <c r="O3647" s="877"/>
      <c r="P3647" s="877"/>
      <c r="Q3647" s="50"/>
      <c r="R3647" s="513"/>
      <c r="S3647" s="881"/>
      <c r="T3647" s="877"/>
    </row>
    <row r="3648" spans="1:41" s="997" customFormat="1" ht="13.2">
      <c r="A3648"/>
      <c r="B3648" s="1065"/>
      <c r="C3648" s="1065" t="s">
        <v>1006</v>
      </c>
      <c r="D3648" s="1065" t="str">
        <f ca="1">CELL("Address",Elec_Rates!D$436)</f>
        <v>[EL25_0662B_Brittania_Hotel_Elec_Revised_Estim_B.xlsx]Elec_Rates!$D$436</v>
      </c>
      <c r="E3648" s="1066"/>
      <c r="F3648" s="1066"/>
      <c r="G3648" s="1067" t="s">
        <v>1007</v>
      </c>
      <c r="H3648" s="1067"/>
      <c r="I3648" s="1067"/>
      <c r="J3648" s="1067"/>
      <c r="K3648" s="1068"/>
      <c r="L3648" s="1066"/>
      <c r="M3648" s="1066"/>
      <c r="N3648" s="1066"/>
      <c r="O3648" s="1069"/>
      <c r="P3648" s="1066"/>
      <c r="Q3648" s="1070"/>
      <c r="R3648" s="1071"/>
      <c r="S3648" s="1070"/>
      <c r="T3648" s="1072"/>
      <c r="U3648" s="1073"/>
    </row>
    <row r="3649" spans="1:41" s="997" customFormat="1" ht="11.4">
      <c r="A3649" s="1074">
        <v>3</v>
      </c>
      <c r="B3649" s="1075">
        <v>1</v>
      </c>
      <c r="C3649" s="1075">
        <f>$A3649*$B3649</f>
        <v>3</v>
      </c>
      <c r="D3649" s="1076" t="str">
        <f>Elec_Rates!$D$436</f>
        <v>051# Install and connect Only - Type 'LT-11' - 6W Pole Light</v>
      </c>
      <c r="E3649" s="1076"/>
      <c r="F3649" s="1076"/>
      <c r="G3649" s="1077" t="s">
        <v>1008</v>
      </c>
      <c r="H3649" s="1077"/>
      <c r="I3649" s="1077"/>
      <c r="J3649" s="1077"/>
      <c r="K3649" s="1078"/>
      <c r="L3649" s="1073"/>
      <c r="M3649" s="1073"/>
      <c r="N3649" s="1073"/>
      <c r="O3649" s="1079"/>
      <c r="P3649" s="1076"/>
      <c r="Q3649" s="1080">
        <f ca="1">$B3649*Elec_Rates!$R$436</f>
        <v>17.78</v>
      </c>
      <c r="R3649" s="1071">
        <f ca="1">$A3649*Q3649</f>
        <v>53.34</v>
      </c>
      <c r="S3649" s="1080">
        <f ca="1">$B3649*Elec_Rates!$T$436</f>
        <v>0.57999999999999996</v>
      </c>
      <c r="T3649" s="1072">
        <f ca="1">$A3649*S3649</f>
        <v>1.7399999999999998</v>
      </c>
      <c r="U3649" s="1081"/>
    </row>
    <row r="3650" spans="1:41" s="504" customFormat="1" ht="12">
      <c r="A3650" s="882"/>
      <c r="B3650" s="882"/>
      <c r="C3650" s="882"/>
      <c r="D3650" s="882"/>
      <c r="E3650" s="882"/>
      <c r="F3650" s="877"/>
      <c r="G3650" s="882"/>
      <c r="H3650" s="882"/>
      <c r="I3650" s="503"/>
      <c r="J3650" s="882"/>
      <c r="K3650" s="882"/>
      <c r="L3650" s="882"/>
      <c r="M3650" s="882"/>
      <c r="N3650" s="882"/>
      <c r="O3650" s="882"/>
      <c r="P3650" s="882"/>
      <c r="Q3650" s="503"/>
      <c r="R3650" s="883">
        <f>$A3650*Q3650</f>
        <v>0</v>
      </c>
      <c r="S3650" s="503"/>
      <c r="T3650" s="884">
        <f>$A3650*S3650*$T$1</f>
        <v>0</v>
      </c>
    </row>
    <row r="3651" spans="1:41" s="504" customFormat="1" ht="12.6" thickBot="1">
      <c r="A3651" s="885" t="s">
        <v>142</v>
      </c>
      <c r="B3651" s="886">
        <f>(R3650+T3650)</f>
        <v>0</v>
      </c>
      <c r="C3651" s="887"/>
      <c r="D3651" s="887"/>
      <c r="E3651" s="887"/>
      <c r="F3651" s="888"/>
      <c r="G3651" s="887" t="s">
        <v>143</v>
      </c>
      <c r="H3651" s="887"/>
      <c r="I3651" s="889"/>
      <c r="J3651" s="887"/>
      <c r="K3651" s="887" t="s">
        <v>3</v>
      </c>
      <c r="L3651" s="890" t="s">
        <v>140</v>
      </c>
      <c r="M3651" s="890"/>
      <c r="N3651" s="890"/>
      <c r="O3651" s="890"/>
      <c r="P3651" s="890"/>
      <c r="Q3651" s="891"/>
      <c r="R3651" s="892">
        <f ca="1">SUM(R3647:R3650)</f>
        <v>53.34</v>
      </c>
      <c r="S3651" s="887"/>
      <c r="T3651" s="892">
        <f ca="1">SUM(T3647:T3650)</f>
        <v>1.7399999999999998</v>
      </c>
      <c r="U3651" s="514"/>
      <c r="V3651" s="514"/>
      <c r="W3651" s="514"/>
      <c r="X3651" s="514"/>
      <c r="Y3651" s="514"/>
      <c r="Z3651" s="514"/>
      <c r="AA3651" s="514"/>
      <c r="AB3651" s="514"/>
      <c r="AC3651" s="514"/>
      <c r="AD3651" s="514"/>
      <c r="AE3651" s="514"/>
      <c r="AF3651" s="514"/>
      <c r="AG3651" s="514"/>
      <c r="AH3651" s="514"/>
      <c r="AI3651" s="514"/>
      <c r="AJ3651" s="514"/>
      <c r="AK3651" s="514"/>
      <c r="AL3651" s="514"/>
      <c r="AM3651" s="514"/>
      <c r="AN3651" s="514"/>
      <c r="AO3651" s="514"/>
    </row>
    <row r="3652" spans="1:41" s="504" customFormat="1" ht="12" thickTop="1">
      <c r="A3652" s="50"/>
      <c r="B3652" s="40"/>
      <c r="C3652" s="50"/>
      <c r="E3652" s="41" t="s">
        <v>136</v>
      </c>
      <c r="F3652" s="41" t="s">
        <v>137</v>
      </c>
      <c r="G3652" s="50"/>
      <c r="H3652" s="50"/>
      <c r="I3652" s="50"/>
      <c r="J3652" s="50"/>
      <c r="K3652" s="50" t="s">
        <v>138</v>
      </c>
      <c r="L3652" s="50"/>
      <c r="M3652" s="50"/>
      <c r="N3652" s="50"/>
      <c r="O3652" s="51"/>
      <c r="P3652" s="50"/>
      <c r="Q3652" s="50"/>
      <c r="R3652" s="50"/>
      <c r="S3652" s="50"/>
      <c r="T3652" s="40"/>
      <c r="AG3652" s="867" t="s">
        <v>241</v>
      </c>
      <c r="AH3652" s="867" t="s">
        <v>242</v>
      </c>
      <c r="AI3652" s="867" t="s">
        <v>243</v>
      </c>
      <c r="AJ3652" s="867" t="s">
        <v>244</v>
      </c>
      <c r="AK3652" s="867" t="s">
        <v>245</v>
      </c>
      <c r="AM3652" s="868" t="s">
        <v>254</v>
      </c>
      <c r="AN3652" s="869" t="s">
        <v>255</v>
      </c>
      <c r="AO3652" s="505" t="s">
        <v>251</v>
      </c>
    </row>
    <row r="3653" spans="1:41" s="504" customFormat="1" ht="12" customHeight="1">
      <c r="A3653" s="870">
        <v>8</v>
      </c>
      <c r="B3653" s="871" t="s">
        <v>335</v>
      </c>
      <c r="C3653" s="872"/>
      <c r="D3653" s="873" t="s">
        <v>810</v>
      </c>
      <c r="E3653" s="874">
        <f ca="1">IF(AND($A3653=0,$A$1="DIF"),0, ROUND(ROUND(($R3658*$S$2+($T3658*$T$2))/A3653,2)*$C$2,2))</f>
        <v>49.48</v>
      </c>
      <c r="F3653" s="875">
        <f ca="1">ROUND($A3653*$E3653,2)</f>
        <v>395.84</v>
      </c>
      <c r="G3653" s="876" t="s">
        <v>139</v>
      </c>
      <c r="H3653" s="877"/>
      <c r="I3653" s="878"/>
      <c r="J3653" s="877"/>
      <c r="K3653" s="877" t="s">
        <v>3</v>
      </c>
      <c r="L3653" s="879" t="s">
        <v>140</v>
      </c>
      <c r="M3653" s="879"/>
      <c r="N3653" s="879"/>
      <c r="O3653" s="879"/>
      <c r="P3653" s="879"/>
      <c r="Q3653" s="50"/>
      <c r="T3653" s="880" t="str">
        <f ca="1">IF(AND($R3658=0,$T3658=0),"0.00","mu :" &amp; ROUND($F3653/$C$2/($R3658+$T3658*$D$9),2))</f>
        <v>mu :1.22</v>
      </c>
      <c r="W3653" s="507"/>
      <c r="AG3653" s="465">
        <f ca="1">IF($E3653=0,0,ROUND($R3658*$S$2*$C$2/$A3653,2))</f>
        <v>21.69</v>
      </c>
      <c r="AH3653" s="465">
        <f ca="1">$AG3653*$A3653</f>
        <v>173.52</v>
      </c>
      <c r="AI3653" s="508">
        <f ca="1">$E3653-$AG3653</f>
        <v>27.789999999999996</v>
      </c>
      <c r="AJ3653" s="508">
        <f ca="1">$A3653*$AI3653</f>
        <v>222.31999999999996</v>
      </c>
      <c r="AK3653" s="509">
        <f ca="1">ROUND(($AG3653+$AI3653)*$A3653,2)</f>
        <v>395.84</v>
      </c>
      <c r="AM3653" s="510">
        <f ca="1">ROUND(R3658,2)</f>
        <v>142.24</v>
      </c>
      <c r="AN3653" s="511">
        <f ca="1">ROUND(T3658,2)</f>
        <v>6.32</v>
      </c>
      <c r="AO3653" s="512">
        <f ca="1">ROUND(AM3653+AN3653,2)*A3653</f>
        <v>1188.48</v>
      </c>
    </row>
    <row r="3654" spans="1:41" s="504" customFormat="1" ht="13.2">
      <c r="A3654" s="872"/>
      <c r="B3654"/>
      <c r="C3654" s="872"/>
      <c r="D3654" s="873" t="s">
        <v>419</v>
      </c>
      <c r="F3654" s="877"/>
      <c r="G3654" s="3"/>
      <c r="H3654" s="877"/>
      <c r="I3654" s="878"/>
      <c r="J3654" s="877"/>
      <c r="K3654" s="877" t="s">
        <v>141</v>
      </c>
      <c r="L3654" s="877"/>
      <c r="M3654" s="877"/>
      <c r="N3654" s="877"/>
      <c r="O3654" s="877"/>
      <c r="P3654" s="877"/>
      <c r="Q3654" s="50"/>
      <c r="R3654" s="513"/>
      <c r="S3654" s="881"/>
      <c r="T3654" s="877"/>
    </row>
    <row r="3655" spans="1:41" s="997" customFormat="1" ht="13.2">
      <c r="A3655"/>
      <c r="B3655" s="1065"/>
      <c r="C3655" s="1065" t="s">
        <v>1006</v>
      </c>
      <c r="D3655" s="1065" t="str">
        <f ca="1">CELL("Address",Elec_Rates!D$444)</f>
        <v>[EL25_0662B_Brittania_Hotel_Elec_Revised_Estim_B.xlsx]Elec_Rates!$D$444</v>
      </c>
      <c r="E3655" s="1066"/>
      <c r="F3655" s="1066"/>
      <c r="G3655" s="1067" t="s">
        <v>1007</v>
      </c>
      <c r="H3655" s="1067"/>
      <c r="I3655" s="1067"/>
      <c r="J3655" s="1067"/>
      <c r="K3655" s="1068"/>
      <c r="L3655" s="1066"/>
      <c r="M3655" s="1066"/>
      <c r="N3655" s="1066"/>
      <c r="O3655" s="1069"/>
      <c r="P3655" s="1066"/>
      <c r="Q3655" s="1070"/>
      <c r="R3655" s="1071"/>
      <c r="S3655" s="1070"/>
      <c r="T3655" s="1072"/>
      <c r="U3655" s="1073"/>
    </row>
    <row r="3656" spans="1:41" s="997" customFormat="1" ht="11.4">
      <c r="A3656" s="1074">
        <v>8</v>
      </c>
      <c r="B3656" s="1075">
        <v>1</v>
      </c>
      <c r="C3656" s="1075">
        <f>$A3656*$B3656</f>
        <v>8</v>
      </c>
      <c r="D3656" s="1076" t="str">
        <f>Elec_Rates!$D$444</f>
        <v>052# Install and connect Only - Type 'LT-12' - 6W Recessed Floor Spotlight, Dimmable, IP65</v>
      </c>
      <c r="E3656" s="1076"/>
      <c r="F3656" s="1076"/>
      <c r="G3656" s="1077" t="s">
        <v>1008</v>
      </c>
      <c r="H3656" s="1077"/>
      <c r="I3656" s="1077"/>
      <c r="J3656" s="1077"/>
      <c r="K3656" s="1078"/>
      <c r="L3656" s="1073"/>
      <c r="M3656" s="1073"/>
      <c r="N3656" s="1073"/>
      <c r="O3656" s="1079"/>
      <c r="P3656" s="1076"/>
      <c r="Q3656" s="1080">
        <f ca="1">$B3656*Elec_Rates!$R$444</f>
        <v>17.78</v>
      </c>
      <c r="R3656" s="1071">
        <f ca="1">$A3656*Q3656</f>
        <v>142.24</v>
      </c>
      <c r="S3656" s="1080">
        <f ca="1">$B3656*Elec_Rates!$T$444</f>
        <v>0.79</v>
      </c>
      <c r="T3656" s="1072">
        <f ca="1">$A3656*S3656</f>
        <v>6.32</v>
      </c>
      <c r="U3656" s="1081"/>
    </row>
    <row r="3657" spans="1:41" s="504" customFormat="1" ht="12">
      <c r="A3657" s="882"/>
      <c r="B3657" s="882"/>
      <c r="C3657" s="882"/>
      <c r="D3657" s="882"/>
      <c r="E3657" s="882"/>
      <c r="F3657" s="877"/>
      <c r="G3657" s="882"/>
      <c r="H3657" s="882"/>
      <c r="I3657" s="503"/>
      <c r="J3657" s="882"/>
      <c r="K3657" s="882"/>
      <c r="L3657" s="882"/>
      <c r="M3657" s="882"/>
      <c r="N3657" s="882"/>
      <c r="O3657" s="882"/>
      <c r="P3657" s="882"/>
      <c r="Q3657" s="503"/>
      <c r="R3657" s="883">
        <f>$A3657*Q3657</f>
        <v>0</v>
      </c>
      <c r="S3657" s="503"/>
      <c r="T3657" s="884">
        <f>$A3657*S3657*$T$1</f>
        <v>0</v>
      </c>
    </row>
    <row r="3658" spans="1:41" s="504" customFormat="1" ht="12.6" thickBot="1">
      <c r="A3658" s="885" t="s">
        <v>142</v>
      </c>
      <c r="B3658" s="886">
        <f>(R3657+T3657)</f>
        <v>0</v>
      </c>
      <c r="C3658" s="887"/>
      <c r="D3658" s="887"/>
      <c r="E3658" s="887"/>
      <c r="F3658" s="888"/>
      <c r="G3658" s="887" t="s">
        <v>143</v>
      </c>
      <c r="H3658" s="887"/>
      <c r="I3658" s="889"/>
      <c r="J3658" s="887"/>
      <c r="K3658" s="887" t="s">
        <v>3</v>
      </c>
      <c r="L3658" s="890" t="s">
        <v>140</v>
      </c>
      <c r="M3658" s="890"/>
      <c r="N3658" s="890"/>
      <c r="O3658" s="890"/>
      <c r="P3658" s="890"/>
      <c r="Q3658" s="891"/>
      <c r="R3658" s="892">
        <f ca="1">SUM(R3654:R3657)</f>
        <v>142.24</v>
      </c>
      <c r="S3658" s="887"/>
      <c r="T3658" s="892">
        <f ca="1">SUM(T3654:T3657)</f>
        <v>6.32</v>
      </c>
      <c r="U3658" s="514"/>
      <c r="V3658" s="514"/>
      <c r="W3658" s="514"/>
      <c r="X3658" s="514"/>
      <c r="Y3658" s="514"/>
      <c r="Z3658" s="514"/>
      <c r="AA3658" s="514"/>
      <c r="AB3658" s="514"/>
      <c r="AC3658" s="514"/>
      <c r="AD3658" s="514"/>
      <c r="AE3658" s="514"/>
      <c r="AF3658" s="514"/>
      <c r="AG3658" s="514"/>
      <c r="AH3658" s="514"/>
      <c r="AI3658" s="514"/>
      <c r="AJ3658" s="514"/>
      <c r="AK3658" s="514"/>
      <c r="AL3658" s="514"/>
      <c r="AM3658" s="514"/>
      <c r="AN3658" s="514"/>
      <c r="AO3658" s="514"/>
    </row>
    <row r="3659" spans="1:41" s="504" customFormat="1" ht="12" thickTop="1">
      <c r="A3659" s="50"/>
      <c r="B3659" s="40"/>
      <c r="C3659" s="50"/>
      <c r="E3659" s="41" t="s">
        <v>136</v>
      </c>
      <c r="F3659" s="41" t="s">
        <v>137</v>
      </c>
      <c r="G3659" s="50"/>
      <c r="H3659" s="50"/>
      <c r="I3659" s="50"/>
      <c r="J3659" s="50"/>
      <c r="K3659" s="50" t="s">
        <v>138</v>
      </c>
      <c r="L3659" s="50"/>
      <c r="M3659" s="50"/>
      <c r="N3659" s="50"/>
      <c r="O3659" s="51"/>
      <c r="P3659" s="50"/>
      <c r="Q3659" s="50"/>
      <c r="R3659" s="50"/>
      <c r="S3659" s="50"/>
      <c r="T3659" s="40"/>
      <c r="AG3659" s="867" t="s">
        <v>241</v>
      </c>
      <c r="AH3659" s="867" t="s">
        <v>242</v>
      </c>
      <c r="AI3659" s="867" t="s">
        <v>243</v>
      </c>
      <c r="AJ3659" s="867" t="s">
        <v>244</v>
      </c>
      <c r="AK3659" s="867" t="s">
        <v>245</v>
      </c>
      <c r="AM3659" s="868" t="s">
        <v>254</v>
      </c>
      <c r="AN3659" s="869" t="s">
        <v>255</v>
      </c>
      <c r="AO3659" s="505" t="s">
        <v>251</v>
      </c>
    </row>
    <row r="3660" spans="1:41" s="504" customFormat="1" ht="12" customHeight="1">
      <c r="A3660" s="870">
        <v>5</v>
      </c>
      <c r="B3660" s="871" t="s">
        <v>326</v>
      </c>
      <c r="C3660" s="872"/>
      <c r="D3660" s="873" t="s">
        <v>812</v>
      </c>
      <c r="E3660" s="874">
        <f ca="1">IF(AND($A3660=0,$A$1="DIF"),0, ROUND(ROUND(($R3665*$S$2+($T3665*$T$2))/A3660,2)*$C$2,2))</f>
        <v>5.63</v>
      </c>
      <c r="F3660" s="875">
        <f ca="1">ROUND($A3660*$E3660,2)</f>
        <v>28.15</v>
      </c>
      <c r="G3660" s="876" t="s">
        <v>139</v>
      </c>
      <c r="H3660" s="877"/>
      <c r="I3660" s="878"/>
      <c r="J3660" s="877"/>
      <c r="K3660" s="877" t="s">
        <v>3</v>
      </c>
      <c r="L3660" s="879" t="s">
        <v>140</v>
      </c>
      <c r="M3660" s="879"/>
      <c r="N3660" s="879"/>
      <c r="O3660" s="879"/>
      <c r="P3660" s="879"/>
      <c r="Q3660" s="50"/>
      <c r="T3660" s="880" t="str">
        <f ca="1">IF(AND($R3665=0,$T3665=0),"0.00","mu :" &amp; ROUND($F3660/$C$2/($R3665+$T3665*$D$9),2))</f>
        <v>mu :1.22</v>
      </c>
      <c r="W3660" s="507"/>
      <c r="AG3660" s="465">
        <f ca="1">IF($E3660=0,0,ROUND($R3665*$S$2*$C$2/$A3660,2))</f>
        <v>0</v>
      </c>
      <c r="AH3660" s="465">
        <f ca="1">$AG3660*$A3660</f>
        <v>0</v>
      </c>
      <c r="AI3660" s="508">
        <f ca="1">$E3660-$AG3660</f>
        <v>5.63</v>
      </c>
      <c r="AJ3660" s="508">
        <f ca="1">$A3660*$AI3660</f>
        <v>28.15</v>
      </c>
      <c r="AK3660" s="509">
        <f ca="1">ROUND(($AG3660+$AI3660)*$A3660,2)</f>
        <v>28.15</v>
      </c>
      <c r="AM3660" s="510">
        <f ca="1">ROUND(R3665,2)</f>
        <v>0</v>
      </c>
      <c r="AN3660" s="511">
        <f ca="1">ROUND(T3665,2)</f>
        <v>0.8</v>
      </c>
      <c r="AO3660" s="512">
        <f ca="1">ROUND(AM3660+AN3660,2)*A3660</f>
        <v>4</v>
      </c>
    </row>
    <row r="3661" spans="1:41" s="504" customFormat="1" ht="13.2">
      <c r="A3661" s="872"/>
      <c r="B3661"/>
      <c r="C3661" s="872"/>
      <c r="D3661" s="873" t="s">
        <v>420</v>
      </c>
      <c r="F3661" s="877"/>
      <c r="G3661" s="3"/>
      <c r="H3661" s="877"/>
      <c r="I3661" s="878"/>
      <c r="J3661" s="877"/>
      <c r="K3661" s="877" t="s">
        <v>141</v>
      </c>
      <c r="L3661" s="877"/>
      <c r="M3661" s="877"/>
      <c r="N3661" s="877"/>
      <c r="O3661" s="877"/>
      <c r="P3661" s="877"/>
      <c r="Q3661" s="50"/>
      <c r="R3661" s="513"/>
      <c r="S3661" s="881"/>
      <c r="T3661" s="877"/>
    </row>
    <row r="3662" spans="1:41" s="997" customFormat="1" ht="13.2">
      <c r="A3662"/>
      <c r="B3662" s="1065"/>
      <c r="C3662" s="1065" t="s">
        <v>1006</v>
      </c>
      <c r="D3662" s="1065" t="str">
        <f ca="1">CELL("Address",Elec_Rates!D$452)</f>
        <v>[EL25_0662B_Brittania_Hotel_Elec_Revised_Estim_B.xlsx]Elec_Rates!$D$452</v>
      </c>
      <c r="E3662" s="1066"/>
      <c r="F3662" s="1066"/>
      <c r="G3662" s="1067" t="s">
        <v>1007</v>
      </c>
      <c r="H3662" s="1067"/>
      <c r="I3662" s="1067"/>
      <c r="J3662" s="1067"/>
      <c r="K3662" s="1068"/>
      <c r="L3662" s="1066"/>
      <c r="M3662" s="1066"/>
      <c r="N3662" s="1066"/>
      <c r="O3662" s="1069"/>
      <c r="P3662" s="1066"/>
      <c r="Q3662" s="1070"/>
      <c r="R3662" s="1071"/>
      <c r="S3662" s="1070"/>
      <c r="T3662" s="1072"/>
      <c r="U3662" s="1073"/>
    </row>
    <row r="3663" spans="1:41" s="997" customFormat="1" ht="11.4">
      <c r="A3663" s="1074">
        <v>5</v>
      </c>
      <c r="B3663" s="1075">
        <v>1</v>
      </c>
      <c r="C3663" s="1075">
        <f>$A3663*$B3663</f>
        <v>5</v>
      </c>
      <c r="D3663" s="1076" t="str">
        <f>Elec_Rates!$D$452</f>
        <v>053# Install and connect Only - Type 'LT-13 - Dimmable Strip Light</v>
      </c>
      <c r="E3663" s="1076"/>
      <c r="F3663" s="1076"/>
      <c r="G3663" s="1077" t="s">
        <v>1008</v>
      </c>
      <c r="H3663" s="1077"/>
      <c r="I3663" s="1077"/>
      <c r="J3663" s="1077"/>
      <c r="K3663" s="1078"/>
      <c r="L3663" s="1073"/>
      <c r="M3663" s="1073"/>
      <c r="N3663" s="1073"/>
      <c r="O3663" s="1079"/>
      <c r="P3663" s="1076"/>
      <c r="Q3663" s="1080">
        <f ca="1">$B3663*Elec_Rates!$R$452</f>
        <v>0</v>
      </c>
      <c r="R3663" s="1071">
        <f ca="1">$A3663*Q3663</f>
        <v>0</v>
      </c>
      <c r="S3663" s="1080">
        <f ca="1">$B3663*Elec_Rates!$T$452</f>
        <v>0.16</v>
      </c>
      <c r="T3663" s="1072">
        <f ca="1">$A3663*S3663</f>
        <v>0.8</v>
      </c>
      <c r="U3663" s="1081"/>
    </row>
    <row r="3664" spans="1:41" s="504" customFormat="1" ht="12">
      <c r="A3664" s="882"/>
      <c r="B3664" s="882"/>
      <c r="C3664" s="882"/>
      <c r="D3664" s="882"/>
      <c r="E3664" s="882"/>
      <c r="F3664" s="877"/>
      <c r="G3664" s="882"/>
      <c r="H3664" s="882"/>
      <c r="I3664" s="503"/>
      <c r="J3664" s="882"/>
      <c r="K3664" s="882"/>
      <c r="L3664" s="882"/>
      <c r="M3664" s="882"/>
      <c r="N3664" s="882"/>
      <c r="O3664" s="882"/>
      <c r="P3664" s="882"/>
      <c r="Q3664" s="503"/>
      <c r="R3664" s="883">
        <f>$A3664*Q3664</f>
        <v>0</v>
      </c>
      <c r="S3664" s="503"/>
      <c r="T3664" s="884">
        <f>$A3664*S3664*$T$1</f>
        <v>0</v>
      </c>
    </row>
    <row r="3665" spans="1:41" s="504" customFormat="1" ht="12.6" thickBot="1">
      <c r="A3665" s="885" t="s">
        <v>142</v>
      </c>
      <c r="B3665" s="886">
        <f>(R3664+T3664)</f>
        <v>0</v>
      </c>
      <c r="C3665" s="887"/>
      <c r="D3665" s="887"/>
      <c r="E3665" s="887"/>
      <c r="F3665" s="888"/>
      <c r="G3665" s="887" t="s">
        <v>143</v>
      </c>
      <c r="H3665" s="887"/>
      <c r="I3665" s="889"/>
      <c r="J3665" s="887"/>
      <c r="K3665" s="887" t="s">
        <v>3</v>
      </c>
      <c r="L3665" s="890" t="s">
        <v>140</v>
      </c>
      <c r="M3665" s="890"/>
      <c r="N3665" s="890"/>
      <c r="O3665" s="890"/>
      <c r="P3665" s="890"/>
      <c r="Q3665" s="891"/>
      <c r="R3665" s="892">
        <f ca="1">SUM(R3661:R3664)</f>
        <v>0</v>
      </c>
      <c r="S3665" s="887"/>
      <c r="T3665" s="892">
        <f ca="1">SUM(T3661:T3664)</f>
        <v>0.8</v>
      </c>
      <c r="U3665" s="514"/>
      <c r="V3665" s="514"/>
      <c r="W3665" s="514"/>
      <c r="X3665" s="514"/>
      <c r="Y3665" s="514"/>
      <c r="Z3665" s="514"/>
      <c r="AA3665" s="514"/>
      <c r="AB3665" s="514"/>
      <c r="AC3665" s="514"/>
      <c r="AD3665" s="514"/>
      <c r="AE3665" s="514"/>
      <c r="AF3665" s="514"/>
      <c r="AG3665" s="514"/>
      <c r="AH3665" s="514"/>
      <c r="AI3665" s="514"/>
      <c r="AJ3665" s="514"/>
      <c r="AK3665" s="514"/>
      <c r="AL3665" s="514"/>
      <c r="AM3665" s="514"/>
      <c r="AN3665" s="514"/>
      <c r="AO3665" s="514"/>
    </row>
    <row r="3666" spans="1:41" s="504" customFormat="1" ht="12" thickTop="1">
      <c r="A3666" s="50"/>
      <c r="B3666" s="40"/>
      <c r="C3666" s="50"/>
      <c r="E3666" s="41" t="s">
        <v>136</v>
      </c>
      <c r="F3666" s="41" t="s">
        <v>137</v>
      </c>
      <c r="G3666" s="50"/>
      <c r="H3666" s="50"/>
      <c r="I3666" s="50"/>
      <c r="J3666" s="50"/>
      <c r="K3666" s="50" t="s">
        <v>138</v>
      </c>
      <c r="L3666" s="50"/>
      <c r="M3666" s="50"/>
      <c r="N3666" s="50"/>
      <c r="O3666" s="51"/>
      <c r="P3666" s="50"/>
      <c r="Q3666" s="50"/>
      <c r="R3666" s="50"/>
      <c r="S3666" s="50"/>
      <c r="T3666" s="40"/>
      <c r="AG3666" s="867" t="s">
        <v>241</v>
      </c>
      <c r="AH3666" s="867" t="s">
        <v>242</v>
      </c>
      <c r="AI3666" s="867" t="s">
        <v>243</v>
      </c>
      <c r="AJ3666" s="867" t="s">
        <v>244</v>
      </c>
      <c r="AK3666" s="867" t="s">
        <v>245</v>
      </c>
      <c r="AM3666" s="868" t="s">
        <v>254</v>
      </c>
      <c r="AN3666" s="869" t="s">
        <v>255</v>
      </c>
      <c r="AO3666" s="505" t="s">
        <v>251</v>
      </c>
    </row>
    <row r="3667" spans="1:41" s="504" customFormat="1" ht="12" customHeight="1">
      <c r="A3667" s="870">
        <v>7</v>
      </c>
      <c r="B3667" s="871" t="s">
        <v>335</v>
      </c>
      <c r="C3667" s="872"/>
      <c r="D3667" s="873" t="s">
        <v>819</v>
      </c>
      <c r="E3667" s="874">
        <f ca="1">IF(AND($A3667=0,$A$1="DIF"),0, ROUND(ROUND(($R3672*$S$2+($T3672*$T$2))/A3667,2)*$C$2,2))</f>
        <v>11.35</v>
      </c>
      <c r="F3667" s="875">
        <f ca="1">ROUND($A3667*$E3667,2)</f>
        <v>79.45</v>
      </c>
      <c r="G3667" s="876" t="s">
        <v>139</v>
      </c>
      <c r="H3667" s="877"/>
      <c r="I3667" s="878"/>
      <c r="J3667" s="877"/>
      <c r="K3667" s="877" t="s">
        <v>3</v>
      </c>
      <c r="L3667" s="879" t="s">
        <v>140</v>
      </c>
      <c r="M3667" s="879"/>
      <c r="N3667" s="879"/>
      <c r="O3667" s="879"/>
      <c r="P3667" s="879"/>
      <c r="Q3667" s="50"/>
      <c r="T3667" s="880" t="str">
        <f ca="1">IF(AND($R3672=0,$T3672=0),"0.00","mu :" &amp; ROUND($F3667/$C$2/($R3672+$T3672*$D$9),2))</f>
        <v>mu :1.22</v>
      </c>
      <c r="W3667" s="507"/>
      <c r="AG3667" s="465">
        <f ca="1">IF($E3667=0,0,ROUND($R3672*$S$2*$C$2/$A3667,2))</f>
        <v>0.1</v>
      </c>
      <c r="AH3667" s="465">
        <f ca="1">$AG3667*$A3667</f>
        <v>0.70000000000000007</v>
      </c>
      <c r="AI3667" s="508">
        <f ca="1">$E3667-$AG3667</f>
        <v>11.25</v>
      </c>
      <c r="AJ3667" s="508">
        <f ca="1">$A3667*$AI3667</f>
        <v>78.75</v>
      </c>
      <c r="AK3667" s="509">
        <f ca="1">ROUND(($AG3667+$AI3667)*$A3667,2)</f>
        <v>79.45</v>
      </c>
      <c r="AM3667" s="510">
        <f ca="1">ROUND(R3672,2)</f>
        <v>0.56000000000000005</v>
      </c>
      <c r="AN3667" s="511">
        <f ca="1">ROUND(T3672,2)</f>
        <v>2.2400000000000002</v>
      </c>
      <c r="AO3667" s="512">
        <f ca="1">ROUND(AM3667+AN3667,2)*A3667</f>
        <v>19.599999999999998</v>
      </c>
    </row>
    <row r="3668" spans="1:41" s="504" customFormat="1" ht="13.2">
      <c r="A3668" s="872"/>
      <c r="B3668"/>
      <c r="C3668" s="872"/>
      <c r="D3668" s="873" t="s">
        <v>473</v>
      </c>
      <c r="F3668" s="877"/>
      <c r="G3668" s="3"/>
      <c r="H3668" s="877"/>
      <c r="I3668" s="878"/>
      <c r="J3668" s="877"/>
      <c r="K3668" s="877" t="s">
        <v>141</v>
      </c>
      <c r="L3668" s="877"/>
      <c r="M3668" s="877"/>
      <c r="N3668" s="877"/>
      <c r="O3668" s="877"/>
      <c r="P3668" s="877"/>
      <c r="Q3668" s="50"/>
      <c r="R3668" s="513"/>
      <c r="S3668" s="881"/>
      <c r="T3668" s="877"/>
    </row>
    <row r="3669" spans="1:41" s="997" customFormat="1" ht="13.2">
      <c r="A3669"/>
      <c r="B3669" s="1065"/>
      <c r="C3669" s="1065" t="s">
        <v>1006</v>
      </c>
      <c r="D3669" s="1065" t="str">
        <f ca="1">CELL("Address",Elec_Rates!D$277)</f>
        <v>[EL25_0662B_Brittania_Hotel_Elec_Revised_Estim_B.xlsx]Elec_Rates!$D$277</v>
      </c>
      <c r="E3669" s="1066"/>
      <c r="F3669" s="1066"/>
      <c r="G3669" s="1067" t="s">
        <v>1007</v>
      </c>
      <c r="H3669" s="1067"/>
      <c r="I3669" s="1067"/>
      <c r="J3669" s="1067"/>
      <c r="K3669" s="1068"/>
      <c r="L3669" s="1066"/>
      <c r="M3669" s="1066"/>
      <c r="N3669" s="1066"/>
      <c r="O3669" s="1069"/>
      <c r="P3669" s="1066"/>
      <c r="Q3669" s="1070"/>
      <c r="R3669" s="1071"/>
      <c r="S3669" s="1070"/>
      <c r="T3669" s="1072"/>
      <c r="U3669" s="1073"/>
    </row>
    <row r="3670" spans="1:41" s="997" customFormat="1" ht="11.4">
      <c r="A3670" s="1074">
        <v>7</v>
      </c>
      <c r="B3670" s="1075">
        <v>1</v>
      </c>
      <c r="C3670" s="1075">
        <f>$A3670*$B3670</f>
        <v>7</v>
      </c>
      <c r="D3670" s="1076" t="str">
        <f>Elec_Rates!$D$277</f>
        <v>030# Install and connect Only - Type 'LD-01' - Rooms Art Light</v>
      </c>
      <c r="E3670" s="1076"/>
      <c r="F3670" s="1076"/>
      <c r="G3670" s="1077" t="s">
        <v>1008</v>
      </c>
      <c r="H3670" s="1077"/>
      <c r="I3670" s="1077"/>
      <c r="J3670" s="1077"/>
      <c r="K3670" s="1078"/>
      <c r="L3670" s="1073"/>
      <c r="M3670" s="1073"/>
      <c r="N3670" s="1073"/>
      <c r="O3670" s="1079"/>
      <c r="P3670" s="1076"/>
      <c r="Q3670" s="1080">
        <f ca="1">$B3670*Elec_Rates!$R$277</f>
        <v>0.08</v>
      </c>
      <c r="R3670" s="1071">
        <f ca="1">$A3670*Q3670</f>
        <v>0.56000000000000005</v>
      </c>
      <c r="S3670" s="1080">
        <f ca="1">$B3670*Elec_Rates!$T$277</f>
        <v>0.32</v>
      </c>
      <c r="T3670" s="1072">
        <f ca="1">$A3670*S3670</f>
        <v>2.2400000000000002</v>
      </c>
      <c r="U3670" s="1081"/>
    </row>
    <row r="3671" spans="1:41" s="504" customFormat="1" ht="12">
      <c r="A3671" s="882"/>
      <c r="B3671" s="882"/>
      <c r="C3671" s="882"/>
      <c r="D3671" s="882"/>
      <c r="E3671" s="882"/>
      <c r="F3671" s="877"/>
      <c r="G3671" s="882"/>
      <c r="H3671" s="882"/>
      <c r="I3671" s="503"/>
      <c r="J3671" s="882"/>
      <c r="K3671" s="882"/>
      <c r="L3671" s="882"/>
      <c r="M3671" s="882"/>
      <c r="N3671" s="882"/>
      <c r="O3671" s="882"/>
      <c r="P3671" s="882"/>
      <c r="Q3671" s="503"/>
      <c r="R3671" s="883">
        <f>$A3671*Q3671</f>
        <v>0</v>
      </c>
      <c r="S3671" s="503"/>
      <c r="T3671" s="884">
        <f>$A3671*S3671*$T$1</f>
        <v>0</v>
      </c>
    </row>
    <row r="3672" spans="1:41" s="504" customFormat="1" ht="12.6" thickBot="1">
      <c r="A3672" s="885" t="s">
        <v>142</v>
      </c>
      <c r="B3672" s="886">
        <f>(R3671+T3671)</f>
        <v>0</v>
      </c>
      <c r="C3672" s="887"/>
      <c r="D3672" s="887"/>
      <c r="E3672" s="887"/>
      <c r="F3672" s="888"/>
      <c r="G3672" s="887" t="s">
        <v>143</v>
      </c>
      <c r="H3672" s="887"/>
      <c r="I3672" s="889"/>
      <c r="J3672" s="887"/>
      <c r="K3672" s="887" t="s">
        <v>3</v>
      </c>
      <c r="L3672" s="890" t="s">
        <v>140</v>
      </c>
      <c r="M3672" s="890"/>
      <c r="N3672" s="890"/>
      <c r="O3672" s="890"/>
      <c r="P3672" s="890"/>
      <c r="Q3672" s="891"/>
      <c r="R3672" s="892">
        <f ca="1">SUM(R3668:R3671)</f>
        <v>0.56000000000000005</v>
      </c>
      <c r="S3672" s="887"/>
      <c r="T3672" s="892">
        <f ca="1">SUM(T3668:T3671)</f>
        <v>2.2400000000000002</v>
      </c>
      <c r="U3672" s="514"/>
      <c r="V3672" s="514"/>
      <c r="W3672" s="514"/>
      <c r="X3672" s="514"/>
      <c r="Y3672" s="514"/>
      <c r="Z3672" s="514"/>
      <c r="AA3672" s="514"/>
      <c r="AB3672" s="514"/>
      <c r="AC3672" s="514"/>
      <c r="AD3672" s="514"/>
      <c r="AE3672" s="514"/>
      <c r="AF3672" s="514"/>
      <c r="AG3672" s="514"/>
      <c r="AH3672" s="514"/>
      <c r="AI3672" s="514"/>
      <c r="AJ3672" s="514"/>
      <c r="AK3672" s="514"/>
      <c r="AL3672" s="514"/>
      <c r="AM3672" s="514"/>
      <c r="AN3672" s="514"/>
      <c r="AO3672" s="514"/>
    </row>
    <row r="3673" spans="1:41" s="504" customFormat="1" ht="12" thickTop="1">
      <c r="A3673" s="50"/>
      <c r="B3673" s="40"/>
      <c r="C3673" s="50"/>
      <c r="E3673" s="41" t="s">
        <v>136</v>
      </c>
      <c r="F3673" s="41" t="s">
        <v>137</v>
      </c>
      <c r="G3673" s="50"/>
      <c r="H3673" s="50"/>
      <c r="I3673" s="50"/>
      <c r="J3673" s="50"/>
      <c r="K3673" s="50" t="s">
        <v>138</v>
      </c>
      <c r="L3673" s="50"/>
      <c r="M3673" s="50"/>
      <c r="N3673" s="50"/>
      <c r="O3673" s="51"/>
      <c r="P3673" s="50"/>
      <c r="Q3673" s="50"/>
      <c r="R3673" s="50"/>
      <c r="S3673" s="50"/>
      <c r="T3673" s="40"/>
      <c r="AG3673" s="867" t="s">
        <v>241</v>
      </c>
      <c r="AH3673" s="867" t="s">
        <v>242</v>
      </c>
      <c r="AI3673" s="867" t="s">
        <v>243</v>
      </c>
      <c r="AJ3673" s="867" t="s">
        <v>244</v>
      </c>
      <c r="AK3673" s="867" t="s">
        <v>245</v>
      </c>
      <c r="AM3673" s="868" t="s">
        <v>254</v>
      </c>
      <c r="AN3673" s="869" t="s">
        <v>255</v>
      </c>
      <c r="AO3673" s="505" t="s">
        <v>251</v>
      </c>
    </row>
    <row r="3674" spans="1:41" s="504" customFormat="1" ht="12" customHeight="1">
      <c r="A3674" s="870">
        <v>1</v>
      </c>
      <c r="B3674" s="871" t="s">
        <v>335</v>
      </c>
      <c r="C3674" s="872"/>
      <c r="D3674" s="873" t="s">
        <v>820</v>
      </c>
      <c r="E3674" s="874">
        <f ca="1">IF(AND($A3674=0,$A$1="DIF"),0, ROUND(ROUND(($R3679*$S$2+($T3679*$T$2))/A3674,2)*$C$2,2))</f>
        <v>11.35</v>
      </c>
      <c r="F3674" s="875">
        <f ca="1">ROUND($A3674*$E3674,2)</f>
        <v>11.35</v>
      </c>
      <c r="G3674" s="876" t="s">
        <v>139</v>
      </c>
      <c r="H3674" s="877"/>
      <c r="I3674" s="878"/>
      <c r="J3674" s="877"/>
      <c r="K3674" s="877" t="s">
        <v>3</v>
      </c>
      <c r="L3674" s="879" t="s">
        <v>140</v>
      </c>
      <c r="M3674" s="879"/>
      <c r="N3674" s="879"/>
      <c r="O3674" s="879"/>
      <c r="P3674" s="879"/>
      <c r="Q3674" s="50"/>
      <c r="T3674" s="880" t="str">
        <f ca="1">IF(AND($R3679=0,$T3679=0),"0.00","mu :" &amp; ROUND($F3674/$C$2/($R3679+$T3679*$D$9),2))</f>
        <v>mu :1.22</v>
      </c>
      <c r="W3674" s="507"/>
      <c r="AG3674" s="465">
        <f ca="1">IF($E3674=0,0,ROUND($R3679*$S$2*$C$2/$A3674,2))</f>
        <v>0.1</v>
      </c>
      <c r="AH3674" s="465">
        <f ca="1">$AG3674*$A3674</f>
        <v>0.1</v>
      </c>
      <c r="AI3674" s="508">
        <f ca="1">$E3674-$AG3674</f>
        <v>11.25</v>
      </c>
      <c r="AJ3674" s="508">
        <f ca="1">$A3674*$AI3674</f>
        <v>11.25</v>
      </c>
      <c r="AK3674" s="509">
        <f ca="1">ROUND(($AG3674+$AI3674)*$A3674,2)</f>
        <v>11.35</v>
      </c>
      <c r="AM3674" s="510">
        <f ca="1">ROUND(R3679,2)</f>
        <v>0.08</v>
      </c>
      <c r="AN3674" s="511">
        <f ca="1">ROUND(T3679,2)</f>
        <v>0.32</v>
      </c>
      <c r="AO3674" s="512">
        <f ca="1">ROUND(AM3674+AN3674,2)*A3674</f>
        <v>0.4</v>
      </c>
    </row>
    <row r="3675" spans="1:41" s="504" customFormat="1" ht="13.2">
      <c r="A3675" s="872"/>
      <c r="B3675"/>
      <c r="C3675" s="872"/>
      <c r="D3675" s="873" t="s">
        <v>356</v>
      </c>
      <c r="F3675" s="877"/>
      <c r="G3675" s="3"/>
      <c r="H3675" s="877"/>
      <c r="I3675" s="878"/>
      <c r="J3675" s="877"/>
      <c r="K3675" s="877" t="s">
        <v>141</v>
      </c>
      <c r="L3675" s="877"/>
      <c r="M3675" s="877"/>
      <c r="N3675" s="877"/>
      <c r="O3675" s="877"/>
      <c r="P3675" s="877"/>
      <c r="Q3675" s="50"/>
      <c r="R3675" s="513"/>
      <c r="S3675" s="881"/>
      <c r="T3675" s="877"/>
    </row>
    <row r="3676" spans="1:41" s="997" customFormat="1" ht="13.2">
      <c r="A3676"/>
      <c r="B3676" s="1065"/>
      <c r="C3676" s="1065" t="s">
        <v>1006</v>
      </c>
      <c r="D3676" s="1065" t="str">
        <f ca="1">CELL("Address",Elec_Rates!D$322)</f>
        <v>[EL25_0662B_Brittania_Hotel_Elec_Revised_Estim_B.xlsx]Elec_Rates!$D$322</v>
      </c>
      <c r="E3676" s="1066"/>
      <c r="F3676" s="1066"/>
      <c r="G3676" s="1067" t="s">
        <v>1007</v>
      </c>
      <c r="H3676" s="1067"/>
      <c r="I3676" s="1067"/>
      <c r="J3676" s="1067"/>
      <c r="K3676" s="1068"/>
      <c r="L3676" s="1066"/>
      <c r="M3676" s="1066"/>
      <c r="N3676" s="1066"/>
      <c r="O3676" s="1069"/>
      <c r="P3676" s="1066"/>
      <c r="Q3676" s="1070"/>
      <c r="R3676" s="1071"/>
      <c r="S3676" s="1070"/>
      <c r="T3676" s="1072"/>
      <c r="U3676" s="1073"/>
    </row>
    <row r="3677" spans="1:41" s="997" customFormat="1" ht="11.4">
      <c r="A3677" s="1074">
        <v>1</v>
      </c>
      <c r="B3677" s="1075">
        <v>1</v>
      </c>
      <c r="C3677" s="1075">
        <f>$A3677*$B3677</f>
        <v>1</v>
      </c>
      <c r="D3677" s="1076" t="str">
        <f>Elec_Rates!$D$322</f>
        <v>036# Install and connect Only - Type 'LD-11' - Hallway Wall Light</v>
      </c>
      <c r="E3677" s="1076"/>
      <c r="F3677" s="1076"/>
      <c r="G3677" s="1077" t="s">
        <v>1008</v>
      </c>
      <c r="H3677" s="1077"/>
      <c r="I3677" s="1077"/>
      <c r="J3677" s="1077"/>
      <c r="K3677" s="1078"/>
      <c r="L3677" s="1073"/>
      <c r="M3677" s="1073"/>
      <c r="N3677" s="1073"/>
      <c r="O3677" s="1079"/>
      <c r="P3677" s="1076"/>
      <c r="Q3677" s="1080">
        <f ca="1">$B3677*Elec_Rates!$R$322</f>
        <v>0.08</v>
      </c>
      <c r="R3677" s="1071">
        <f ca="1">$A3677*Q3677</f>
        <v>0.08</v>
      </c>
      <c r="S3677" s="1080">
        <f ca="1">$B3677*Elec_Rates!$T$322</f>
        <v>0.32</v>
      </c>
      <c r="T3677" s="1072">
        <f ca="1">$A3677*S3677</f>
        <v>0.32</v>
      </c>
      <c r="U3677" s="1081"/>
    </row>
    <row r="3678" spans="1:41" s="504" customFormat="1" ht="12">
      <c r="A3678" s="882"/>
      <c r="B3678" s="882"/>
      <c r="C3678" s="882"/>
      <c r="D3678" s="882"/>
      <c r="E3678" s="882"/>
      <c r="F3678" s="877"/>
      <c r="G3678" s="882"/>
      <c r="H3678" s="882"/>
      <c r="I3678" s="503"/>
      <c r="J3678" s="882"/>
      <c r="K3678" s="882"/>
      <c r="L3678" s="882"/>
      <c r="M3678" s="882"/>
      <c r="N3678" s="882"/>
      <c r="O3678" s="882"/>
      <c r="P3678" s="882"/>
      <c r="Q3678" s="503"/>
      <c r="R3678" s="883">
        <f>$A3678*Q3678</f>
        <v>0</v>
      </c>
      <c r="S3678" s="503"/>
      <c r="T3678" s="884">
        <f>$A3678*S3678*$T$1</f>
        <v>0</v>
      </c>
    </row>
    <row r="3679" spans="1:41" s="504" customFormat="1" ht="12.6" thickBot="1">
      <c r="A3679" s="885" t="s">
        <v>142</v>
      </c>
      <c r="B3679" s="886">
        <f>(R3678+T3678)</f>
        <v>0</v>
      </c>
      <c r="C3679" s="887"/>
      <c r="D3679" s="887"/>
      <c r="E3679" s="887"/>
      <c r="F3679" s="888"/>
      <c r="G3679" s="887" t="s">
        <v>143</v>
      </c>
      <c r="H3679" s="887"/>
      <c r="I3679" s="889"/>
      <c r="J3679" s="887"/>
      <c r="K3679" s="887" t="s">
        <v>3</v>
      </c>
      <c r="L3679" s="890" t="s">
        <v>140</v>
      </c>
      <c r="M3679" s="890"/>
      <c r="N3679" s="890"/>
      <c r="O3679" s="890"/>
      <c r="P3679" s="890"/>
      <c r="Q3679" s="891"/>
      <c r="R3679" s="892">
        <f ca="1">SUM(R3675:R3678)</f>
        <v>0.08</v>
      </c>
      <c r="S3679" s="887"/>
      <c r="T3679" s="892">
        <f ca="1">SUM(T3675:T3678)</f>
        <v>0.32</v>
      </c>
      <c r="U3679" s="514"/>
      <c r="V3679" s="514"/>
      <c r="W3679" s="514"/>
      <c r="X3679" s="514"/>
      <c r="Y3679" s="514"/>
      <c r="Z3679" s="514"/>
      <c r="AA3679" s="514"/>
      <c r="AB3679" s="514"/>
      <c r="AC3679" s="514"/>
      <c r="AD3679" s="514"/>
      <c r="AE3679" s="514"/>
      <c r="AF3679" s="514"/>
      <c r="AG3679" s="514"/>
      <c r="AH3679" s="514"/>
      <c r="AI3679" s="514"/>
      <c r="AJ3679" s="514"/>
      <c r="AK3679" s="514"/>
      <c r="AL3679" s="514"/>
      <c r="AM3679" s="514"/>
      <c r="AN3679" s="514"/>
      <c r="AO3679" s="514"/>
    </row>
    <row r="3680" spans="1:41" s="504" customFormat="1" ht="12" thickTop="1">
      <c r="A3680" s="50"/>
      <c r="B3680" s="40"/>
      <c r="C3680" s="50"/>
      <c r="E3680" s="41" t="s">
        <v>136</v>
      </c>
      <c r="F3680" s="41" t="s">
        <v>137</v>
      </c>
      <c r="G3680" s="50"/>
      <c r="H3680" s="50"/>
      <c r="I3680" s="50"/>
      <c r="J3680" s="50"/>
      <c r="K3680" s="50" t="s">
        <v>138</v>
      </c>
      <c r="L3680" s="50"/>
      <c r="M3680" s="50"/>
      <c r="N3680" s="50"/>
      <c r="O3680" s="51"/>
      <c r="P3680" s="50"/>
      <c r="Q3680" s="50"/>
      <c r="R3680" s="50"/>
      <c r="S3680" s="50"/>
      <c r="T3680" s="40"/>
      <c r="AG3680" s="867" t="s">
        <v>241</v>
      </c>
      <c r="AH3680" s="867" t="s">
        <v>242</v>
      </c>
      <c r="AI3680" s="867" t="s">
        <v>243</v>
      </c>
      <c r="AJ3680" s="867" t="s">
        <v>244</v>
      </c>
      <c r="AK3680" s="867" t="s">
        <v>245</v>
      </c>
      <c r="AM3680" s="868" t="s">
        <v>254</v>
      </c>
      <c r="AN3680" s="869" t="s">
        <v>255</v>
      </c>
      <c r="AO3680" s="505" t="s">
        <v>251</v>
      </c>
    </row>
    <row r="3681" spans="1:41" s="504" customFormat="1" ht="12" customHeight="1">
      <c r="A3681" s="870">
        <v>4</v>
      </c>
      <c r="B3681" s="871" t="s">
        <v>335</v>
      </c>
      <c r="C3681" s="872"/>
      <c r="D3681" s="873" t="s">
        <v>821</v>
      </c>
      <c r="E3681" s="874">
        <f ca="1">IF(AND($A3681=0,$A$1="DIF"),0, ROUND(ROUND(($R3686*$S$2+($T3686*$T$2))/A3681,2)*$C$2,2))</f>
        <v>11.35</v>
      </c>
      <c r="F3681" s="875">
        <f ca="1">ROUND($A3681*$E3681,2)</f>
        <v>45.4</v>
      </c>
      <c r="G3681" s="876" t="s">
        <v>139</v>
      </c>
      <c r="H3681" s="877"/>
      <c r="I3681" s="878"/>
      <c r="J3681" s="877"/>
      <c r="K3681" s="877" t="s">
        <v>3</v>
      </c>
      <c r="L3681" s="879" t="s">
        <v>140</v>
      </c>
      <c r="M3681" s="879"/>
      <c r="N3681" s="879"/>
      <c r="O3681" s="879"/>
      <c r="P3681" s="879"/>
      <c r="Q3681" s="50"/>
      <c r="T3681" s="880" t="str">
        <f ca="1">IF(AND($R3686=0,$T3686=0),"0.00","mu :" &amp; ROUND($F3681/$C$2/($R3686+$T3686*$D$9),2))</f>
        <v>mu :1.22</v>
      </c>
      <c r="W3681" s="507"/>
      <c r="AG3681" s="465">
        <f ca="1">IF($E3681=0,0,ROUND($R3686*$S$2*$C$2/$A3681,2))</f>
        <v>0.1</v>
      </c>
      <c r="AH3681" s="465">
        <f ca="1">$AG3681*$A3681</f>
        <v>0.4</v>
      </c>
      <c r="AI3681" s="508">
        <f ca="1">$E3681-$AG3681</f>
        <v>11.25</v>
      </c>
      <c r="AJ3681" s="508">
        <f ca="1">$A3681*$AI3681</f>
        <v>45</v>
      </c>
      <c r="AK3681" s="509">
        <f ca="1">ROUND(($AG3681+$AI3681)*$A3681,2)</f>
        <v>45.4</v>
      </c>
      <c r="AM3681" s="510">
        <f ca="1">ROUND(R3686,2)</f>
        <v>0.32</v>
      </c>
      <c r="AN3681" s="511">
        <f ca="1">ROUND(T3686,2)</f>
        <v>1.28</v>
      </c>
      <c r="AO3681" s="512">
        <f ca="1">ROUND(AM3681+AN3681,2)*A3681</f>
        <v>6.4</v>
      </c>
    </row>
    <row r="3682" spans="1:41" s="504" customFormat="1" ht="13.2">
      <c r="A3682" s="872"/>
      <c r="B3682"/>
      <c r="C3682" s="872"/>
      <c r="D3682" s="873" t="s">
        <v>422</v>
      </c>
      <c r="F3682" s="877"/>
      <c r="G3682" s="3"/>
      <c r="H3682" s="877"/>
      <c r="I3682" s="878"/>
      <c r="J3682" s="877"/>
      <c r="K3682" s="877" t="s">
        <v>141</v>
      </c>
      <c r="L3682" s="877"/>
      <c r="M3682" s="877"/>
      <c r="N3682" s="877"/>
      <c r="O3682" s="877"/>
      <c r="P3682" s="877"/>
      <c r="Q3682" s="50"/>
      <c r="R3682" s="513"/>
      <c r="S3682" s="881"/>
      <c r="T3682" s="877"/>
    </row>
    <row r="3683" spans="1:41" s="997" customFormat="1" ht="13.2">
      <c r="A3683"/>
      <c r="B3683" s="1065"/>
      <c r="C3683" s="1065" t="s">
        <v>1006</v>
      </c>
      <c r="D3683" s="1065" t="str">
        <f ca="1">CELL("Address",Elec_Rates!D$330)</f>
        <v>[EL25_0662B_Brittania_Hotel_Elec_Revised_Estim_B.xlsx]Elec_Rates!$D$330</v>
      </c>
      <c r="E3683" s="1066"/>
      <c r="F3683" s="1066"/>
      <c r="G3683" s="1067" t="s">
        <v>1007</v>
      </c>
      <c r="H3683" s="1067"/>
      <c r="I3683" s="1067"/>
      <c r="J3683" s="1067"/>
      <c r="K3683" s="1068"/>
      <c r="L3683" s="1066"/>
      <c r="M3683" s="1066"/>
      <c r="N3683" s="1066"/>
      <c r="O3683" s="1069"/>
      <c r="P3683" s="1066"/>
      <c r="Q3683" s="1070"/>
      <c r="R3683" s="1071"/>
      <c r="S3683" s="1070"/>
      <c r="T3683" s="1072"/>
      <c r="U3683" s="1073"/>
    </row>
    <row r="3684" spans="1:41" s="997" customFormat="1" ht="11.4">
      <c r="A3684" s="1074">
        <v>4</v>
      </c>
      <c r="B3684" s="1075">
        <v>1</v>
      </c>
      <c r="C3684" s="1075">
        <f>$A3684*$B3684</f>
        <v>4</v>
      </c>
      <c r="D3684" s="1076" t="str">
        <f>Elec_Rates!$D$330</f>
        <v>037# Install and connect Only - Type 'LD-12' - Reading Lights</v>
      </c>
      <c r="E3684" s="1076"/>
      <c r="F3684" s="1076"/>
      <c r="G3684" s="1077" t="s">
        <v>1008</v>
      </c>
      <c r="H3684" s="1077"/>
      <c r="I3684" s="1077"/>
      <c r="J3684" s="1077"/>
      <c r="K3684" s="1078"/>
      <c r="L3684" s="1073"/>
      <c r="M3684" s="1073"/>
      <c r="N3684" s="1073"/>
      <c r="O3684" s="1079"/>
      <c r="P3684" s="1076"/>
      <c r="Q3684" s="1080">
        <f ca="1">$B3684*Elec_Rates!$R$330</f>
        <v>0.08</v>
      </c>
      <c r="R3684" s="1071">
        <f ca="1">$A3684*Q3684</f>
        <v>0.32</v>
      </c>
      <c r="S3684" s="1080">
        <f ca="1">$B3684*Elec_Rates!$T$330</f>
        <v>0.32</v>
      </c>
      <c r="T3684" s="1072">
        <f ca="1">$A3684*S3684</f>
        <v>1.28</v>
      </c>
      <c r="U3684" s="1081"/>
    </row>
    <row r="3685" spans="1:41" s="504" customFormat="1" ht="12">
      <c r="A3685" s="882"/>
      <c r="B3685" s="882"/>
      <c r="C3685" s="882"/>
      <c r="D3685" s="882"/>
      <c r="E3685" s="882"/>
      <c r="F3685" s="877"/>
      <c r="G3685" s="882"/>
      <c r="H3685" s="882"/>
      <c r="I3685" s="503"/>
      <c r="J3685" s="882"/>
      <c r="K3685" s="882"/>
      <c r="L3685" s="882"/>
      <c r="M3685" s="882"/>
      <c r="N3685" s="882"/>
      <c r="O3685" s="882"/>
      <c r="P3685" s="882"/>
      <c r="Q3685" s="503"/>
      <c r="R3685" s="883">
        <f>$A3685*Q3685</f>
        <v>0</v>
      </c>
      <c r="S3685" s="503"/>
      <c r="T3685" s="884">
        <f>$A3685*S3685*$T$1</f>
        <v>0</v>
      </c>
    </row>
    <row r="3686" spans="1:41" s="504" customFormat="1" ht="12.6" thickBot="1">
      <c r="A3686" s="885" t="s">
        <v>142</v>
      </c>
      <c r="B3686" s="886">
        <f>(R3685+T3685)</f>
        <v>0</v>
      </c>
      <c r="C3686" s="887"/>
      <c r="D3686" s="887"/>
      <c r="E3686" s="887"/>
      <c r="F3686" s="888"/>
      <c r="G3686" s="887" t="s">
        <v>143</v>
      </c>
      <c r="H3686" s="887"/>
      <c r="I3686" s="889"/>
      <c r="J3686" s="887"/>
      <c r="K3686" s="887" t="s">
        <v>3</v>
      </c>
      <c r="L3686" s="890" t="s">
        <v>140</v>
      </c>
      <c r="M3686" s="890"/>
      <c r="N3686" s="890"/>
      <c r="O3686" s="890"/>
      <c r="P3686" s="890"/>
      <c r="Q3686" s="891"/>
      <c r="R3686" s="892">
        <f ca="1">SUM(R3682:R3685)</f>
        <v>0.32</v>
      </c>
      <c r="S3686" s="887"/>
      <c r="T3686" s="892">
        <f ca="1">SUM(T3682:T3685)</f>
        <v>1.28</v>
      </c>
      <c r="U3686" s="514"/>
      <c r="V3686" s="514"/>
      <c r="W3686" s="514"/>
      <c r="X3686" s="514"/>
      <c r="Y3686" s="514"/>
      <c r="Z3686" s="514"/>
      <c r="AA3686" s="514"/>
      <c r="AB3686" s="514"/>
      <c r="AC3686" s="514"/>
      <c r="AD3686" s="514"/>
      <c r="AE3686" s="514"/>
      <c r="AF3686" s="514"/>
      <c r="AG3686" s="514"/>
      <c r="AH3686" s="514"/>
      <c r="AI3686" s="514"/>
      <c r="AJ3686" s="514"/>
      <c r="AK3686" s="514"/>
      <c r="AL3686" s="514"/>
      <c r="AM3686" s="514"/>
      <c r="AN3686" s="514"/>
      <c r="AO3686" s="514"/>
    </row>
    <row r="3687" spans="1:41" s="504" customFormat="1" ht="12" thickTop="1">
      <c r="A3687" s="50"/>
      <c r="B3687" s="40"/>
      <c r="C3687" s="50"/>
      <c r="E3687" s="41" t="s">
        <v>136</v>
      </c>
      <c r="F3687" s="41" t="s">
        <v>137</v>
      </c>
      <c r="G3687" s="50"/>
      <c r="H3687" s="50"/>
      <c r="I3687" s="50"/>
      <c r="J3687" s="50"/>
      <c r="K3687" s="50" t="s">
        <v>138</v>
      </c>
      <c r="L3687" s="50"/>
      <c r="M3687" s="50"/>
      <c r="N3687" s="50"/>
      <c r="O3687" s="51"/>
      <c r="P3687" s="50"/>
      <c r="Q3687" s="50"/>
      <c r="R3687" s="50"/>
      <c r="S3687" s="50"/>
      <c r="T3687" s="40"/>
      <c r="AG3687" s="867" t="s">
        <v>241</v>
      </c>
      <c r="AH3687" s="867" t="s">
        <v>242</v>
      </c>
      <c r="AI3687" s="867" t="s">
        <v>243</v>
      </c>
      <c r="AJ3687" s="867" t="s">
        <v>244</v>
      </c>
      <c r="AK3687" s="867" t="s">
        <v>245</v>
      </c>
      <c r="AM3687" s="868" t="s">
        <v>254</v>
      </c>
      <c r="AN3687" s="869" t="s">
        <v>255</v>
      </c>
      <c r="AO3687" s="505" t="s">
        <v>251</v>
      </c>
    </row>
    <row r="3688" spans="1:41" s="504" customFormat="1" ht="12" customHeight="1">
      <c r="A3688" s="870">
        <v>6</v>
      </c>
      <c r="B3688" s="871" t="s">
        <v>335</v>
      </c>
      <c r="C3688" s="872"/>
      <c r="D3688" s="873" t="s">
        <v>822</v>
      </c>
      <c r="E3688" s="874">
        <f ca="1">IF(AND($A3688=0,$A$1="DIF"),0, ROUND(ROUND(($R3693*$S$2+($T3693*$T$2))/A3688,2)*$C$2,2))</f>
        <v>18.739999999999998</v>
      </c>
      <c r="F3688" s="875">
        <f ca="1">ROUND($A3688*$E3688,2)</f>
        <v>112.44</v>
      </c>
      <c r="G3688" s="876" t="s">
        <v>139</v>
      </c>
      <c r="H3688" s="877"/>
      <c r="I3688" s="878"/>
      <c r="J3688" s="877"/>
      <c r="K3688" s="877" t="s">
        <v>3</v>
      </c>
      <c r="L3688" s="879" t="s">
        <v>140</v>
      </c>
      <c r="M3688" s="879"/>
      <c r="N3688" s="879"/>
      <c r="O3688" s="879"/>
      <c r="P3688" s="879"/>
      <c r="Q3688" s="50"/>
      <c r="T3688" s="880" t="str">
        <f ca="1">IF(AND($R3693=0,$T3693=0),"0.00","mu :" &amp; ROUND($F3688/$C$2/($R3693+$T3693*$D$9),2))</f>
        <v>mu :1.22</v>
      </c>
      <c r="W3688" s="507"/>
      <c r="AG3688" s="465">
        <f ca="1">IF($E3688=0,0,ROUND($R3693*$S$2*$C$2/$A3688,2))</f>
        <v>0.1</v>
      </c>
      <c r="AH3688" s="465">
        <f ca="1">$AG3688*$A3688</f>
        <v>0.60000000000000009</v>
      </c>
      <c r="AI3688" s="508">
        <f ca="1">$E3688-$AG3688</f>
        <v>18.639999999999997</v>
      </c>
      <c r="AJ3688" s="508">
        <f ca="1">$A3688*$AI3688</f>
        <v>111.83999999999997</v>
      </c>
      <c r="AK3688" s="509">
        <f ca="1">ROUND(($AG3688+$AI3688)*$A3688,2)</f>
        <v>112.44</v>
      </c>
      <c r="AM3688" s="510">
        <f ca="1">ROUND(R3693,2)</f>
        <v>0.48</v>
      </c>
      <c r="AN3688" s="511">
        <f ca="1">ROUND(T3693,2)</f>
        <v>3.18</v>
      </c>
      <c r="AO3688" s="512">
        <f ca="1">ROUND(AM3688+AN3688,2)*A3688</f>
        <v>21.96</v>
      </c>
    </row>
    <row r="3689" spans="1:41" s="504" customFormat="1" ht="13.2">
      <c r="A3689" s="872"/>
      <c r="B3689"/>
      <c r="C3689" s="872"/>
      <c r="D3689" s="873" t="s">
        <v>474</v>
      </c>
      <c r="F3689" s="877"/>
      <c r="G3689" s="3"/>
      <c r="H3689" s="877"/>
      <c r="I3689" s="878"/>
      <c r="J3689" s="877"/>
      <c r="K3689" s="877" t="s">
        <v>141</v>
      </c>
      <c r="L3689" s="877"/>
      <c r="M3689" s="877"/>
      <c r="N3689" s="877"/>
      <c r="O3689" s="877"/>
      <c r="P3689" s="877"/>
      <c r="Q3689" s="50"/>
      <c r="R3689" s="513"/>
      <c r="S3689" s="881"/>
      <c r="T3689" s="877"/>
    </row>
    <row r="3690" spans="1:41" s="997" customFormat="1" ht="13.2">
      <c r="A3690"/>
      <c r="B3690" s="1065"/>
      <c r="C3690" s="1065" t="s">
        <v>1006</v>
      </c>
      <c r="D3690" s="1065" t="str">
        <f ca="1">CELL("Address",Elec_Rates!D$345)</f>
        <v>[EL25_0662B_Brittania_Hotel_Elec_Revised_Estim_B.xlsx]Elec_Rates!$D$345</v>
      </c>
      <c r="E3690" s="1066"/>
      <c r="F3690" s="1066"/>
      <c r="G3690" s="1067" t="s">
        <v>1007</v>
      </c>
      <c r="H3690" s="1067"/>
      <c r="I3690" s="1067"/>
      <c r="J3690" s="1067"/>
      <c r="K3690" s="1068"/>
      <c r="L3690" s="1066"/>
      <c r="M3690" s="1066"/>
      <c r="N3690" s="1066"/>
      <c r="O3690" s="1069"/>
      <c r="P3690" s="1066"/>
      <c r="Q3690" s="1070"/>
      <c r="R3690" s="1071"/>
      <c r="S3690" s="1070"/>
      <c r="T3690" s="1072"/>
      <c r="U3690" s="1073"/>
    </row>
    <row r="3691" spans="1:41" s="997" customFormat="1" ht="11.4">
      <c r="A3691" s="1074">
        <v>6</v>
      </c>
      <c r="B3691" s="1075">
        <v>1</v>
      </c>
      <c r="C3691" s="1075">
        <f>$A3691*$B3691</f>
        <v>6</v>
      </c>
      <c r="D3691" s="1076" t="str">
        <f>Elec_Rates!$D$345</f>
        <v>039# Install and connect Only - Type 'LD-14' - Terrace Wall Light</v>
      </c>
      <c r="E3691" s="1076"/>
      <c r="F3691" s="1076"/>
      <c r="G3691" s="1077" t="s">
        <v>1008</v>
      </c>
      <c r="H3691" s="1077"/>
      <c r="I3691" s="1077"/>
      <c r="J3691" s="1077"/>
      <c r="K3691" s="1078"/>
      <c r="L3691" s="1073"/>
      <c r="M3691" s="1073"/>
      <c r="N3691" s="1073"/>
      <c r="O3691" s="1079"/>
      <c r="P3691" s="1076"/>
      <c r="Q3691" s="1080">
        <f ca="1">$B3691*Elec_Rates!$R$345</f>
        <v>0.08</v>
      </c>
      <c r="R3691" s="1071">
        <f ca="1">$A3691*Q3691</f>
        <v>0.48</v>
      </c>
      <c r="S3691" s="1080">
        <f ca="1">$B3691*Elec_Rates!$T$345</f>
        <v>0.53</v>
      </c>
      <c r="T3691" s="1072">
        <f ca="1">$A3691*S3691</f>
        <v>3.18</v>
      </c>
      <c r="U3691" s="1081"/>
    </row>
    <row r="3692" spans="1:41" s="504" customFormat="1" ht="12">
      <c r="A3692" s="882"/>
      <c r="B3692" s="882"/>
      <c r="C3692" s="882"/>
      <c r="D3692" s="882"/>
      <c r="E3692" s="882"/>
      <c r="F3692" s="877"/>
      <c r="G3692" s="882"/>
      <c r="H3692" s="882"/>
      <c r="I3692" s="503"/>
      <c r="J3692" s="882"/>
      <c r="K3692" s="882"/>
      <c r="L3692" s="882"/>
      <c r="M3692" s="882"/>
      <c r="N3692" s="882"/>
      <c r="O3692" s="882"/>
      <c r="P3692" s="882"/>
      <c r="Q3692" s="503"/>
      <c r="R3692" s="883">
        <f>$A3692*Q3692</f>
        <v>0</v>
      </c>
      <c r="S3692" s="503"/>
      <c r="T3692" s="884">
        <f>$A3692*S3692*$T$1</f>
        <v>0</v>
      </c>
    </row>
    <row r="3693" spans="1:41" s="504" customFormat="1" ht="12.6" thickBot="1">
      <c r="A3693" s="885" t="s">
        <v>142</v>
      </c>
      <c r="B3693" s="886">
        <f>(R3692+T3692)</f>
        <v>0</v>
      </c>
      <c r="C3693" s="887"/>
      <c r="D3693" s="887"/>
      <c r="E3693" s="887"/>
      <c r="F3693" s="888"/>
      <c r="G3693" s="887" t="s">
        <v>143</v>
      </c>
      <c r="H3693" s="887"/>
      <c r="I3693" s="889"/>
      <c r="J3693" s="887"/>
      <c r="K3693" s="887" t="s">
        <v>3</v>
      </c>
      <c r="L3693" s="890" t="s">
        <v>140</v>
      </c>
      <c r="M3693" s="890"/>
      <c r="N3693" s="890"/>
      <c r="O3693" s="890"/>
      <c r="P3693" s="890"/>
      <c r="Q3693" s="891"/>
      <c r="R3693" s="892">
        <f ca="1">SUM(R3689:R3692)</f>
        <v>0.48</v>
      </c>
      <c r="S3693" s="887"/>
      <c r="T3693" s="892">
        <f ca="1">SUM(T3689:T3692)</f>
        <v>3.18</v>
      </c>
      <c r="U3693" s="514"/>
      <c r="V3693" s="514"/>
      <c r="W3693" s="514"/>
      <c r="X3693" s="514"/>
      <c r="Y3693" s="514"/>
      <c r="Z3693" s="514"/>
      <c r="AA3693" s="514"/>
      <c r="AB3693" s="514"/>
      <c r="AC3693" s="514"/>
      <c r="AD3693" s="514"/>
      <c r="AE3693" s="514"/>
      <c r="AF3693" s="514"/>
      <c r="AG3693" s="514"/>
      <c r="AH3693" s="514"/>
      <c r="AI3693" s="514"/>
      <c r="AJ3693" s="514"/>
      <c r="AK3693" s="514"/>
      <c r="AL3693" s="514"/>
      <c r="AM3693" s="514"/>
      <c r="AN3693" s="514"/>
      <c r="AO3693" s="514"/>
    </row>
    <row r="3694" spans="1:41" s="504" customFormat="1" ht="12" thickTop="1">
      <c r="A3694" s="50"/>
      <c r="B3694" s="40"/>
      <c r="C3694" s="50"/>
      <c r="E3694" s="41" t="s">
        <v>136</v>
      </c>
      <c r="F3694" s="41" t="s">
        <v>137</v>
      </c>
      <c r="G3694" s="50"/>
      <c r="H3694" s="50"/>
      <c r="I3694" s="50"/>
      <c r="J3694" s="50"/>
      <c r="K3694" s="50" t="s">
        <v>138</v>
      </c>
      <c r="L3694" s="50"/>
      <c r="M3694" s="50"/>
      <c r="N3694" s="50"/>
      <c r="O3694" s="51"/>
      <c r="P3694" s="50"/>
      <c r="Q3694" s="50"/>
      <c r="R3694" s="50"/>
      <c r="S3694" s="50"/>
      <c r="T3694" s="40"/>
      <c r="AG3694" s="867" t="s">
        <v>241</v>
      </c>
      <c r="AH3694" s="867" t="s">
        <v>242</v>
      </c>
      <c r="AI3694" s="867" t="s">
        <v>243</v>
      </c>
      <c r="AJ3694" s="867" t="s">
        <v>244</v>
      </c>
      <c r="AK3694" s="867" t="s">
        <v>245</v>
      </c>
      <c r="AM3694" s="868" t="s">
        <v>254</v>
      </c>
      <c r="AN3694" s="869" t="s">
        <v>255</v>
      </c>
      <c r="AO3694" s="505" t="s">
        <v>251</v>
      </c>
    </row>
    <row r="3695" spans="1:41" s="504" customFormat="1" ht="12" customHeight="1">
      <c r="A3695" s="870">
        <v>3</v>
      </c>
      <c r="B3695" s="871" t="s">
        <v>335</v>
      </c>
      <c r="C3695" s="872"/>
      <c r="D3695" s="873" t="s">
        <v>823</v>
      </c>
      <c r="E3695" s="874">
        <f ca="1">IF(AND($A3695=0,$A$1="DIF"),0, ROUND(ROUND(($R3700*$S$2+($T3700*$T$2))/A3695,2)*$C$2,2))</f>
        <v>11.35</v>
      </c>
      <c r="F3695" s="875">
        <f ca="1">ROUND($A3695*$E3695,2)</f>
        <v>34.049999999999997</v>
      </c>
      <c r="G3695" s="876" t="s">
        <v>139</v>
      </c>
      <c r="H3695" s="877"/>
      <c r="I3695" s="878"/>
      <c r="J3695" s="877"/>
      <c r="K3695" s="877" t="s">
        <v>3</v>
      </c>
      <c r="L3695" s="879" t="s">
        <v>140</v>
      </c>
      <c r="M3695" s="879"/>
      <c r="N3695" s="879"/>
      <c r="O3695" s="879"/>
      <c r="P3695" s="879"/>
      <c r="Q3695" s="50"/>
      <c r="T3695" s="880" t="str">
        <f ca="1">IF(AND($R3700=0,$T3700=0),"0.00","mu :" &amp; ROUND($F3695/$C$2/($R3700+$T3700*$D$9),2))</f>
        <v>mu :1.22</v>
      </c>
      <c r="W3695" s="507"/>
      <c r="AG3695" s="465">
        <f ca="1">IF($E3695=0,0,ROUND($R3700*$S$2*$C$2/$A3695,2))</f>
        <v>0.1</v>
      </c>
      <c r="AH3695" s="465">
        <f ca="1">$AG3695*$A3695</f>
        <v>0.30000000000000004</v>
      </c>
      <c r="AI3695" s="508">
        <f ca="1">$E3695-$AG3695</f>
        <v>11.25</v>
      </c>
      <c r="AJ3695" s="508">
        <f ca="1">$A3695*$AI3695</f>
        <v>33.75</v>
      </c>
      <c r="AK3695" s="509">
        <f ca="1">ROUND(($AG3695+$AI3695)*$A3695,2)</f>
        <v>34.049999999999997</v>
      </c>
      <c r="AM3695" s="510">
        <f ca="1">ROUND(R3700,2)</f>
        <v>0.24</v>
      </c>
      <c r="AN3695" s="511">
        <f ca="1">ROUND(T3700,2)</f>
        <v>0.96</v>
      </c>
      <c r="AO3695" s="512">
        <f ca="1">ROUND(AM3695+AN3695,2)*A3695</f>
        <v>3.5999999999999996</v>
      </c>
    </row>
    <row r="3696" spans="1:41" s="504" customFormat="1" ht="13.2">
      <c r="A3696" s="872"/>
      <c r="B3696"/>
      <c r="C3696" s="872"/>
      <c r="D3696" s="873" t="s">
        <v>423</v>
      </c>
      <c r="F3696" s="877"/>
      <c r="G3696" s="3"/>
      <c r="H3696" s="877"/>
      <c r="I3696" s="878"/>
      <c r="J3696" s="877"/>
      <c r="K3696" s="877" t="s">
        <v>141</v>
      </c>
      <c r="L3696" s="877"/>
      <c r="M3696" s="877"/>
      <c r="N3696" s="877"/>
      <c r="O3696" s="877"/>
      <c r="P3696" s="877"/>
      <c r="Q3696" s="50"/>
      <c r="R3696" s="513"/>
      <c r="S3696" s="881"/>
      <c r="T3696" s="877"/>
    </row>
    <row r="3697" spans="1:41" s="997" customFormat="1" ht="13.2">
      <c r="A3697"/>
      <c r="B3697" s="1065"/>
      <c r="C3697" s="1065" t="s">
        <v>1006</v>
      </c>
      <c r="D3697" s="1065" t="str">
        <f ca="1">CELL("Address",Elec_Rates!D$353)</f>
        <v>[EL25_0662B_Brittania_Hotel_Elec_Revised_Estim_B.xlsx]Elec_Rates!$D$353</v>
      </c>
      <c r="E3697" s="1066"/>
      <c r="F3697" s="1066"/>
      <c r="G3697" s="1067" t="s">
        <v>1007</v>
      </c>
      <c r="H3697" s="1067"/>
      <c r="I3697" s="1067"/>
      <c r="J3697" s="1067"/>
      <c r="K3697" s="1068"/>
      <c r="L3697" s="1066"/>
      <c r="M3697" s="1066"/>
      <c r="N3697" s="1066"/>
      <c r="O3697" s="1069"/>
      <c r="P3697" s="1066"/>
      <c r="Q3697" s="1070"/>
      <c r="R3697" s="1071"/>
      <c r="S3697" s="1070"/>
      <c r="T3697" s="1072"/>
      <c r="U3697" s="1073"/>
    </row>
    <row r="3698" spans="1:41" s="997" customFormat="1" ht="11.4">
      <c r="A3698" s="1074">
        <v>3</v>
      </c>
      <c r="B3698" s="1075">
        <v>1</v>
      </c>
      <c r="C3698" s="1075">
        <f>$A3698*$B3698</f>
        <v>3</v>
      </c>
      <c r="D3698" s="1076" t="str">
        <f>Elec_Rates!$D$353</f>
        <v>040# Install and connect Only - Type 'LD-15' - Bathrooms Wall Light</v>
      </c>
      <c r="E3698" s="1076"/>
      <c r="F3698" s="1076"/>
      <c r="G3698" s="1077" t="s">
        <v>1008</v>
      </c>
      <c r="H3698" s="1077"/>
      <c r="I3698" s="1077"/>
      <c r="J3698" s="1077"/>
      <c r="K3698" s="1078"/>
      <c r="L3698" s="1073"/>
      <c r="M3698" s="1073"/>
      <c r="N3698" s="1073"/>
      <c r="O3698" s="1079"/>
      <c r="P3698" s="1076"/>
      <c r="Q3698" s="1080">
        <f ca="1">$B3698*Elec_Rates!$R$353</f>
        <v>0.08</v>
      </c>
      <c r="R3698" s="1071">
        <f ca="1">$A3698*Q3698</f>
        <v>0.24</v>
      </c>
      <c r="S3698" s="1080">
        <f ca="1">$B3698*Elec_Rates!$T$353</f>
        <v>0.32</v>
      </c>
      <c r="T3698" s="1072">
        <f ca="1">$A3698*S3698</f>
        <v>0.96</v>
      </c>
      <c r="U3698" s="1081"/>
    </row>
    <row r="3699" spans="1:41" s="504" customFormat="1" ht="12">
      <c r="A3699" s="882"/>
      <c r="B3699" s="882"/>
      <c r="C3699" s="882"/>
      <c r="D3699" s="882"/>
      <c r="E3699" s="882"/>
      <c r="F3699" s="877"/>
      <c r="G3699" s="882"/>
      <c r="H3699" s="882"/>
      <c r="I3699" s="503"/>
      <c r="J3699" s="882"/>
      <c r="K3699" s="882"/>
      <c r="L3699" s="882"/>
      <c r="M3699" s="882"/>
      <c r="N3699" s="882"/>
      <c r="O3699" s="882"/>
      <c r="P3699" s="882"/>
      <c r="Q3699" s="503"/>
      <c r="R3699" s="883">
        <f>$A3699*Q3699</f>
        <v>0</v>
      </c>
      <c r="S3699" s="503"/>
      <c r="T3699" s="884">
        <f>$A3699*S3699*$T$1</f>
        <v>0</v>
      </c>
    </row>
    <row r="3700" spans="1:41" s="504" customFormat="1" ht="12.6" thickBot="1">
      <c r="A3700" s="885" t="s">
        <v>142</v>
      </c>
      <c r="B3700" s="886">
        <f>(R3699+T3699)</f>
        <v>0</v>
      </c>
      <c r="C3700" s="887"/>
      <c r="D3700" s="887"/>
      <c r="E3700" s="887"/>
      <c r="F3700" s="888"/>
      <c r="G3700" s="887" t="s">
        <v>143</v>
      </c>
      <c r="H3700" s="887"/>
      <c r="I3700" s="889"/>
      <c r="J3700" s="887"/>
      <c r="K3700" s="887" t="s">
        <v>3</v>
      </c>
      <c r="L3700" s="890" t="s">
        <v>140</v>
      </c>
      <c r="M3700" s="890"/>
      <c r="N3700" s="890"/>
      <c r="O3700" s="890"/>
      <c r="P3700" s="890"/>
      <c r="Q3700" s="891"/>
      <c r="R3700" s="892">
        <f ca="1">SUM(R3696:R3699)</f>
        <v>0.24</v>
      </c>
      <c r="S3700" s="887"/>
      <c r="T3700" s="892">
        <f ca="1">SUM(T3696:T3699)</f>
        <v>0.96</v>
      </c>
      <c r="U3700" s="514"/>
      <c r="V3700" s="514"/>
      <c r="W3700" s="514"/>
      <c r="X3700" s="514"/>
      <c r="Y3700" s="514"/>
      <c r="Z3700" s="514"/>
      <c r="AA3700" s="514"/>
      <c r="AB3700" s="514"/>
      <c r="AC3700" s="514"/>
      <c r="AD3700" s="514"/>
      <c r="AE3700" s="514"/>
      <c r="AF3700" s="514"/>
      <c r="AG3700" s="514"/>
      <c r="AH3700" s="514"/>
      <c r="AI3700" s="514"/>
      <c r="AJ3700" s="514"/>
      <c r="AK3700" s="514"/>
      <c r="AL3700" s="514"/>
      <c r="AM3700" s="514"/>
      <c r="AN3700" s="514"/>
      <c r="AO3700" s="514"/>
    </row>
    <row r="3701" spans="1:41" s="504" customFormat="1" ht="12" thickTop="1">
      <c r="A3701" s="50"/>
      <c r="B3701" s="40"/>
      <c r="C3701" s="50"/>
      <c r="E3701" s="41" t="s">
        <v>136</v>
      </c>
      <c r="F3701" s="41" t="s">
        <v>137</v>
      </c>
      <c r="G3701" s="50"/>
      <c r="H3701" s="50"/>
      <c r="I3701" s="50"/>
      <c r="J3701" s="50"/>
      <c r="K3701" s="50" t="s">
        <v>138</v>
      </c>
      <c r="L3701" s="50"/>
      <c r="M3701" s="50"/>
      <c r="N3701" s="50"/>
      <c r="O3701" s="51"/>
      <c r="P3701" s="50"/>
      <c r="Q3701" s="50"/>
      <c r="R3701" s="50"/>
      <c r="S3701" s="50"/>
      <c r="T3701" s="40"/>
      <c r="AG3701" s="867" t="s">
        <v>241</v>
      </c>
      <c r="AH3701" s="867" t="s">
        <v>242</v>
      </c>
      <c r="AI3701" s="867" t="s">
        <v>243</v>
      </c>
      <c r="AJ3701" s="867" t="s">
        <v>244</v>
      </c>
      <c r="AK3701" s="867" t="s">
        <v>245</v>
      </c>
      <c r="AM3701" s="868" t="s">
        <v>254</v>
      </c>
      <c r="AN3701" s="869" t="s">
        <v>255</v>
      </c>
      <c r="AO3701" s="505" t="s">
        <v>251</v>
      </c>
    </row>
    <row r="3702" spans="1:41" s="504" customFormat="1" ht="12" customHeight="1">
      <c r="A3702" s="870">
        <v>8</v>
      </c>
      <c r="B3702" s="871" t="s">
        <v>335</v>
      </c>
      <c r="C3702" s="872"/>
      <c r="D3702" s="873" t="s">
        <v>824</v>
      </c>
      <c r="E3702" s="874">
        <f ca="1">IF(AND($A3702=0,$A$1="DIF"),0, ROUND(ROUND(($R3707*$S$2+($T3707*$T$2))/A3702,2)*$C$2,2))</f>
        <v>13.21</v>
      </c>
      <c r="F3702" s="875">
        <f ca="1">ROUND($A3702*$E3702,2)</f>
        <v>105.68</v>
      </c>
      <c r="G3702" s="876" t="s">
        <v>139</v>
      </c>
      <c r="H3702" s="877"/>
      <c r="I3702" s="878"/>
      <c r="J3702" s="877"/>
      <c r="K3702" s="877" t="s">
        <v>3</v>
      </c>
      <c r="L3702" s="879" t="s">
        <v>140</v>
      </c>
      <c r="M3702" s="879"/>
      <c r="N3702" s="879"/>
      <c r="O3702" s="879"/>
      <c r="P3702" s="879"/>
      <c r="Q3702" s="50"/>
      <c r="T3702" s="880" t="str">
        <f ca="1">IF(AND($R3707=0,$T3707=0),"0.00","mu :" &amp; ROUND($F3702/$C$2/($R3707+$T3707*$D$9),2))</f>
        <v>mu :1.22</v>
      </c>
      <c r="W3702" s="507"/>
      <c r="AG3702" s="465">
        <f ca="1">IF($E3702=0,0,ROUND($R3707*$S$2*$C$2/$A3702,2))</f>
        <v>0.2</v>
      </c>
      <c r="AH3702" s="465">
        <f ca="1">$AG3702*$A3702</f>
        <v>1.6</v>
      </c>
      <c r="AI3702" s="508">
        <f ca="1">$E3702-$AG3702</f>
        <v>13.010000000000002</v>
      </c>
      <c r="AJ3702" s="508">
        <f ca="1">$A3702*$AI3702</f>
        <v>104.08000000000001</v>
      </c>
      <c r="AK3702" s="509">
        <f ca="1">ROUND(($AG3702+$AI3702)*$A3702,2)</f>
        <v>105.68</v>
      </c>
      <c r="AM3702" s="510">
        <f ca="1">ROUND(R3707,2)</f>
        <v>1.28</v>
      </c>
      <c r="AN3702" s="511">
        <f ca="1">ROUND(T3707,2)</f>
        <v>2.96</v>
      </c>
      <c r="AO3702" s="512">
        <f ca="1">ROUND(AM3702+AN3702,2)*A3702</f>
        <v>33.92</v>
      </c>
    </row>
    <row r="3703" spans="1:41" s="504" customFormat="1" ht="13.2">
      <c r="A3703" s="872"/>
      <c r="B3703"/>
      <c r="C3703" s="872"/>
      <c r="D3703" s="873" t="s">
        <v>471</v>
      </c>
      <c r="F3703" s="877"/>
      <c r="G3703" s="3"/>
      <c r="H3703" s="877"/>
      <c r="I3703" s="878"/>
      <c r="J3703" s="877"/>
      <c r="K3703" s="877" t="s">
        <v>141</v>
      </c>
      <c r="L3703" s="877"/>
      <c r="M3703" s="877"/>
      <c r="N3703" s="877"/>
      <c r="O3703" s="877"/>
      <c r="P3703" s="877"/>
      <c r="Q3703" s="50"/>
      <c r="R3703" s="513"/>
      <c r="S3703" s="881"/>
      <c r="T3703" s="877"/>
    </row>
    <row r="3704" spans="1:41" s="997" customFormat="1" ht="13.2">
      <c r="A3704"/>
      <c r="B3704" s="1065"/>
      <c r="C3704" s="1065" t="s">
        <v>1006</v>
      </c>
      <c r="D3704" s="1065" t="str">
        <f ca="1">CELL("Address",Elec_Rates!D$262)</f>
        <v>[EL25_0662B_Brittania_Hotel_Elec_Revised_Estim_B.xlsx]Elec_Rates!$D$262</v>
      </c>
      <c r="E3704" s="1066"/>
      <c r="F3704" s="1066"/>
      <c r="G3704" s="1067" t="s">
        <v>1007</v>
      </c>
      <c r="H3704" s="1067"/>
      <c r="I3704" s="1067"/>
      <c r="J3704" s="1067"/>
      <c r="K3704" s="1068"/>
      <c r="L3704" s="1066"/>
      <c r="M3704" s="1066"/>
      <c r="N3704" s="1066"/>
      <c r="O3704" s="1069"/>
      <c r="P3704" s="1066"/>
      <c r="Q3704" s="1070"/>
      <c r="R3704" s="1071"/>
      <c r="S3704" s="1070"/>
      <c r="T3704" s="1072"/>
      <c r="U3704" s="1073"/>
    </row>
    <row r="3705" spans="1:41" s="997" customFormat="1" ht="11.4">
      <c r="A3705" s="1074">
        <v>8</v>
      </c>
      <c r="B3705" s="1075">
        <v>1</v>
      </c>
      <c r="C3705" s="1075">
        <f>$A3705*$B3705</f>
        <v>8</v>
      </c>
      <c r="D3705" s="1076" t="str">
        <f>Elec_Rates!$D$262</f>
        <v>028# Install and connect Only - Outdoor wall lights for technical area, IP65</v>
      </c>
      <c r="E3705" s="1076"/>
      <c r="F3705" s="1076"/>
      <c r="G3705" s="1077" t="s">
        <v>1008</v>
      </c>
      <c r="H3705" s="1077"/>
      <c r="I3705" s="1077"/>
      <c r="J3705" s="1077"/>
      <c r="K3705" s="1078"/>
      <c r="L3705" s="1073"/>
      <c r="M3705" s="1073"/>
      <c r="N3705" s="1073"/>
      <c r="O3705" s="1079"/>
      <c r="P3705" s="1076"/>
      <c r="Q3705" s="1080">
        <f ca="1">$B3705*Elec_Rates!$R$262</f>
        <v>0.16</v>
      </c>
      <c r="R3705" s="1071">
        <f ca="1">$A3705*Q3705</f>
        <v>1.28</v>
      </c>
      <c r="S3705" s="1080">
        <f ca="1">$B3705*Elec_Rates!$T$262</f>
        <v>0.37</v>
      </c>
      <c r="T3705" s="1072">
        <f ca="1">$A3705*S3705</f>
        <v>2.96</v>
      </c>
      <c r="U3705" s="1081"/>
    </row>
    <row r="3706" spans="1:41" s="504" customFormat="1" ht="12">
      <c r="A3706" s="882"/>
      <c r="B3706" s="882"/>
      <c r="C3706" s="882"/>
      <c r="D3706" s="882"/>
      <c r="E3706" s="882"/>
      <c r="F3706" s="877"/>
      <c r="G3706" s="882"/>
      <c r="H3706" s="882"/>
      <c r="I3706" s="503"/>
      <c r="J3706" s="882"/>
      <c r="K3706" s="882"/>
      <c r="L3706" s="882"/>
      <c r="M3706" s="882"/>
      <c r="N3706" s="882"/>
      <c r="O3706" s="882"/>
      <c r="P3706" s="882"/>
      <c r="Q3706" s="503"/>
      <c r="R3706" s="883">
        <f>$A3706*Q3706</f>
        <v>0</v>
      </c>
      <c r="S3706" s="503"/>
      <c r="T3706" s="884">
        <f>$A3706*S3706*$T$1</f>
        <v>0</v>
      </c>
    </row>
    <row r="3707" spans="1:41" s="504" customFormat="1" ht="12.6" thickBot="1">
      <c r="A3707" s="885" t="s">
        <v>142</v>
      </c>
      <c r="B3707" s="886">
        <f>(R3706+T3706)</f>
        <v>0</v>
      </c>
      <c r="C3707" s="887"/>
      <c r="D3707" s="887"/>
      <c r="E3707" s="887"/>
      <c r="F3707" s="888"/>
      <c r="G3707" s="887" t="s">
        <v>143</v>
      </c>
      <c r="H3707" s="887"/>
      <c r="I3707" s="889"/>
      <c r="J3707" s="887"/>
      <c r="K3707" s="887" t="s">
        <v>3</v>
      </c>
      <c r="L3707" s="890" t="s">
        <v>140</v>
      </c>
      <c r="M3707" s="890"/>
      <c r="N3707" s="890"/>
      <c r="O3707" s="890"/>
      <c r="P3707" s="890"/>
      <c r="Q3707" s="891"/>
      <c r="R3707" s="892">
        <f ca="1">SUM(R3703:R3706)</f>
        <v>1.28</v>
      </c>
      <c r="S3707" s="887"/>
      <c r="T3707" s="892">
        <f ca="1">SUM(T3703:T3706)</f>
        <v>2.96</v>
      </c>
      <c r="U3707" s="514"/>
      <c r="V3707" s="514"/>
      <c r="W3707" s="514"/>
      <c r="X3707" s="514"/>
      <c r="Y3707" s="514"/>
      <c r="Z3707" s="514"/>
      <c r="AA3707" s="514"/>
      <c r="AB3707" s="514"/>
      <c r="AC3707" s="514"/>
      <c r="AD3707" s="514"/>
      <c r="AE3707" s="514"/>
      <c r="AF3707" s="514"/>
      <c r="AG3707" s="514"/>
      <c r="AH3707" s="514"/>
      <c r="AI3707" s="514"/>
      <c r="AJ3707" s="514"/>
      <c r="AK3707" s="514"/>
      <c r="AL3707" s="514"/>
      <c r="AM3707" s="514"/>
      <c r="AN3707" s="514"/>
      <c r="AO3707" s="514"/>
    </row>
    <row r="3708" spans="1:41" s="504" customFormat="1" ht="12" thickTop="1">
      <c r="A3708" s="50"/>
      <c r="B3708" s="40"/>
      <c r="C3708" s="50"/>
      <c r="E3708" s="41" t="s">
        <v>136</v>
      </c>
      <c r="F3708" s="41" t="s">
        <v>137</v>
      </c>
      <c r="G3708" s="50"/>
      <c r="H3708" s="50"/>
      <c r="I3708" s="50"/>
      <c r="J3708" s="50"/>
      <c r="K3708" s="50" t="s">
        <v>138</v>
      </c>
      <c r="L3708" s="50"/>
      <c r="M3708" s="50"/>
      <c r="N3708" s="50"/>
      <c r="O3708" s="51"/>
      <c r="P3708" s="50"/>
      <c r="Q3708" s="50"/>
      <c r="R3708" s="50"/>
      <c r="S3708" s="50"/>
      <c r="T3708" s="40"/>
      <c r="AG3708" s="867" t="s">
        <v>241</v>
      </c>
      <c r="AH3708" s="867" t="s">
        <v>242</v>
      </c>
      <c r="AI3708" s="867" t="s">
        <v>243</v>
      </c>
      <c r="AJ3708" s="867" t="s">
        <v>244</v>
      </c>
      <c r="AK3708" s="867" t="s">
        <v>245</v>
      </c>
      <c r="AM3708" s="868" t="s">
        <v>254</v>
      </c>
      <c r="AN3708" s="869" t="s">
        <v>255</v>
      </c>
      <c r="AO3708" s="505" t="s">
        <v>251</v>
      </c>
    </row>
    <row r="3709" spans="1:41" s="504" customFormat="1" ht="12" customHeight="1">
      <c r="A3709" s="870">
        <v>7</v>
      </c>
      <c r="B3709" s="871" t="s">
        <v>335</v>
      </c>
      <c r="C3709" s="872"/>
      <c r="D3709" s="873" t="s">
        <v>825</v>
      </c>
      <c r="E3709" s="874">
        <f>IF(AND($A3709=0,$A$1="DIF"),0, ROUND(ROUND(($R3714*$S$2+($T3714*$T$2))/A3709,2)*$C$2,2))</f>
        <v>0</v>
      </c>
      <c r="F3709" s="875">
        <f>ROUND($A3709*$E3709,2)</f>
        <v>0</v>
      </c>
      <c r="G3709" s="876" t="s">
        <v>139</v>
      </c>
      <c r="H3709" s="877"/>
      <c r="I3709" s="878"/>
      <c r="J3709" s="877"/>
      <c r="K3709" s="877" t="s">
        <v>3</v>
      </c>
      <c r="L3709" s="879" t="s">
        <v>140</v>
      </c>
      <c r="M3709" s="879"/>
      <c r="N3709" s="879"/>
      <c r="O3709" s="879"/>
      <c r="P3709" s="879"/>
      <c r="Q3709" s="50" t="s">
        <v>1337</v>
      </c>
      <c r="T3709" s="880" t="str">
        <f>IF(AND($R3714=0,$T3714=0),"0.00","mu :" &amp; ROUND($F3709/$C$2/($R3714+$T3714*$D$9),2))</f>
        <v>0.00</v>
      </c>
      <c r="W3709" s="507"/>
      <c r="AG3709" s="465">
        <f>IF($E3709=0,0,ROUND($R3714*$S$2*$C$2/$A3709,2))</f>
        <v>0</v>
      </c>
      <c r="AH3709" s="465">
        <f>$AG3709*$A3709</f>
        <v>0</v>
      </c>
      <c r="AI3709" s="508">
        <f>$E3709-$AG3709</f>
        <v>0</v>
      </c>
      <c r="AJ3709" s="508">
        <f>$A3709*$AI3709</f>
        <v>0</v>
      </c>
      <c r="AK3709" s="509">
        <f>ROUND(($AG3709+$AI3709)*$A3709,2)</f>
        <v>0</v>
      </c>
      <c r="AM3709" s="510">
        <f>ROUND(R3714,2)</f>
        <v>0</v>
      </c>
      <c r="AN3709" s="511">
        <f>ROUND(T3714,2)</f>
        <v>0</v>
      </c>
      <c r="AO3709" s="512">
        <f>ROUND(AM3709+AN3709,2)*A3709</f>
        <v>0</v>
      </c>
    </row>
    <row r="3710" spans="1:41" s="504" customFormat="1" ht="13.2">
      <c r="A3710" s="872"/>
      <c r="B3710"/>
      <c r="C3710" s="872"/>
      <c r="D3710" s="873" t="s">
        <v>381</v>
      </c>
      <c r="F3710" s="877"/>
      <c r="G3710" s="3"/>
      <c r="H3710" s="877"/>
      <c r="I3710" s="878"/>
      <c r="J3710" s="877"/>
      <c r="K3710" s="877" t="s">
        <v>141</v>
      </c>
      <c r="L3710" s="877"/>
      <c r="M3710" s="877"/>
      <c r="N3710" s="877"/>
      <c r="O3710" s="877"/>
      <c r="P3710" s="877"/>
      <c r="Q3710" s="50"/>
      <c r="R3710" s="513"/>
      <c r="S3710" s="881"/>
      <c r="T3710" s="877"/>
    </row>
    <row r="3711" spans="1:41" s="504" customFormat="1" ht="12">
      <c r="A3711" s="50"/>
      <c r="B3711" s="882"/>
      <c r="C3711" s="882"/>
      <c r="D3711" s="882"/>
      <c r="E3711" s="882"/>
      <c r="F3711" s="877"/>
      <c r="G3711" s="882"/>
      <c r="H3711" s="882"/>
      <c r="I3711" s="503"/>
      <c r="J3711" s="882"/>
      <c r="K3711" s="882"/>
      <c r="L3711" s="882"/>
      <c r="M3711" s="882"/>
      <c r="N3711" s="882"/>
      <c r="O3711" s="882"/>
      <c r="P3711" s="882"/>
      <c r="Q3711" s="503"/>
      <c r="R3711" s="883">
        <f>$A3711*Q3711</f>
        <v>0</v>
      </c>
      <c r="S3711" s="503"/>
      <c r="T3711" s="884">
        <f>$A3711*S3711*$T$1</f>
        <v>0</v>
      </c>
    </row>
    <row r="3712" spans="1:41" s="504" customFormat="1" ht="12">
      <c r="A3712" s="50"/>
      <c r="B3712" s="882"/>
      <c r="C3712" s="882"/>
      <c r="D3712" s="50" t="s">
        <v>1337</v>
      </c>
      <c r="E3712" s="882"/>
      <c r="F3712" s="877"/>
      <c r="G3712" s="882"/>
      <c r="H3712" s="882"/>
      <c r="I3712" s="503"/>
      <c r="J3712" s="882"/>
      <c r="K3712" s="882"/>
      <c r="L3712" s="882"/>
      <c r="M3712" s="882"/>
      <c r="N3712" s="882"/>
      <c r="O3712" s="882"/>
      <c r="P3712" s="882"/>
      <c r="Q3712" s="503"/>
      <c r="R3712" s="883">
        <f>$A3712*Q3712</f>
        <v>0</v>
      </c>
      <c r="S3712" s="503"/>
      <c r="T3712" s="884">
        <f>$A3712*S3712*$T$1</f>
        <v>0</v>
      </c>
    </row>
    <row r="3713" spans="1:41" s="504" customFormat="1" ht="12">
      <c r="A3713" s="882"/>
      <c r="B3713" s="882"/>
      <c r="C3713" s="882"/>
      <c r="D3713" s="882"/>
      <c r="E3713" s="882"/>
      <c r="F3713" s="877"/>
      <c r="G3713" s="882"/>
      <c r="H3713" s="882"/>
      <c r="I3713" s="503"/>
      <c r="J3713" s="882"/>
      <c r="K3713" s="882"/>
      <c r="L3713" s="882"/>
      <c r="M3713" s="882"/>
      <c r="N3713" s="882"/>
      <c r="O3713" s="882"/>
      <c r="P3713" s="882"/>
      <c r="Q3713" s="503"/>
      <c r="R3713" s="883">
        <f>$A3713*Q3713</f>
        <v>0</v>
      </c>
      <c r="S3713" s="503"/>
      <c r="T3713" s="884">
        <f>$A3713*S3713*$T$1</f>
        <v>0</v>
      </c>
    </row>
    <row r="3714" spans="1:41" s="504" customFormat="1" ht="12.6" thickBot="1">
      <c r="A3714" s="885" t="s">
        <v>142</v>
      </c>
      <c r="B3714" s="886">
        <f>(R3713+T3713)</f>
        <v>0</v>
      </c>
      <c r="C3714" s="887"/>
      <c r="D3714" s="887"/>
      <c r="E3714" s="887"/>
      <c r="F3714" s="888"/>
      <c r="G3714" s="887" t="s">
        <v>143</v>
      </c>
      <c r="H3714" s="887"/>
      <c r="I3714" s="889"/>
      <c r="J3714" s="887"/>
      <c r="K3714" s="887" t="s">
        <v>3</v>
      </c>
      <c r="L3714" s="890" t="s">
        <v>140</v>
      </c>
      <c r="M3714" s="890"/>
      <c r="N3714" s="890"/>
      <c r="O3714" s="890"/>
      <c r="P3714" s="890"/>
      <c r="Q3714" s="891"/>
      <c r="R3714" s="892">
        <f>SUM(R3710:R3713)</f>
        <v>0</v>
      </c>
      <c r="S3714" s="887"/>
      <c r="T3714" s="892">
        <f>SUM(T3710:T3713)</f>
        <v>0</v>
      </c>
      <c r="U3714" s="514"/>
      <c r="V3714" s="514"/>
      <c r="W3714" s="514"/>
      <c r="X3714" s="514"/>
      <c r="Y3714" s="514"/>
      <c r="Z3714" s="514"/>
      <c r="AA3714" s="514"/>
      <c r="AB3714" s="514"/>
      <c r="AC3714" s="514"/>
      <c r="AD3714" s="514"/>
      <c r="AE3714" s="514"/>
      <c r="AF3714" s="514"/>
      <c r="AG3714" s="514"/>
      <c r="AH3714" s="514"/>
      <c r="AI3714" s="514"/>
      <c r="AJ3714" s="514"/>
      <c r="AK3714" s="514"/>
      <c r="AL3714" s="514"/>
      <c r="AM3714" s="514"/>
      <c r="AN3714" s="514"/>
      <c r="AO3714" s="514"/>
    </row>
    <row r="3715" spans="1:41" s="504" customFormat="1" ht="12" thickTop="1">
      <c r="A3715" s="47" t="s">
        <v>145</v>
      </c>
      <c r="D3715" s="13"/>
      <c r="E3715" s="41"/>
      <c r="O3715" s="893"/>
    </row>
    <row r="3716" spans="1:41" s="504" customFormat="1" ht="13.2">
      <c r="B3716" s="3"/>
      <c r="O3716" s="893"/>
    </row>
    <row r="3717" spans="1:41" s="504" customFormat="1" ht="12">
      <c r="B3717" s="894">
        <f ca="1">$F3717/$C$2-($R3717*$S$2+$T3717*$T$2)</f>
        <v>5.1026990000082151E-2</v>
      </c>
      <c r="D3717" s="895" t="s">
        <v>817</v>
      </c>
      <c r="E3717" s="896"/>
      <c r="F3717" s="897">
        <f ca="1">SUMIF($L3567:$L3715,"ITEM",F3567:F3715)</f>
        <v>2259.3000000000002</v>
      </c>
      <c r="G3717" s="882"/>
      <c r="H3717" s="882"/>
      <c r="I3717" s="503"/>
      <c r="J3717" s="882"/>
      <c r="K3717" s="882"/>
      <c r="L3717" s="879" t="s">
        <v>154</v>
      </c>
      <c r="M3717" s="879"/>
      <c r="N3717" s="879"/>
      <c r="O3717" s="879"/>
      <c r="P3717" s="879"/>
      <c r="R3717" s="897">
        <f ca="1">SUMIF($L3567:$L3715,"ITEM",R3567:R3715)</f>
        <v>843.0200000000001</v>
      </c>
      <c r="S3717" s="898"/>
      <c r="T3717" s="897">
        <f ca="1">SUMIF($L3567:$L3715,"ITEM",T3567:T3715)</f>
        <v>34.988500000000002</v>
      </c>
    </row>
    <row r="3718" spans="1:41" s="504" customFormat="1" ht="13.2">
      <c r="A3718" s="50"/>
      <c r="B3718" s="48" t="s">
        <v>816</v>
      </c>
      <c r="C3718" s="50"/>
      <c r="D3718" s="3"/>
      <c r="F3718" s="899" t="s">
        <v>155</v>
      </c>
      <c r="G3718" s="882"/>
      <c r="H3718" s="882"/>
      <c r="I3718" s="503"/>
      <c r="J3718" s="882"/>
      <c r="K3718" s="882"/>
      <c r="L3718" s="882"/>
      <c r="M3718" s="882"/>
      <c r="N3718" s="882"/>
      <c r="O3718" s="882"/>
      <c r="P3718" s="882"/>
      <c r="Q3718" s="900"/>
      <c r="R3718" s="899" t="s">
        <v>156</v>
      </c>
      <c r="S3718" s="38"/>
      <c r="T3718" s="899" t="s">
        <v>157</v>
      </c>
    </row>
    <row r="3719" spans="1:41" s="504" customFormat="1" ht="13.2">
      <c r="A3719" s="882"/>
      <c r="B3719" s="3"/>
      <c r="C3719" s="882"/>
      <c r="D3719" s="3"/>
      <c r="E3719" s="3"/>
      <c r="G3719" s="3"/>
      <c r="H3719" s="3"/>
      <c r="I3719" s="3"/>
      <c r="J3719" s="3"/>
      <c r="K3719" s="3"/>
      <c r="L3719" s="3"/>
      <c r="M3719" s="3"/>
      <c r="N3719" s="3"/>
      <c r="O3719" s="103"/>
      <c r="P3719" s="3"/>
      <c r="Q3719" s="3"/>
      <c r="R3719" s="3"/>
      <c r="S3719" s="3"/>
      <c r="T3719" s="3"/>
    </row>
    <row r="3720" spans="1:41" s="504" customFormat="1" ht="12" thickBot="1">
      <c r="A3720" s="514"/>
      <c r="B3720" s="887"/>
      <c r="C3720" s="887"/>
      <c r="D3720" s="514"/>
      <c r="E3720" s="39"/>
      <c r="F3720" s="901"/>
      <c r="G3720" s="887"/>
      <c r="H3720" s="887"/>
      <c r="I3720" s="889"/>
      <c r="J3720" s="887"/>
      <c r="K3720" s="887"/>
      <c r="L3720" s="890"/>
      <c r="M3720" s="890"/>
      <c r="N3720" s="890"/>
      <c r="O3720" s="890"/>
      <c r="P3720" s="890"/>
      <c r="Q3720" s="891"/>
      <c r="R3720" s="901"/>
      <c r="S3720" s="902"/>
      <c r="T3720" s="901"/>
      <c r="U3720" s="514"/>
      <c r="V3720" s="514"/>
      <c r="W3720" s="514"/>
      <c r="X3720" s="514"/>
      <c r="Y3720" s="514"/>
      <c r="Z3720" s="514"/>
      <c r="AA3720" s="514"/>
      <c r="AB3720" s="514"/>
      <c r="AC3720" s="514"/>
      <c r="AD3720" s="514"/>
      <c r="AE3720" s="514"/>
      <c r="AF3720" s="514"/>
      <c r="AG3720" s="514"/>
      <c r="AH3720" s="514"/>
      <c r="AI3720" s="514"/>
      <c r="AJ3720" s="514"/>
      <c r="AK3720" s="514"/>
    </row>
    <row r="3721" spans="1:41" s="504" customFormat="1" ht="12" thickTop="1">
      <c r="A3721" s="50"/>
      <c r="B3721" s="40"/>
      <c r="C3721" s="50"/>
      <c r="E3721" s="41" t="s">
        <v>136</v>
      </c>
      <c r="F3721" s="41" t="s">
        <v>137</v>
      </c>
      <c r="G3721" s="50"/>
      <c r="H3721" s="50"/>
      <c r="I3721" s="50"/>
      <c r="J3721" s="50"/>
      <c r="K3721" s="50" t="s">
        <v>138</v>
      </c>
      <c r="L3721" s="50"/>
      <c r="M3721" s="50"/>
      <c r="N3721" s="50"/>
      <c r="O3721" s="51"/>
      <c r="P3721" s="50"/>
      <c r="Q3721" s="50"/>
      <c r="R3721" s="50"/>
      <c r="S3721" s="50"/>
      <c r="T3721" s="40"/>
      <c r="AG3721" s="867" t="s">
        <v>241</v>
      </c>
      <c r="AH3721" s="867" t="s">
        <v>242</v>
      </c>
      <c r="AI3721" s="867" t="s">
        <v>243</v>
      </c>
      <c r="AJ3721" s="867" t="s">
        <v>244</v>
      </c>
      <c r="AK3721" s="867" t="s">
        <v>245</v>
      </c>
      <c r="AM3721" s="868" t="s">
        <v>254</v>
      </c>
      <c r="AN3721" s="869" t="s">
        <v>255</v>
      </c>
      <c r="AO3721" s="505" t="s">
        <v>251</v>
      </c>
    </row>
    <row r="3722" spans="1:41" s="504" customFormat="1" ht="12" customHeight="1">
      <c r="A3722" s="870">
        <v>1</v>
      </c>
      <c r="B3722" s="871" t="s">
        <v>335</v>
      </c>
      <c r="C3722" s="872"/>
      <c r="D3722" s="873" t="s">
        <v>826</v>
      </c>
      <c r="E3722" s="874">
        <f ca="1">IF(AND($A3722=0,$A$1="DIF"),0, ROUND(ROUND(($R3727*$S$2+($T3727*$T$2))/A3722,2)*$C$2,2))</f>
        <v>13.21</v>
      </c>
      <c r="F3722" s="875">
        <f ca="1">ROUND($A3722*$E3722,2)</f>
        <v>13.21</v>
      </c>
      <c r="G3722" s="876" t="s">
        <v>139</v>
      </c>
      <c r="H3722" s="877"/>
      <c r="I3722" s="878"/>
      <c r="J3722" s="877"/>
      <c r="K3722" s="877" t="s">
        <v>3</v>
      </c>
      <c r="L3722" s="879" t="s">
        <v>140</v>
      </c>
      <c r="M3722" s="879"/>
      <c r="N3722" s="879"/>
      <c r="O3722" s="879"/>
      <c r="P3722" s="879"/>
      <c r="Q3722" s="50"/>
      <c r="T3722" s="880" t="str">
        <f ca="1">IF(AND($R3727=0,$T3727=0),"0.00","mu :" &amp; ROUND($F3722/$C$2/($R3727+$T3727*$D$9),2))</f>
        <v>mu :1.22</v>
      </c>
      <c r="W3722" s="507"/>
      <c r="AG3722" s="465">
        <f ca="1">IF($E3722=0,0,ROUND($R3727*$S$2*$C$2/$A3722,2))</f>
        <v>0.2</v>
      </c>
      <c r="AH3722" s="465">
        <f ca="1">$AG3722*$A3722</f>
        <v>0.2</v>
      </c>
      <c r="AI3722" s="508">
        <f ca="1">$E3722-$AG3722</f>
        <v>13.010000000000002</v>
      </c>
      <c r="AJ3722" s="508">
        <f ca="1">$A3722*$AI3722</f>
        <v>13.010000000000002</v>
      </c>
      <c r="AK3722" s="509">
        <f ca="1">ROUND(($AG3722+$AI3722)*$A3722,2)</f>
        <v>13.21</v>
      </c>
      <c r="AM3722" s="510">
        <f ca="1">ROUND(R3727,2)</f>
        <v>0.16</v>
      </c>
      <c r="AN3722" s="511">
        <f ca="1">ROUND(T3727,2)</f>
        <v>0.37</v>
      </c>
      <c r="AO3722" s="512">
        <f ca="1">ROUND(AM3722+AN3722,2)*A3722</f>
        <v>0.53</v>
      </c>
    </row>
    <row r="3723" spans="1:41" s="504" customFormat="1" ht="13.2">
      <c r="A3723" s="872"/>
      <c r="B3723"/>
      <c r="C3723" s="872"/>
      <c r="D3723" s="873" t="s">
        <v>348</v>
      </c>
      <c r="F3723" s="877"/>
      <c r="G3723" s="3"/>
      <c r="H3723" s="877"/>
      <c r="I3723" s="878"/>
      <c r="J3723" s="877"/>
      <c r="K3723" s="877" t="s">
        <v>141</v>
      </c>
      <c r="L3723" s="877"/>
      <c r="M3723" s="877"/>
      <c r="N3723" s="877"/>
      <c r="O3723" s="877"/>
      <c r="P3723" s="877"/>
      <c r="Q3723" s="50"/>
      <c r="R3723" s="513"/>
      <c r="S3723" s="881"/>
      <c r="T3723" s="877"/>
    </row>
    <row r="3724" spans="1:41" s="997" customFormat="1" ht="13.2">
      <c r="A3724"/>
      <c r="B3724" s="1065"/>
      <c r="C3724" s="1065" t="s">
        <v>1006</v>
      </c>
      <c r="D3724" s="1065" t="str">
        <f ca="1">CELL("Address",Elec_Rates!D$247)</f>
        <v>[EL25_0662B_Brittania_Hotel_Elec_Revised_Estim_B.xlsx]Elec_Rates!$D$247</v>
      </c>
      <c r="E3724" s="1066"/>
      <c r="F3724" s="1066"/>
      <c r="G3724" s="1067" t="s">
        <v>1007</v>
      </c>
      <c r="H3724" s="1067"/>
      <c r="I3724" s="1067"/>
      <c r="J3724" s="1067"/>
      <c r="K3724" s="1068"/>
      <c r="L3724" s="1066"/>
      <c r="M3724" s="1066"/>
      <c r="N3724" s="1066"/>
      <c r="O3724" s="1069"/>
      <c r="P3724" s="1066"/>
      <c r="Q3724" s="1070"/>
      <c r="R3724" s="1071"/>
      <c r="S3724" s="1070"/>
      <c r="T3724" s="1072"/>
      <c r="U3724" s="1073"/>
    </row>
    <row r="3725" spans="1:41" s="997" customFormat="1" ht="11.4">
      <c r="A3725" s="1074">
        <v>1</v>
      </c>
      <c r="B3725" s="1075">
        <v>1</v>
      </c>
      <c r="C3725" s="1075">
        <f>$A3725*$B3725</f>
        <v>1</v>
      </c>
      <c r="D3725" s="1076" t="str">
        <f>Elec_Rates!$D$247</f>
        <v>026# Install and connect Only - Type 'E1' - Single Sided, Wall Mounted, Directional Exit Signage</v>
      </c>
      <c r="E3725" s="1076"/>
      <c r="F3725" s="1076"/>
      <c r="G3725" s="1077" t="s">
        <v>1008</v>
      </c>
      <c r="H3725" s="1077"/>
      <c r="I3725" s="1077"/>
      <c r="J3725" s="1077"/>
      <c r="K3725" s="1078"/>
      <c r="L3725" s="1073"/>
      <c r="M3725" s="1073"/>
      <c r="N3725" s="1073"/>
      <c r="O3725" s="1079"/>
      <c r="P3725" s="1076"/>
      <c r="Q3725" s="1080">
        <f ca="1">$B3725*Elec_Rates!$R$247</f>
        <v>0.16</v>
      </c>
      <c r="R3725" s="1071">
        <f ca="1">$A3725*Q3725</f>
        <v>0.16</v>
      </c>
      <c r="S3725" s="1080">
        <f ca="1">$B3725*Elec_Rates!$T$247</f>
        <v>0.37</v>
      </c>
      <c r="T3725" s="1072">
        <f ca="1">$A3725*S3725</f>
        <v>0.37</v>
      </c>
      <c r="U3725" s="1081"/>
    </row>
    <row r="3726" spans="1:41" s="504" customFormat="1" ht="12">
      <c r="A3726" s="882"/>
      <c r="B3726" s="882"/>
      <c r="C3726" s="882"/>
      <c r="D3726" s="882"/>
      <c r="E3726" s="882"/>
      <c r="F3726" s="877"/>
      <c r="G3726" s="882"/>
      <c r="H3726" s="882"/>
      <c r="I3726" s="503"/>
      <c r="J3726" s="882"/>
      <c r="K3726" s="882"/>
      <c r="L3726" s="882"/>
      <c r="M3726" s="882"/>
      <c r="N3726" s="882"/>
      <c r="O3726" s="882"/>
      <c r="P3726" s="882"/>
      <c r="Q3726" s="503"/>
      <c r="R3726" s="883">
        <f>$A3726*Q3726</f>
        <v>0</v>
      </c>
      <c r="S3726" s="503"/>
      <c r="T3726" s="884">
        <f>$A3726*S3726*$T$1</f>
        <v>0</v>
      </c>
    </row>
    <row r="3727" spans="1:41" s="504" customFormat="1" ht="12.6" thickBot="1">
      <c r="A3727" s="885" t="s">
        <v>142</v>
      </c>
      <c r="B3727" s="886">
        <f>(R3726+T3726)</f>
        <v>0</v>
      </c>
      <c r="C3727" s="887"/>
      <c r="D3727" s="887"/>
      <c r="E3727" s="887"/>
      <c r="F3727" s="888"/>
      <c r="G3727" s="887" t="s">
        <v>143</v>
      </c>
      <c r="H3727" s="887"/>
      <c r="I3727" s="889"/>
      <c r="J3727" s="887"/>
      <c r="K3727" s="887" t="s">
        <v>3</v>
      </c>
      <c r="L3727" s="890" t="s">
        <v>140</v>
      </c>
      <c r="M3727" s="890"/>
      <c r="N3727" s="890"/>
      <c r="O3727" s="890"/>
      <c r="P3727" s="890"/>
      <c r="Q3727" s="891"/>
      <c r="R3727" s="892">
        <f ca="1">SUM(R3723:R3726)</f>
        <v>0.16</v>
      </c>
      <c r="S3727" s="887"/>
      <c r="T3727" s="892">
        <f ca="1">SUM(T3723:T3726)</f>
        <v>0.37</v>
      </c>
      <c r="U3727" s="514"/>
      <c r="V3727" s="514"/>
      <c r="W3727" s="514"/>
      <c r="X3727" s="514"/>
      <c r="Y3727" s="514"/>
      <c r="Z3727" s="514"/>
      <c r="AA3727" s="514"/>
      <c r="AB3727" s="514"/>
      <c r="AC3727" s="514"/>
      <c r="AD3727" s="514"/>
      <c r="AE3727" s="514"/>
      <c r="AF3727" s="514"/>
      <c r="AG3727" s="514"/>
      <c r="AH3727" s="514"/>
      <c r="AI3727" s="514"/>
      <c r="AJ3727" s="514"/>
      <c r="AK3727" s="514"/>
      <c r="AL3727" s="514"/>
      <c r="AM3727" s="514"/>
      <c r="AN3727" s="514"/>
      <c r="AO3727" s="514"/>
    </row>
    <row r="3728" spans="1:41" s="504" customFormat="1" ht="12" thickTop="1">
      <c r="A3728" s="50"/>
      <c r="B3728" s="40"/>
      <c r="C3728" s="50"/>
      <c r="E3728" s="41" t="s">
        <v>136</v>
      </c>
      <c r="F3728" s="41" t="s">
        <v>137</v>
      </c>
      <c r="G3728" s="50"/>
      <c r="H3728" s="50"/>
      <c r="I3728" s="50"/>
      <c r="J3728" s="50"/>
      <c r="K3728" s="50" t="s">
        <v>138</v>
      </c>
      <c r="L3728" s="50"/>
      <c r="M3728" s="50"/>
      <c r="N3728" s="50"/>
      <c r="O3728" s="51"/>
      <c r="P3728" s="50"/>
      <c r="Q3728" s="50"/>
      <c r="R3728" s="50"/>
      <c r="S3728" s="50"/>
      <c r="T3728" s="40"/>
      <c r="AG3728" s="867" t="s">
        <v>241</v>
      </c>
      <c r="AH3728" s="867" t="s">
        <v>242</v>
      </c>
      <c r="AI3728" s="867" t="s">
        <v>243</v>
      </c>
      <c r="AJ3728" s="867" t="s">
        <v>244</v>
      </c>
      <c r="AK3728" s="867" t="s">
        <v>245</v>
      </c>
      <c r="AM3728" s="868" t="s">
        <v>254</v>
      </c>
      <c r="AN3728" s="869" t="s">
        <v>255</v>
      </c>
      <c r="AO3728" s="505" t="s">
        <v>251</v>
      </c>
    </row>
    <row r="3729" spans="1:41" s="504" customFormat="1" ht="12" customHeight="1">
      <c r="A3729" s="870">
        <v>6</v>
      </c>
      <c r="B3729" s="871" t="s">
        <v>335</v>
      </c>
      <c r="C3729" s="872"/>
      <c r="D3729" s="873" t="s">
        <v>827</v>
      </c>
      <c r="E3729" s="874">
        <f ca="1">IF(AND($A3729=0,$A$1="DIF"),0, ROUND(ROUND(($R3734*$S$2+($T3734*$T$2))/A3729,2)*$C$2,2))</f>
        <v>16.12</v>
      </c>
      <c r="F3729" s="875">
        <f ca="1">ROUND($A3729*$E3729,2)</f>
        <v>96.72</v>
      </c>
      <c r="G3729" s="876" t="s">
        <v>139</v>
      </c>
      <c r="H3729" s="877"/>
      <c r="I3729" s="878"/>
      <c r="J3729" s="877"/>
      <c r="K3729" s="877" t="s">
        <v>3</v>
      </c>
      <c r="L3729" s="879" t="s">
        <v>140</v>
      </c>
      <c r="M3729" s="879"/>
      <c r="N3729" s="879"/>
      <c r="O3729" s="879"/>
      <c r="P3729" s="879"/>
      <c r="Q3729" s="50"/>
      <c r="T3729" s="880" t="str">
        <f ca="1">IF(AND($R3734=0,$T3734=0),"0.00","mu :" &amp; ROUND($F3729/$C$2/($R3734+$T3734*$D$9),2))</f>
        <v>mu :1.22</v>
      </c>
      <c r="W3729" s="507"/>
      <c r="AG3729" s="465">
        <f ca="1">IF($E3729=0,0,ROUND($R3734*$S$2*$C$2/$A3729,2))</f>
        <v>1.34</v>
      </c>
      <c r="AH3729" s="465">
        <f ca="1">$AG3729*$A3729</f>
        <v>8.0400000000000009</v>
      </c>
      <c r="AI3729" s="508">
        <f ca="1">$E3729-$AG3729</f>
        <v>14.780000000000001</v>
      </c>
      <c r="AJ3729" s="508">
        <f ca="1">$A3729*$AI3729</f>
        <v>88.68</v>
      </c>
      <c r="AK3729" s="509">
        <f ca="1">ROUND(($AG3729+$AI3729)*$A3729,2)</f>
        <v>96.72</v>
      </c>
      <c r="AM3729" s="510">
        <f ca="1">ROUND(R3734,2)</f>
        <v>6.6</v>
      </c>
      <c r="AN3729" s="511">
        <f ca="1">ROUND(T3734,2)</f>
        <v>2.52</v>
      </c>
      <c r="AO3729" s="512">
        <f ca="1">ROUND(AM3729+AN3729,2)*A3729</f>
        <v>54.72</v>
      </c>
    </row>
    <row r="3730" spans="1:41" s="504" customFormat="1" ht="13.2">
      <c r="A3730" s="872"/>
      <c r="B3730"/>
      <c r="C3730" s="872"/>
      <c r="D3730" s="873" t="s">
        <v>450</v>
      </c>
      <c r="F3730" s="877"/>
      <c r="G3730" s="3"/>
      <c r="H3730" s="877"/>
      <c r="I3730" s="878"/>
      <c r="J3730" s="877"/>
      <c r="K3730" s="877" t="s">
        <v>141</v>
      </c>
      <c r="L3730" s="877"/>
      <c r="M3730" s="877"/>
      <c r="N3730" s="877"/>
      <c r="O3730" s="877"/>
      <c r="P3730" s="877"/>
      <c r="Q3730" s="50"/>
      <c r="R3730" s="513"/>
      <c r="S3730" s="881"/>
      <c r="T3730" s="877"/>
    </row>
    <row r="3731" spans="1:41" s="997" customFormat="1" ht="13.2">
      <c r="A3731"/>
      <c r="B3731" s="1065"/>
      <c r="C3731" s="1065" t="s">
        <v>1006</v>
      </c>
      <c r="D3731" s="1065" t="str">
        <f ca="1">CELL("Address",Elec_Rates!D$270)</f>
        <v>[EL25_0662B_Brittania_Hotel_Elec_Revised_Estim_B.xlsx]Elec_Rates!$D$270</v>
      </c>
      <c r="E3731" s="1066"/>
      <c r="F3731" s="1066"/>
      <c r="G3731" s="1067" t="s">
        <v>1007</v>
      </c>
      <c r="H3731" s="1067"/>
      <c r="I3731" s="1067"/>
      <c r="J3731" s="1067"/>
      <c r="K3731" s="1068"/>
      <c r="L3731" s="1066"/>
      <c r="M3731" s="1066"/>
      <c r="N3731" s="1066"/>
      <c r="O3731" s="1069"/>
      <c r="P3731" s="1066"/>
      <c r="Q3731" s="1070"/>
      <c r="R3731" s="1071"/>
      <c r="S3731" s="1070"/>
      <c r="T3731" s="1072"/>
      <c r="U3731" s="1073"/>
    </row>
    <row r="3732" spans="1:41" s="997" customFormat="1" ht="11.4">
      <c r="A3732" s="1074">
        <v>6</v>
      </c>
      <c r="B3732" s="1075">
        <v>1</v>
      </c>
      <c r="C3732" s="1075">
        <f>$A3732*$B3732</f>
        <v>6</v>
      </c>
      <c r="D3732" s="1076" t="str">
        <f>Elec_Rates!$D$270</f>
        <v>029# Install and connect Only - Battery Backup Kit for the light fittings supplied by others</v>
      </c>
      <c r="E3732" s="1076"/>
      <c r="F3732" s="1076"/>
      <c r="G3732" s="1077" t="s">
        <v>1008</v>
      </c>
      <c r="H3732" s="1077"/>
      <c r="I3732" s="1077"/>
      <c r="J3732" s="1077"/>
      <c r="K3732" s="1078"/>
      <c r="L3732" s="1073"/>
      <c r="M3732" s="1073"/>
      <c r="N3732" s="1073"/>
      <c r="O3732" s="1079"/>
      <c r="P3732" s="1076"/>
      <c r="Q3732" s="1080">
        <f ca="1">$B3732*Elec_Rates!$R$270</f>
        <v>1.1000000000000001</v>
      </c>
      <c r="R3732" s="1071">
        <f ca="1">$A3732*Q3732</f>
        <v>6.6000000000000005</v>
      </c>
      <c r="S3732" s="1080">
        <f ca="1">$B3732*Elec_Rates!$T$270</f>
        <v>0.42</v>
      </c>
      <c r="T3732" s="1072">
        <f ca="1">$A3732*S3732</f>
        <v>2.52</v>
      </c>
      <c r="U3732" s="1081"/>
    </row>
    <row r="3733" spans="1:41" s="504" customFormat="1" ht="12">
      <c r="A3733" s="882"/>
      <c r="B3733" s="882"/>
      <c r="C3733" s="882"/>
      <c r="D3733" s="882"/>
      <c r="E3733" s="882"/>
      <c r="F3733" s="877"/>
      <c r="G3733" s="882"/>
      <c r="H3733" s="882"/>
      <c r="I3733" s="503"/>
      <c r="J3733" s="882"/>
      <c r="K3733" s="882"/>
      <c r="L3733" s="882"/>
      <c r="M3733" s="882"/>
      <c r="N3733" s="882"/>
      <c r="O3733" s="882"/>
      <c r="P3733" s="882"/>
      <c r="Q3733" s="503"/>
      <c r="R3733" s="883">
        <f>$A3733*Q3733</f>
        <v>0</v>
      </c>
      <c r="S3733" s="503"/>
      <c r="T3733" s="884">
        <f>$A3733*S3733*$T$1</f>
        <v>0</v>
      </c>
    </row>
    <row r="3734" spans="1:41" s="504" customFormat="1" ht="12.6" thickBot="1">
      <c r="A3734" s="885" t="s">
        <v>142</v>
      </c>
      <c r="B3734" s="886">
        <f>(R3733+T3733)</f>
        <v>0</v>
      </c>
      <c r="C3734" s="887"/>
      <c r="D3734" s="887"/>
      <c r="E3734" s="887"/>
      <c r="F3734" s="888"/>
      <c r="G3734" s="887" t="s">
        <v>143</v>
      </c>
      <c r="H3734" s="887"/>
      <c r="I3734" s="889"/>
      <c r="J3734" s="887"/>
      <c r="K3734" s="887" t="s">
        <v>3</v>
      </c>
      <c r="L3734" s="890" t="s">
        <v>140</v>
      </c>
      <c r="M3734" s="890"/>
      <c r="N3734" s="890"/>
      <c r="O3734" s="890"/>
      <c r="P3734" s="890"/>
      <c r="Q3734" s="891"/>
      <c r="R3734" s="892">
        <f ca="1">SUM(R3730:R3733)</f>
        <v>6.6000000000000005</v>
      </c>
      <c r="S3734" s="887"/>
      <c r="T3734" s="892">
        <f ca="1">SUM(T3730:T3733)</f>
        <v>2.52</v>
      </c>
      <c r="U3734" s="514"/>
      <c r="V3734" s="514"/>
      <c r="W3734" s="514"/>
      <c r="X3734" s="514"/>
      <c r="Y3734" s="514"/>
      <c r="Z3734" s="514"/>
      <c r="AA3734" s="514"/>
      <c r="AB3734" s="514"/>
      <c r="AC3734" s="514"/>
      <c r="AD3734" s="514"/>
      <c r="AE3734" s="514"/>
      <c r="AF3734" s="514"/>
      <c r="AG3734" s="514"/>
      <c r="AH3734" s="514"/>
      <c r="AI3734" s="514"/>
      <c r="AJ3734" s="514"/>
      <c r="AK3734" s="514"/>
      <c r="AL3734" s="514"/>
      <c r="AM3734" s="514"/>
      <c r="AN3734" s="514"/>
      <c r="AO3734" s="514"/>
    </row>
    <row r="3735" spans="1:41" s="504" customFormat="1" ht="12" thickTop="1">
      <c r="A3735" s="50"/>
      <c r="B3735" s="40"/>
      <c r="C3735" s="50"/>
      <c r="E3735" s="41" t="s">
        <v>136</v>
      </c>
      <c r="F3735" s="41" t="s">
        <v>137</v>
      </c>
      <c r="G3735" s="50"/>
      <c r="H3735" s="50"/>
      <c r="I3735" s="50"/>
      <c r="J3735" s="50"/>
      <c r="K3735" s="50" t="s">
        <v>138</v>
      </c>
      <c r="L3735" s="50"/>
      <c r="M3735" s="50"/>
      <c r="N3735" s="50"/>
      <c r="O3735" s="51"/>
      <c r="P3735" s="50"/>
      <c r="Q3735" s="50"/>
      <c r="R3735" s="50"/>
      <c r="S3735" s="50"/>
      <c r="T3735" s="40"/>
      <c r="AG3735" s="867" t="s">
        <v>241</v>
      </c>
      <c r="AH3735" s="867" t="s">
        <v>242</v>
      </c>
      <c r="AI3735" s="867" t="s">
        <v>243</v>
      </c>
      <c r="AJ3735" s="867" t="s">
        <v>244</v>
      </c>
      <c r="AK3735" s="867" t="s">
        <v>245</v>
      </c>
      <c r="AM3735" s="868" t="s">
        <v>254</v>
      </c>
      <c r="AN3735" s="869" t="s">
        <v>255</v>
      </c>
      <c r="AO3735" s="505" t="s">
        <v>251</v>
      </c>
    </row>
    <row r="3736" spans="1:41" s="504" customFormat="1" ht="12" customHeight="1">
      <c r="A3736" s="870">
        <v>2</v>
      </c>
      <c r="B3736" s="871" t="s">
        <v>335</v>
      </c>
      <c r="C3736" s="872"/>
      <c r="D3736" s="873" t="s">
        <v>828</v>
      </c>
      <c r="E3736" s="874">
        <f ca="1">IF(AND($A3736=0,$A$1="DIF"),0, ROUND(ROUND(($R3741*$S$2+($T3741*$T$2))/A3736,2)*$C$2,2))</f>
        <v>11.35</v>
      </c>
      <c r="F3736" s="875">
        <f ca="1">ROUND($A3736*$E3736,2)</f>
        <v>22.7</v>
      </c>
      <c r="G3736" s="876" t="s">
        <v>139</v>
      </c>
      <c r="H3736" s="877"/>
      <c r="I3736" s="878"/>
      <c r="J3736" s="877"/>
      <c r="K3736" s="877" t="s">
        <v>3</v>
      </c>
      <c r="L3736" s="879" t="s">
        <v>140</v>
      </c>
      <c r="M3736" s="879"/>
      <c r="N3736" s="879"/>
      <c r="O3736" s="879"/>
      <c r="P3736" s="879"/>
      <c r="Q3736" s="50"/>
      <c r="T3736" s="880" t="str">
        <f ca="1">IF(AND($R3741=0,$T3741=0),"0.00","mu :" &amp; ROUND($F3736/$C$2/($R3741+$T3741*$D$9),2))</f>
        <v>mu :1.22</v>
      </c>
      <c r="W3736" s="507"/>
      <c r="AG3736" s="465">
        <f ca="1">IF($E3736=0,0,ROUND($R3741*$S$2*$C$2/$A3736,2))</f>
        <v>0.1</v>
      </c>
      <c r="AH3736" s="465">
        <f ca="1">$AG3736*$A3736</f>
        <v>0.2</v>
      </c>
      <c r="AI3736" s="508">
        <f ca="1">$E3736-$AG3736</f>
        <v>11.25</v>
      </c>
      <c r="AJ3736" s="508">
        <f ca="1">$A3736*$AI3736</f>
        <v>22.5</v>
      </c>
      <c r="AK3736" s="509">
        <f ca="1">ROUND(($AG3736+$AI3736)*$A3736,2)</f>
        <v>22.7</v>
      </c>
      <c r="AM3736" s="510">
        <f ca="1">ROUND(R3741,2)</f>
        <v>0.16</v>
      </c>
      <c r="AN3736" s="511">
        <f ca="1">ROUND(T3741,2)</f>
        <v>0.64</v>
      </c>
      <c r="AO3736" s="512">
        <f ca="1">ROUND(AM3736+AN3736,2)*A3736</f>
        <v>1.6</v>
      </c>
    </row>
    <row r="3737" spans="1:41" s="504" customFormat="1" ht="13.2">
      <c r="A3737" s="872"/>
      <c r="B3737"/>
      <c r="C3737" s="872"/>
      <c r="D3737" s="873" t="s">
        <v>425</v>
      </c>
      <c r="F3737" s="877"/>
      <c r="G3737" s="3"/>
      <c r="H3737" s="877"/>
      <c r="I3737" s="878"/>
      <c r="J3737" s="877"/>
      <c r="K3737" s="877" t="s">
        <v>141</v>
      </c>
      <c r="L3737" s="877"/>
      <c r="M3737" s="877"/>
      <c r="N3737" s="877"/>
      <c r="O3737" s="877"/>
      <c r="P3737" s="877"/>
      <c r="Q3737" s="50"/>
      <c r="R3737" s="513"/>
      <c r="S3737" s="881"/>
      <c r="T3737" s="877"/>
    </row>
    <row r="3738" spans="1:41" s="997" customFormat="1" ht="13.2">
      <c r="A3738"/>
      <c r="B3738" s="1065"/>
      <c r="C3738" s="1065" t="s">
        <v>1006</v>
      </c>
      <c r="D3738" s="1065" t="str">
        <f ca="1">CELL("Address",Elec_Rates!D$478)</f>
        <v>[EL25_0662B_Brittania_Hotel_Elec_Revised_Estim_B.xlsx]Elec_Rates!$D$478</v>
      </c>
      <c r="E3738" s="1066"/>
      <c r="F3738" s="1066"/>
      <c r="G3738" s="1067" t="s">
        <v>1007</v>
      </c>
      <c r="H3738" s="1067"/>
      <c r="I3738" s="1067"/>
      <c r="J3738" s="1067"/>
      <c r="K3738" s="1068"/>
      <c r="L3738" s="1066"/>
      <c r="M3738" s="1066"/>
      <c r="N3738" s="1066"/>
      <c r="O3738" s="1069"/>
      <c r="P3738" s="1066"/>
      <c r="Q3738" s="1070"/>
      <c r="R3738" s="1071"/>
      <c r="S3738" s="1070"/>
      <c r="T3738" s="1072"/>
      <c r="U3738" s="1073"/>
    </row>
    <row r="3739" spans="1:41" s="997" customFormat="1" ht="11.4">
      <c r="A3739" s="1074">
        <v>2</v>
      </c>
      <c r="B3739" s="1075">
        <v>1</v>
      </c>
      <c r="C3739" s="1075">
        <f>$A3739*$B3739</f>
        <v>2</v>
      </c>
      <c r="D3739" s="1076" t="str">
        <f>Elec_Rates!$D$478</f>
        <v>057# Install and connect Only - Magnifying Mirror in Bathroom</v>
      </c>
      <c r="E3739" s="1076"/>
      <c r="F3739" s="1076"/>
      <c r="G3739" s="1077" t="s">
        <v>1008</v>
      </c>
      <c r="H3739" s="1077"/>
      <c r="I3739" s="1077"/>
      <c r="J3739" s="1077"/>
      <c r="K3739" s="1078"/>
      <c r="L3739" s="1073"/>
      <c r="M3739" s="1073"/>
      <c r="N3739" s="1073"/>
      <c r="O3739" s="1079"/>
      <c r="P3739" s="1076"/>
      <c r="Q3739" s="1080">
        <f ca="1">$B3739*Elec_Rates!$R$478</f>
        <v>0.08</v>
      </c>
      <c r="R3739" s="1071">
        <f ca="1">$A3739*Q3739</f>
        <v>0.16</v>
      </c>
      <c r="S3739" s="1080">
        <f ca="1">$B3739*Elec_Rates!$T$478</f>
        <v>0.32</v>
      </c>
      <c r="T3739" s="1072">
        <f ca="1">$A3739*S3739</f>
        <v>0.64</v>
      </c>
      <c r="U3739" s="1081"/>
    </row>
    <row r="3740" spans="1:41" s="504" customFormat="1" ht="12">
      <c r="A3740" s="882"/>
      <c r="B3740" s="882"/>
      <c r="C3740" s="882"/>
      <c r="D3740" s="882"/>
      <c r="E3740" s="882"/>
      <c r="F3740" s="877"/>
      <c r="G3740" s="882"/>
      <c r="H3740" s="882"/>
      <c r="I3740" s="503"/>
      <c r="J3740" s="882"/>
      <c r="K3740" s="882"/>
      <c r="L3740" s="882"/>
      <c r="M3740" s="882"/>
      <c r="N3740" s="882"/>
      <c r="O3740" s="882"/>
      <c r="P3740" s="882"/>
      <c r="Q3740" s="503"/>
      <c r="R3740" s="883">
        <f>$A3740*Q3740</f>
        <v>0</v>
      </c>
      <c r="S3740" s="503"/>
      <c r="T3740" s="884">
        <f>$A3740*S3740*$T$1</f>
        <v>0</v>
      </c>
    </row>
    <row r="3741" spans="1:41" s="504" customFormat="1" ht="12.6" thickBot="1">
      <c r="A3741" s="885" t="s">
        <v>142</v>
      </c>
      <c r="B3741" s="886">
        <f>(R3740+T3740)</f>
        <v>0</v>
      </c>
      <c r="C3741" s="887"/>
      <c r="D3741" s="887"/>
      <c r="E3741" s="887"/>
      <c r="F3741" s="888"/>
      <c r="G3741" s="887" t="s">
        <v>143</v>
      </c>
      <c r="H3741" s="887"/>
      <c r="I3741" s="889"/>
      <c r="J3741" s="887"/>
      <c r="K3741" s="887" t="s">
        <v>3</v>
      </c>
      <c r="L3741" s="890" t="s">
        <v>140</v>
      </c>
      <c r="M3741" s="890"/>
      <c r="N3741" s="890"/>
      <c r="O3741" s="890"/>
      <c r="P3741" s="890"/>
      <c r="Q3741" s="891"/>
      <c r="R3741" s="892">
        <f ca="1">SUM(R3737:R3740)</f>
        <v>0.16</v>
      </c>
      <c r="S3741" s="887"/>
      <c r="T3741" s="892">
        <f ca="1">SUM(T3737:T3740)</f>
        <v>0.64</v>
      </c>
      <c r="U3741" s="514"/>
      <c r="V3741" s="514"/>
      <c r="W3741" s="514"/>
      <c r="X3741" s="514"/>
      <c r="Y3741" s="514"/>
      <c r="Z3741" s="514"/>
      <c r="AA3741" s="514"/>
      <c r="AB3741" s="514"/>
      <c r="AC3741" s="514"/>
      <c r="AD3741" s="514"/>
      <c r="AE3741" s="514"/>
      <c r="AF3741" s="514"/>
      <c r="AG3741" s="514"/>
      <c r="AH3741" s="514"/>
      <c r="AI3741" s="514"/>
      <c r="AJ3741" s="514"/>
      <c r="AK3741" s="514"/>
      <c r="AL3741" s="514"/>
      <c r="AM3741" s="514"/>
      <c r="AN3741" s="514"/>
      <c r="AO3741" s="514"/>
    </row>
    <row r="3742" spans="1:41" s="504" customFormat="1" thickTop="1">
      <c r="A3742" s="50"/>
      <c r="B3742" s="50"/>
      <c r="C3742" s="3"/>
      <c r="D3742" s="3"/>
      <c r="E3742" s="50"/>
      <c r="F3742" s="50"/>
      <c r="G3742" s="50"/>
      <c r="H3742" s="50"/>
      <c r="I3742" s="50"/>
      <c r="J3742" s="50"/>
      <c r="K3742" s="50" t="s">
        <v>133</v>
      </c>
      <c r="L3742" s="50"/>
      <c r="M3742" s="50"/>
      <c r="N3742" s="50"/>
      <c r="O3742" s="51"/>
      <c r="P3742" s="50"/>
      <c r="Q3742" s="50"/>
      <c r="R3742" s="50"/>
      <c r="S3742" s="50"/>
      <c r="T3742" s="50"/>
    </row>
    <row r="3743" spans="1:41" s="504" customFormat="1" ht="12">
      <c r="A3743" s="50"/>
      <c r="B3743" s="50"/>
      <c r="C3743" s="50" t="s">
        <v>134</v>
      </c>
      <c r="D3743" s="37"/>
      <c r="E3743" s="50"/>
      <c r="F3743" s="50"/>
      <c r="G3743" s="50"/>
      <c r="H3743" s="50"/>
      <c r="I3743" s="50"/>
      <c r="J3743" s="50"/>
      <c r="K3743" s="50"/>
      <c r="L3743" s="50"/>
      <c r="M3743" s="50"/>
      <c r="N3743" s="50"/>
      <c r="O3743" s="51"/>
      <c r="P3743" s="50"/>
      <c r="Q3743" s="50"/>
      <c r="R3743" s="50"/>
      <c r="S3743" s="50"/>
      <c r="T3743" s="50"/>
    </row>
    <row r="3744" spans="1:41" s="504" customFormat="1" ht="12">
      <c r="A3744" s="50"/>
      <c r="B3744" s="50"/>
      <c r="C3744" s="50"/>
      <c r="D3744" s="37" t="s">
        <v>358</v>
      </c>
      <c r="E3744" s="50"/>
      <c r="F3744" s="50"/>
      <c r="G3744" s="50"/>
      <c r="H3744" s="50"/>
      <c r="I3744" s="50"/>
      <c r="J3744" s="50"/>
      <c r="K3744" s="50"/>
      <c r="L3744" s="50"/>
      <c r="M3744" s="50"/>
      <c r="N3744" s="50"/>
      <c r="O3744" s="51"/>
      <c r="P3744" s="50"/>
      <c r="Q3744" s="50"/>
      <c r="R3744" s="50"/>
      <c r="S3744" s="38"/>
      <c r="T3744" s="38"/>
    </row>
    <row r="3745" spans="1:41" s="3" customFormat="1" thickBot="1">
      <c r="A3745" s="514"/>
      <c r="O3745" s="103"/>
    </row>
    <row r="3746" spans="1:41" s="504" customFormat="1" thickTop="1">
      <c r="A3746" s="50"/>
      <c r="B3746" s="50"/>
      <c r="C3746" s="3"/>
      <c r="D3746" s="3"/>
      <c r="E3746" s="50"/>
      <c r="F3746" s="50"/>
      <c r="G3746" s="50"/>
      <c r="H3746" s="50"/>
      <c r="I3746" s="50"/>
      <c r="J3746" s="50"/>
      <c r="K3746" s="50" t="s">
        <v>133</v>
      </c>
      <c r="L3746" s="50"/>
      <c r="M3746" s="50"/>
      <c r="N3746" s="50"/>
      <c r="O3746" s="51"/>
      <c r="P3746" s="50"/>
      <c r="Q3746" s="50"/>
      <c r="R3746" s="50"/>
      <c r="S3746" s="50"/>
      <c r="T3746" s="50"/>
    </row>
    <row r="3747" spans="1:41" s="504" customFormat="1" ht="12">
      <c r="A3747" s="50"/>
      <c r="B3747" s="50"/>
      <c r="C3747" s="50" t="s">
        <v>134</v>
      </c>
      <c r="D3747" s="37" t="s">
        <v>900</v>
      </c>
      <c r="E3747" s="50"/>
      <c r="F3747" s="50"/>
      <c r="G3747" s="50"/>
      <c r="H3747" s="50"/>
      <c r="I3747" s="50"/>
      <c r="J3747" s="50"/>
      <c r="K3747" s="50"/>
      <c r="L3747" s="50"/>
      <c r="M3747" s="50"/>
      <c r="N3747" s="50"/>
      <c r="O3747" s="51"/>
      <c r="P3747" s="50"/>
      <c r="Q3747" s="50"/>
      <c r="R3747" s="50"/>
      <c r="S3747" s="50"/>
      <c r="T3747" s="50"/>
    </row>
    <row r="3748" spans="1:41" s="504" customFormat="1" ht="12">
      <c r="A3748" s="50"/>
      <c r="B3748" s="50"/>
      <c r="C3748" s="50"/>
      <c r="D3748" s="37" t="s">
        <v>393</v>
      </c>
      <c r="E3748" s="50"/>
      <c r="F3748" s="50"/>
      <c r="G3748" s="50"/>
      <c r="H3748" s="50"/>
      <c r="I3748" s="50"/>
      <c r="J3748" s="50"/>
      <c r="K3748" s="50"/>
      <c r="L3748" s="50"/>
      <c r="M3748" s="50"/>
      <c r="N3748" s="50"/>
      <c r="O3748" s="51"/>
      <c r="P3748" s="50"/>
      <c r="Q3748" s="50"/>
      <c r="R3748" s="50"/>
      <c r="S3748" s="38"/>
      <c r="T3748" s="38"/>
    </row>
    <row r="3749" spans="1:41" s="3" customFormat="1" thickBot="1">
      <c r="A3749" s="514"/>
      <c r="O3749" s="103"/>
    </row>
    <row r="3750" spans="1:41" s="504" customFormat="1" ht="12" thickTop="1">
      <c r="A3750" s="50"/>
      <c r="B3750" s="40"/>
      <c r="C3750" s="50"/>
      <c r="E3750" s="41" t="s">
        <v>136</v>
      </c>
      <c r="F3750" s="41" t="s">
        <v>137</v>
      </c>
      <c r="G3750" s="50"/>
      <c r="H3750" s="50"/>
      <c r="I3750" s="50"/>
      <c r="J3750" s="50"/>
      <c r="K3750" s="50" t="s">
        <v>138</v>
      </c>
      <c r="L3750" s="50"/>
      <c r="M3750" s="50"/>
      <c r="N3750" s="50"/>
      <c r="O3750" s="51"/>
      <c r="P3750" s="50"/>
      <c r="Q3750" s="50"/>
      <c r="R3750" s="50"/>
      <c r="S3750" s="50"/>
      <c r="T3750" s="40"/>
      <c r="AG3750" s="867" t="s">
        <v>241</v>
      </c>
      <c r="AH3750" s="867" t="s">
        <v>242</v>
      </c>
      <c r="AI3750" s="867" t="s">
        <v>243</v>
      </c>
      <c r="AJ3750" s="867" t="s">
        <v>244</v>
      </c>
      <c r="AK3750" s="867" t="s">
        <v>245</v>
      </c>
      <c r="AM3750" s="868" t="s">
        <v>254</v>
      </c>
      <c r="AN3750" s="869" t="s">
        <v>255</v>
      </c>
      <c r="AO3750" s="505" t="s">
        <v>251</v>
      </c>
    </row>
    <row r="3751" spans="1:41" s="504" customFormat="1" ht="12" customHeight="1">
      <c r="A3751" s="870">
        <v>11</v>
      </c>
      <c r="B3751" s="871" t="s">
        <v>335</v>
      </c>
      <c r="C3751" s="872"/>
      <c r="D3751" s="873" t="s">
        <v>804</v>
      </c>
      <c r="E3751" s="874">
        <f ca="1">IF(AND($A3751=0,$A$1="DIF"),0, ROUND(ROUND(($R3757*$S$2+($T3757*$T$2))/A3751,2)*$C$2,2))</f>
        <v>77.31</v>
      </c>
      <c r="F3751" s="875">
        <f ca="1">ROUND($A3751*$E3751,2)</f>
        <v>850.41</v>
      </c>
      <c r="G3751" s="876" t="s">
        <v>139</v>
      </c>
      <c r="H3751" s="877"/>
      <c r="I3751" s="878"/>
      <c r="J3751" s="877"/>
      <c r="K3751" s="877" t="s">
        <v>3</v>
      </c>
      <c r="L3751" s="879" t="s">
        <v>140</v>
      </c>
      <c r="M3751" s="879"/>
      <c r="N3751" s="879"/>
      <c r="O3751" s="879"/>
      <c r="P3751" s="879"/>
      <c r="Q3751" s="50"/>
      <c r="T3751" s="880" t="str">
        <f ca="1">IF(AND($R3757=0,$T3757=0),"0.00","mu :" &amp; ROUND($F3751/$C$2/($R3757+$T3757*$D$9),2))</f>
        <v>mu :1.22</v>
      </c>
      <c r="W3751" s="507"/>
      <c r="AG3751" s="465">
        <f ca="1">IF($E3751=0,0,ROUND($R3757*$S$2*$C$2/$A3751,2))</f>
        <v>20.73</v>
      </c>
      <c r="AH3751" s="465">
        <f ca="1">$AG3751*$A3751</f>
        <v>228.03</v>
      </c>
      <c r="AI3751" s="508">
        <f ca="1">$E3751-$AG3751</f>
        <v>56.58</v>
      </c>
      <c r="AJ3751" s="508">
        <f ca="1">$A3751*$AI3751</f>
        <v>622.38</v>
      </c>
      <c r="AK3751" s="509">
        <f ca="1">ROUND(($AG3751+$AI3751)*$A3751,2)</f>
        <v>850.41</v>
      </c>
      <c r="AM3751" s="510">
        <f ca="1">ROUND(R3757,2)</f>
        <v>186.89</v>
      </c>
      <c r="AN3751" s="511">
        <f ca="1">ROUND(T3757,2)</f>
        <v>17.690000000000001</v>
      </c>
      <c r="AO3751" s="512">
        <f ca="1">ROUND(AM3751+AN3751,2)*A3751</f>
        <v>2250.38</v>
      </c>
    </row>
    <row r="3752" spans="1:41" s="504" customFormat="1" ht="13.2">
      <c r="A3752" s="872"/>
      <c r="B3752"/>
      <c r="C3752" s="872"/>
      <c r="D3752" s="873" t="s">
        <v>359</v>
      </c>
      <c r="F3752" s="877"/>
      <c r="G3752" s="3"/>
      <c r="H3752" s="877"/>
      <c r="I3752" s="878"/>
      <c r="J3752" s="877"/>
      <c r="K3752" s="877" t="s">
        <v>141</v>
      </c>
      <c r="L3752" s="877"/>
      <c r="M3752" s="877"/>
      <c r="N3752" s="877"/>
      <c r="O3752" s="877"/>
      <c r="P3752" s="877"/>
      <c r="Q3752" s="50"/>
      <c r="R3752" s="513"/>
      <c r="S3752" s="881"/>
      <c r="T3752" s="877"/>
    </row>
    <row r="3753" spans="1:41" s="997" customFormat="1" ht="13.2">
      <c r="A3753"/>
      <c r="B3753" s="1065"/>
      <c r="C3753" s="1065" t="s">
        <v>1006</v>
      </c>
      <c r="D3753" s="1065" t="str">
        <f ca="1">CELL("Address",Elec_Rates!D$486)</f>
        <v>[EL25_0662B_Brittania_Hotel_Elec_Revised_Estim_B.xlsx]Elec_Rates!$D$486</v>
      </c>
      <c r="E3753" s="1066"/>
      <c r="F3753" s="1066"/>
      <c r="G3753" s="1067" t="s">
        <v>1007</v>
      </c>
      <c r="H3753" s="1067"/>
      <c r="I3753" s="1067"/>
      <c r="J3753" s="1067"/>
      <c r="K3753" s="1068"/>
      <c r="L3753" s="1066"/>
      <c r="M3753" s="1066"/>
      <c r="N3753" s="1066"/>
      <c r="O3753" s="1069"/>
      <c r="P3753" s="1066"/>
      <c r="Q3753" s="1070"/>
      <c r="R3753" s="1071"/>
      <c r="S3753" s="1070"/>
      <c r="T3753" s="1072"/>
      <c r="U3753" s="1073"/>
    </row>
    <row r="3754" spans="1:41" s="997" customFormat="1" ht="11.4">
      <c r="A3754" s="1074">
        <v>11</v>
      </c>
      <c r="B3754" s="1075">
        <v>1</v>
      </c>
      <c r="C3754" s="1075">
        <f>$A3754*$B3754</f>
        <v>11</v>
      </c>
      <c r="D3754" s="1076" t="str">
        <f>Elec_Rates!$D$486</f>
        <v>058# General Power Point in LSZH Conduit</v>
      </c>
      <c r="E3754" s="1076"/>
      <c r="F3754" s="1076"/>
      <c r="G3754" s="1077" t="s">
        <v>1008</v>
      </c>
      <c r="H3754" s="1077"/>
      <c r="I3754" s="1077"/>
      <c r="J3754" s="1077"/>
      <c r="K3754" s="1078"/>
      <c r="L3754" s="1073"/>
      <c r="M3754" s="1073"/>
      <c r="N3754" s="1073"/>
      <c r="O3754" s="1079"/>
      <c r="P3754" s="1076"/>
      <c r="Q3754" s="1080">
        <f ca="1">$B3754*Elec_Rates!$R$486</f>
        <v>13.92</v>
      </c>
      <c r="R3754" s="1071">
        <f ca="1">$A3754*Q3754</f>
        <v>153.12</v>
      </c>
      <c r="S3754" s="1080">
        <f ca="1">$B3754*Elec_Rates!$T$486</f>
        <v>1.43</v>
      </c>
      <c r="T3754" s="1072">
        <f ca="1">$A3754*S3754</f>
        <v>15.729999999999999</v>
      </c>
      <c r="U3754" s="1081"/>
    </row>
    <row r="3755" spans="1:41" s="1039" customFormat="1" ht="13.2">
      <c r="A3755" s="112">
        <v>11</v>
      </c>
      <c r="B3755" s="1039" t="s">
        <v>949</v>
      </c>
      <c r="D3755" s="1039" t="s">
        <v>1233</v>
      </c>
      <c r="F3755" s="1039" t="s">
        <v>1506</v>
      </c>
      <c r="G3755" s="1040" t="s">
        <v>1231</v>
      </c>
      <c r="H3755" s="1041">
        <v>705</v>
      </c>
      <c r="I3755" s="1039" t="s">
        <v>1183</v>
      </c>
      <c r="J3755" s="1039" t="s">
        <v>1232</v>
      </c>
      <c r="O3755" s="1042">
        <v>3</v>
      </c>
      <c r="P3755" s="1043">
        <v>34669</v>
      </c>
      <c r="Q3755" s="1044">
        <v>3.07</v>
      </c>
      <c r="R3755" s="1045">
        <f>$A3755*Q3755</f>
        <v>33.769999999999996</v>
      </c>
      <c r="S3755" s="1044">
        <v>0.17</v>
      </c>
      <c r="T3755" s="1046">
        <f>$A3755*S3755*$T$1</f>
        <v>1.9635000000000002</v>
      </c>
    </row>
    <row r="3756" spans="1:41" s="504" customFormat="1" ht="12">
      <c r="A3756" s="882"/>
      <c r="B3756" s="882"/>
      <c r="C3756" s="882"/>
      <c r="D3756" s="882"/>
      <c r="E3756" s="882"/>
      <c r="F3756" s="877"/>
      <c r="G3756" s="882"/>
      <c r="H3756" s="882"/>
      <c r="I3756" s="503"/>
      <c r="J3756" s="882"/>
      <c r="K3756" s="882"/>
      <c r="L3756" s="882"/>
      <c r="M3756" s="882"/>
      <c r="N3756" s="882"/>
      <c r="O3756" s="882"/>
      <c r="P3756" s="882"/>
      <c r="Q3756" s="503"/>
      <c r="R3756" s="883">
        <f>$A3756*Q3756</f>
        <v>0</v>
      </c>
      <c r="S3756" s="503"/>
      <c r="T3756" s="884">
        <f>$A3756*S3756*$T$1</f>
        <v>0</v>
      </c>
    </row>
    <row r="3757" spans="1:41" s="504" customFormat="1" ht="12.6" thickBot="1">
      <c r="A3757" s="885" t="s">
        <v>142</v>
      </c>
      <c r="B3757" s="886">
        <f>(R3756+T3756)</f>
        <v>0</v>
      </c>
      <c r="C3757" s="887"/>
      <c r="D3757" s="887"/>
      <c r="E3757" s="887"/>
      <c r="F3757" s="888"/>
      <c r="G3757" s="887" t="s">
        <v>143</v>
      </c>
      <c r="H3757" s="887"/>
      <c r="I3757" s="889"/>
      <c r="J3757" s="887"/>
      <c r="K3757" s="887" t="s">
        <v>3</v>
      </c>
      <c r="L3757" s="890" t="s">
        <v>140</v>
      </c>
      <c r="M3757" s="890"/>
      <c r="N3757" s="890"/>
      <c r="O3757" s="890"/>
      <c r="P3757" s="890"/>
      <c r="Q3757" s="891"/>
      <c r="R3757" s="892">
        <f ca="1">SUM(R3752:R3756)</f>
        <v>186.89</v>
      </c>
      <c r="S3757" s="887"/>
      <c r="T3757" s="892">
        <f ca="1">SUM(T3752:T3756)</f>
        <v>17.6935</v>
      </c>
      <c r="U3757" s="514"/>
      <c r="V3757" s="514"/>
      <c r="W3757" s="514"/>
      <c r="X3757" s="514"/>
      <c r="Y3757" s="514"/>
      <c r="Z3757" s="514"/>
      <c r="AA3757" s="514"/>
      <c r="AB3757" s="514"/>
      <c r="AC3757" s="514"/>
      <c r="AD3757" s="514"/>
      <c r="AE3757" s="514"/>
      <c r="AF3757" s="514"/>
      <c r="AG3757" s="514"/>
      <c r="AH3757" s="514"/>
      <c r="AI3757" s="514"/>
      <c r="AJ3757" s="514"/>
      <c r="AK3757" s="514"/>
      <c r="AL3757" s="514"/>
      <c r="AM3757" s="514"/>
      <c r="AN3757" s="514"/>
      <c r="AO3757" s="514"/>
    </row>
    <row r="3758" spans="1:41" s="504" customFormat="1" ht="12" thickTop="1">
      <c r="A3758" s="50"/>
      <c r="B3758" s="40"/>
      <c r="C3758" s="50"/>
      <c r="E3758" s="41" t="s">
        <v>136</v>
      </c>
      <c r="F3758" s="41" t="s">
        <v>137</v>
      </c>
      <c r="G3758" s="50"/>
      <c r="H3758" s="50"/>
      <c r="I3758" s="50"/>
      <c r="J3758" s="50"/>
      <c r="K3758" s="50" t="s">
        <v>138</v>
      </c>
      <c r="L3758" s="50"/>
      <c r="M3758" s="50"/>
      <c r="N3758" s="50"/>
      <c r="O3758" s="51"/>
      <c r="P3758" s="50"/>
      <c r="Q3758" s="50"/>
      <c r="R3758" s="50"/>
      <c r="S3758" s="50"/>
      <c r="T3758" s="40"/>
      <c r="AG3758" s="867" t="s">
        <v>241</v>
      </c>
      <c r="AH3758" s="867" t="s">
        <v>242</v>
      </c>
      <c r="AI3758" s="867" t="s">
        <v>243</v>
      </c>
      <c r="AJ3758" s="867" t="s">
        <v>244</v>
      </c>
      <c r="AK3758" s="867" t="s">
        <v>245</v>
      </c>
      <c r="AM3758" s="868" t="s">
        <v>254</v>
      </c>
      <c r="AN3758" s="869" t="s">
        <v>255</v>
      </c>
      <c r="AO3758" s="505" t="s">
        <v>251</v>
      </c>
    </row>
    <row r="3759" spans="1:41" s="504" customFormat="1" ht="12" customHeight="1">
      <c r="A3759" s="870">
        <v>5</v>
      </c>
      <c r="B3759" s="871" t="s">
        <v>335</v>
      </c>
      <c r="C3759" s="872"/>
      <c r="D3759" s="873" t="s">
        <v>806</v>
      </c>
      <c r="E3759" s="874">
        <f ca="1">IF(AND($A3759=0,$A$1="DIF"),0, ROUND(ROUND(($R3765*$S$2+($T3765*$T$2))/A3759,2)*$C$2,2))</f>
        <v>79.36</v>
      </c>
      <c r="F3759" s="875">
        <f ca="1">ROUND($A3759*$E3759,2)</f>
        <v>396.8</v>
      </c>
      <c r="G3759" s="876" t="s">
        <v>139</v>
      </c>
      <c r="H3759" s="877"/>
      <c r="I3759" s="878"/>
      <c r="J3759" s="877"/>
      <c r="K3759" s="877" t="s">
        <v>3</v>
      </c>
      <c r="L3759" s="879" t="s">
        <v>140</v>
      </c>
      <c r="M3759" s="879"/>
      <c r="N3759" s="879"/>
      <c r="O3759" s="879"/>
      <c r="P3759" s="879"/>
      <c r="Q3759" s="50"/>
      <c r="T3759" s="880" t="str">
        <f ca="1">IF(AND($R3765=0,$T3765=0),"0.00","mu :" &amp; ROUND($F3759/$C$2/($R3765+$T3765*$D$9),2))</f>
        <v>mu :1.22</v>
      </c>
      <c r="W3759" s="507"/>
      <c r="AG3759" s="465">
        <f ca="1">IF($E3759=0,0,ROUND($R3765*$S$2*$C$2/$A3759,2))</f>
        <v>22.78</v>
      </c>
      <c r="AH3759" s="465">
        <f ca="1">$AG3759*$A3759</f>
        <v>113.9</v>
      </c>
      <c r="AI3759" s="508">
        <f ca="1">$E3759-$AG3759</f>
        <v>56.58</v>
      </c>
      <c r="AJ3759" s="508">
        <f ca="1">$A3759*$AI3759</f>
        <v>282.89999999999998</v>
      </c>
      <c r="AK3759" s="509">
        <f ca="1">ROUND(($AG3759+$AI3759)*$A3759,2)</f>
        <v>396.8</v>
      </c>
      <c r="AM3759" s="510">
        <f ca="1">ROUND(R3765,2)</f>
        <v>93.35</v>
      </c>
      <c r="AN3759" s="511">
        <f ca="1">ROUND(T3765,2)</f>
        <v>8.0399999999999991</v>
      </c>
      <c r="AO3759" s="512">
        <f ca="1">ROUND(AM3759+AN3759,2)*A3759</f>
        <v>506.95</v>
      </c>
    </row>
    <row r="3760" spans="1:41" s="504" customFormat="1" ht="13.2">
      <c r="A3760" s="872"/>
      <c r="B3760"/>
      <c r="C3760" s="872"/>
      <c r="D3760" s="873" t="s">
        <v>360</v>
      </c>
      <c r="F3760" s="877"/>
      <c r="G3760" s="3"/>
      <c r="H3760" s="877"/>
      <c r="I3760" s="878"/>
      <c r="J3760" s="877"/>
      <c r="K3760" s="877" t="s">
        <v>141</v>
      </c>
      <c r="L3760" s="877"/>
      <c r="M3760" s="877"/>
      <c r="N3760" s="877"/>
      <c r="O3760" s="877"/>
      <c r="P3760" s="877"/>
      <c r="Q3760" s="50"/>
      <c r="R3760" s="513"/>
      <c r="S3760" s="881"/>
      <c r="T3760" s="877"/>
    </row>
    <row r="3761" spans="1:41" s="997" customFormat="1" ht="13.2">
      <c r="A3761"/>
      <c r="B3761" s="1065"/>
      <c r="C3761" s="1065" t="s">
        <v>1006</v>
      </c>
      <c r="D3761" s="1065" t="str">
        <f ca="1">CELL("Address",Elec_Rates!D$486)</f>
        <v>[EL25_0662B_Brittania_Hotel_Elec_Revised_Estim_B.xlsx]Elec_Rates!$D$486</v>
      </c>
      <c r="E3761" s="1066"/>
      <c r="F3761" s="1066"/>
      <c r="G3761" s="1067" t="s">
        <v>1007</v>
      </c>
      <c r="H3761" s="1067"/>
      <c r="I3761" s="1067"/>
      <c r="J3761" s="1067"/>
      <c r="K3761" s="1068"/>
      <c r="L3761" s="1066"/>
      <c r="M3761" s="1066"/>
      <c r="N3761" s="1066"/>
      <c r="O3761" s="1069"/>
      <c r="P3761" s="1066"/>
      <c r="Q3761" s="1070"/>
      <c r="R3761" s="1071"/>
      <c r="S3761" s="1070"/>
      <c r="T3761" s="1072"/>
      <c r="U3761" s="1073"/>
    </row>
    <row r="3762" spans="1:41" s="997" customFormat="1" ht="11.4">
      <c r="A3762" s="1074">
        <v>5</v>
      </c>
      <c r="B3762" s="1075">
        <v>1</v>
      </c>
      <c r="C3762" s="1075">
        <f>$A3762*$B3762</f>
        <v>5</v>
      </c>
      <c r="D3762" s="1076" t="str">
        <f>Elec_Rates!$D$486</f>
        <v>058# General Power Point in LSZH Conduit</v>
      </c>
      <c r="E3762" s="1076"/>
      <c r="F3762" s="1076"/>
      <c r="G3762" s="1077" t="s">
        <v>1008</v>
      </c>
      <c r="H3762" s="1077"/>
      <c r="I3762" s="1077"/>
      <c r="J3762" s="1077"/>
      <c r="K3762" s="1078"/>
      <c r="L3762" s="1073"/>
      <c r="M3762" s="1073"/>
      <c r="N3762" s="1073"/>
      <c r="O3762" s="1079"/>
      <c r="P3762" s="1076"/>
      <c r="Q3762" s="1080">
        <f ca="1">$B3762*Elec_Rates!$R$486</f>
        <v>13.92</v>
      </c>
      <c r="R3762" s="1071">
        <f ca="1">$A3762*Q3762</f>
        <v>69.599999999999994</v>
      </c>
      <c r="S3762" s="1080">
        <f ca="1">$B3762*Elec_Rates!$T$486</f>
        <v>1.43</v>
      </c>
      <c r="T3762" s="1072">
        <f ca="1">$A3762*S3762</f>
        <v>7.1499999999999995</v>
      </c>
      <c r="U3762" s="1081"/>
    </row>
    <row r="3763" spans="1:41" s="1039" customFormat="1" ht="13.2">
      <c r="A3763" s="112">
        <v>5</v>
      </c>
      <c r="B3763" s="1039" t="s">
        <v>949</v>
      </c>
      <c r="D3763" s="1039" t="s">
        <v>1234</v>
      </c>
      <c r="G3763" s="1040" t="s">
        <v>1231</v>
      </c>
      <c r="H3763" s="1041">
        <v>705</v>
      </c>
      <c r="I3763" s="1039" t="s">
        <v>1183</v>
      </c>
      <c r="J3763" s="1039" t="s">
        <v>1232</v>
      </c>
      <c r="O3763" s="1042">
        <v>3</v>
      </c>
      <c r="P3763" s="1043">
        <v>34669</v>
      </c>
      <c r="Q3763" s="1044">
        <v>4.75</v>
      </c>
      <c r="R3763" s="1045">
        <f>$A3763*Q3763</f>
        <v>23.75</v>
      </c>
      <c r="S3763" s="1044">
        <v>0.17</v>
      </c>
      <c r="T3763" s="1046">
        <f>$A3763*S3763*$T$1</f>
        <v>0.89250000000000018</v>
      </c>
    </row>
    <row r="3764" spans="1:41" s="504" customFormat="1" ht="12">
      <c r="A3764" s="882"/>
      <c r="B3764" s="882"/>
      <c r="C3764" s="882"/>
      <c r="D3764" s="882"/>
      <c r="E3764" s="882"/>
      <c r="F3764" s="877"/>
      <c r="G3764" s="882"/>
      <c r="H3764" s="882"/>
      <c r="I3764" s="503"/>
      <c r="J3764" s="882"/>
      <c r="K3764" s="882"/>
      <c r="L3764" s="882"/>
      <c r="M3764" s="882"/>
      <c r="N3764" s="882"/>
      <c r="O3764" s="882"/>
      <c r="P3764" s="882"/>
      <c r="Q3764" s="503"/>
      <c r="R3764" s="883">
        <f>$A3764*Q3764</f>
        <v>0</v>
      </c>
      <c r="S3764" s="503"/>
      <c r="T3764" s="884">
        <f>$A3764*S3764*$T$1</f>
        <v>0</v>
      </c>
    </row>
    <row r="3765" spans="1:41" s="504" customFormat="1" ht="12.6" thickBot="1">
      <c r="A3765" s="885" t="s">
        <v>142</v>
      </c>
      <c r="B3765" s="886">
        <f>(R3764+T3764)</f>
        <v>0</v>
      </c>
      <c r="C3765" s="887"/>
      <c r="D3765" s="887"/>
      <c r="E3765" s="887"/>
      <c r="F3765" s="888"/>
      <c r="G3765" s="887" t="s">
        <v>143</v>
      </c>
      <c r="H3765" s="887"/>
      <c r="I3765" s="889"/>
      <c r="J3765" s="887"/>
      <c r="K3765" s="887" t="s">
        <v>3</v>
      </c>
      <c r="L3765" s="890" t="s">
        <v>140</v>
      </c>
      <c r="M3765" s="890"/>
      <c r="N3765" s="890"/>
      <c r="O3765" s="890"/>
      <c r="P3765" s="890"/>
      <c r="Q3765" s="891"/>
      <c r="R3765" s="892">
        <f ca="1">SUM(R3760:R3764)</f>
        <v>93.35</v>
      </c>
      <c r="S3765" s="887"/>
      <c r="T3765" s="892">
        <f ca="1">SUM(T3760:T3764)</f>
        <v>8.0425000000000004</v>
      </c>
      <c r="U3765" s="514"/>
      <c r="V3765" s="514"/>
      <c r="W3765" s="514"/>
      <c r="X3765" s="514"/>
      <c r="Y3765" s="514"/>
      <c r="Z3765" s="514"/>
      <c r="AA3765" s="514"/>
      <c r="AB3765" s="514"/>
      <c r="AC3765" s="514"/>
      <c r="AD3765" s="514"/>
      <c r="AE3765" s="514"/>
      <c r="AF3765" s="514"/>
      <c r="AG3765" s="514"/>
      <c r="AH3765" s="514"/>
      <c r="AI3765" s="514"/>
      <c r="AJ3765" s="514"/>
      <c r="AK3765" s="514"/>
      <c r="AL3765" s="514"/>
      <c r="AM3765" s="514"/>
      <c r="AN3765" s="514"/>
      <c r="AO3765" s="514"/>
    </row>
    <row r="3766" spans="1:41" s="504" customFormat="1" ht="12" thickTop="1">
      <c r="A3766" s="50"/>
      <c r="B3766" s="40"/>
      <c r="C3766" s="50"/>
      <c r="E3766" s="41" t="s">
        <v>136</v>
      </c>
      <c r="F3766" s="41" t="s">
        <v>137</v>
      </c>
      <c r="G3766" s="50"/>
      <c r="H3766" s="50"/>
      <c r="I3766" s="50"/>
      <c r="J3766" s="50"/>
      <c r="K3766" s="50" t="s">
        <v>138</v>
      </c>
      <c r="L3766" s="50"/>
      <c r="M3766" s="50"/>
      <c r="N3766" s="50"/>
      <c r="O3766" s="51"/>
      <c r="P3766" s="50"/>
      <c r="Q3766" s="50"/>
      <c r="R3766" s="50"/>
      <c r="S3766" s="50"/>
      <c r="T3766" s="40"/>
      <c r="AG3766" s="867" t="s">
        <v>241</v>
      </c>
      <c r="AH3766" s="867" t="s">
        <v>242</v>
      </c>
      <c r="AI3766" s="867" t="s">
        <v>243</v>
      </c>
      <c r="AJ3766" s="867" t="s">
        <v>244</v>
      </c>
      <c r="AK3766" s="867" t="s">
        <v>245</v>
      </c>
      <c r="AM3766" s="868" t="s">
        <v>254</v>
      </c>
      <c r="AN3766" s="869" t="s">
        <v>255</v>
      </c>
      <c r="AO3766" s="505" t="s">
        <v>251</v>
      </c>
    </row>
    <row r="3767" spans="1:41" s="504" customFormat="1" ht="12" customHeight="1">
      <c r="A3767" s="870">
        <v>6</v>
      </c>
      <c r="B3767" s="871" t="s">
        <v>335</v>
      </c>
      <c r="C3767" s="872"/>
      <c r="D3767" s="873" t="s">
        <v>808</v>
      </c>
      <c r="E3767" s="874">
        <f ca="1">IF(AND($A3767=0,$A$1="DIF"),0, ROUND(ROUND(($R3773*$S$2+($T3773*$T$2))/A3767,2)*$C$2,2))</f>
        <v>119.8</v>
      </c>
      <c r="F3767" s="875">
        <f ca="1">ROUND($A3767*$E3767,2)</f>
        <v>718.8</v>
      </c>
      <c r="G3767" s="876" t="s">
        <v>139</v>
      </c>
      <c r="H3767" s="877"/>
      <c r="I3767" s="878"/>
      <c r="J3767" s="877"/>
      <c r="K3767" s="877" t="s">
        <v>3</v>
      </c>
      <c r="L3767" s="879" t="s">
        <v>140</v>
      </c>
      <c r="M3767" s="879"/>
      <c r="N3767" s="879"/>
      <c r="O3767" s="879"/>
      <c r="P3767" s="879"/>
      <c r="Q3767" s="50"/>
      <c r="T3767" s="880" t="str">
        <f ca="1">IF(AND($R3773=0,$T3773=0),"0.00","mu :" &amp; ROUND($F3767/$C$2/($R3773+$T3773*$D$9),2))</f>
        <v>mu :1.22</v>
      </c>
      <c r="W3767" s="507"/>
      <c r="AG3767" s="465">
        <f ca="1">IF($E3767=0,0,ROUND($R3773*$S$2*$C$2/$A3767,2))</f>
        <v>63.22</v>
      </c>
      <c r="AH3767" s="465">
        <f ca="1">$AG3767*$A3767</f>
        <v>379.32</v>
      </c>
      <c r="AI3767" s="508">
        <f ca="1">$E3767-$AG3767</f>
        <v>56.58</v>
      </c>
      <c r="AJ3767" s="508">
        <f ca="1">$A3767*$AI3767</f>
        <v>339.48</v>
      </c>
      <c r="AK3767" s="509">
        <f ca="1">ROUND(($AG3767+$AI3767)*$A3767,2)</f>
        <v>718.8</v>
      </c>
      <c r="AM3767" s="510">
        <f ca="1">ROUND(R3773,2)</f>
        <v>310.92</v>
      </c>
      <c r="AN3767" s="511">
        <f ca="1">ROUND(T3773,2)</f>
        <v>9.65</v>
      </c>
      <c r="AO3767" s="512">
        <f ca="1">ROUND(AM3767+AN3767,2)*A3767</f>
        <v>1923.42</v>
      </c>
    </row>
    <row r="3768" spans="1:41" s="504" customFormat="1" ht="13.2">
      <c r="A3768" s="872"/>
      <c r="B3768"/>
      <c r="C3768" s="872"/>
      <c r="D3768" s="873" t="s">
        <v>426</v>
      </c>
      <c r="F3768" s="877"/>
      <c r="G3768" s="3"/>
      <c r="H3768" s="877"/>
      <c r="I3768" s="878"/>
      <c r="J3768" s="877"/>
      <c r="K3768" s="877" t="s">
        <v>141</v>
      </c>
      <c r="L3768" s="877"/>
      <c r="M3768" s="877"/>
      <c r="N3768" s="877"/>
      <c r="O3768" s="877"/>
      <c r="P3768" s="877"/>
      <c r="Q3768" s="50"/>
      <c r="R3768" s="513"/>
      <c r="S3768" s="881"/>
      <c r="T3768" s="877"/>
    </row>
    <row r="3769" spans="1:41" s="997" customFormat="1" ht="13.2">
      <c r="A3769"/>
      <c r="B3769" s="1065"/>
      <c r="C3769" s="1065" t="s">
        <v>1006</v>
      </c>
      <c r="D3769" s="1065" t="str">
        <f ca="1">CELL("Address",Elec_Rates!D$486)</f>
        <v>[EL25_0662B_Brittania_Hotel_Elec_Revised_Estim_B.xlsx]Elec_Rates!$D$486</v>
      </c>
      <c r="E3769" s="1066"/>
      <c r="F3769" s="1066"/>
      <c r="G3769" s="1067" t="s">
        <v>1007</v>
      </c>
      <c r="H3769" s="1067"/>
      <c r="I3769" s="1067"/>
      <c r="J3769" s="1067"/>
      <c r="K3769" s="1068"/>
      <c r="L3769" s="1066"/>
      <c r="M3769" s="1066"/>
      <c r="N3769" s="1066"/>
      <c r="O3769" s="1069"/>
      <c r="P3769" s="1066"/>
      <c r="Q3769" s="1070"/>
      <c r="R3769" s="1071"/>
      <c r="S3769" s="1070"/>
      <c r="T3769" s="1072"/>
      <c r="U3769" s="1073"/>
    </row>
    <row r="3770" spans="1:41" s="997" customFormat="1" ht="11.4">
      <c r="A3770" s="1074">
        <v>6</v>
      </c>
      <c r="B3770" s="1075">
        <v>1</v>
      </c>
      <c r="C3770" s="1075">
        <f>$A3770*$B3770</f>
        <v>6</v>
      </c>
      <c r="D3770" s="1076" t="str">
        <f>Elec_Rates!$D$486</f>
        <v>058# General Power Point in LSZH Conduit</v>
      </c>
      <c r="E3770" s="1076"/>
      <c r="F3770" s="1076"/>
      <c r="G3770" s="1077" t="s">
        <v>1008</v>
      </c>
      <c r="H3770" s="1077"/>
      <c r="I3770" s="1077"/>
      <c r="J3770" s="1077"/>
      <c r="K3770" s="1078"/>
      <c r="L3770" s="1073"/>
      <c r="M3770" s="1073"/>
      <c r="N3770" s="1073"/>
      <c r="O3770" s="1079"/>
      <c r="P3770" s="1076"/>
      <c r="Q3770" s="1080">
        <f ca="1">$B3770*Elec_Rates!$R$486</f>
        <v>13.92</v>
      </c>
      <c r="R3770" s="1071">
        <f ca="1">$A3770*Q3770</f>
        <v>83.52</v>
      </c>
      <c r="S3770" s="1080">
        <f ca="1">$B3770*Elec_Rates!$T$486</f>
        <v>1.43</v>
      </c>
      <c r="T3770" s="1072">
        <f ca="1">$A3770*S3770</f>
        <v>8.58</v>
      </c>
      <c r="U3770" s="1081"/>
    </row>
    <row r="3771" spans="1:41" s="1039" customFormat="1" ht="13.2">
      <c r="A3771" s="112">
        <v>6</v>
      </c>
      <c r="B3771" s="1039" t="s">
        <v>949</v>
      </c>
      <c r="D3771" s="1039" t="s">
        <v>426</v>
      </c>
      <c r="G3771" s="1040" t="s">
        <v>1231</v>
      </c>
      <c r="H3771" s="1041">
        <v>705</v>
      </c>
      <c r="I3771" s="1039" t="s">
        <v>1183</v>
      </c>
      <c r="J3771" s="1039" t="s">
        <v>1232</v>
      </c>
      <c r="O3771" s="1042">
        <v>3</v>
      </c>
      <c r="P3771" s="1043">
        <v>34669</v>
      </c>
      <c r="Q3771" s="1044">
        <v>37.9</v>
      </c>
      <c r="R3771" s="1045">
        <f>$A3771*Q3771</f>
        <v>227.39999999999998</v>
      </c>
      <c r="S3771" s="1044">
        <v>0.17</v>
      </c>
      <c r="T3771" s="1046">
        <f>$A3771*S3771*$T$1</f>
        <v>1.0710000000000002</v>
      </c>
    </row>
    <row r="3772" spans="1:41" s="504" customFormat="1" ht="12">
      <c r="A3772" s="882"/>
      <c r="B3772" s="882"/>
      <c r="C3772" s="882"/>
      <c r="D3772" s="882"/>
      <c r="E3772" s="882"/>
      <c r="F3772" s="877"/>
      <c r="G3772" s="882"/>
      <c r="H3772" s="882"/>
      <c r="I3772" s="503"/>
      <c r="J3772" s="882"/>
      <c r="K3772" s="882"/>
      <c r="L3772" s="882"/>
      <c r="M3772" s="882"/>
      <c r="N3772" s="882"/>
      <c r="O3772" s="882"/>
      <c r="P3772" s="882"/>
      <c r="Q3772" s="503"/>
      <c r="R3772" s="883">
        <f>$A3772*Q3772</f>
        <v>0</v>
      </c>
      <c r="S3772" s="503"/>
      <c r="T3772" s="884">
        <f>$A3772*S3772*$T$1</f>
        <v>0</v>
      </c>
    </row>
    <row r="3773" spans="1:41" s="504" customFormat="1" ht="12.6" thickBot="1">
      <c r="A3773" s="885" t="s">
        <v>142</v>
      </c>
      <c r="B3773" s="886">
        <f>(R3772+T3772)</f>
        <v>0</v>
      </c>
      <c r="C3773" s="887"/>
      <c r="D3773" s="887"/>
      <c r="E3773" s="887"/>
      <c r="F3773" s="888"/>
      <c r="G3773" s="887" t="s">
        <v>143</v>
      </c>
      <c r="H3773" s="887"/>
      <c r="I3773" s="889"/>
      <c r="J3773" s="887"/>
      <c r="K3773" s="887" t="s">
        <v>3</v>
      </c>
      <c r="L3773" s="890" t="s">
        <v>140</v>
      </c>
      <c r="M3773" s="890"/>
      <c r="N3773" s="890"/>
      <c r="O3773" s="890"/>
      <c r="P3773" s="890"/>
      <c r="Q3773" s="891"/>
      <c r="R3773" s="892">
        <f ca="1">SUM(R3768:R3772)</f>
        <v>310.91999999999996</v>
      </c>
      <c r="S3773" s="887"/>
      <c r="T3773" s="892">
        <f ca="1">SUM(T3768:T3772)</f>
        <v>9.6509999999999998</v>
      </c>
      <c r="U3773" s="514"/>
      <c r="V3773" s="514"/>
      <c r="W3773" s="514"/>
      <c r="X3773" s="514"/>
      <c r="Y3773" s="514"/>
      <c r="Z3773" s="514"/>
      <c r="AA3773" s="514"/>
      <c r="AB3773" s="514"/>
      <c r="AC3773" s="514"/>
      <c r="AD3773" s="514"/>
      <c r="AE3773" s="514"/>
      <c r="AF3773" s="514"/>
      <c r="AG3773" s="514"/>
      <c r="AH3773" s="514"/>
      <c r="AI3773" s="514"/>
      <c r="AJ3773" s="514"/>
      <c r="AK3773" s="514"/>
      <c r="AL3773" s="514"/>
      <c r="AM3773" s="514"/>
      <c r="AN3773" s="514"/>
      <c r="AO3773" s="514"/>
    </row>
    <row r="3774" spans="1:41" s="504" customFormat="1" ht="12" thickTop="1">
      <c r="A3774" s="50"/>
      <c r="B3774" s="40"/>
      <c r="C3774" s="50"/>
      <c r="E3774" s="41" t="s">
        <v>136</v>
      </c>
      <c r="F3774" s="41" t="s">
        <v>137</v>
      </c>
      <c r="G3774" s="50"/>
      <c r="H3774" s="50"/>
      <c r="I3774" s="50"/>
      <c r="J3774" s="50"/>
      <c r="K3774" s="50" t="s">
        <v>138</v>
      </c>
      <c r="L3774" s="50"/>
      <c r="M3774" s="50"/>
      <c r="N3774" s="50"/>
      <c r="O3774" s="51"/>
      <c r="P3774" s="50"/>
      <c r="Q3774" s="50"/>
      <c r="R3774" s="50"/>
      <c r="S3774" s="50"/>
      <c r="T3774" s="40"/>
      <c r="AG3774" s="867" t="s">
        <v>241</v>
      </c>
      <c r="AH3774" s="867" t="s">
        <v>242</v>
      </c>
      <c r="AI3774" s="867" t="s">
        <v>243</v>
      </c>
      <c r="AJ3774" s="867" t="s">
        <v>244</v>
      </c>
      <c r="AK3774" s="867" t="s">
        <v>245</v>
      </c>
      <c r="AM3774" s="868" t="s">
        <v>254</v>
      </c>
      <c r="AN3774" s="869" t="s">
        <v>255</v>
      </c>
      <c r="AO3774" s="505" t="s">
        <v>251</v>
      </c>
    </row>
    <row r="3775" spans="1:41" s="504" customFormat="1" ht="12" customHeight="1">
      <c r="A3775" s="870">
        <v>6</v>
      </c>
      <c r="B3775" s="871" t="s">
        <v>335</v>
      </c>
      <c r="C3775" s="872"/>
      <c r="D3775" s="873" t="s">
        <v>810</v>
      </c>
      <c r="E3775" s="874">
        <f ca="1">IF(AND($A3775=0,$A$1="DIF"),0, ROUND(ROUND(($R3781*$S$2+($T3781*$T$2))/A3775,2)*$C$2,2))</f>
        <v>119.8</v>
      </c>
      <c r="F3775" s="875">
        <f ca="1">ROUND($A3775*$E3775,2)</f>
        <v>718.8</v>
      </c>
      <c r="G3775" s="876" t="s">
        <v>139</v>
      </c>
      <c r="H3775" s="877"/>
      <c r="I3775" s="878"/>
      <c r="J3775" s="877"/>
      <c r="K3775" s="877" t="s">
        <v>3</v>
      </c>
      <c r="L3775" s="879" t="s">
        <v>140</v>
      </c>
      <c r="M3775" s="879"/>
      <c r="N3775" s="879"/>
      <c r="O3775" s="879"/>
      <c r="P3775" s="879"/>
      <c r="Q3775" s="50"/>
      <c r="T3775" s="880" t="str">
        <f ca="1">IF(AND($R3781=0,$T3781=0),"0.00","mu :" &amp; ROUND($F3775/$C$2/($R3781+$T3781*$D$9),2))</f>
        <v>mu :1.22</v>
      </c>
      <c r="W3775" s="507"/>
      <c r="AG3775" s="465">
        <f ca="1">IF($E3775=0,0,ROUND($R3781*$S$2*$C$2/$A3775,2))</f>
        <v>63.22</v>
      </c>
      <c r="AH3775" s="465">
        <f ca="1">$AG3775*$A3775</f>
        <v>379.32</v>
      </c>
      <c r="AI3775" s="508">
        <f ca="1">$E3775-$AG3775</f>
        <v>56.58</v>
      </c>
      <c r="AJ3775" s="508">
        <f ca="1">$A3775*$AI3775</f>
        <v>339.48</v>
      </c>
      <c r="AK3775" s="509">
        <f ca="1">ROUND(($AG3775+$AI3775)*$A3775,2)</f>
        <v>718.8</v>
      </c>
      <c r="AM3775" s="510">
        <f ca="1">ROUND(R3781,2)</f>
        <v>310.92</v>
      </c>
      <c r="AN3775" s="511">
        <f ca="1">ROUND(T3781,2)</f>
        <v>9.65</v>
      </c>
      <c r="AO3775" s="512">
        <f ca="1">ROUND(AM3775+AN3775,2)*A3775</f>
        <v>1923.42</v>
      </c>
    </row>
    <row r="3776" spans="1:41" s="504" customFormat="1" ht="13.2">
      <c r="A3776" s="872"/>
      <c r="B3776"/>
      <c r="C3776" s="872"/>
      <c r="D3776" s="916" t="s">
        <v>427</v>
      </c>
      <c r="E3776" s="917"/>
      <c r="F3776" s="918"/>
      <c r="G3776" s="919"/>
      <c r="H3776" s="918"/>
      <c r="I3776" s="920"/>
      <c r="J3776" s="918"/>
      <c r="K3776" s="918" t="s">
        <v>141</v>
      </c>
      <c r="L3776" s="918"/>
      <c r="M3776" s="918"/>
      <c r="N3776" s="918"/>
      <c r="O3776" s="918"/>
      <c r="P3776" s="918"/>
      <c r="Q3776" s="921"/>
      <c r="R3776" s="513"/>
      <c r="S3776" s="881"/>
      <c r="T3776" s="877"/>
    </row>
    <row r="3777" spans="1:41" s="997" customFormat="1" ht="13.2">
      <c r="A3777"/>
      <c r="B3777" s="1065"/>
      <c r="C3777" s="1065" t="s">
        <v>1006</v>
      </c>
      <c r="D3777" s="1065" t="str">
        <f ca="1">CELL("Address",Elec_Rates!D$486)</f>
        <v>[EL25_0662B_Brittania_Hotel_Elec_Revised_Estim_B.xlsx]Elec_Rates!$D$486</v>
      </c>
      <c r="E3777" s="1066"/>
      <c r="F3777" s="1066"/>
      <c r="G3777" s="1067" t="s">
        <v>1007</v>
      </c>
      <c r="H3777" s="1067"/>
      <c r="I3777" s="1067"/>
      <c r="J3777" s="1067"/>
      <c r="K3777" s="1068"/>
      <c r="L3777" s="1066"/>
      <c r="M3777" s="1066"/>
      <c r="N3777" s="1066"/>
      <c r="O3777" s="1069"/>
      <c r="P3777" s="1066"/>
      <c r="Q3777" s="1070"/>
      <c r="R3777" s="1071"/>
      <c r="S3777" s="1070"/>
      <c r="T3777" s="1072"/>
      <c r="U3777" s="1073"/>
    </row>
    <row r="3778" spans="1:41" s="997" customFormat="1" ht="11.4">
      <c r="A3778" s="1074">
        <v>6</v>
      </c>
      <c r="B3778" s="1075">
        <v>1</v>
      </c>
      <c r="C3778" s="1075">
        <f>$A3778*$B3778</f>
        <v>6</v>
      </c>
      <c r="D3778" s="1076" t="str">
        <f>Elec_Rates!$D$486</f>
        <v>058# General Power Point in LSZH Conduit</v>
      </c>
      <c r="E3778" s="1076"/>
      <c r="F3778" s="1076"/>
      <c r="G3778" s="1077" t="s">
        <v>1008</v>
      </c>
      <c r="H3778" s="1077"/>
      <c r="I3778" s="1077"/>
      <c r="J3778" s="1077"/>
      <c r="K3778" s="1078"/>
      <c r="L3778" s="1073"/>
      <c r="M3778" s="1073"/>
      <c r="N3778" s="1073"/>
      <c r="O3778" s="1079"/>
      <c r="P3778" s="1076"/>
      <c r="Q3778" s="1080">
        <f ca="1">$B3778*Elec_Rates!$R$486</f>
        <v>13.92</v>
      </c>
      <c r="R3778" s="1071">
        <f ca="1">$A3778*Q3778</f>
        <v>83.52</v>
      </c>
      <c r="S3778" s="1080">
        <f ca="1">$B3778*Elec_Rates!$T$486</f>
        <v>1.43</v>
      </c>
      <c r="T3778" s="1072">
        <f ca="1">$A3778*S3778</f>
        <v>8.58</v>
      </c>
      <c r="U3778" s="1081"/>
    </row>
    <row r="3779" spans="1:41" s="1039" customFormat="1" ht="13.2">
      <c r="A3779" s="112">
        <v>6</v>
      </c>
      <c r="B3779" s="1039" t="s">
        <v>949</v>
      </c>
      <c r="D3779" s="1039" t="s">
        <v>427</v>
      </c>
      <c r="G3779" s="1040" t="s">
        <v>1231</v>
      </c>
      <c r="H3779" s="1041">
        <v>705</v>
      </c>
      <c r="I3779" s="1039" t="s">
        <v>1183</v>
      </c>
      <c r="J3779" s="1039" t="s">
        <v>1232</v>
      </c>
      <c r="O3779" s="1042">
        <v>3</v>
      </c>
      <c r="P3779" s="1043">
        <v>34669</v>
      </c>
      <c r="Q3779" s="1044">
        <v>37.9</v>
      </c>
      <c r="R3779" s="1045">
        <f>$A3779*Q3779</f>
        <v>227.39999999999998</v>
      </c>
      <c r="S3779" s="1044">
        <v>0.17</v>
      </c>
      <c r="T3779" s="1046">
        <f>$A3779*S3779*$T$1</f>
        <v>1.0710000000000002</v>
      </c>
    </row>
    <row r="3780" spans="1:41" s="504" customFormat="1" ht="12">
      <c r="A3780" s="882"/>
      <c r="B3780" s="882"/>
      <c r="C3780" s="882"/>
      <c r="D3780" s="882"/>
      <c r="E3780" s="882"/>
      <c r="F3780" s="877"/>
      <c r="G3780" s="882"/>
      <c r="H3780" s="882"/>
      <c r="I3780" s="503"/>
      <c r="J3780" s="882"/>
      <c r="K3780" s="882"/>
      <c r="L3780" s="882"/>
      <c r="M3780" s="882"/>
      <c r="N3780" s="882"/>
      <c r="O3780" s="882"/>
      <c r="P3780" s="882"/>
      <c r="Q3780" s="503"/>
      <c r="R3780" s="883">
        <f>$A3780*Q3780</f>
        <v>0</v>
      </c>
      <c r="S3780" s="503"/>
      <c r="T3780" s="884">
        <f>$A3780*S3780*$T$1</f>
        <v>0</v>
      </c>
    </row>
    <row r="3781" spans="1:41" s="504" customFormat="1" ht="12.6" thickBot="1">
      <c r="A3781" s="885" t="s">
        <v>142</v>
      </c>
      <c r="B3781" s="886">
        <f>(R3780+T3780)</f>
        <v>0</v>
      </c>
      <c r="C3781" s="887"/>
      <c r="D3781" s="887"/>
      <c r="E3781" s="887"/>
      <c r="F3781" s="888"/>
      <c r="G3781" s="887" t="s">
        <v>143</v>
      </c>
      <c r="H3781" s="887"/>
      <c r="I3781" s="889"/>
      <c r="J3781" s="887"/>
      <c r="K3781" s="887" t="s">
        <v>3</v>
      </c>
      <c r="L3781" s="890" t="s">
        <v>140</v>
      </c>
      <c r="M3781" s="890"/>
      <c r="N3781" s="890"/>
      <c r="O3781" s="890"/>
      <c r="P3781" s="890"/>
      <c r="Q3781" s="891"/>
      <c r="R3781" s="892">
        <f ca="1">SUM(R3776:R3780)</f>
        <v>310.91999999999996</v>
      </c>
      <c r="S3781" s="887"/>
      <c r="T3781" s="892">
        <f ca="1">SUM(T3776:T3780)</f>
        <v>9.6509999999999998</v>
      </c>
      <c r="U3781" s="514"/>
      <c r="V3781" s="514"/>
      <c r="W3781" s="514"/>
      <c r="X3781" s="514"/>
      <c r="Y3781" s="514"/>
      <c r="Z3781" s="514"/>
      <c r="AA3781" s="514"/>
      <c r="AB3781" s="514"/>
      <c r="AC3781" s="514"/>
      <c r="AD3781" s="514"/>
      <c r="AE3781" s="514"/>
      <c r="AF3781" s="514"/>
      <c r="AG3781" s="514"/>
      <c r="AH3781" s="514"/>
      <c r="AI3781" s="514"/>
      <c r="AJ3781" s="514"/>
      <c r="AK3781" s="514"/>
      <c r="AL3781" s="514"/>
      <c r="AM3781" s="514"/>
      <c r="AN3781" s="514"/>
      <c r="AO3781" s="514"/>
    </row>
    <row r="3782" spans="1:41" s="504" customFormat="1" ht="12" thickTop="1">
      <c r="A3782" s="50"/>
      <c r="B3782" s="40"/>
      <c r="C3782" s="50"/>
      <c r="E3782" s="41" t="s">
        <v>136</v>
      </c>
      <c r="F3782" s="41" t="s">
        <v>137</v>
      </c>
      <c r="G3782" s="50"/>
      <c r="H3782" s="50"/>
      <c r="I3782" s="50"/>
      <c r="J3782" s="50"/>
      <c r="K3782" s="50" t="s">
        <v>138</v>
      </c>
      <c r="L3782" s="50"/>
      <c r="M3782" s="50"/>
      <c r="N3782" s="50"/>
      <c r="O3782" s="51"/>
      <c r="P3782" s="50"/>
      <c r="Q3782" s="50"/>
      <c r="R3782" s="50"/>
      <c r="S3782" s="50"/>
      <c r="T3782" s="40"/>
      <c r="AG3782" s="867" t="s">
        <v>241</v>
      </c>
      <c r="AH3782" s="867" t="s">
        <v>242</v>
      </c>
      <c r="AI3782" s="867" t="s">
        <v>243</v>
      </c>
      <c r="AJ3782" s="867" t="s">
        <v>244</v>
      </c>
      <c r="AK3782" s="867" t="s">
        <v>245</v>
      </c>
      <c r="AM3782" s="868" t="s">
        <v>254</v>
      </c>
      <c r="AN3782" s="869" t="s">
        <v>255</v>
      </c>
      <c r="AO3782" s="505" t="s">
        <v>251</v>
      </c>
    </row>
    <row r="3783" spans="1:41" s="504" customFormat="1" ht="12" customHeight="1">
      <c r="A3783" s="870">
        <v>4</v>
      </c>
      <c r="B3783" s="871" t="s">
        <v>335</v>
      </c>
      <c r="C3783" s="872"/>
      <c r="D3783" s="873" t="s">
        <v>812</v>
      </c>
      <c r="E3783" s="874">
        <f ca="1">IF(AND($A3783=0,$A$1="DIF"),0, ROUND(ROUND(($R3789*$S$2+($T3789*$T$2))/A3783,2)*$C$2,2))</f>
        <v>115.17</v>
      </c>
      <c r="F3783" s="875">
        <f ca="1">ROUND($A3783*$E3783,2)</f>
        <v>460.68</v>
      </c>
      <c r="G3783" s="876" t="s">
        <v>139</v>
      </c>
      <c r="H3783" s="877"/>
      <c r="I3783" s="878"/>
      <c r="J3783" s="877"/>
      <c r="K3783" s="877" t="s">
        <v>3</v>
      </c>
      <c r="L3783" s="879" t="s">
        <v>140</v>
      </c>
      <c r="M3783" s="879"/>
      <c r="N3783" s="879"/>
      <c r="O3783" s="879"/>
      <c r="P3783" s="879"/>
      <c r="Q3783" s="50"/>
      <c r="T3783" s="880" t="str">
        <f ca="1">IF(AND($R3789=0,$T3789=0),"0.00","mu :" &amp; ROUND($F3783/$C$2/($R3789+$T3789*$D$9),2))</f>
        <v>mu :1.22</v>
      </c>
      <c r="W3783" s="507"/>
      <c r="AG3783" s="465">
        <f ca="1">IF($E3783=0,0,ROUND($R3789*$S$2*$C$2/$A3783,2))</f>
        <v>58.58</v>
      </c>
      <c r="AH3783" s="465">
        <f ca="1">$AG3783*$A3783</f>
        <v>234.32</v>
      </c>
      <c r="AI3783" s="508">
        <f ca="1">$E3783-$AG3783</f>
        <v>56.59</v>
      </c>
      <c r="AJ3783" s="508">
        <f ca="1">$A3783*$AI3783</f>
        <v>226.36</v>
      </c>
      <c r="AK3783" s="509">
        <f ca="1">ROUND(($AG3783+$AI3783)*$A3783,2)</f>
        <v>460.68</v>
      </c>
      <c r="AM3783" s="510">
        <f ca="1">ROUND(R3789,2)</f>
        <v>192.08</v>
      </c>
      <c r="AN3783" s="511">
        <f ca="1">ROUND(T3789,2)</f>
        <v>6.43</v>
      </c>
      <c r="AO3783" s="512">
        <f ca="1">ROUND(AM3783+AN3783,2)*A3783</f>
        <v>794.04</v>
      </c>
    </row>
    <row r="3784" spans="1:41" s="504" customFormat="1" ht="13.2">
      <c r="A3784" s="872"/>
      <c r="B3784"/>
      <c r="C3784" s="872"/>
      <c r="D3784" s="873" t="s">
        <v>362</v>
      </c>
      <c r="F3784" s="877"/>
      <c r="G3784" s="3"/>
      <c r="H3784" s="877"/>
      <c r="I3784" s="878"/>
      <c r="J3784" s="877"/>
      <c r="K3784" s="877" t="s">
        <v>141</v>
      </c>
      <c r="L3784" s="877"/>
      <c r="M3784" s="877"/>
      <c r="N3784" s="877"/>
      <c r="O3784" s="877"/>
      <c r="P3784" s="877"/>
      <c r="Q3784" s="50"/>
      <c r="R3784" s="513"/>
      <c r="S3784" s="881"/>
      <c r="T3784" s="877"/>
    </row>
    <row r="3785" spans="1:41" s="997" customFormat="1" ht="13.2">
      <c r="A3785"/>
      <c r="B3785" s="1065"/>
      <c r="C3785" s="1065" t="s">
        <v>1006</v>
      </c>
      <c r="D3785" s="1065" t="str">
        <f ca="1">CELL("Address",Elec_Rates!D$486)</f>
        <v>[EL25_0662B_Brittania_Hotel_Elec_Revised_Estim_B.xlsx]Elec_Rates!$D$486</v>
      </c>
      <c r="E3785" s="1066"/>
      <c r="F3785" s="1066"/>
      <c r="G3785" s="1067" t="s">
        <v>1007</v>
      </c>
      <c r="H3785" s="1067"/>
      <c r="I3785" s="1067"/>
      <c r="J3785" s="1067"/>
      <c r="K3785" s="1068"/>
      <c r="L3785" s="1066"/>
      <c r="M3785" s="1066"/>
      <c r="N3785" s="1066"/>
      <c r="O3785" s="1069"/>
      <c r="P3785" s="1066"/>
      <c r="Q3785" s="1070"/>
      <c r="R3785" s="1071"/>
      <c r="S3785" s="1070"/>
      <c r="T3785" s="1072"/>
      <c r="U3785" s="1073"/>
    </row>
    <row r="3786" spans="1:41" s="997" customFormat="1" ht="11.4">
      <c r="A3786" s="1074">
        <v>4</v>
      </c>
      <c r="B3786" s="1075">
        <v>1</v>
      </c>
      <c r="C3786" s="1075">
        <f>$A3786*$B3786</f>
        <v>4</v>
      </c>
      <c r="D3786" s="1076" t="str">
        <f>Elec_Rates!$D$486</f>
        <v>058# General Power Point in LSZH Conduit</v>
      </c>
      <c r="E3786" s="1076"/>
      <c r="F3786" s="1076"/>
      <c r="G3786" s="1077" t="s">
        <v>1008</v>
      </c>
      <c r="H3786" s="1077"/>
      <c r="I3786" s="1077"/>
      <c r="J3786" s="1077"/>
      <c r="K3786" s="1078"/>
      <c r="L3786" s="1073"/>
      <c r="M3786" s="1073"/>
      <c r="N3786" s="1073"/>
      <c r="O3786" s="1079"/>
      <c r="P3786" s="1076"/>
      <c r="Q3786" s="1080">
        <f ca="1">$B3786*Elec_Rates!$R$486</f>
        <v>13.92</v>
      </c>
      <c r="R3786" s="1071">
        <f ca="1">$A3786*Q3786</f>
        <v>55.68</v>
      </c>
      <c r="S3786" s="1080">
        <f ca="1">$B3786*Elec_Rates!$T$486</f>
        <v>1.43</v>
      </c>
      <c r="T3786" s="1072">
        <f ca="1">$A3786*S3786</f>
        <v>5.72</v>
      </c>
      <c r="U3786" s="1081"/>
    </row>
    <row r="3787" spans="1:41" s="1039" customFormat="1" ht="13.2">
      <c r="A3787" s="112">
        <v>4</v>
      </c>
      <c r="B3787" s="1039" t="s">
        <v>949</v>
      </c>
      <c r="D3787" s="1039" t="s">
        <v>362</v>
      </c>
      <c r="G3787" s="1040" t="s">
        <v>1231</v>
      </c>
      <c r="H3787" s="1041">
        <v>705</v>
      </c>
      <c r="I3787" s="1039" t="s">
        <v>1183</v>
      </c>
      <c r="J3787" s="1039" t="s">
        <v>1232</v>
      </c>
      <c r="O3787" s="1042">
        <v>3</v>
      </c>
      <c r="P3787" s="1043">
        <v>34669</v>
      </c>
      <c r="Q3787" s="1044">
        <v>34.1</v>
      </c>
      <c r="R3787" s="1045">
        <f>$A3787*Q3787</f>
        <v>136.4</v>
      </c>
      <c r="S3787" s="1044">
        <v>0.17</v>
      </c>
      <c r="T3787" s="1046">
        <f>$A3787*S3787*$T$1</f>
        <v>0.71400000000000008</v>
      </c>
    </row>
    <row r="3788" spans="1:41" s="504" customFormat="1" ht="12">
      <c r="A3788" s="882"/>
      <c r="B3788" s="882"/>
      <c r="C3788" s="882"/>
      <c r="D3788" s="882"/>
      <c r="E3788" s="882"/>
      <c r="F3788" s="877"/>
      <c r="G3788" s="882"/>
      <c r="H3788" s="882"/>
      <c r="I3788" s="503"/>
      <c r="J3788" s="882"/>
      <c r="K3788" s="882"/>
      <c r="L3788" s="882"/>
      <c r="M3788" s="882"/>
      <c r="N3788" s="882"/>
      <c r="O3788" s="882"/>
      <c r="P3788" s="882"/>
      <c r="Q3788" s="503"/>
      <c r="R3788" s="883">
        <f>$A3788*Q3788</f>
        <v>0</v>
      </c>
      <c r="S3788" s="503"/>
      <c r="T3788" s="884">
        <f>$A3788*S3788*$T$1</f>
        <v>0</v>
      </c>
    </row>
    <row r="3789" spans="1:41" s="504" customFormat="1" ht="12.6" thickBot="1">
      <c r="A3789" s="885" t="s">
        <v>142</v>
      </c>
      <c r="B3789" s="886">
        <f>(R3788+T3788)</f>
        <v>0</v>
      </c>
      <c r="C3789" s="887"/>
      <c r="D3789" s="887"/>
      <c r="E3789" s="887"/>
      <c r="F3789" s="888"/>
      <c r="G3789" s="887" t="s">
        <v>143</v>
      </c>
      <c r="H3789" s="887"/>
      <c r="I3789" s="889"/>
      <c r="J3789" s="887"/>
      <c r="K3789" s="887" t="s">
        <v>3</v>
      </c>
      <c r="L3789" s="890" t="s">
        <v>140</v>
      </c>
      <c r="M3789" s="890"/>
      <c r="N3789" s="890"/>
      <c r="O3789" s="890"/>
      <c r="P3789" s="890"/>
      <c r="Q3789" s="891"/>
      <c r="R3789" s="892">
        <f ca="1">SUM(R3784:R3788)</f>
        <v>192.08</v>
      </c>
      <c r="S3789" s="887"/>
      <c r="T3789" s="892">
        <f ca="1">SUM(T3784:T3788)</f>
        <v>6.4340000000000002</v>
      </c>
      <c r="U3789" s="514"/>
      <c r="V3789" s="514"/>
      <c r="W3789" s="514"/>
      <c r="X3789" s="514"/>
      <c r="Y3789" s="514"/>
      <c r="Z3789" s="514"/>
      <c r="AA3789" s="514"/>
      <c r="AB3789" s="514"/>
      <c r="AC3789" s="514"/>
      <c r="AD3789" s="514"/>
      <c r="AE3789" s="514"/>
      <c r="AF3789" s="514"/>
      <c r="AG3789" s="514"/>
      <c r="AH3789" s="514"/>
      <c r="AI3789" s="514"/>
      <c r="AJ3789" s="514"/>
      <c r="AK3789" s="514"/>
      <c r="AL3789" s="514"/>
      <c r="AM3789" s="514"/>
      <c r="AN3789" s="514"/>
      <c r="AO3789" s="514"/>
    </row>
    <row r="3790" spans="1:41" s="504" customFormat="1" ht="12" thickTop="1">
      <c r="A3790" s="50"/>
      <c r="B3790" s="40"/>
      <c r="C3790" s="50"/>
      <c r="E3790" s="41" t="s">
        <v>136</v>
      </c>
      <c r="F3790" s="41" t="s">
        <v>137</v>
      </c>
      <c r="G3790" s="50"/>
      <c r="H3790" s="50"/>
      <c r="I3790" s="50"/>
      <c r="J3790" s="50"/>
      <c r="K3790" s="50" t="s">
        <v>138</v>
      </c>
      <c r="L3790" s="50"/>
      <c r="M3790" s="50"/>
      <c r="N3790" s="50"/>
      <c r="O3790" s="51"/>
      <c r="P3790" s="50"/>
      <c r="Q3790" s="50"/>
      <c r="R3790" s="50"/>
      <c r="S3790" s="50"/>
      <c r="T3790" s="40"/>
      <c r="AG3790" s="867" t="s">
        <v>241</v>
      </c>
      <c r="AH3790" s="867" t="s">
        <v>242</v>
      </c>
      <c r="AI3790" s="867" t="s">
        <v>243</v>
      </c>
      <c r="AJ3790" s="867" t="s">
        <v>244</v>
      </c>
      <c r="AK3790" s="867" t="s">
        <v>245</v>
      </c>
      <c r="AM3790" s="868" t="s">
        <v>254</v>
      </c>
      <c r="AN3790" s="869" t="s">
        <v>255</v>
      </c>
      <c r="AO3790" s="505" t="s">
        <v>251</v>
      </c>
    </row>
    <row r="3791" spans="1:41" s="504" customFormat="1" ht="12" customHeight="1">
      <c r="A3791" s="870">
        <v>10</v>
      </c>
      <c r="B3791" s="871" t="s">
        <v>335</v>
      </c>
      <c r="C3791" s="872"/>
      <c r="D3791" s="873" t="s">
        <v>819</v>
      </c>
      <c r="E3791" s="874">
        <f ca="1">IF(AND($A3791=0,$A$1="DIF"),0, ROUND(ROUND(($R3797*$S$2+($T3797*$T$2))/A3791,2)*$C$2,2))</f>
        <v>79.88</v>
      </c>
      <c r="F3791" s="875">
        <f ca="1">ROUND($A3791*$E3791,2)</f>
        <v>798.8</v>
      </c>
      <c r="G3791" s="876" t="s">
        <v>139</v>
      </c>
      <c r="H3791" s="877"/>
      <c r="I3791" s="878"/>
      <c r="J3791" s="877"/>
      <c r="K3791" s="877" t="s">
        <v>3</v>
      </c>
      <c r="L3791" s="879" t="s">
        <v>140</v>
      </c>
      <c r="M3791" s="879"/>
      <c r="N3791" s="879"/>
      <c r="O3791" s="879"/>
      <c r="P3791" s="879"/>
      <c r="Q3791" s="50"/>
      <c r="T3791" s="880" t="str">
        <f ca="1">IF(AND($R3797=0,$T3797=0),"0.00","mu :" &amp; ROUND($F3791/$C$2/($R3797+$T3797*$D$9),2))</f>
        <v>mu :1.22</v>
      </c>
      <c r="W3791" s="507"/>
      <c r="AG3791" s="465">
        <f ca="1">IF($E3791=0,0,ROUND($R3797*$S$2*$C$2/$A3791,2))</f>
        <v>23.3</v>
      </c>
      <c r="AH3791" s="465">
        <f ca="1">$AG3791*$A3791</f>
        <v>233</v>
      </c>
      <c r="AI3791" s="508">
        <f ca="1">$E3791-$AG3791</f>
        <v>56.58</v>
      </c>
      <c r="AJ3791" s="508">
        <f ca="1">$A3791*$AI3791</f>
        <v>565.79999999999995</v>
      </c>
      <c r="AK3791" s="509">
        <f ca="1">ROUND(($AG3791+$AI3791)*$A3791,2)</f>
        <v>798.8</v>
      </c>
      <c r="AM3791" s="510">
        <f ca="1">ROUND(R3797,2)</f>
        <v>191</v>
      </c>
      <c r="AN3791" s="511">
        <f ca="1">ROUND(T3797,2)</f>
        <v>16.09</v>
      </c>
      <c r="AO3791" s="512">
        <f ca="1">ROUND(AM3791+AN3791,2)*A3791</f>
        <v>2070.9</v>
      </c>
    </row>
    <row r="3792" spans="1:41" s="504" customFormat="1" ht="13.2">
      <c r="A3792" s="872"/>
      <c r="B3792"/>
      <c r="C3792" s="872"/>
      <c r="D3792" s="873" t="s">
        <v>363</v>
      </c>
      <c r="F3792" s="877"/>
      <c r="G3792" s="3"/>
      <c r="H3792" s="877"/>
      <c r="I3792" s="878"/>
      <c r="J3792" s="877"/>
      <c r="K3792" s="877" t="s">
        <v>141</v>
      </c>
      <c r="L3792" s="877"/>
      <c r="M3792" s="877"/>
      <c r="N3792" s="877"/>
      <c r="O3792" s="877"/>
      <c r="P3792" s="877"/>
      <c r="Q3792" s="50"/>
      <c r="R3792" s="513"/>
      <c r="S3792" s="881"/>
      <c r="T3792" s="877"/>
    </row>
    <row r="3793" spans="1:41" s="997" customFormat="1" ht="13.2">
      <c r="A3793"/>
      <c r="B3793" s="1065"/>
      <c r="C3793" s="1065" t="s">
        <v>1006</v>
      </c>
      <c r="D3793" s="1065" t="str">
        <f ca="1">CELL("Address",Elec_Rates!D$486)</f>
        <v>[EL25_0662B_Brittania_Hotel_Elec_Revised_Estim_B.xlsx]Elec_Rates!$D$486</v>
      </c>
      <c r="E3793" s="1066"/>
      <c r="F3793" s="1066"/>
      <c r="G3793" s="1067" t="s">
        <v>1007</v>
      </c>
      <c r="H3793" s="1067"/>
      <c r="I3793" s="1067"/>
      <c r="J3793" s="1067"/>
      <c r="K3793" s="1068"/>
      <c r="L3793" s="1066"/>
      <c r="M3793" s="1066"/>
      <c r="N3793" s="1066"/>
      <c r="O3793" s="1069"/>
      <c r="P3793" s="1066"/>
      <c r="Q3793" s="1070"/>
      <c r="R3793" s="1071"/>
      <c r="S3793" s="1070"/>
      <c r="T3793" s="1072"/>
      <c r="U3793" s="1073"/>
    </row>
    <row r="3794" spans="1:41" s="997" customFormat="1" ht="11.4">
      <c r="A3794" s="1074">
        <v>10</v>
      </c>
      <c r="B3794" s="1075">
        <v>1</v>
      </c>
      <c r="C3794" s="1075">
        <f>$A3794*$B3794</f>
        <v>10</v>
      </c>
      <c r="D3794" s="1076" t="str">
        <f>Elec_Rates!$D$486</f>
        <v>058# General Power Point in LSZH Conduit</v>
      </c>
      <c r="E3794" s="1076"/>
      <c r="F3794" s="1076"/>
      <c r="G3794" s="1077" t="s">
        <v>1008</v>
      </c>
      <c r="H3794" s="1077"/>
      <c r="I3794" s="1077"/>
      <c r="J3794" s="1077"/>
      <c r="K3794" s="1078"/>
      <c r="L3794" s="1073"/>
      <c r="M3794" s="1073"/>
      <c r="N3794" s="1073"/>
      <c r="O3794" s="1079"/>
      <c r="P3794" s="1076"/>
      <c r="Q3794" s="1080">
        <f ca="1">$B3794*Elec_Rates!$R$486</f>
        <v>13.92</v>
      </c>
      <c r="R3794" s="1071">
        <f ca="1">$A3794*Q3794</f>
        <v>139.19999999999999</v>
      </c>
      <c r="S3794" s="1080">
        <f ca="1">$B3794*Elec_Rates!$T$486</f>
        <v>1.43</v>
      </c>
      <c r="T3794" s="1072">
        <f ca="1">$A3794*S3794</f>
        <v>14.299999999999999</v>
      </c>
      <c r="U3794" s="1081"/>
    </row>
    <row r="3795" spans="1:41" s="1039" customFormat="1" ht="13.2">
      <c r="A3795" s="112">
        <v>10</v>
      </c>
      <c r="B3795" s="1039" t="s">
        <v>949</v>
      </c>
      <c r="D3795" s="1039" t="s">
        <v>1237</v>
      </c>
      <c r="G3795" s="1040" t="s">
        <v>1231</v>
      </c>
      <c r="H3795" s="1041">
        <v>705</v>
      </c>
      <c r="I3795" s="1039" t="s">
        <v>1183</v>
      </c>
      <c r="J3795" s="1039" t="s">
        <v>1232</v>
      </c>
      <c r="O3795" s="1042">
        <v>3</v>
      </c>
      <c r="P3795" s="1043">
        <v>34669</v>
      </c>
      <c r="Q3795" s="1044">
        <v>5.18</v>
      </c>
      <c r="R3795" s="1045">
        <f>$A3795*Q3795</f>
        <v>51.8</v>
      </c>
      <c r="S3795" s="1044">
        <v>0.17</v>
      </c>
      <c r="T3795" s="1046">
        <f>$A3795*S3795*$T$1</f>
        <v>1.7850000000000004</v>
      </c>
    </row>
    <row r="3796" spans="1:41" s="504" customFormat="1" ht="12">
      <c r="A3796" s="882"/>
      <c r="B3796" s="882"/>
      <c r="C3796" s="882"/>
      <c r="D3796" s="882"/>
      <c r="E3796" s="882"/>
      <c r="F3796" s="877"/>
      <c r="G3796" s="882"/>
      <c r="H3796" s="882"/>
      <c r="I3796" s="503"/>
      <c r="J3796" s="882"/>
      <c r="K3796" s="882"/>
      <c r="L3796" s="882"/>
      <c r="M3796" s="882"/>
      <c r="N3796" s="882"/>
      <c r="O3796" s="882"/>
      <c r="P3796" s="882"/>
      <c r="Q3796" s="503"/>
      <c r="R3796" s="883">
        <f>$A3796*Q3796</f>
        <v>0</v>
      </c>
      <c r="S3796" s="503"/>
      <c r="T3796" s="884">
        <f>$A3796*S3796*$T$1</f>
        <v>0</v>
      </c>
    </row>
    <row r="3797" spans="1:41" s="504" customFormat="1" ht="12.6" thickBot="1">
      <c r="A3797" s="885" t="s">
        <v>142</v>
      </c>
      <c r="B3797" s="886">
        <f>(R3796+T3796)</f>
        <v>0</v>
      </c>
      <c r="C3797" s="887"/>
      <c r="D3797" s="887"/>
      <c r="E3797" s="887"/>
      <c r="F3797" s="888"/>
      <c r="G3797" s="887" t="s">
        <v>143</v>
      </c>
      <c r="H3797" s="887"/>
      <c r="I3797" s="889"/>
      <c r="J3797" s="887"/>
      <c r="K3797" s="887" t="s">
        <v>3</v>
      </c>
      <c r="L3797" s="890" t="s">
        <v>140</v>
      </c>
      <c r="M3797" s="890"/>
      <c r="N3797" s="890"/>
      <c r="O3797" s="890"/>
      <c r="P3797" s="890"/>
      <c r="Q3797" s="891"/>
      <c r="R3797" s="892">
        <f ca="1">SUM(R3792:R3796)</f>
        <v>191</v>
      </c>
      <c r="S3797" s="887"/>
      <c r="T3797" s="892">
        <f ca="1">SUM(T3792:T3796)</f>
        <v>16.085000000000001</v>
      </c>
      <c r="U3797" s="514"/>
      <c r="V3797" s="514"/>
      <c r="W3797" s="514"/>
      <c r="X3797" s="514"/>
      <c r="Y3797" s="514"/>
      <c r="Z3797" s="514"/>
      <c r="AA3797" s="514"/>
      <c r="AB3797" s="514"/>
      <c r="AC3797" s="514"/>
      <c r="AD3797" s="514"/>
      <c r="AE3797" s="514"/>
      <c r="AF3797" s="514"/>
      <c r="AG3797" s="514"/>
      <c r="AH3797" s="514"/>
      <c r="AI3797" s="514"/>
      <c r="AJ3797" s="514"/>
      <c r="AK3797" s="514"/>
      <c r="AL3797" s="514"/>
      <c r="AM3797" s="514"/>
      <c r="AN3797" s="514"/>
      <c r="AO3797" s="514"/>
    </row>
    <row r="3798" spans="1:41" s="504" customFormat="1" ht="12" thickTop="1">
      <c r="A3798" s="50"/>
      <c r="B3798" s="40"/>
      <c r="C3798" s="50"/>
      <c r="E3798" s="41" t="s">
        <v>136</v>
      </c>
      <c r="F3798" s="41" t="s">
        <v>137</v>
      </c>
      <c r="G3798" s="50"/>
      <c r="H3798" s="50"/>
      <c r="I3798" s="50"/>
      <c r="J3798" s="50"/>
      <c r="K3798" s="50" t="s">
        <v>138</v>
      </c>
      <c r="L3798" s="50"/>
      <c r="M3798" s="50"/>
      <c r="N3798" s="50"/>
      <c r="O3798" s="51"/>
      <c r="P3798" s="50"/>
      <c r="Q3798" s="50"/>
      <c r="R3798" s="50"/>
      <c r="S3798" s="50"/>
      <c r="T3798" s="40"/>
      <c r="AG3798" s="867" t="s">
        <v>241</v>
      </c>
      <c r="AH3798" s="867" t="s">
        <v>242</v>
      </c>
      <c r="AI3798" s="867" t="s">
        <v>243</v>
      </c>
      <c r="AJ3798" s="867" t="s">
        <v>244</v>
      </c>
      <c r="AK3798" s="867" t="s">
        <v>245</v>
      </c>
      <c r="AM3798" s="868" t="s">
        <v>254</v>
      </c>
      <c r="AN3798" s="869" t="s">
        <v>255</v>
      </c>
      <c r="AO3798" s="505" t="s">
        <v>251</v>
      </c>
    </row>
    <row r="3799" spans="1:41" s="504" customFormat="1" ht="12" customHeight="1">
      <c r="A3799" s="870">
        <v>3</v>
      </c>
      <c r="B3799" s="871" t="s">
        <v>335</v>
      </c>
      <c r="C3799" s="872"/>
      <c r="D3799" s="873" t="s">
        <v>820</v>
      </c>
      <c r="E3799" s="874">
        <f ca="1">IF(AND($A3799=0,$A$1="DIF"),0, ROUND(ROUND(($R3805*$S$2+($T3805*$T$2))/A3799,2)*$C$2,2))</f>
        <v>79.88</v>
      </c>
      <c r="F3799" s="875">
        <f ca="1">ROUND($A3799*$E3799,2)</f>
        <v>239.64</v>
      </c>
      <c r="G3799" s="876" t="s">
        <v>139</v>
      </c>
      <c r="H3799" s="877"/>
      <c r="I3799" s="878"/>
      <c r="J3799" s="877"/>
      <c r="K3799" s="877" t="s">
        <v>3</v>
      </c>
      <c r="L3799" s="879" t="s">
        <v>140</v>
      </c>
      <c r="M3799" s="879"/>
      <c r="N3799" s="879"/>
      <c r="O3799" s="879"/>
      <c r="P3799" s="879"/>
      <c r="Q3799" s="50"/>
      <c r="T3799" s="880" t="str">
        <f ca="1">IF(AND($R3805=0,$T3805=0),"0.00","mu :" &amp; ROUND($F3799/$C$2/($R3805+$T3805*$D$9),2))</f>
        <v>mu :1.22</v>
      </c>
      <c r="W3799" s="507"/>
      <c r="AG3799" s="465">
        <f ca="1">IF($E3799=0,0,ROUND($R3805*$S$2*$C$2/$A3799,2))</f>
        <v>23.3</v>
      </c>
      <c r="AH3799" s="465">
        <f ca="1">$AG3799*$A3799</f>
        <v>69.900000000000006</v>
      </c>
      <c r="AI3799" s="508">
        <f ca="1">$E3799-$AG3799</f>
        <v>56.58</v>
      </c>
      <c r="AJ3799" s="508">
        <f ca="1">$A3799*$AI3799</f>
        <v>169.74</v>
      </c>
      <c r="AK3799" s="509">
        <f ca="1">ROUND(($AG3799+$AI3799)*$A3799,2)</f>
        <v>239.64</v>
      </c>
      <c r="AM3799" s="510">
        <f ca="1">ROUND(R3805,2)</f>
        <v>57.3</v>
      </c>
      <c r="AN3799" s="511">
        <f ca="1">ROUND(T3805,2)</f>
        <v>4.83</v>
      </c>
      <c r="AO3799" s="512">
        <f ca="1">ROUND(AM3799+AN3799,2)*A3799</f>
        <v>186.39000000000001</v>
      </c>
    </row>
    <row r="3800" spans="1:41" s="504" customFormat="1" ht="13.2">
      <c r="A3800" s="872"/>
      <c r="B3800"/>
      <c r="C3800" s="872"/>
      <c r="D3800" s="873" t="s">
        <v>364</v>
      </c>
      <c r="F3800" s="877"/>
      <c r="G3800" s="3"/>
      <c r="H3800" s="877"/>
      <c r="I3800" s="878"/>
      <c r="J3800" s="877"/>
      <c r="K3800" s="877" t="s">
        <v>141</v>
      </c>
      <c r="L3800" s="877"/>
      <c r="M3800" s="877"/>
      <c r="N3800" s="877"/>
      <c r="O3800" s="877"/>
      <c r="P3800" s="877"/>
      <c r="Q3800" s="50"/>
      <c r="R3800" s="513"/>
      <c r="S3800" s="881"/>
      <c r="T3800" s="877"/>
    </row>
    <row r="3801" spans="1:41" s="997" customFormat="1" ht="13.2">
      <c r="A3801"/>
      <c r="B3801" s="1065"/>
      <c r="C3801" s="1065" t="s">
        <v>1006</v>
      </c>
      <c r="D3801" s="1065" t="str">
        <f ca="1">CELL("Address",Elec_Rates!D$486)</f>
        <v>[EL25_0662B_Brittania_Hotel_Elec_Revised_Estim_B.xlsx]Elec_Rates!$D$486</v>
      </c>
      <c r="E3801" s="1066"/>
      <c r="F3801" s="1066"/>
      <c r="G3801" s="1067" t="s">
        <v>1007</v>
      </c>
      <c r="H3801" s="1067"/>
      <c r="I3801" s="1067"/>
      <c r="J3801" s="1067"/>
      <c r="K3801" s="1068"/>
      <c r="L3801" s="1066"/>
      <c r="M3801" s="1066"/>
      <c r="N3801" s="1066"/>
      <c r="O3801" s="1069"/>
      <c r="P3801" s="1066"/>
      <c r="Q3801" s="1070"/>
      <c r="R3801" s="1071"/>
      <c r="S3801" s="1070"/>
      <c r="T3801" s="1072"/>
      <c r="U3801" s="1073"/>
    </row>
    <row r="3802" spans="1:41" s="997" customFormat="1" ht="11.4">
      <c r="A3802" s="1074">
        <v>3</v>
      </c>
      <c r="B3802" s="1075">
        <v>1</v>
      </c>
      <c r="C3802" s="1075">
        <f>$A3802*$B3802</f>
        <v>3</v>
      </c>
      <c r="D3802" s="1076" t="str">
        <f>Elec_Rates!$D$486</f>
        <v>058# General Power Point in LSZH Conduit</v>
      </c>
      <c r="E3802" s="1076"/>
      <c r="F3802" s="1076"/>
      <c r="G3802" s="1077" t="s">
        <v>1008</v>
      </c>
      <c r="H3802" s="1077"/>
      <c r="I3802" s="1077"/>
      <c r="J3802" s="1077"/>
      <c r="K3802" s="1078"/>
      <c r="L3802" s="1073"/>
      <c r="M3802" s="1073"/>
      <c r="N3802" s="1073"/>
      <c r="O3802" s="1079"/>
      <c r="P3802" s="1076"/>
      <c r="Q3802" s="1080">
        <f ca="1">$B3802*Elec_Rates!$R$486</f>
        <v>13.92</v>
      </c>
      <c r="R3802" s="1071">
        <f ca="1">$A3802*Q3802</f>
        <v>41.76</v>
      </c>
      <c r="S3802" s="1080">
        <f ca="1">$B3802*Elec_Rates!$T$486</f>
        <v>1.43</v>
      </c>
      <c r="T3802" s="1072">
        <f ca="1">$A3802*S3802</f>
        <v>4.29</v>
      </c>
      <c r="U3802" s="1081"/>
    </row>
    <row r="3803" spans="1:41" s="1039" customFormat="1" ht="13.2">
      <c r="A3803" s="112">
        <v>3</v>
      </c>
      <c r="B3803" s="1039" t="s">
        <v>949</v>
      </c>
      <c r="D3803" s="1039" t="s">
        <v>1238</v>
      </c>
      <c r="G3803" s="1040" t="s">
        <v>1231</v>
      </c>
      <c r="H3803" s="1041">
        <v>705</v>
      </c>
      <c r="I3803" s="1039" t="s">
        <v>1183</v>
      </c>
      <c r="J3803" s="1039" t="s">
        <v>1232</v>
      </c>
      <c r="O3803" s="1042">
        <v>3</v>
      </c>
      <c r="P3803" s="1043">
        <v>34669</v>
      </c>
      <c r="Q3803" s="1044">
        <v>5.18</v>
      </c>
      <c r="R3803" s="1045">
        <f>$A3803*Q3803</f>
        <v>15.54</v>
      </c>
      <c r="S3803" s="1044">
        <v>0.17</v>
      </c>
      <c r="T3803" s="1046">
        <f>$A3803*S3803*$T$1</f>
        <v>0.53550000000000009</v>
      </c>
    </row>
    <row r="3804" spans="1:41" s="504" customFormat="1" ht="12">
      <c r="A3804" s="882"/>
      <c r="B3804" s="882"/>
      <c r="C3804" s="882"/>
      <c r="D3804" s="882"/>
      <c r="E3804" s="882"/>
      <c r="F3804" s="877"/>
      <c r="G3804" s="882"/>
      <c r="H3804" s="882"/>
      <c r="I3804" s="503"/>
      <c r="J3804" s="882"/>
      <c r="K3804" s="882"/>
      <c r="L3804" s="882"/>
      <c r="M3804" s="882"/>
      <c r="N3804" s="882"/>
      <c r="O3804" s="882"/>
      <c r="P3804" s="882"/>
      <c r="Q3804" s="503"/>
      <c r="R3804" s="883">
        <f>$A3804*Q3804</f>
        <v>0</v>
      </c>
      <c r="S3804" s="503"/>
      <c r="T3804" s="884">
        <f>$A3804*S3804*$T$1</f>
        <v>0</v>
      </c>
    </row>
    <row r="3805" spans="1:41" s="504" customFormat="1" ht="12.6" thickBot="1">
      <c r="A3805" s="885" t="s">
        <v>142</v>
      </c>
      <c r="B3805" s="886">
        <f>(R3804+T3804)</f>
        <v>0</v>
      </c>
      <c r="C3805" s="887"/>
      <c r="D3805" s="887"/>
      <c r="E3805" s="887"/>
      <c r="F3805" s="888"/>
      <c r="G3805" s="887" t="s">
        <v>143</v>
      </c>
      <c r="H3805" s="887"/>
      <c r="I3805" s="889"/>
      <c r="J3805" s="887"/>
      <c r="K3805" s="887" t="s">
        <v>3</v>
      </c>
      <c r="L3805" s="890" t="s">
        <v>140</v>
      </c>
      <c r="M3805" s="890"/>
      <c r="N3805" s="890"/>
      <c r="O3805" s="890"/>
      <c r="P3805" s="890"/>
      <c r="Q3805" s="891"/>
      <c r="R3805" s="892">
        <f ca="1">SUM(R3800:R3804)</f>
        <v>57.3</v>
      </c>
      <c r="S3805" s="887"/>
      <c r="T3805" s="892">
        <f ca="1">SUM(T3800:T3804)</f>
        <v>4.8254999999999999</v>
      </c>
      <c r="U3805" s="514"/>
      <c r="V3805" s="514"/>
      <c r="W3805" s="514"/>
      <c r="X3805" s="514"/>
      <c r="Y3805" s="514"/>
      <c r="Z3805" s="514"/>
      <c r="AA3805" s="514"/>
      <c r="AB3805" s="514"/>
      <c r="AC3805" s="514"/>
      <c r="AD3805" s="514"/>
      <c r="AE3805" s="514"/>
      <c r="AF3805" s="514"/>
      <c r="AG3805" s="514"/>
      <c r="AH3805" s="514"/>
      <c r="AI3805" s="514"/>
      <c r="AJ3805" s="514"/>
      <c r="AK3805" s="514"/>
      <c r="AL3805" s="514"/>
      <c r="AM3805" s="514"/>
      <c r="AN3805" s="514"/>
      <c r="AO3805" s="514"/>
    </row>
    <row r="3806" spans="1:41" s="504" customFormat="1" ht="12" thickTop="1">
      <c r="A3806" s="50"/>
      <c r="B3806" s="40"/>
      <c r="C3806" s="50"/>
      <c r="E3806" s="41" t="s">
        <v>136</v>
      </c>
      <c r="F3806" s="41" t="s">
        <v>137</v>
      </c>
      <c r="G3806" s="50"/>
      <c r="H3806" s="50"/>
      <c r="I3806" s="50"/>
      <c r="J3806" s="50"/>
      <c r="K3806" s="50" t="s">
        <v>138</v>
      </c>
      <c r="L3806" s="50"/>
      <c r="M3806" s="50"/>
      <c r="N3806" s="50"/>
      <c r="O3806" s="51"/>
      <c r="P3806" s="50"/>
      <c r="Q3806" s="50"/>
      <c r="R3806" s="50"/>
      <c r="S3806" s="50"/>
      <c r="T3806" s="40"/>
      <c r="AG3806" s="867" t="s">
        <v>241</v>
      </c>
      <c r="AH3806" s="867" t="s">
        <v>242</v>
      </c>
      <c r="AI3806" s="867" t="s">
        <v>243</v>
      </c>
      <c r="AJ3806" s="867" t="s">
        <v>244</v>
      </c>
      <c r="AK3806" s="867" t="s">
        <v>245</v>
      </c>
      <c r="AM3806" s="868" t="s">
        <v>254</v>
      </c>
      <c r="AN3806" s="869" t="s">
        <v>255</v>
      </c>
      <c r="AO3806" s="505" t="s">
        <v>251</v>
      </c>
    </row>
    <row r="3807" spans="1:41" s="504" customFormat="1" ht="12" customHeight="1">
      <c r="A3807" s="870">
        <v>1</v>
      </c>
      <c r="B3807" s="871" t="s">
        <v>335</v>
      </c>
      <c r="C3807" s="872"/>
      <c r="D3807" s="873" t="s">
        <v>821</v>
      </c>
      <c r="E3807" s="874">
        <f ca="1">IF(AND($A3807=0,$A$1="DIF"),0, ROUND(ROUND(($R3813*$S$2+($T3813*$T$2))/A3807,2)*$C$2,2))</f>
        <v>80.2</v>
      </c>
      <c r="F3807" s="875">
        <f ca="1">ROUND($A3807*$E3807,2)</f>
        <v>80.2</v>
      </c>
      <c r="G3807" s="876" t="s">
        <v>139</v>
      </c>
      <c r="H3807" s="877"/>
      <c r="I3807" s="878"/>
      <c r="J3807" s="877"/>
      <c r="K3807" s="877" t="s">
        <v>3</v>
      </c>
      <c r="L3807" s="879" t="s">
        <v>140</v>
      </c>
      <c r="M3807" s="879"/>
      <c r="N3807" s="879"/>
      <c r="O3807" s="879"/>
      <c r="P3807" s="879"/>
      <c r="Q3807" s="50"/>
      <c r="T3807" s="880" t="str">
        <f ca="1">IF(AND($R3813=0,$T3813=0),"0.00","mu :" &amp; ROUND($F3807/$C$2/($R3813+$T3813*$D$9),2))</f>
        <v>mu :1.22</v>
      </c>
      <c r="W3807" s="507"/>
      <c r="AG3807" s="465">
        <f ca="1">IF($E3807=0,0,ROUND($R3813*$S$2*$C$2/$A3807,2))</f>
        <v>23.62</v>
      </c>
      <c r="AH3807" s="465">
        <f ca="1">$AG3807*$A3807</f>
        <v>23.62</v>
      </c>
      <c r="AI3807" s="508">
        <f ca="1">$E3807-$AG3807</f>
        <v>56.58</v>
      </c>
      <c r="AJ3807" s="508">
        <f ca="1">$A3807*$AI3807</f>
        <v>56.58</v>
      </c>
      <c r="AK3807" s="509">
        <f ca="1">ROUND(($AG3807+$AI3807)*$A3807,2)</f>
        <v>80.2</v>
      </c>
      <c r="AM3807" s="510">
        <f ca="1">ROUND(R3813,2)</f>
        <v>19.36</v>
      </c>
      <c r="AN3807" s="511">
        <f ca="1">ROUND(T3813,2)</f>
        <v>1.61</v>
      </c>
      <c r="AO3807" s="512">
        <f ca="1">ROUND(AM3807+AN3807,2)*A3807</f>
        <v>20.97</v>
      </c>
    </row>
    <row r="3808" spans="1:41" s="504" customFormat="1" ht="13.2">
      <c r="A3808" s="872"/>
      <c r="B3808"/>
      <c r="C3808" s="872"/>
      <c r="D3808" s="873" t="s">
        <v>475</v>
      </c>
      <c r="F3808" s="877"/>
      <c r="G3808" s="3"/>
      <c r="H3808" s="877"/>
      <c r="I3808" s="878"/>
      <c r="J3808" s="877"/>
      <c r="K3808" s="877" t="s">
        <v>141</v>
      </c>
      <c r="L3808" s="877"/>
      <c r="M3808" s="877"/>
      <c r="N3808" s="877"/>
      <c r="O3808" s="877"/>
      <c r="P3808" s="877"/>
      <c r="Q3808" s="50"/>
      <c r="R3808" s="513"/>
      <c r="S3808" s="881"/>
      <c r="T3808" s="877"/>
    </row>
    <row r="3809" spans="1:41" s="997" customFormat="1" ht="13.2">
      <c r="A3809"/>
      <c r="B3809" s="1065"/>
      <c r="C3809" s="1065" t="s">
        <v>1006</v>
      </c>
      <c r="D3809" s="1065" t="str">
        <f ca="1">CELL("Address",Elec_Rates!D$486)</f>
        <v>[EL25_0662B_Brittania_Hotel_Elec_Revised_Estim_B.xlsx]Elec_Rates!$D$486</v>
      </c>
      <c r="E3809" s="1066"/>
      <c r="F3809" s="1066"/>
      <c r="G3809" s="1067" t="s">
        <v>1007</v>
      </c>
      <c r="H3809" s="1067"/>
      <c r="I3809" s="1067"/>
      <c r="J3809" s="1067"/>
      <c r="K3809" s="1068"/>
      <c r="L3809" s="1066"/>
      <c r="M3809" s="1066"/>
      <c r="N3809" s="1066"/>
      <c r="O3809" s="1069"/>
      <c r="P3809" s="1066"/>
      <c r="Q3809" s="1070"/>
      <c r="R3809" s="1071"/>
      <c r="S3809" s="1070"/>
      <c r="T3809" s="1072"/>
      <c r="U3809" s="1073"/>
    </row>
    <row r="3810" spans="1:41" s="997" customFormat="1" ht="11.4">
      <c r="A3810" s="1074">
        <v>1</v>
      </c>
      <c r="B3810" s="1075">
        <v>1</v>
      </c>
      <c r="C3810" s="1075">
        <f>$A3810*$B3810</f>
        <v>1</v>
      </c>
      <c r="D3810" s="1076" t="str">
        <f>Elec_Rates!$D$486</f>
        <v>058# General Power Point in LSZH Conduit</v>
      </c>
      <c r="E3810" s="1076"/>
      <c r="F3810" s="1076"/>
      <c r="G3810" s="1077" t="s">
        <v>1008</v>
      </c>
      <c r="H3810" s="1077"/>
      <c r="I3810" s="1077"/>
      <c r="J3810" s="1077"/>
      <c r="K3810" s="1078"/>
      <c r="L3810" s="1073"/>
      <c r="M3810" s="1073"/>
      <c r="N3810" s="1073"/>
      <c r="O3810" s="1079"/>
      <c r="P3810" s="1076"/>
      <c r="Q3810" s="1080">
        <f ca="1">$B3810*Elec_Rates!$R$486</f>
        <v>13.92</v>
      </c>
      <c r="R3810" s="1071">
        <f ca="1">$A3810*Q3810</f>
        <v>13.92</v>
      </c>
      <c r="S3810" s="1080">
        <f ca="1">$B3810*Elec_Rates!$T$486</f>
        <v>1.43</v>
      </c>
      <c r="T3810" s="1072">
        <f ca="1">$A3810*S3810</f>
        <v>1.43</v>
      </c>
      <c r="U3810" s="1081"/>
    </row>
    <row r="3811" spans="1:41" s="1039" customFormat="1" ht="13.2">
      <c r="A3811" s="112">
        <v>1</v>
      </c>
      <c r="B3811" s="1039" t="s">
        <v>949</v>
      </c>
      <c r="D3811" s="1039" t="s">
        <v>1378</v>
      </c>
      <c r="G3811" s="1040" t="s">
        <v>1231</v>
      </c>
      <c r="H3811" s="1041">
        <v>705</v>
      </c>
      <c r="I3811" s="1039" t="s">
        <v>1183</v>
      </c>
      <c r="J3811" s="1039" t="s">
        <v>1232</v>
      </c>
      <c r="O3811" s="1042">
        <v>3</v>
      </c>
      <c r="P3811" s="1043">
        <v>34669</v>
      </c>
      <c r="Q3811" s="1044">
        <v>5.44</v>
      </c>
      <c r="R3811" s="1045">
        <f>$A3811*Q3811</f>
        <v>5.44</v>
      </c>
      <c r="S3811" s="1044">
        <v>0.17</v>
      </c>
      <c r="T3811" s="1046">
        <f>$A3811*S3811*$T$1</f>
        <v>0.17850000000000002</v>
      </c>
    </row>
    <row r="3812" spans="1:41" s="504" customFormat="1" ht="12">
      <c r="A3812" s="882"/>
      <c r="B3812" s="882"/>
      <c r="C3812" s="882"/>
      <c r="D3812" s="882"/>
      <c r="E3812" s="882"/>
      <c r="F3812" s="877"/>
      <c r="G3812" s="882"/>
      <c r="H3812" s="882"/>
      <c r="I3812" s="503"/>
      <c r="J3812" s="882"/>
      <c r="K3812" s="882"/>
      <c r="L3812" s="882"/>
      <c r="M3812" s="882"/>
      <c r="N3812" s="882"/>
      <c r="O3812" s="882"/>
      <c r="P3812" s="882"/>
      <c r="Q3812" s="503"/>
      <c r="R3812" s="883">
        <f>$A3812*Q3812</f>
        <v>0</v>
      </c>
      <c r="S3812" s="503"/>
      <c r="T3812" s="884">
        <f>$A3812*S3812*$T$1</f>
        <v>0</v>
      </c>
    </row>
    <row r="3813" spans="1:41" s="504" customFormat="1" ht="12.6" thickBot="1">
      <c r="A3813" s="885" t="s">
        <v>142</v>
      </c>
      <c r="B3813" s="886">
        <f>(R3812+T3812)</f>
        <v>0</v>
      </c>
      <c r="C3813" s="887"/>
      <c r="D3813" s="887"/>
      <c r="E3813" s="887"/>
      <c r="F3813" s="888"/>
      <c r="G3813" s="887" t="s">
        <v>143</v>
      </c>
      <c r="H3813" s="887"/>
      <c r="I3813" s="889"/>
      <c r="J3813" s="887"/>
      <c r="K3813" s="887" t="s">
        <v>3</v>
      </c>
      <c r="L3813" s="890" t="s">
        <v>140</v>
      </c>
      <c r="M3813" s="890"/>
      <c r="N3813" s="890"/>
      <c r="O3813" s="890"/>
      <c r="P3813" s="890"/>
      <c r="Q3813" s="891"/>
      <c r="R3813" s="892">
        <f ca="1">SUM(R3808:R3812)</f>
        <v>19.36</v>
      </c>
      <c r="S3813" s="887"/>
      <c r="T3813" s="892">
        <f ca="1">SUM(T3808:T3812)</f>
        <v>1.6085</v>
      </c>
      <c r="U3813" s="514"/>
      <c r="V3813" s="514"/>
      <c r="W3813" s="514"/>
      <c r="X3813" s="514"/>
      <c r="Y3813" s="514"/>
      <c r="Z3813" s="514"/>
      <c r="AA3813" s="514"/>
      <c r="AB3813" s="514"/>
      <c r="AC3813" s="514"/>
      <c r="AD3813" s="514"/>
      <c r="AE3813" s="514"/>
      <c r="AF3813" s="514"/>
      <c r="AG3813" s="514"/>
      <c r="AH3813" s="514"/>
      <c r="AI3813" s="514"/>
      <c r="AJ3813" s="514"/>
      <c r="AK3813" s="514"/>
      <c r="AL3813" s="514"/>
      <c r="AM3813" s="514"/>
      <c r="AN3813" s="514"/>
      <c r="AO3813" s="514"/>
    </row>
    <row r="3814" spans="1:41" s="504" customFormat="1" ht="12" thickTop="1">
      <c r="A3814" s="50"/>
      <c r="B3814" s="40"/>
      <c r="C3814" s="50"/>
      <c r="E3814" s="41" t="s">
        <v>136</v>
      </c>
      <c r="F3814" s="41" t="s">
        <v>137</v>
      </c>
      <c r="G3814" s="50"/>
      <c r="H3814" s="50"/>
      <c r="I3814" s="50"/>
      <c r="J3814" s="50"/>
      <c r="K3814" s="50" t="s">
        <v>138</v>
      </c>
      <c r="L3814" s="50"/>
      <c r="M3814" s="50"/>
      <c r="N3814" s="50"/>
      <c r="O3814" s="51"/>
      <c r="P3814" s="50"/>
      <c r="Q3814" s="50"/>
      <c r="R3814" s="50"/>
      <c r="S3814" s="50"/>
      <c r="T3814" s="40"/>
      <c r="AG3814" s="867" t="s">
        <v>241</v>
      </c>
      <c r="AH3814" s="867" t="s">
        <v>242</v>
      </c>
      <c r="AI3814" s="867" t="s">
        <v>243</v>
      </c>
      <c r="AJ3814" s="867" t="s">
        <v>244</v>
      </c>
      <c r="AK3814" s="867" t="s">
        <v>245</v>
      </c>
      <c r="AM3814" s="868" t="s">
        <v>254</v>
      </c>
      <c r="AN3814" s="869" t="s">
        <v>255</v>
      </c>
      <c r="AO3814" s="505" t="s">
        <v>251</v>
      </c>
    </row>
    <row r="3815" spans="1:41" s="504" customFormat="1" ht="12" customHeight="1">
      <c r="A3815" s="870">
        <v>2</v>
      </c>
      <c r="B3815" s="871" t="s">
        <v>335</v>
      </c>
      <c r="C3815" s="872"/>
      <c r="D3815" s="873" t="s">
        <v>822</v>
      </c>
      <c r="E3815" s="874">
        <f ca="1">IF(AND($A3815=0,$A$1="DIF"),0, ROUND(ROUND(($R3821*$S$2+($T3821*$T$2))/A3815,2)*$C$2,2))</f>
        <v>107.8</v>
      </c>
      <c r="F3815" s="875">
        <f ca="1">ROUND($A3815*$E3815,2)</f>
        <v>215.6</v>
      </c>
      <c r="G3815" s="876" t="s">
        <v>139</v>
      </c>
      <c r="H3815" s="877"/>
      <c r="I3815" s="878"/>
      <c r="J3815" s="877"/>
      <c r="K3815" s="877" t="s">
        <v>3</v>
      </c>
      <c r="L3815" s="879" t="s">
        <v>140</v>
      </c>
      <c r="M3815" s="879"/>
      <c r="N3815" s="879"/>
      <c r="O3815" s="879"/>
      <c r="P3815" s="879"/>
      <c r="Q3815" s="50"/>
      <c r="T3815" s="880" t="str">
        <f ca="1">IF(AND($R3821=0,$T3821=0),"0.00","mu :" &amp; ROUND($F3815/$C$2/($R3821+$T3821*$D$9),2))</f>
        <v>mu :1.22</v>
      </c>
      <c r="W3815" s="507"/>
      <c r="AG3815" s="465">
        <f ca="1">IF($E3815=0,0,ROUND($R3821*$S$2*$C$2/$A3815,2))</f>
        <v>55.44</v>
      </c>
      <c r="AH3815" s="465">
        <f ca="1">$AG3815*$A3815</f>
        <v>110.88</v>
      </c>
      <c r="AI3815" s="508">
        <f ca="1">$E3815-$AG3815</f>
        <v>52.36</v>
      </c>
      <c r="AJ3815" s="508">
        <f ca="1">$A3815*$AI3815</f>
        <v>104.72</v>
      </c>
      <c r="AK3815" s="509">
        <f ca="1">ROUND(($AG3815+$AI3815)*$A3815,2)</f>
        <v>215.6</v>
      </c>
      <c r="AM3815" s="510">
        <f ca="1">ROUND(R3821,2)</f>
        <v>90.88</v>
      </c>
      <c r="AN3815" s="511">
        <f ca="1">ROUND(T3821,2)</f>
        <v>2.98</v>
      </c>
      <c r="AO3815" s="512">
        <f ca="1">ROUND(AM3815+AN3815,2)*A3815</f>
        <v>187.72</v>
      </c>
    </row>
    <row r="3816" spans="1:41" s="504" customFormat="1" ht="13.2">
      <c r="A3816" s="872"/>
      <c r="B3816"/>
      <c r="C3816" s="872"/>
      <c r="D3816" s="873" t="s">
        <v>428</v>
      </c>
      <c r="F3816" s="877"/>
      <c r="G3816" s="3"/>
      <c r="H3816" s="877"/>
      <c r="I3816" s="878"/>
      <c r="J3816" s="877"/>
      <c r="K3816" s="877" t="s">
        <v>141</v>
      </c>
      <c r="L3816" s="877"/>
      <c r="M3816" s="877"/>
      <c r="N3816" s="877"/>
      <c r="O3816" s="877"/>
      <c r="P3816" s="877"/>
      <c r="Q3816" s="50"/>
      <c r="R3816" s="513"/>
      <c r="S3816" s="881"/>
      <c r="T3816" s="877"/>
    </row>
    <row r="3817" spans="1:41" s="997" customFormat="1" ht="13.2">
      <c r="A3817"/>
      <c r="B3817" s="1065"/>
      <c r="C3817" s="1065" t="s">
        <v>1006</v>
      </c>
      <c r="D3817" s="1065" t="str">
        <f ca="1">CELL("Address",Elec_Rates!D$200)</f>
        <v>[EL25_0662B_Brittania_Hotel_Elec_Revised_Estim_B.xlsx]Elec_Rates!$D$200</v>
      </c>
      <c r="E3817" s="1066"/>
      <c r="F3817" s="1066"/>
      <c r="G3817" s="1067" t="s">
        <v>1007</v>
      </c>
      <c r="H3817" s="1067"/>
      <c r="I3817" s="1067"/>
      <c r="J3817" s="1067"/>
      <c r="K3817" s="1068"/>
      <c r="L3817" s="1066"/>
      <c r="M3817" s="1066"/>
      <c r="N3817" s="1066"/>
      <c r="O3817" s="1069"/>
      <c r="P3817" s="1066"/>
      <c r="Q3817" s="1070"/>
      <c r="R3817" s="1071"/>
      <c r="S3817" s="1070"/>
      <c r="T3817" s="1072"/>
      <c r="U3817" s="1073"/>
    </row>
    <row r="3818" spans="1:41" s="997" customFormat="1" ht="11.4">
      <c r="A3818" s="1074">
        <v>2</v>
      </c>
      <c r="B3818" s="1075">
        <v>1</v>
      </c>
      <c r="C3818" s="1075">
        <f>$A3818*$B3818</f>
        <v>2</v>
      </c>
      <c r="D3818" s="1076" t="str">
        <f>Elec_Rates!$D$200</f>
        <v>019# Lighting point in LSZH Conduit</v>
      </c>
      <c r="E3818" s="1076"/>
      <c r="F3818" s="1076"/>
      <c r="G3818" s="1077" t="s">
        <v>1008</v>
      </c>
      <c r="H3818" s="1077"/>
      <c r="I3818" s="1077"/>
      <c r="J3818" s="1077"/>
      <c r="K3818" s="1078"/>
      <c r="L3818" s="1073"/>
      <c r="M3818" s="1073"/>
      <c r="N3818" s="1073"/>
      <c r="O3818" s="1079"/>
      <c r="P3818" s="1076"/>
      <c r="Q3818" s="1080">
        <f ca="1">$B3818*Elec_Rates!$R$200</f>
        <v>9.65</v>
      </c>
      <c r="R3818" s="1071">
        <f ca="1">$A3818*Q3818</f>
        <v>19.3</v>
      </c>
      <c r="S3818" s="1080">
        <f ca="1">$B3818*Elec_Rates!$T$200</f>
        <v>1.31</v>
      </c>
      <c r="T3818" s="1072">
        <f ca="1">$A3818*S3818</f>
        <v>2.62</v>
      </c>
      <c r="U3818" s="1081"/>
    </row>
    <row r="3819" spans="1:41" s="1039" customFormat="1" ht="13.2">
      <c r="A3819" s="112">
        <v>2</v>
      </c>
      <c r="B3819" s="1039" t="s">
        <v>949</v>
      </c>
      <c r="D3819" s="1039" t="s">
        <v>428</v>
      </c>
      <c r="G3819" s="1040" t="s">
        <v>1231</v>
      </c>
      <c r="H3819" s="1041">
        <v>705</v>
      </c>
      <c r="I3819" s="1039" t="s">
        <v>1183</v>
      </c>
      <c r="J3819" s="1039" t="s">
        <v>1232</v>
      </c>
      <c r="O3819" s="1042">
        <v>3</v>
      </c>
      <c r="P3819" s="1043">
        <v>34669</v>
      </c>
      <c r="Q3819" s="1044">
        <v>35.79</v>
      </c>
      <c r="R3819" s="1045">
        <f>$A3819*Q3819</f>
        <v>71.58</v>
      </c>
      <c r="S3819" s="1044">
        <v>0.17</v>
      </c>
      <c r="T3819" s="1046">
        <f>$A3819*S3819*$T$1</f>
        <v>0.35700000000000004</v>
      </c>
    </row>
    <row r="3820" spans="1:41" s="504" customFormat="1" ht="12">
      <c r="A3820" s="882"/>
      <c r="B3820" s="882"/>
      <c r="C3820" s="882"/>
      <c r="D3820" s="882"/>
      <c r="E3820" s="882"/>
      <c r="F3820" s="877"/>
      <c r="G3820" s="882"/>
      <c r="H3820" s="882"/>
      <c r="I3820" s="503"/>
      <c r="J3820" s="882"/>
      <c r="K3820" s="882"/>
      <c r="L3820" s="882"/>
      <c r="M3820" s="882"/>
      <c r="N3820" s="882"/>
      <c r="O3820" s="882"/>
      <c r="P3820" s="882"/>
      <c r="Q3820" s="503"/>
      <c r="R3820" s="883">
        <f>$A3820*Q3820</f>
        <v>0</v>
      </c>
      <c r="S3820" s="503"/>
      <c r="T3820" s="884">
        <f>$A3820*S3820*$T$1</f>
        <v>0</v>
      </c>
    </row>
    <row r="3821" spans="1:41" s="504" customFormat="1" ht="12.6" thickBot="1">
      <c r="A3821" s="885" t="s">
        <v>142</v>
      </c>
      <c r="B3821" s="886">
        <f>(R3820+T3820)</f>
        <v>0</v>
      </c>
      <c r="C3821" s="887"/>
      <c r="D3821" s="887"/>
      <c r="E3821" s="887"/>
      <c r="F3821" s="888"/>
      <c r="G3821" s="887" t="s">
        <v>143</v>
      </c>
      <c r="H3821" s="887"/>
      <c r="I3821" s="889"/>
      <c r="J3821" s="887"/>
      <c r="K3821" s="887" t="s">
        <v>3</v>
      </c>
      <c r="L3821" s="890" t="s">
        <v>140</v>
      </c>
      <c r="M3821" s="890"/>
      <c r="N3821" s="890"/>
      <c r="O3821" s="890"/>
      <c r="P3821" s="890"/>
      <c r="Q3821" s="891"/>
      <c r="R3821" s="892">
        <f ca="1">SUM(R3816:R3820)</f>
        <v>90.88</v>
      </c>
      <c r="S3821" s="887"/>
      <c r="T3821" s="892">
        <f ca="1">SUM(T3816:T3820)</f>
        <v>2.9770000000000003</v>
      </c>
      <c r="U3821" s="514"/>
      <c r="V3821" s="514"/>
      <c r="W3821" s="514"/>
      <c r="X3821" s="514"/>
      <c r="Y3821" s="514"/>
      <c r="Z3821" s="514"/>
      <c r="AA3821" s="514"/>
      <c r="AB3821" s="514"/>
      <c r="AC3821" s="514"/>
      <c r="AD3821" s="514"/>
      <c r="AE3821" s="514"/>
      <c r="AF3821" s="514"/>
      <c r="AG3821" s="514"/>
      <c r="AH3821" s="514"/>
      <c r="AI3821" s="514"/>
      <c r="AJ3821" s="514"/>
      <c r="AK3821" s="514"/>
      <c r="AL3821" s="514"/>
      <c r="AM3821" s="514"/>
      <c r="AN3821" s="514"/>
      <c r="AO3821" s="514"/>
    </row>
    <row r="3822" spans="1:41" s="504" customFormat="1" thickTop="1">
      <c r="A3822" s="50"/>
      <c r="B3822" s="50"/>
      <c r="C3822" s="3"/>
      <c r="D3822" s="3"/>
      <c r="E3822" s="50"/>
      <c r="F3822" s="50"/>
      <c r="G3822" s="50"/>
      <c r="H3822" s="50"/>
      <c r="I3822" s="50"/>
      <c r="J3822" s="50"/>
      <c r="K3822" s="50" t="s">
        <v>133</v>
      </c>
      <c r="L3822" s="50"/>
      <c r="M3822" s="50"/>
      <c r="N3822" s="50"/>
      <c r="O3822" s="51"/>
      <c r="P3822" s="50"/>
      <c r="Q3822" s="50"/>
      <c r="R3822" s="50"/>
      <c r="S3822" s="50"/>
      <c r="T3822" s="50"/>
    </row>
    <row r="3823" spans="1:41" s="504" customFormat="1" ht="12">
      <c r="A3823" s="50"/>
      <c r="B3823" s="50"/>
      <c r="C3823" s="50" t="s">
        <v>134</v>
      </c>
      <c r="D3823" s="37"/>
      <c r="E3823" s="50"/>
      <c r="F3823" s="50"/>
      <c r="G3823" s="50"/>
      <c r="H3823" s="50"/>
      <c r="I3823" s="50"/>
      <c r="J3823" s="50"/>
      <c r="K3823" s="50"/>
      <c r="L3823" s="50"/>
      <c r="M3823" s="50"/>
      <c r="N3823" s="50"/>
      <c r="O3823" s="51"/>
      <c r="P3823" s="50"/>
      <c r="Q3823" s="50"/>
      <c r="R3823" s="50"/>
      <c r="S3823" s="50"/>
      <c r="T3823" s="50"/>
    </row>
    <row r="3824" spans="1:41" s="504" customFormat="1" ht="12">
      <c r="A3824" s="50"/>
      <c r="B3824" s="50"/>
      <c r="C3824" s="50"/>
      <c r="D3824" s="37" t="s">
        <v>802</v>
      </c>
      <c r="E3824" s="50"/>
      <c r="F3824" s="50"/>
      <c r="G3824" s="50"/>
      <c r="H3824" s="50"/>
      <c r="I3824" s="50"/>
      <c r="J3824" s="50"/>
      <c r="K3824" s="50"/>
      <c r="L3824" s="50"/>
      <c r="M3824" s="50"/>
      <c r="N3824" s="50"/>
      <c r="O3824" s="51"/>
      <c r="P3824" s="50"/>
      <c r="Q3824" s="50"/>
      <c r="R3824" s="50"/>
      <c r="S3824" s="38"/>
      <c r="T3824" s="38"/>
    </row>
    <row r="3825" spans="1:41" s="3" customFormat="1" thickBot="1">
      <c r="A3825" s="514"/>
      <c r="O3825" s="103"/>
    </row>
    <row r="3826" spans="1:41" s="504" customFormat="1" thickTop="1">
      <c r="A3826" s="50"/>
      <c r="B3826" s="50"/>
      <c r="C3826" s="3"/>
      <c r="D3826" s="3"/>
      <c r="E3826" s="50"/>
      <c r="F3826" s="50"/>
      <c r="G3826" s="50"/>
      <c r="H3826" s="50"/>
      <c r="I3826" s="50"/>
      <c r="J3826" s="50"/>
      <c r="K3826" s="50" t="s">
        <v>133</v>
      </c>
      <c r="L3826" s="50"/>
      <c r="M3826" s="50"/>
      <c r="N3826" s="50"/>
      <c r="O3826" s="51"/>
      <c r="P3826" s="50"/>
      <c r="Q3826" s="50"/>
      <c r="R3826" s="50"/>
      <c r="S3826" s="50"/>
      <c r="T3826" s="50"/>
    </row>
    <row r="3827" spans="1:41" s="504" customFormat="1" ht="12">
      <c r="A3827" s="50"/>
      <c r="B3827" s="50"/>
      <c r="C3827" s="50" t="s">
        <v>134</v>
      </c>
      <c r="D3827" s="37" t="s">
        <v>901</v>
      </c>
      <c r="E3827" s="50"/>
      <c r="F3827" s="50"/>
      <c r="G3827" s="50"/>
      <c r="H3827" s="50"/>
      <c r="I3827" s="50"/>
      <c r="J3827" s="50"/>
      <c r="K3827" s="50"/>
      <c r="L3827" s="50"/>
      <c r="M3827" s="50"/>
      <c r="N3827" s="50"/>
      <c r="O3827" s="51"/>
      <c r="P3827" s="50"/>
      <c r="Q3827" s="50"/>
      <c r="R3827" s="50"/>
      <c r="S3827" s="50"/>
      <c r="T3827" s="50"/>
    </row>
    <row r="3828" spans="1:41" s="504" customFormat="1" ht="12">
      <c r="A3828" s="50"/>
      <c r="B3828" s="50"/>
      <c r="C3828" s="50"/>
      <c r="D3828" s="37" t="s">
        <v>293</v>
      </c>
      <c r="E3828" s="50"/>
      <c r="F3828" s="50"/>
      <c r="G3828" s="50"/>
      <c r="H3828" s="50"/>
      <c r="I3828" s="50"/>
      <c r="J3828" s="50"/>
      <c r="K3828" s="50"/>
      <c r="L3828" s="50"/>
      <c r="M3828" s="50"/>
      <c r="N3828" s="50"/>
      <c r="O3828" s="51"/>
      <c r="P3828" s="50"/>
      <c r="Q3828" s="50"/>
      <c r="R3828" s="50"/>
      <c r="S3828" s="38"/>
      <c r="T3828" s="38"/>
    </row>
    <row r="3829" spans="1:41" s="3" customFormat="1" thickBot="1">
      <c r="A3829" s="514"/>
      <c r="O3829" s="103"/>
    </row>
    <row r="3830" spans="1:41" s="504" customFormat="1" ht="12" thickTop="1">
      <c r="A3830" s="50"/>
      <c r="B3830" s="40"/>
      <c r="C3830" s="50"/>
      <c r="E3830" s="41" t="s">
        <v>136</v>
      </c>
      <c r="F3830" s="41" t="s">
        <v>137</v>
      </c>
      <c r="G3830" s="50"/>
      <c r="H3830" s="50"/>
      <c r="I3830" s="50"/>
      <c r="J3830" s="50"/>
      <c r="K3830" s="50" t="s">
        <v>138</v>
      </c>
      <c r="L3830" s="50"/>
      <c r="M3830" s="50"/>
      <c r="N3830" s="50"/>
      <c r="O3830" s="51"/>
      <c r="P3830" s="50"/>
      <c r="Q3830" s="50"/>
      <c r="R3830" s="50"/>
      <c r="S3830" s="50"/>
      <c r="T3830" s="40"/>
      <c r="AG3830" s="867" t="s">
        <v>241</v>
      </c>
      <c r="AH3830" s="867" t="s">
        <v>242</v>
      </c>
      <c r="AI3830" s="867" t="s">
        <v>243</v>
      </c>
      <c r="AJ3830" s="867" t="s">
        <v>244</v>
      </c>
      <c r="AK3830" s="867" t="s">
        <v>245</v>
      </c>
      <c r="AM3830" s="868" t="s">
        <v>254</v>
      </c>
      <c r="AN3830" s="869" t="s">
        <v>255</v>
      </c>
      <c r="AO3830" s="505" t="s">
        <v>251</v>
      </c>
    </row>
    <row r="3831" spans="1:41" s="504" customFormat="1" ht="12" customHeight="1">
      <c r="A3831" s="870">
        <v>1</v>
      </c>
      <c r="B3831" s="871" t="s">
        <v>335</v>
      </c>
      <c r="C3831" s="872"/>
      <c r="D3831" s="873" t="s">
        <v>804</v>
      </c>
      <c r="E3831" s="874">
        <f>IF(AND($A3831=0,$A$1="DIF"),0, ROUND(ROUND(($R3835*$S$2+($T3835*$T$2))/A3831,2)*$C$2,2))</f>
        <v>386.5</v>
      </c>
      <c r="F3831" s="875">
        <f>ROUND($A3831*$E3831,2)</f>
        <v>386.5</v>
      </c>
      <c r="G3831" s="876" t="s">
        <v>139</v>
      </c>
      <c r="H3831" s="877"/>
      <c r="I3831" s="878"/>
      <c r="J3831" s="877"/>
      <c r="K3831" s="877" t="s">
        <v>3</v>
      </c>
      <c r="L3831" s="879" t="s">
        <v>140</v>
      </c>
      <c r="M3831" s="879"/>
      <c r="N3831" s="879"/>
      <c r="O3831" s="879"/>
      <c r="P3831" s="879"/>
      <c r="Q3831" s="50"/>
      <c r="T3831" s="880" t="str">
        <f>IF(AND($R3835=0,$T3835=0),"0.00","mu :" &amp; ROUND($F3831/$C$2/($R3835+$T3835*$D$9),2))</f>
        <v>mu :1.22</v>
      </c>
      <c r="W3831" s="507"/>
      <c r="AG3831" s="465">
        <f>IF($E3831=0,0,ROUND($R3835*$S$2*$C$2/$A3831,2))</f>
        <v>386.5</v>
      </c>
      <c r="AH3831" s="465">
        <f>$AG3831*$A3831</f>
        <v>386.5</v>
      </c>
      <c r="AI3831" s="508">
        <f>$E3831-$AG3831</f>
        <v>0</v>
      </c>
      <c r="AJ3831" s="508">
        <f>$A3831*$AI3831</f>
        <v>0</v>
      </c>
      <c r="AK3831" s="509">
        <f>ROUND(($AG3831+$AI3831)*$A3831,2)</f>
        <v>386.5</v>
      </c>
      <c r="AM3831" s="510">
        <f>ROUND(R3835,2)</f>
        <v>316.8</v>
      </c>
      <c r="AN3831" s="511">
        <f>ROUND(T3835,2)</f>
        <v>0</v>
      </c>
      <c r="AO3831" s="512">
        <f>ROUND(AM3831+AN3831,2)*A3831</f>
        <v>316.8</v>
      </c>
    </row>
    <row r="3832" spans="1:41" s="504" customFormat="1" ht="13.2">
      <c r="A3832" s="872"/>
      <c r="B3832"/>
      <c r="C3832" s="872"/>
      <c r="D3832" s="873" t="s">
        <v>476</v>
      </c>
      <c r="F3832" s="877"/>
      <c r="G3832" s="3"/>
      <c r="H3832" s="877"/>
      <c r="I3832" s="878"/>
      <c r="J3832" s="877"/>
      <c r="K3832" s="877" t="s">
        <v>141</v>
      </c>
      <c r="L3832" s="877"/>
      <c r="M3832" s="877"/>
      <c r="N3832" s="877"/>
      <c r="O3832" s="877"/>
      <c r="P3832" s="877"/>
      <c r="Q3832" s="50"/>
      <c r="R3832" s="513"/>
      <c r="S3832" s="881"/>
      <c r="T3832" s="877"/>
    </row>
    <row r="3833" spans="1:41" s="504" customFormat="1" ht="13.2">
      <c r="A3833">
        <v>1</v>
      </c>
      <c r="B3833" s="1039" t="s">
        <v>949</v>
      </c>
      <c r="C3833" s="1039"/>
      <c r="D3833" s="1039" t="s">
        <v>1379</v>
      </c>
      <c r="E3833" s="1039"/>
      <c r="F3833" s="1039"/>
      <c r="G3833" s="1040" t="s">
        <v>950</v>
      </c>
      <c r="H3833" s="1041">
        <v>510</v>
      </c>
      <c r="I3833" s="1039" t="s">
        <v>951</v>
      </c>
      <c r="J3833" s="1039"/>
      <c r="K3833" s="882"/>
      <c r="L3833" s="1039"/>
      <c r="M3833" s="1039"/>
      <c r="N3833" s="1039"/>
      <c r="O3833" s="1042">
        <v>2</v>
      </c>
      <c r="P3833" s="1043"/>
      <c r="Q3833" s="1044">
        <v>316.8</v>
      </c>
      <c r="R3833" s="883">
        <f>$A3833*Q3833</f>
        <v>316.8</v>
      </c>
      <c r="S3833" s="1044"/>
      <c r="T3833" s="1046">
        <f>$A3833*S3833*$T$1</f>
        <v>0</v>
      </c>
    </row>
    <row r="3834" spans="1:41" s="504" customFormat="1" ht="12">
      <c r="A3834" s="882"/>
      <c r="B3834" s="882"/>
      <c r="C3834" s="882"/>
      <c r="D3834" s="882"/>
      <c r="E3834" s="882"/>
      <c r="F3834" s="877"/>
      <c r="G3834" s="882"/>
      <c r="H3834" s="882"/>
      <c r="I3834" s="503"/>
      <c r="J3834" s="882"/>
      <c r="K3834" s="882"/>
      <c r="L3834" s="882"/>
      <c r="M3834" s="882"/>
      <c r="N3834" s="882"/>
      <c r="O3834" s="882"/>
      <c r="P3834" s="882"/>
      <c r="Q3834" s="503"/>
      <c r="R3834" s="883">
        <f>$A3834*Q3834</f>
        <v>0</v>
      </c>
      <c r="S3834" s="503"/>
      <c r="T3834" s="884">
        <f>$A3834*S3834*$T$1</f>
        <v>0</v>
      </c>
    </row>
    <row r="3835" spans="1:41" s="504" customFormat="1" ht="12.6" thickBot="1">
      <c r="A3835" s="885" t="s">
        <v>142</v>
      </c>
      <c r="B3835" s="886">
        <f>(R3834+T3834)</f>
        <v>0</v>
      </c>
      <c r="C3835" s="887"/>
      <c r="D3835" s="887"/>
      <c r="E3835" s="887"/>
      <c r="F3835" s="888"/>
      <c r="G3835" s="887" t="s">
        <v>143</v>
      </c>
      <c r="H3835" s="887"/>
      <c r="I3835" s="889"/>
      <c r="J3835" s="887"/>
      <c r="K3835" s="887" t="s">
        <v>3</v>
      </c>
      <c r="L3835" s="890" t="s">
        <v>140</v>
      </c>
      <c r="M3835" s="890"/>
      <c r="N3835" s="890"/>
      <c r="O3835" s="890"/>
      <c r="P3835" s="890"/>
      <c r="Q3835" s="891"/>
      <c r="R3835" s="892">
        <f>SUM(R3832:R3834)</f>
        <v>316.8</v>
      </c>
      <c r="S3835" s="887"/>
      <c r="T3835" s="892">
        <f>SUM(T3832:T3834)</f>
        <v>0</v>
      </c>
      <c r="U3835" s="514"/>
      <c r="V3835" s="514"/>
      <c r="W3835" s="514"/>
      <c r="X3835" s="514"/>
      <c r="Y3835" s="514"/>
      <c r="Z3835" s="514"/>
      <c r="AA3835" s="514"/>
      <c r="AB3835" s="514"/>
      <c r="AC3835" s="514"/>
      <c r="AD3835" s="514"/>
      <c r="AE3835" s="514"/>
      <c r="AF3835" s="514"/>
      <c r="AG3835" s="514"/>
      <c r="AH3835" s="514"/>
      <c r="AI3835" s="514"/>
      <c r="AJ3835" s="514"/>
      <c r="AK3835" s="514"/>
      <c r="AL3835" s="514"/>
      <c r="AM3835" s="514"/>
      <c r="AN3835" s="514"/>
      <c r="AO3835" s="514"/>
    </row>
    <row r="3836" spans="1:41" s="504" customFormat="1" ht="12" thickTop="1">
      <c r="A3836" s="50"/>
      <c r="B3836" s="40"/>
      <c r="C3836" s="50"/>
      <c r="E3836" s="41" t="s">
        <v>136</v>
      </c>
      <c r="F3836" s="41" t="s">
        <v>137</v>
      </c>
      <c r="G3836" s="50"/>
      <c r="H3836" s="50"/>
      <c r="I3836" s="50"/>
      <c r="J3836" s="50"/>
      <c r="K3836" s="50" t="s">
        <v>138</v>
      </c>
      <c r="L3836" s="50"/>
      <c r="M3836" s="50"/>
      <c r="N3836" s="50"/>
      <c r="O3836" s="51"/>
      <c r="P3836" s="50"/>
      <c r="Q3836" s="50"/>
      <c r="R3836" s="50"/>
      <c r="S3836" s="50"/>
      <c r="T3836" s="40"/>
      <c r="AG3836" s="867" t="s">
        <v>241</v>
      </c>
      <c r="AH3836" s="867" t="s">
        <v>242</v>
      </c>
      <c r="AI3836" s="867" t="s">
        <v>243</v>
      </c>
      <c r="AJ3836" s="867" t="s">
        <v>244</v>
      </c>
      <c r="AK3836" s="867" t="s">
        <v>245</v>
      </c>
      <c r="AM3836" s="868" t="s">
        <v>254</v>
      </c>
      <c r="AN3836" s="869" t="s">
        <v>255</v>
      </c>
      <c r="AO3836" s="505" t="s">
        <v>251</v>
      </c>
    </row>
    <row r="3837" spans="1:41" s="504" customFormat="1" ht="12" customHeight="1">
      <c r="A3837" s="870">
        <v>1</v>
      </c>
      <c r="B3837" s="871" t="s">
        <v>335</v>
      </c>
      <c r="C3837" s="872"/>
      <c r="D3837" s="873" t="s">
        <v>806</v>
      </c>
      <c r="E3837" s="874">
        <f>IF(AND($A3837=0,$A$1="DIF"),0, ROUND(ROUND(($R3841*$S$2+($T3841*$T$2))/A3837,2)*$C$2,2))</f>
        <v>216.67</v>
      </c>
      <c r="F3837" s="875">
        <f>ROUND($A3837*$E3837,2)</f>
        <v>216.67</v>
      </c>
      <c r="G3837" s="876" t="s">
        <v>139</v>
      </c>
      <c r="H3837" s="877"/>
      <c r="I3837" s="878"/>
      <c r="J3837" s="877"/>
      <c r="K3837" s="877" t="s">
        <v>3</v>
      </c>
      <c r="L3837" s="879" t="s">
        <v>140</v>
      </c>
      <c r="M3837" s="879"/>
      <c r="N3837" s="879"/>
      <c r="O3837" s="879"/>
      <c r="P3837" s="879"/>
      <c r="Q3837" s="50"/>
      <c r="T3837" s="880" t="str">
        <f>IF(AND($R3841=0,$T3841=0),"0.00","mu :" &amp; ROUND($F3837/$C$2/($R3841+$T3841*$D$9),2))</f>
        <v>mu :1.22</v>
      </c>
      <c r="W3837" s="507"/>
      <c r="AG3837" s="465">
        <f>IF($E3837=0,0,ROUND($R3841*$S$2*$C$2/$A3837,2))</f>
        <v>216.67</v>
      </c>
      <c r="AH3837" s="465">
        <f>$AG3837*$A3837</f>
        <v>216.67</v>
      </c>
      <c r="AI3837" s="508">
        <f>$E3837-$AG3837</f>
        <v>0</v>
      </c>
      <c r="AJ3837" s="508">
        <f>$A3837*$AI3837</f>
        <v>0</v>
      </c>
      <c r="AK3837" s="509">
        <f>ROUND(($AG3837+$AI3837)*$A3837,2)</f>
        <v>216.67</v>
      </c>
      <c r="AM3837" s="510">
        <f>ROUND(R3841,2)</f>
        <v>177.6</v>
      </c>
      <c r="AN3837" s="511">
        <f>ROUND(T3841,2)</f>
        <v>0</v>
      </c>
      <c r="AO3837" s="512">
        <f>ROUND(AM3837+AN3837,2)*A3837</f>
        <v>177.6</v>
      </c>
    </row>
    <row r="3838" spans="1:41" s="504" customFormat="1" ht="13.2">
      <c r="A3838" s="872"/>
      <c r="B3838"/>
      <c r="C3838" s="872"/>
      <c r="D3838" s="873" t="s">
        <v>477</v>
      </c>
      <c r="F3838" s="877"/>
      <c r="G3838" s="3"/>
      <c r="H3838" s="877"/>
      <c r="I3838" s="878"/>
      <c r="J3838" s="877"/>
      <c r="K3838" s="877" t="s">
        <v>141</v>
      </c>
      <c r="L3838" s="877"/>
      <c r="M3838" s="877"/>
      <c r="N3838" s="877"/>
      <c r="O3838" s="877"/>
      <c r="P3838" s="877"/>
      <c r="Q3838" s="50"/>
      <c r="R3838" s="513"/>
      <c r="S3838" s="881"/>
      <c r="T3838" s="877"/>
    </row>
    <row r="3839" spans="1:41" s="504" customFormat="1" ht="13.2">
      <c r="A3839">
        <v>1</v>
      </c>
      <c r="B3839" s="1039" t="s">
        <v>949</v>
      </c>
      <c r="C3839" s="1039"/>
      <c r="D3839" s="1039" t="s">
        <v>1380</v>
      </c>
      <c r="E3839" s="1039"/>
      <c r="F3839" s="1039"/>
      <c r="G3839" s="1040" t="s">
        <v>950</v>
      </c>
      <c r="H3839" s="1041">
        <v>510</v>
      </c>
      <c r="I3839" s="1039" t="s">
        <v>951</v>
      </c>
      <c r="J3839" s="1039"/>
      <c r="K3839" s="882"/>
      <c r="L3839" s="1039"/>
      <c r="M3839" s="1039"/>
      <c r="N3839" s="1039"/>
      <c r="O3839" s="1042">
        <v>2</v>
      </c>
      <c r="P3839" s="1043"/>
      <c r="Q3839" s="1044">
        <v>177.6</v>
      </c>
      <c r="R3839" s="883">
        <f>$A3839*Q3839</f>
        <v>177.6</v>
      </c>
      <c r="S3839" s="1044"/>
      <c r="T3839" s="1046">
        <f>$A3839*S3839*$T$1</f>
        <v>0</v>
      </c>
    </row>
    <row r="3840" spans="1:41" s="504" customFormat="1" ht="12">
      <c r="A3840" s="882"/>
      <c r="B3840" s="882"/>
      <c r="C3840" s="882"/>
      <c r="D3840" s="882"/>
      <c r="E3840" s="882"/>
      <c r="F3840" s="877"/>
      <c r="G3840" s="882"/>
      <c r="H3840" s="882"/>
      <c r="I3840" s="503"/>
      <c r="J3840" s="882"/>
      <c r="K3840" s="882"/>
      <c r="L3840" s="882"/>
      <c r="M3840" s="882"/>
      <c r="N3840" s="882"/>
      <c r="O3840" s="882"/>
      <c r="P3840" s="882"/>
      <c r="Q3840" s="503"/>
      <c r="R3840" s="883">
        <f>$A3840*Q3840</f>
        <v>0</v>
      </c>
      <c r="S3840" s="503"/>
      <c r="T3840" s="884">
        <f>$A3840*S3840*$T$1</f>
        <v>0</v>
      </c>
    </row>
    <row r="3841" spans="1:41" s="504" customFormat="1" ht="12.6" thickBot="1">
      <c r="A3841" s="885" t="s">
        <v>142</v>
      </c>
      <c r="B3841" s="886">
        <f>(R3840+T3840)</f>
        <v>0</v>
      </c>
      <c r="C3841" s="887"/>
      <c r="D3841" s="887"/>
      <c r="E3841" s="887"/>
      <c r="F3841" s="888"/>
      <c r="G3841" s="887" t="s">
        <v>143</v>
      </c>
      <c r="H3841" s="887"/>
      <c r="I3841" s="889"/>
      <c r="J3841" s="887"/>
      <c r="K3841" s="887" t="s">
        <v>3</v>
      </c>
      <c r="L3841" s="890" t="s">
        <v>140</v>
      </c>
      <c r="M3841" s="890"/>
      <c r="N3841" s="890"/>
      <c r="O3841" s="890"/>
      <c r="P3841" s="890"/>
      <c r="Q3841" s="891"/>
      <c r="R3841" s="892">
        <f>SUM(R3838:R3840)</f>
        <v>177.6</v>
      </c>
      <c r="S3841" s="887"/>
      <c r="T3841" s="892">
        <f>SUM(T3838:T3840)</f>
        <v>0</v>
      </c>
      <c r="U3841" s="514"/>
      <c r="V3841" s="514"/>
      <c r="W3841" s="514"/>
      <c r="X3841" s="514"/>
      <c r="Y3841" s="514"/>
      <c r="Z3841" s="514"/>
      <c r="AA3841" s="514"/>
      <c r="AB3841" s="514"/>
      <c r="AC3841" s="514"/>
      <c r="AD3841" s="514"/>
      <c r="AE3841" s="514"/>
      <c r="AF3841" s="514"/>
      <c r="AG3841" s="514"/>
      <c r="AH3841" s="514"/>
      <c r="AI3841" s="514"/>
      <c r="AJ3841" s="514"/>
      <c r="AK3841" s="514"/>
      <c r="AL3841" s="514"/>
      <c r="AM3841" s="514"/>
      <c r="AN3841" s="514"/>
      <c r="AO3841" s="514"/>
    </row>
    <row r="3842" spans="1:41" s="504" customFormat="1" ht="12" thickTop="1">
      <c r="A3842" s="50"/>
      <c r="B3842" s="40"/>
      <c r="C3842" s="50"/>
      <c r="E3842" s="41" t="s">
        <v>136</v>
      </c>
      <c r="F3842" s="41" t="s">
        <v>137</v>
      </c>
      <c r="G3842" s="50"/>
      <c r="H3842" s="50"/>
      <c r="I3842" s="50"/>
      <c r="J3842" s="50"/>
      <c r="K3842" s="50" t="s">
        <v>138</v>
      </c>
      <c r="L3842" s="50"/>
      <c r="M3842" s="50"/>
      <c r="N3842" s="50"/>
      <c r="O3842" s="51"/>
      <c r="P3842" s="50"/>
      <c r="Q3842" s="50"/>
      <c r="R3842" s="50"/>
      <c r="S3842" s="50"/>
      <c r="T3842" s="40"/>
      <c r="AG3842" s="867" t="s">
        <v>241</v>
      </c>
      <c r="AH3842" s="867" t="s">
        <v>242</v>
      </c>
      <c r="AI3842" s="867" t="s">
        <v>243</v>
      </c>
      <c r="AJ3842" s="867" t="s">
        <v>244</v>
      </c>
      <c r="AK3842" s="867" t="s">
        <v>245</v>
      </c>
      <c r="AM3842" s="868" t="s">
        <v>254</v>
      </c>
      <c r="AN3842" s="869" t="s">
        <v>255</v>
      </c>
      <c r="AO3842" s="505" t="s">
        <v>251</v>
      </c>
    </row>
    <row r="3843" spans="1:41" s="504" customFormat="1" ht="12" customHeight="1">
      <c r="A3843" s="870">
        <v>1</v>
      </c>
      <c r="B3843" s="871" t="s">
        <v>335</v>
      </c>
      <c r="C3843" s="872"/>
      <c r="D3843" s="873" t="s">
        <v>808</v>
      </c>
      <c r="E3843" s="874">
        <f>IF(AND($A3843=0,$A$1="DIF"),0, ROUND(ROUND(($R3847*$S$2+($T3847*$T$2))/A3843,2)*$C$2,2))</f>
        <v>138.07</v>
      </c>
      <c r="F3843" s="875">
        <f>ROUND($A3843*$E3843,2)</f>
        <v>138.07</v>
      </c>
      <c r="G3843" s="876" t="s">
        <v>139</v>
      </c>
      <c r="H3843" s="877"/>
      <c r="I3843" s="878"/>
      <c r="J3843" s="877"/>
      <c r="K3843" s="877" t="s">
        <v>3</v>
      </c>
      <c r="L3843" s="879" t="s">
        <v>140</v>
      </c>
      <c r="M3843" s="879"/>
      <c r="N3843" s="879"/>
      <c r="O3843" s="879"/>
      <c r="P3843" s="879"/>
      <c r="Q3843" s="50"/>
      <c r="T3843" s="880" t="str">
        <f>IF(AND($R3847=0,$T3847=0),"0.00","mu :" &amp; ROUND($F3843/$C$2/($R3847+$T3847*$D$9),2))</f>
        <v>mu :1.22</v>
      </c>
      <c r="W3843" s="507"/>
      <c r="AG3843" s="465">
        <f>IF($E3843=0,0,ROUND($R3847*$S$2*$C$2/$A3843,2))</f>
        <v>138.07</v>
      </c>
      <c r="AH3843" s="465">
        <f>$AG3843*$A3843</f>
        <v>138.07</v>
      </c>
      <c r="AI3843" s="508">
        <f>$E3843-$AG3843</f>
        <v>0</v>
      </c>
      <c r="AJ3843" s="508">
        <f>$A3843*$AI3843</f>
        <v>0</v>
      </c>
      <c r="AK3843" s="509">
        <f>ROUND(($AG3843+$AI3843)*$A3843,2)</f>
        <v>138.07</v>
      </c>
      <c r="AM3843" s="510">
        <f>ROUND(R3847,2)</f>
        <v>113.17</v>
      </c>
      <c r="AN3843" s="511">
        <f>ROUND(T3847,2)</f>
        <v>0</v>
      </c>
      <c r="AO3843" s="512">
        <f>ROUND(AM3843+AN3843,2)*A3843</f>
        <v>113.17</v>
      </c>
    </row>
    <row r="3844" spans="1:41" s="504" customFormat="1" ht="13.2">
      <c r="A3844" s="872"/>
      <c r="B3844"/>
      <c r="C3844" s="872"/>
      <c r="D3844" s="873" t="s">
        <v>478</v>
      </c>
      <c r="F3844" s="877"/>
      <c r="G3844" s="3"/>
      <c r="H3844" s="877"/>
      <c r="I3844" s="878"/>
      <c r="J3844" s="877"/>
      <c r="K3844" s="877" t="s">
        <v>141</v>
      </c>
      <c r="L3844" s="877"/>
      <c r="M3844" s="877"/>
      <c r="N3844" s="877"/>
      <c r="O3844" s="877"/>
      <c r="P3844" s="877"/>
      <c r="Q3844" s="50"/>
      <c r="R3844" s="513"/>
      <c r="S3844" s="881"/>
      <c r="T3844" s="877"/>
    </row>
    <row r="3845" spans="1:41" s="504" customFormat="1" ht="13.2">
      <c r="A3845">
        <v>1</v>
      </c>
      <c r="B3845" s="1039" t="s">
        <v>949</v>
      </c>
      <c r="C3845" s="1039"/>
      <c r="D3845" s="1039" t="s">
        <v>1381</v>
      </c>
      <c r="E3845" s="1039"/>
      <c r="F3845" s="1039"/>
      <c r="G3845" s="1040" t="s">
        <v>950</v>
      </c>
      <c r="H3845" s="1041">
        <v>510</v>
      </c>
      <c r="I3845" s="1039" t="s">
        <v>951</v>
      </c>
      <c r="J3845" s="1039"/>
      <c r="K3845" s="882"/>
      <c r="L3845" s="1039"/>
      <c r="M3845" s="1039"/>
      <c r="N3845" s="1039"/>
      <c r="O3845" s="1042">
        <v>2</v>
      </c>
      <c r="P3845" s="1043"/>
      <c r="Q3845" s="1044">
        <f>106.4+6.77</f>
        <v>113.17</v>
      </c>
      <c r="R3845" s="883">
        <f>$A3845*Q3845</f>
        <v>113.17</v>
      </c>
      <c r="S3845" s="1044"/>
      <c r="T3845" s="1046">
        <f>$A3845*S3845*$T$1</f>
        <v>0</v>
      </c>
    </row>
    <row r="3846" spans="1:41" s="504" customFormat="1" ht="12">
      <c r="A3846" s="882"/>
      <c r="B3846" s="882"/>
      <c r="C3846" s="882"/>
      <c r="D3846" s="882"/>
      <c r="E3846" s="882"/>
      <c r="F3846" s="877"/>
      <c r="G3846" s="882"/>
      <c r="H3846" s="882"/>
      <c r="I3846" s="503"/>
      <c r="J3846" s="882"/>
      <c r="K3846" s="882"/>
      <c r="L3846" s="882"/>
      <c r="M3846" s="882"/>
      <c r="N3846" s="882"/>
      <c r="O3846" s="882"/>
      <c r="P3846" s="882"/>
      <c r="Q3846" s="503"/>
      <c r="R3846" s="883">
        <f>$A3846*Q3846</f>
        <v>0</v>
      </c>
      <c r="S3846" s="503"/>
      <c r="T3846" s="884">
        <f>$A3846*S3846*$T$1</f>
        <v>0</v>
      </c>
    </row>
    <row r="3847" spans="1:41" s="504" customFormat="1" ht="12.6" thickBot="1">
      <c r="A3847" s="885" t="s">
        <v>142</v>
      </c>
      <c r="B3847" s="886">
        <f>(R3846+T3846)</f>
        <v>0</v>
      </c>
      <c r="C3847" s="887"/>
      <c r="D3847" s="887"/>
      <c r="E3847" s="887"/>
      <c r="F3847" s="888"/>
      <c r="G3847" s="887" t="s">
        <v>143</v>
      </c>
      <c r="H3847" s="887"/>
      <c r="I3847" s="889"/>
      <c r="J3847" s="887"/>
      <c r="K3847" s="887" t="s">
        <v>3</v>
      </c>
      <c r="L3847" s="890" t="s">
        <v>140</v>
      </c>
      <c r="M3847" s="890"/>
      <c r="N3847" s="890"/>
      <c r="O3847" s="890"/>
      <c r="P3847" s="890"/>
      <c r="Q3847" s="891"/>
      <c r="R3847" s="892">
        <f>SUM(R3844:R3846)</f>
        <v>113.17</v>
      </c>
      <c r="S3847" s="887"/>
      <c r="T3847" s="892">
        <f>SUM(T3844:T3846)</f>
        <v>0</v>
      </c>
      <c r="U3847" s="514"/>
      <c r="V3847" s="514"/>
      <c r="W3847" s="514"/>
      <c r="X3847" s="514"/>
      <c r="Y3847" s="514"/>
      <c r="Z3847" s="514"/>
      <c r="AA3847" s="514"/>
      <c r="AB3847" s="514"/>
      <c r="AC3847" s="514"/>
      <c r="AD3847" s="514"/>
      <c r="AE3847" s="514"/>
      <c r="AF3847" s="514"/>
      <c r="AG3847" s="514"/>
      <c r="AH3847" s="514"/>
      <c r="AI3847" s="514"/>
      <c r="AJ3847" s="514"/>
      <c r="AK3847" s="514"/>
      <c r="AL3847" s="514"/>
      <c r="AM3847" s="514"/>
      <c r="AN3847" s="514"/>
      <c r="AO3847" s="514"/>
    </row>
    <row r="3848" spans="1:41" s="504" customFormat="1" ht="12" thickTop="1">
      <c r="A3848" s="50"/>
      <c r="B3848" s="40"/>
      <c r="C3848" s="50"/>
      <c r="E3848" s="41" t="s">
        <v>136</v>
      </c>
      <c r="F3848" s="41" t="s">
        <v>137</v>
      </c>
      <c r="G3848" s="50"/>
      <c r="H3848" s="50"/>
      <c r="I3848" s="50"/>
      <c r="J3848" s="50"/>
      <c r="K3848" s="50" t="s">
        <v>138</v>
      </c>
      <c r="L3848" s="50"/>
      <c r="M3848" s="50"/>
      <c r="N3848" s="50"/>
      <c r="O3848" s="51"/>
      <c r="P3848" s="50"/>
      <c r="Q3848" s="50"/>
      <c r="R3848" s="50"/>
      <c r="S3848" s="50"/>
      <c r="T3848" s="40"/>
      <c r="AG3848" s="867" t="s">
        <v>241</v>
      </c>
      <c r="AH3848" s="867" t="s">
        <v>242</v>
      </c>
      <c r="AI3848" s="867" t="s">
        <v>243</v>
      </c>
      <c r="AJ3848" s="867" t="s">
        <v>244</v>
      </c>
      <c r="AK3848" s="867" t="s">
        <v>245</v>
      </c>
      <c r="AM3848" s="868" t="s">
        <v>254</v>
      </c>
      <c r="AN3848" s="869" t="s">
        <v>255</v>
      </c>
      <c r="AO3848" s="505" t="s">
        <v>251</v>
      </c>
    </row>
    <row r="3849" spans="1:41" s="504" customFormat="1" ht="12" customHeight="1">
      <c r="A3849" s="870">
        <v>1</v>
      </c>
      <c r="B3849" s="871" t="s">
        <v>335</v>
      </c>
      <c r="C3849" s="872"/>
      <c r="D3849" s="873" t="s">
        <v>810</v>
      </c>
      <c r="E3849" s="874">
        <f>IF(AND($A3849=0,$A$1="DIF"),0, ROUND(ROUND(($R3853*$S$2+($T3853*$T$2))/A3849,2)*$C$2,2))</f>
        <v>23.42</v>
      </c>
      <c r="F3849" s="875">
        <f>ROUND($A3849*$E3849,2)</f>
        <v>23.42</v>
      </c>
      <c r="G3849" s="876" t="s">
        <v>139</v>
      </c>
      <c r="H3849" s="877"/>
      <c r="I3849" s="878"/>
      <c r="J3849" s="877"/>
      <c r="K3849" s="877" t="s">
        <v>3</v>
      </c>
      <c r="L3849" s="879" t="s">
        <v>140</v>
      </c>
      <c r="M3849" s="879"/>
      <c r="N3849" s="879"/>
      <c r="O3849" s="879"/>
      <c r="P3849" s="879"/>
      <c r="Q3849" s="50"/>
      <c r="T3849" s="880" t="str">
        <f>IF(AND($R3853=0,$T3853=0),"0.00","mu :" &amp; ROUND($F3849/$C$2/($R3853+$T3853*$D$9),2))</f>
        <v>mu :1.22</v>
      </c>
      <c r="W3849" s="507"/>
      <c r="AG3849" s="465">
        <f>IF($E3849=0,0,ROUND($R3853*$S$2*$C$2/$A3849,2))</f>
        <v>23.42</v>
      </c>
      <c r="AH3849" s="465">
        <f>$AG3849*$A3849</f>
        <v>23.42</v>
      </c>
      <c r="AI3849" s="508">
        <f>$E3849-$AG3849</f>
        <v>0</v>
      </c>
      <c r="AJ3849" s="508">
        <f>$A3849*$AI3849</f>
        <v>0</v>
      </c>
      <c r="AK3849" s="509">
        <f>ROUND(($AG3849+$AI3849)*$A3849,2)</f>
        <v>23.42</v>
      </c>
      <c r="AM3849" s="510">
        <f>ROUND(R3853,2)</f>
        <v>19.2</v>
      </c>
      <c r="AN3849" s="511">
        <f>ROUND(T3853,2)</f>
        <v>0</v>
      </c>
      <c r="AO3849" s="512">
        <f>ROUND(AM3849+AN3849,2)*A3849</f>
        <v>19.2</v>
      </c>
    </row>
    <row r="3850" spans="1:41" s="504" customFormat="1" ht="13.2">
      <c r="A3850" s="872"/>
      <c r="B3850"/>
      <c r="C3850" s="872"/>
      <c r="D3850" s="873" t="s">
        <v>367</v>
      </c>
      <c r="F3850" s="877"/>
      <c r="G3850" s="3"/>
      <c r="H3850" s="877"/>
      <c r="I3850" s="878"/>
      <c r="J3850" s="877"/>
      <c r="K3850" s="877" t="s">
        <v>141</v>
      </c>
      <c r="L3850" s="877"/>
      <c r="M3850" s="877"/>
      <c r="N3850" s="877"/>
      <c r="O3850" s="877"/>
      <c r="P3850" s="877"/>
      <c r="Q3850" s="50"/>
      <c r="R3850" s="513"/>
      <c r="S3850" s="881"/>
      <c r="T3850" s="877"/>
    </row>
    <row r="3851" spans="1:41" s="504" customFormat="1" ht="13.2">
      <c r="A3851" s="112">
        <v>1</v>
      </c>
      <c r="B3851" s="1039" t="s">
        <v>949</v>
      </c>
      <c r="C3851" s="1039"/>
      <c r="D3851" s="1039" t="s">
        <v>1260</v>
      </c>
      <c r="E3851" s="1039" t="s">
        <v>1251</v>
      </c>
      <c r="F3851" s="1039" t="s">
        <v>1252</v>
      </c>
      <c r="G3851" s="1040" t="s">
        <v>1245</v>
      </c>
      <c r="H3851" s="1041">
        <v>510</v>
      </c>
      <c r="I3851" s="1039" t="s">
        <v>1246</v>
      </c>
      <c r="J3851" s="1039" t="s">
        <v>1247</v>
      </c>
      <c r="K3851" s="882"/>
      <c r="L3851" s="1039"/>
      <c r="M3851" s="1039"/>
      <c r="N3851" s="1039"/>
      <c r="O3851" s="1042">
        <v>2</v>
      </c>
      <c r="P3851" s="1043">
        <v>36880</v>
      </c>
      <c r="Q3851" s="1044">
        <v>19.2</v>
      </c>
      <c r="R3851" s="1072">
        <f>$A3851*Q3851</f>
        <v>19.2</v>
      </c>
      <c r="S3851" s="1044"/>
      <c r="T3851" s="1046">
        <f>$A3851*S3851*$T$1</f>
        <v>0</v>
      </c>
    </row>
    <row r="3852" spans="1:41" s="504" customFormat="1" ht="12">
      <c r="A3852" s="882"/>
      <c r="B3852" s="882"/>
      <c r="C3852" s="882"/>
      <c r="D3852" s="882"/>
      <c r="E3852" s="882"/>
      <c r="F3852" s="877"/>
      <c r="G3852" s="882"/>
      <c r="H3852" s="882"/>
      <c r="I3852" s="503"/>
      <c r="J3852" s="882"/>
      <c r="K3852" s="882"/>
      <c r="L3852" s="882"/>
      <c r="M3852" s="882"/>
      <c r="N3852" s="882"/>
      <c r="O3852" s="882"/>
      <c r="P3852" s="882"/>
      <c r="Q3852" s="503"/>
      <c r="R3852" s="883">
        <f>$A3852*Q3852</f>
        <v>0</v>
      </c>
      <c r="S3852" s="503"/>
      <c r="T3852" s="884">
        <f>$A3852*S3852*$T$1</f>
        <v>0</v>
      </c>
    </row>
    <row r="3853" spans="1:41" s="504" customFormat="1" ht="12.6" thickBot="1">
      <c r="A3853" s="885" t="s">
        <v>142</v>
      </c>
      <c r="B3853" s="886">
        <f>(R3852+T3852)</f>
        <v>0</v>
      </c>
      <c r="C3853" s="887"/>
      <c r="D3853" s="887"/>
      <c r="E3853" s="887"/>
      <c r="F3853" s="888"/>
      <c r="G3853" s="887" t="s">
        <v>143</v>
      </c>
      <c r="H3853" s="887"/>
      <c r="I3853" s="889"/>
      <c r="J3853" s="887"/>
      <c r="K3853" s="887" t="s">
        <v>3</v>
      </c>
      <c r="L3853" s="890" t="s">
        <v>140</v>
      </c>
      <c r="M3853" s="890"/>
      <c r="N3853" s="890"/>
      <c r="O3853" s="890"/>
      <c r="P3853" s="890"/>
      <c r="Q3853" s="891"/>
      <c r="R3853" s="892">
        <f>SUM(R3850:R3852)</f>
        <v>19.2</v>
      </c>
      <c r="S3853" s="887"/>
      <c r="T3853" s="892">
        <f>SUM(T3850:T3852)</f>
        <v>0</v>
      </c>
      <c r="U3853" s="514"/>
      <c r="V3853" s="514"/>
      <c r="W3853" s="514"/>
      <c r="X3853" s="514"/>
      <c r="Y3853" s="514"/>
      <c r="Z3853" s="514"/>
      <c r="AA3853" s="514"/>
      <c r="AB3853" s="514"/>
      <c r="AC3853" s="514"/>
      <c r="AD3853" s="514"/>
      <c r="AE3853" s="514"/>
      <c r="AF3853" s="514"/>
      <c r="AG3853" s="514"/>
      <c r="AH3853" s="514"/>
      <c r="AI3853" s="514"/>
      <c r="AJ3853" s="514"/>
      <c r="AK3853" s="514"/>
      <c r="AL3853" s="514"/>
      <c r="AM3853" s="514"/>
      <c r="AN3853" s="514"/>
      <c r="AO3853" s="514"/>
    </row>
    <row r="3854" spans="1:41" s="504" customFormat="1" ht="12" thickTop="1">
      <c r="A3854" s="50"/>
      <c r="B3854" s="40"/>
      <c r="C3854" s="50"/>
      <c r="E3854" s="41" t="s">
        <v>136</v>
      </c>
      <c r="F3854" s="41" t="s">
        <v>137</v>
      </c>
      <c r="G3854" s="50"/>
      <c r="H3854" s="50"/>
      <c r="I3854" s="50"/>
      <c r="J3854" s="50"/>
      <c r="K3854" s="50" t="s">
        <v>138</v>
      </c>
      <c r="L3854" s="50"/>
      <c r="M3854" s="50"/>
      <c r="N3854" s="50"/>
      <c r="O3854" s="51"/>
      <c r="P3854" s="50"/>
      <c r="Q3854" s="50"/>
      <c r="R3854" s="50"/>
      <c r="S3854" s="50"/>
      <c r="T3854" s="40"/>
      <c r="AG3854" s="867" t="s">
        <v>241</v>
      </c>
      <c r="AH3854" s="867" t="s">
        <v>242</v>
      </c>
      <c r="AI3854" s="867" t="s">
        <v>243</v>
      </c>
      <c r="AJ3854" s="867" t="s">
        <v>244</v>
      </c>
      <c r="AK3854" s="867" t="s">
        <v>245</v>
      </c>
      <c r="AM3854" s="868" t="s">
        <v>254</v>
      </c>
      <c r="AN3854" s="869" t="s">
        <v>255</v>
      </c>
      <c r="AO3854" s="505" t="s">
        <v>251</v>
      </c>
    </row>
    <row r="3855" spans="1:41" s="504" customFormat="1" ht="12" customHeight="1">
      <c r="A3855" s="870">
        <v>1</v>
      </c>
      <c r="B3855" s="871" t="s">
        <v>335</v>
      </c>
      <c r="C3855" s="872"/>
      <c r="D3855" s="873" t="s">
        <v>812</v>
      </c>
      <c r="E3855" s="874">
        <f>IF(AND($A3855=0,$A$1="DIF"),0, ROUND(ROUND(($R3859*$S$2+($T3859*$T$2))/A3855,2)*$C$2,2))</f>
        <v>23.57</v>
      </c>
      <c r="F3855" s="875">
        <f>ROUND($A3855*$E3855,2)</f>
        <v>23.57</v>
      </c>
      <c r="G3855" s="876" t="s">
        <v>139</v>
      </c>
      <c r="H3855" s="877"/>
      <c r="I3855" s="878"/>
      <c r="J3855" s="877"/>
      <c r="K3855" s="877" t="s">
        <v>3</v>
      </c>
      <c r="L3855" s="879" t="s">
        <v>140</v>
      </c>
      <c r="M3855" s="879"/>
      <c r="N3855" s="879"/>
      <c r="O3855" s="879"/>
      <c r="P3855" s="879"/>
      <c r="Q3855" s="50"/>
      <c r="T3855" s="880" t="str">
        <f>IF(AND($R3859=0,$T3859=0),"0.00","mu :" &amp; ROUND($F3855/$C$2/($R3859+$T3859*$D$9),2))</f>
        <v>mu :1.22</v>
      </c>
      <c r="W3855" s="507"/>
      <c r="AG3855" s="465">
        <f>IF($E3855=0,0,ROUND($R3859*$S$2*$C$2/$A3855,2))</f>
        <v>23.57</v>
      </c>
      <c r="AH3855" s="465">
        <f>$AG3855*$A3855</f>
        <v>23.57</v>
      </c>
      <c r="AI3855" s="508">
        <f>$E3855-$AG3855</f>
        <v>0</v>
      </c>
      <c r="AJ3855" s="508">
        <f>$A3855*$AI3855</f>
        <v>0</v>
      </c>
      <c r="AK3855" s="509">
        <f>ROUND(($AG3855+$AI3855)*$A3855,2)</f>
        <v>23.57</v>
      </c>
      <c r="AM3855" s="510">
        <f>ROUND(R3859,2)</f>
        <v>19.32</v>
      </c>
      <c r="AN3855" s="511">
        <f>ROUND(T3859,2)</f>
        <v>0</v>
      </c>
      <c r="AO3855" s="512">
        <f>ROUND(AM3855+AN3855,2)*A3855</f>
        <v>19.32</v>
      </c>
    </row>
    <row r="3856" spans="1:41" s="504" customFormat="1" ht="13.2">
      <c r="A3856" s="872"/>
      <c r="B3856"/>
      <c r="C3856" s="872"/>
      <c r="D3856" s="873" t="s">
        <v>479</v>
      </c>
      <c r="F3856" s="877"/>
      <c r="G3856" s="3"/>
      <c r="H3856" s="877"/>
      <c r="I3856" s="878"/>
      <c r="J3856" s="877"/>
      <c r="K3856" s="877" t="s">
        <v>141</v>
      </c>
      <c r="L3856" s="877"/>
      <c r="M3856" s="877"/>
      <c r="N3856" s="877"/>
      <c r="O3856" s="877"/>
      <c r="P3856" s="877"/>
      <c r="Q3856" s="50"/>
      <c r="R3856" s="513"/>
      <c r="S3856" s="881"/>
      <c r="T3856" s="877"/>
    </row>
    <row r="3857" spans="1:41" s="504" customFormat="1" ht="13.2">
      <c r="A3857" s="112">
        <v>1</v>
      </c>
      <c r="B3857" s="1039" t="s">
        <v>949</v>
      </c>
      <c r="C3857" s="1039"/>
      <c r="D3857" s="1039" t="s">
        <v>1383</v>
      </c>
      <c r="E3857" s="1039" t="s">
        <v>1384</v>
      </c>
      <c r="F3857" s="1039" t="s">
        <v>1252</v>
      </c>
      <c r="G3857" s="1040" t="s">
        <v>1245</v>
      </c>
      <c r="H3857" s="1041">
        <v>510</v>
      </c>
      <c r="I3857" s="1039" t="s">
        <v>1246</v>
      </c>
      <c r="J3857" s="1039" t="s">
        <v>1247</v>
      </c>
      <c r="K3857" s="882"/>
      <c r="L3857" s="1039"/>
      <c r="M3857" s="1039"/>
      <c r="N3857" s="1039"/>
      <c r="O3857" s="1042">
        <v>2</v>
      </c>
      <c r="P3857" s="1043">
        <v>36880</v>
      </c>
      <c r="Q3857" s="1044">
        <v>19.32</v>
      </c>
      <c r="R3857" s="1072">
        <f>$A3857*Q3857</f>
        <v>19.32</v>
      </c>
      <c r="S3857" s="1044"/>
      <c r="T3857" s="1046">
        <f>$A3857*S3857*$T$1</f>
        <v>0</v>
      </c>
    </row>
    <row r="3858" spans="1:41" s="504" customFormat="1" ht="12">
      <c r="A3858" s="882"/>
      <c r="B3858" s="882"/>
      <c r="C3858" s="882"/>
      <c r="D3858" s="882"/>
      <c r="E3858" s="882"/>
      <c r="F3858" s="877"/>
      <c r="G3858" s="882"/>
      <c r="H3858" s="882"/>
      <c r="I3858" s="503"/>
      <c r="J3858" s="882"/>
      <c r="K3858" s="882"/>
      <c r="L3858" s="882"/>
      <c r="M3858" s="882"/>
      <c r="N3858" s="882"/>
      <c r="O3858" s="882"/>
      <c r="P3858" s="882"/>
      <c r="Q3858" s="503"/>
      <c r="R3858" s="883">
        <f>$A3858*Q3858</f>
        <v>0</v>
      </c>
      <c r="S3858" s="503"/>
      <c r="T3858" s="884">
        <f>$A3858*S3858*$T$1</f>
        <v>0</v>
      </c>
    </row>
    <row r="3859" spans="1:41" s="504" customFormat="1" ht="12.6" thickBot="1">
      <c r="A3859" s="885" t="s">
        <v>142</v>
      </c>
      <c r="B3859" s="886">
        <f>(R3858+T3858)</f>
        <v>0</v>
      </c>
      <c r="C3859" s="887"/>
      <c r="D3859" s="887"/>
      <c r="E3859" s="887"/>
      <c r="F3859" s="888"/>
      <c r="G3859" s="887" t="s">
        <v>143</v>
      </c>
      <c r="H3859" s="887"/>
      <c r="I3859" s="889"/>
      <c r="J3859" s="887"/>
      <c r="K3859" s="887" t="s">
        <v>3</v>
      </c>
      <c r="L3859" s="890" t="s">
        <v>140</v>
      </c>
      <c r="M3859" s="890"/>
      <c r="N3859" s="890"/>
      <c r="O3859" s="890"/>
      <c r="P3859" s="890"/>
      <c r="Q3859" s="891"/>
      <c r="R3859" s="892">
        <f>SUM(R3856:R3858)</f>
        <v>19.32</v>
      </c>
      <c r="S3859" s="887"/>
      <c r="T3859" s="892">
        <f>SUM(T3856:T3858)</f>
        <v>0</v>
      </c>
      <c r="U3859" s="514"/>
      <c r="V3859" s="514"/>
      <c r="W3859" s="514"/>
      <c r="X3859" s="514"/>
      <c r="Y3859" s="514"/>
      <c r="Z3859" s="514"/>
      <c r="AA3859" s="514"/>
      <c r="AB3859" s="514"/>
      <c r="AC3859" s="514"/>
      <c r="AD3859" s="514"/>
      <c r="AE3859" s="514"/>
      <c r="AF3859" s="514"/>
      <c r="AG3859" s="514"/>
      <c r="AH3859" s="514"/>
      <c r="AI3859" s="514"/>
      <c r="AJ3859" s="514"/>
      <c r="AK3859" s="514"/>
      <c r="AL3859" s="514"/>
      <c r="AM3859" s="514"/>
      <c r="AN3859" s="514"/>
      <c r="AO3859" s="514"/>
    </row>
    <row r="3860" spans="1:41" s="504" customFormat="1" ht="12" thickTop="1">
      <c r="A3860" s="50"/>
      <c r="B3860" s="40"/>
      <c r="C3860" s="50"/>
      <c r="E3860" s="41" t="s">
        <v>136</v>
      </c>
      <c r="F3860" s="41" t="s">
        <v>137</v>
      </c>
      <c r="G3860" s="50"/>
      <c r="H3860" s="50"/>
      <c r="I3860" s="50"/>
      <c r="J3860" s="50"/>
      <c r="K3860" s="50" t="s">
        <v>138</v>
      </c>
      <c r="L3860" s="50"/>
      <c r="M3860" s="50"/>
      <c r="N3860" s="50"/>
      <c r="O3860" s="51"/>
      <c r="P3860" s="50"/>
      <c r="Q3860" s="50"/>
      <c r="R3860" s="50"/>
      <c r="S3860" s="50"/>
      <c r="T3860" s="40"/>
      <c r="AG3860" s="867" t="s">
        <v>241</v>
      </c>
      <c r="AH3860" s="867" t="s">
        <v>242</v>
      </c>
      <c r="AI3860" s="867" t="s">
        <v>243</v>
      </c>
      <c r="AJ3860" s="867" t="s">
        <v>244</v>
      </c>
      <c r="AK3860" s="867" t="s">
        <v>245</v>
      </c>
      <c r="AM3860" s="868" t="s">
        <v>254</v>
      </c>
      <c r="AN3860" s="869" t="s">
        <v>255</v>
      </c>
      <c r="AO3860" s="505" t="s">
        <v>251</v>
      </c>
    </row>
    <row r="3861" spans="1:41" s="504" customFormat="1" ht="12" customHeight="1">
      <c r="A3861" s="870">
        <v>1</v>
      </c>
      <c r="B3861" s="871" t="s">
        <v>335</v>
      </c>
      <c r="C3861" s="872"/>
      <c r="D3861" s="873" t="s">
        <v>819</v>
      </c>
      <c r="E3861" s="874">
        <f>IF(AND($A3861=0,$A$1="DIF"),0, ROUND(ROUND(($R3865*$S$2+($T3865*$T$2))/A3861,2)*$C$2,2))</f>
        <v>332.3</v>
      </c>
      <c r="F3861" s="875">
        <f>ROUND($A3861*$E3861,2)</f>
        <v>332.3</v>
      </c>
      <c r="G3861" s="876" t="s">
        <v>139</v>
      </c>
      <c r="H3861" s="877"/>
      <c r="I3861" s="878"/>
      <c r="J3861" s="877"/>
      <c r="K3861" s="877" t="s">
        <v>3</v>
      </c>
      <c r="L3861" s="879" t="s">
        <v>140</v>
      </c>
      <c r="M3861" s="879"/>
      <c r="N3861" s="879"/>
      <c r="O3861" s="879"/>
      <c r="P3861" s="879"/>
      <c r="Q3861" s="50"/>
      <c r="T3861" s="880" t="str">
        <f>IF(AND($R3865=0,$T3865=0),"0.00","mu :" &amp; ROUND($F3861/$C$2/($R3865+$T3865*$D$9),2))</f>
        <v>mu :1.22</v>
      </c>
      <c r="W3861" s="507"/>
      <c r="AG3861" s="465">
        <f>IF($E3861=0,0,ROUND($R3865*$S$2*$C$2/$A3861,2))</f>
        <v>332.3</v>
      </c>
      <c r="AH3861" s="465">
        <f>$AG3861*$A3861</f>
        <v>332.3</v>
      </c>
      <c r="AI3861" s="508">
        <f>$E3861-$AG3861</f>
        <v>0</v>
      </c>
      <c r="AJ3861" s="508">
        <f>$A3861*$AI3861</f>
        <v>0</v>
      </c>
      <c r="AK3861" s="509">
        <f>ROUND(($AG3861+$AI3861)*$A3861,2)</f>
        <v>332.3</v>
      </c>
      <c r="AM3861" s="510">
        <f>ROUND(R3865,2)</f>
        <v>272.38</v>
      </c>
      <c r="AN3861" s="511">
        <f>ROUND(T3865,2)</f>
        <v>0</v>
      </c>
      <c r="AO3861" s="512">
        <f>ROUND(AM3861+AN3861,2)*A3861</f>
        <v>272.38</v>
      </c>
    </row>
    <row r="3862" spans="1:41" s="504" customFormat="1" ht="13.2">
      <c r="A3862" s="872"/>
      <c r="B3862"/>
      <c r="C3862" s="872"/>
      <c r="D3862" s="873" t="s">
        <v>480</v>
      </c>
      <c r="F3862" s="877"/>
      <c r="G3862" s="3"/>
      <c r="H3862" s="877"/>
      <c r="I3862" s="878"/>
      <c r="J3862" s="877"/>
      <c r="K3862" s="877" t="s">
        <v>141</v>
      </c>
      <c r="L3862" s="877"/>
      <c r="M3862" s="877"/>
      <c r="N3862" s="877"/>
      <c r="O3862" s="877"/>
      <c r="P3862" s="877"/>
      <c r="Q3862" s="50"/>
      <c r="R3862" s="513"/>
      <c r="S3862" s="881"/>
      <c r="T3862" s="877"/>
    </row>
    <row r="3863" spans="1:41" s="504" customFormat="1" ht="13.2">
      <c r="A3863" s="112">
        <v>1</v>
      </c>
      <c r="B3863" s="1039" t="s">
        <v>949</v>
      </c>
      <c r="C3863" s="1039"/>
      <c r="D3863" s="1039" t="s">
        <v>1385</v>
      </c>
      <c r="E3863" s="1039" t="s">
        <v>1386</v>
      </c>
      <c r="F3863" s="1039" t="s">
        <v>1252</v>
      </c>
      <c r="G3863" s="1040" t="s">
        <v>1245</v>
      </c>
      <c r="H3863" s="1041">
        <v>510</v>
      </c>
      <c r="I3863" s="1039" t="s">
        <v>1246</v>
      </c>
      <c r="J3863" s="1039" t="s">
        <v>1247</v>
      </c>
      <c r="K3863" s="882"/>
      <c r="L3863" s="1039"/>
      <c r="M3863" s="1039"/>
      <c r="N3863" s="1039"/>
      <c r="O3863" s="1042">
        <v>2</v>
      </c>
      <c r="P3863" s="1043">
        <v>36880</v>
      </c>
      <c r="Q3863" s="1044">
        <v>272.38</v>
      </c>
      <c r="R3863" s="1072">
        <f>$A3863*Q3863</f>
        <v>272.38</v>
      </c>
      <c r="S3863" s="1044"/>
      <c r="T3863" s="1046">
        <f>$A3863*S3863*$T$1</f>
        <v>0</v>
      </c>
    </row>
    <row r="3864" spans="1:41" s="504" customFormat="1" ht="12">
      <c r="A3864" s="882"/>
      <c r="B3864" s="882"/>
      <c r="C3864" s="882"/>
      <c r="D3864" s="882"/>
      <c r="E3864" s="882"/>
      <c r="F3864" s="877"/>
      <c r="G3864" s="882"/>
      <c r="H3864" s="882"/>
      <c r="I3864" s="503"/>
      <c r="J3864" s="882"/>
      <c r="K3864" s="882"/>
      <c r="L3864" s="882"/>
      <c r="M3864" s="882"/>
      <c r="N3864" s="882"/>
      <c r="O3864" s="882"/>
      <c r="P3864" s="882"/>
      <c r="Q3864" s="503"/>
      <c r="R3864" s="883">
        <f>$A3864*Q3864</f>
        <v>0</v>
      </c>
      <c r="S3864" s="503"/>
      <c r="T3864" s="884">
        <f>$A3864*S3864*$T$1</f>
        <v>0</v>
      </c>
    </row>
    <row r="3865" spans="1:41" s="504" customFormat="1" ht="12.6" thickBot="1">
      <c r="A3865" s="885" t="s">
        <v>142</v>
      </c>
      <c r="B3865" s="886">
        <f>(R3864+T3864)</f>
        <v>0</v>
      </c>
      <c r="C3865" s="887"/>
      <c r="D3865" s="887"/>
      <c r="E3865" s="887"/>
      <c r="F3865" s="888"/>
      <c r="G3865" s="887" t="s">
        <v>143</v>
      </c>
      <c r="H3865" s="887"/>
      <c r="I3865" s="889"/>
      <c r="J3865" s="887"/>
      <c r="K3865" s="887" t="s">
        <v>3</v>
      </c>
      <c r="L3865" s="890" t="s">
        <v>140</v>
      </c>
      <c r="M3865" s="890"/>
      <c r="N3865" s="890"/>
      <c r="O3865" s="890"/>
      <c r="P3865" s="890"/>
      <c r="Q3865" s="891"/>
      <c r="R3865" s="892">
        <f>SUM(R3862:R3864)</f>
        <v>272.38</v>
      </c>
      <c r="S3865" s="887"/>
      <c r="T3865" s="892">
        <f>SUM(T3862:T3864)</f>
        <v>0</v>
      </c>
      <c r="U3865" s="514"/>
      <c r="V3865" s="514"/>
      <c r="W3865" s="514"/>
      <c r="X3865" s="514"/>
      <c r="Y3865" s="514"/>
      <c r="Z3865" s="514"/>
      <c r="AA3865" s="514"/>
      <c r="AB3865" s="514"/>
      <c r="AC3865" s="514"/>
      <c r="AD3865" s="514"/>
      <c r="AE3865" s="514"/>
      <c r="AF3865" s="514"/>
      <c r="AG3865" s="514"/>
      <c r="AH3865" s="514"/>
      <c r="AI3865" s="514"/>
      <c r="AJ3865" s="514"/>
      <c r="AK3865" s="514"/>
      <c r="AL3865" s="514"/>
      <c r="AM3865" s="514"/>
      <c r="AN3865" s="514"/>
      <c r="AO3865" s="514"/>
    </row>
    <row r="3866" spans="1:41" s="504" customFormat="1" ht="12" thickTop="1">
      <c r="A3866" s="50"/>
      <c r="B3866" s="40"/>
      <c r="C3866" s="50"/>
      <c r="E3866" s="41" t="s">
        <v>136</v>
      </c>
      <c r="F3866" s="41" t="s">
        <v>137</v>
      </c>
      <c r="G3866" s="50"/>
      <c r="H3866" s="50"/>
      <c r="I3866" s="50"/>
      <c r="J3866" s="50"/>
      <c r="K3866" s="50" t="s">
        <v>138</v>
      </c>
      <c r="L3866" s="50"/>
      <c r="M3866" s="50"/>
      <c r="N3866" s="50"/>
      <c r="O3866" s="51"/>
      <c r="P3866" s="50"/>
      <c r="Q3866" s="50"/>
      <c r="R3866" s="50"/>
      <c r="S3866" s="50"/>
      <c r="T3866" s="40"/>
      <c r="AG3866" s="867" t="s">
        <v>241</v>
      </c>
      <c r="AH3866" s="867" t="s">
        <v>242</v>
      </c>
      <c r="AI3866" s="867" t="s">
        <v>243</v>
      </c>
      <c r="AJ3866" s="867" t="s">
        <v>244</v>
      </c>
      <c r="AK3866" s="867" t="s">
        <v>245</v>
      </c>
      <c r="AM3866" s="868" t="s">
        <v>254</v>
      </c>
      <c r="AN3866" s="869" t="s">
        <v>255</v>
      </c>
      <c r="AO3866" s="505" t="s">
        <v>251</v>
      </c>
    </row>
    <row r="3867" spans="1:41" s="504" customFormat="1" ht="12" customHeight="1">
      <c r="A3867" s="870">
        <v>3</v>
      </c>
      <c r="B3867" s="871" t="s">
        <v>335</v>
      </c>
      <c r="C3867" s="872"/>
      <c r="D3867" s="873" t="s">
        <v>820</v>
      </c>
      <c r="E3867" s="874">
        <f>IF(AND($A3867=0,$A$1="DIF"),0, ROUND(ROUND(($R3871*$S$2+($T3871*$T$2))/A3867,2)*$C$2,2))</f>
        <v>26.84</v>
      </c>
      <c r="F3867" s="875">
        <f>ROUND($A3867*$E3867,2)</f>
        <v>80.52</v>
      </c>
      <c r="G3867" s="876" t="s">
        <v>139</v>
      </c>
      <c r="H3867" s="877"/>
      <c r="I3867" s="878"/>
      <c r="J3867" s="877"/>
      <c r="K3867" s="877" t="s">
        <v>3</v>
      </c>
      <c r="L3867" s="879" t="s">
        <v>140</v>
      </c>
      <c r="M3867" s="879"/>
      <c r="N3867" s="879"/>
      <c r="O3867" s="879"/>
      <c r="P3867" s="879"/>
      <c r="Q3867" s="50"/>
      <c r="T3867" s="880" t="str">
        <f>IF(AND($R3871=0,$T3871=0),"0.00","mu :" &amp; ROUND($F3867/$C$2/($R3871+$T3871*$D$9),2))</f>
        <v>mu :1.22</v>
      </c>
      <c r="W3867" s="507"/>
      <c r="AG3867" s="465">
        <f>IF($E3867=0,0,ROUND($R3871*$S$2*$C$2/$A3867,2))</f>
        <v>26.84</v>
      </c>
      <c r="AH3867" s="465">
        <f>$AG3867*$A3867</f>
        <v>80.52</v>
      </c>
      <c r="AI3867" s="508">
        <f>$E3867-$AG3867</f>
        <v>0</v>
      </c>
      <c r="AJ3867" s="508">
        <f>$A3867*$AI3867</f>
        <v>0</v>
      </c>
      <c r="AK3867" s="509">
        <f>ROUND(($AG3867+$AI3867)*$A3867,2)</f>
        <v>80.52</v>
      </c>
      <c r="AM3867" s="510">
        <f>ROUND(R3871,2)</f>
        <v>66</v>
      </c>
      <c r="AN3867" s="511">
        <f>ROUND(T3871,2)</f>
        <v>0</v>
      </c>
      <c r="AO3867" s="512">
        <f>ROUND(AM3867+AN3867,2)*A3867</f>
        <v>198</v>
      </c>
    </row>
    <row r="3868" spans="1:41" s="504" customFormat="1" ht="13.2">
      <c r="A3868" s="872"/>
      <c r="B3868"/>
      <c r="C3868" s="872"/>
      <c r="D3868" s="873" t="s">
        <v>369</v>
      </c>
      <c r="F3868" s="877"/>
      <c r="G3868" s="3"/>
      <c r="H3868" s="877"/>
      <c r="I3868" s="878"/>
      <c r="J3868" s="877"/>
      <c r="K3868" s="877" t="s">
        <v>141</v>
      </c>
      <c r="L3868" s="877"/>
      <c r="M3868" s="877"/>
      <c r="N3868" s="877"/>
      <c r="O3868" s="877"/>
      <c r="P3868" s="877"/>
      <c r="Q3868" s="50"/>
      <c r="R3868" s="513"/>
      <c r="S3868" s="881"/>
      <c r="T3868" s="877"/>
    </row>
    <row r="3869" spans="1:41" s="504" customFormat="1" ht="13.2">
      <c r="A3869" s="112">
        <v>3</v>
      </c>
      <c r="B3869" s="1039" t="s">
        <v>949</v>
      </c>
      <c r="C3869" s="1039"/>
      <c r="D3869" s="1039" t="s">
        <v>1261</v>
      </c>
      <c r="E3869" s="1039" t="s">
        <v>1254</v>
      </c>
      <c r="F3869" s="1039" t="s">
        <v>1252</v>
      </c>
      <c r="G3869" s="1040" t="s">
        <v>1245</v>
      </c>
      <c r="H3869" s="1041">
        <v>510</v>
      </c>
      <c r="I3869" s="1039" t="s">
        <v>1246</v>
      </c>
      <c r="J3869" s="1039" t="s">
        <v>1247</v>
      </c>
      <c r="K3869" s="882"/>
      <c r="L3869" s="1039"/>
      <c r="M3869" s="1039"/>
      <c r="N3869" s="1039"/>
      <c r="O3869" s="1042">
        <v>2</v>
      </c>
      <c r="P3869" s="1043">
        <v>36880</v>
      </c>
      <c r="Q3869" s="1044">
        <v>22</v>
      </c>
      <c r="R3869" s="1072">
        <f>$A3869*Q3869</f>
        <v>66</v>
      </c>
      <c r="S3869" s="1044"/>
      <c r="T3869" s="1046">
        <f>$A3869*S3869*$T$1</f>
        <v>0</v>
      </c>
    </row>
    <row r="3870" spans="1:41" s="504" customFormat="1" ht="12">
      <c r="A3870" s="882"/>
      <c r="B3870" s="882"/>
      <c r="C3870" s="882"/>
      <c r="D3870" s="882"/>
      <c r="E3870" s="882"/>
      <c r="F3870" s="877"/>
      <c r="G3870" s="882"/>
      <c r="H3870" s="882"/>
      <c r="I3870" s="503"/>
      <c r="J3870" s="882"/>
      <c r="K3870" s="882"/>
      <c r="L3870" s="882"/>
      <c r="M3870" s="882"/>
      <c r="N3870" s="882"/>
      <c r="O3870" s="882"/>
      <c r="P3870" s="882"/>
      <c r="Q3870" s="503"/>
      <c r="R3870" s="883">
        <f>$A3870*Q3870</f>
        <v>0</v>
      </c>
      <c r="S3870" s="503"/>
      <c r="T3870" s="884">
        <f>$A3870*S3870*$T$1</f>
        <v>0</v>
      </c>
    </row>
    <row r="3871" spans="1:41" s="504" customFormat="1" ht="12.6" thickBot="1">
      <c r="A3871" s="885" t="s">
        <v>142</v>
      </c>
      <c r="B3871" s="886">
        <f>(R3870+T3870)</f>
        <v>0</v>
      </c>
      <c r="C3871" s="887"/>
      <c r="D3871" s="887"/>
      <c r="E3871" s="887"/>
      <c r="F3871" s="888"/>
      <c r="G3871" s="887" t="s">
        <v>143</v>
      </c>
      <c r="H3871" s="887"/>
      <c r="I3871" s="889"/>
      <c r="J3871" s="887"/>
      <c r="K3871" s="887" t="s">
        <v>3</v>
      </c>
      <c r="L3871" s="890" t="s">
        <v>140</v>
      </c>
      <c r="M3871" s="890"/>
      <c r="N3871" s="890"/>
      <c r="O3871" s="890"/>
      <c r="P3871" s="890"/>
      <c r="Q3871" s="891"/>
      <c r="R3871" s="892">
        <f>SUM(R3868:R3870)</f>
        <v>66</v>
      </c>
      <c r="S3871" s="887"/>
      <c r="T3871" s="892">
        <f>SUM(T3868:T3870)</f>
        <v>0</v>
      </c>
      <c r="U3871" s="514"/>
      <c r="V3871" s="514"/>
      <c r="W3871" s="514"/>
      <c r="X3871" s="514"/>
      <c r="Y3871" s="514"/>
      <c r="Z3871" s="514"/>
      <c r="AA3871" s="514"/>
      <c r="AB3871" s="514"/>
      <c r="AC3871" s="514"/>
      <c r="AD3871" s="514"/>
      <c r="AE3871" s="514"/>
      <c r="AF3871" s="514"/>
      <c r="AG3871" s="514"/>
      <c r="AH3871" s="514"/>
      <c r="AI3871" s="514"/>
      <c r="AJ3871" s="514"/>
      <c r="AK3871" s="514"/>
      <c r="AL3871" s="514"/>
      <c r="AM3871" s="514"/>
      <c r="AN3871" s="514"/>
      <c r="AO3871" s="514"/>
    </row>
    <row r="3872" spans="1:41" s="504" customFormat="1" ht="12" thickTop="1">
      <c r="A3872" s="47" t="s">
        <v>145</v>
      </c>
      <c r="D3872" s="13"/>
      <c r="E3872" s="41"/>
      <c r="O3872" s="893"/>
    </row>
    <row r="3873" spans="1:41" s="504" customFormat="1" ht="13.2">
      <c r="B3873" s="3"/>
      <c r="O3873" s="893"/>
    </row>
    <row r="3874" spans="1:41" s="504" customFormat="1" ht="12">
      <c r="B3874" s="894">
        <f ca="1">$F3874/$C$2-($R3874*$S$2+$T3874*$T$2)</f>
        <v>1.622519999727956E-3</v>
      </c>
      <c r="D3874" s="895" t="s">
        <v>817</v>
      </c>
      <c r="E3874" s="896"/>
      <c r="F3874" s="897">
        <f ca="1">SUMIF($L3721:$L3872,"ITEM",F3721:F3872)</f>
        <v>5813.41</v>
      </c>
      <c r="G3874" s="882"/>
      <c r="H3874" s="882"/>
      <c r="I3874" s="503"/>
      <c r="J3874" s="882"/>
      <c r="K3874" s="882"/>
      <c r="L3874" s="879" t="s">
        <v>154</v>
      </c>
      <c r="M3874" s="879"/>
      <c r="N3874" s="879"/>
      <c r="O3874" s="879"/>
      <c r="P3874" s="879"/>
      <c r="R3874" s="897">
        <f ca="1">SUMIF($L3721:$L3872,"ITEM",R3721:R3872)</f>
        <v>2444.0899999999997</v>
      </c>
      <c r="S3874" s="898"/>
      <c r="T3874" s="897">
        <f ca="1">SUMIF($L3721:$L3872,"ITEM",T3721:T3872)</f>
        <v>80.498000000000005</v>
      </c>
    </row>
    <row r="3875" spans="1:41" s="504" customFormat="1" ht="13.2">
      <c r="A3875" s="50"/>
      <c r="B3875" s="48" t="s">
        <v>816</v>
      </c>
      <c r="C3875" s="50"/>
      <c r="D3875" s="3"/>
      <c r="F3875" s="899" t="s">
        <v>155</v>
      </c>
      <c r="G3875" s="882"/>
      <c r="H3875" s="882"/>
      <c r="I3875" s="503"/>
      <c r="J3875" s="882"/>
      <c r="K3875" s="882"/>
      <c r="L3875" s="882"/>
      <c r="M3875" s="882"/>
      <c r="N3875" s="882"/>
      <c r="O3875" s="882"/>
      <c r="P3875" s="882"/>
      <c r="Q3875" s="900"/>
      <c r="R3875" s="899" t="s">
        <v>156</v>
      </c>
      <c r="S3875" s="38"/>
      <c r="T3875" s="899" t="s">
        <v>157</v>
      </c>
    </row>
    <row r="3876" spans="1:41" s="504" customFormat="1" ht="13.2">
      <c r="A3876" s="882"/>
      <c r="B3876" s="3"/>
      <c r="C3876" s="882"/>
      <c r="D3876" s="3"/>
      <c r="E3876" s="3"/>
      <c r="G3876" s="3"/>
      <c r="H3876" s="3"/>
      <c r="I3876" s="3"/>
      <c r="J3876" s="3"/>
      <c r="K3876" s="3"/>
      <c r="L3876" s="3"/>
      <c r="M3876" s="3"/>
      <c r="N3876" s="3"/>
      <c r="O3876" s="103"/>
      <c r="P3876" s="3"/>
      <c r="Q3876" s="3"/>
      <c r="R3876" s="3"/>
      <c r="S3876" s="3"/>
      <c r="T3876" s="3"/>
    </row>
    <row r="3877" spans="1:41" s="504" customFormat="1" ht="12" thickBot="1">
      <c r="A3877" s="514"/>
      <c r="B3877" s="887"/>
      <c r="C3877" s="887"/>
      <c r="D3877" s="514"/>
      <c r="E3877" s="39"/>
      <c r="F3877" s="901"/>
      <c r="G3877" s="887"/>
      <c r="H3877" s="887"/>
      <c r="I3877" s="889"/>
      <c r="J3877" s="887"/>
      <c r="K3877" s="887"/>
      <c r="L3877" s="890"/>
      <c r="M3877" s="890"/>
      <c r="N3877" s="890"/>
      <c r="O3877" s="890"/>
      <c r="P3877" s="890"/>
      <c r="Q3877" s="891"/>
      <c r="R3877" s="901"/>
      <c r="S3877" s="902"/>
      <c r="T3877" s="901"/>
      <c r="U3877" s="514"/>
      <c r="V3877" s="514"/>
      <c r="W3877" s="514"/>
      <c r="X3877" s="514"/>
      <c r="Y3877" s="514"/>
      <c r="Z3877" s="514"/>
      <c r="AA3877" s="514"/>
      <c r="AB3877" s="514"/>
      <c r="AC3877" s="514"/>
      <c r="AD3877" s="514"/>
      <c r="AE3877" s="514"/>
      <c r="AF3877" s="514"/>
      <c r="AG3877" s="514"/>
      <c r="AH3877" s="514"/>
      <c r="AI3877" s="514"/>
      <c r="AJ3877" s="514"/>
      <c r="AK3877" s="514"/>
    </row>
    <row r="3878" spans="1:41" s="504" customFormat="1" ht="12" thickTop="1">
      <c r="A3878" s="50"/>
      <c r="B3878" s="40"/>
      <c r="C3878" s="50"/>
      <c r="E3878" s="41" t="s">
        <v>136</v>
      </c>
      <c r="F3878" s="41" t="s">
        <v>137</v>
      </c>
      <c r="G3878" s="50"/>
      <c r="H3878" s="50"/>
      <c r="I3878" s="50"/>
      <c r="J3878" s="50"/>
      <c r="K3878" s="50" t="s">
        <v>138</v>
      </c>
      <c r="L3878" s="50"/>
      <c r="M3878" s="50"/>
      <c r="N3878" s="50"/>
      <c r="O3878" s="51"/>
      <c r="P3878" s="50"/>
      <c r="Q3878" s="50"/>
      <c r="R3878" s="50"/>
      <c r="S3878" s="50"/>
      <c r="T3878" s="40"/>
      <c r="AG3878" s="867" t="s">
        <v>241</v>
      </c>
      <c r="AH3878" s="867" t="s">
        <v>242</v>
      </c>
      <c r="AI3878" s="867" t="s">
        <v>243</v>
      </c>
      <c r="AJ3878" s="867" t="s">
        <v>244</v>
      </c>
      <c r="AK3878" s="867" t="s">
        <v>245</v>
      </c>
      <c r="AM3878" s="868" t="s">
        <v>254</v>
      </c>
      <c r="AN3878" s="869" t="s">
        <v>255</v>
      </c>
      <c r="AO3878" s="505" t="s">
        <v>251</v>
      </c>
    </row>
    <row r="3879" spans="1:41" s="504" customFormat="1" ht="12" customHeight="1">
      <c r="A3879" s="870">
        <v>1</v>
      </c>
      <c r="B3879" s="871" t="s">
        <v>335</v>
      </c>
      <c r="C3879" s="872"/>
      <c r="D3879" s="873" t="s">
        <v>821</v>
      </c>
      <c r="E3879" s="874">
        <f>IF(AND($A3879=0,$A$1="DIF"),0, ROUND(ROUND(($R3883*$S$2+($T3883*$T$2))/A3879,2)*$C$2,2))</f>
        <v>67.099999999999994</v>
      </c>
      <c r="F3879" s="875">
        <f>ROUND($A3879*$E3879,2)</f>
        <v>67.099999999999994</v>
      </c>
      <c r="G3879" s="876" t="s">
        <v>139</v>
      </c>
      <c r="H3879" s="877"/>
      <c r="I3879" s="878"/>
      <c r="J3879" s="877"/>
      <c r="K3879" s="877" t="s">
        <v>3</v>
      </c>
      <c r="L3879" s="879" t="s">
        <v>140</v>
      </c>
      <c r="M3879" s="879"/>
      <c r="N3879" s="879"/>
      <c r="O3879" s="879"/>
      <c r="P3879" s="879"/>
      <c r="Q3879" s="50"/>
      <c r="T3879" s="880" t="str">
        <f>IF(AND($R3883=0,$T3883=0),"0.00","mu :" &amp; ROUND($F3879/$C$2/($R3883+$T3883*$D$9),2))</f>
        <v>mu :1.22</v>
      </c>
      <c r="W3879" s="507"/>
      <c r="AG3879" s="465">
        <f>IF($E3879=0,0,ROUND($R3883*$S$2*$C$2/$A3879,2))</f>
        <v>67.099999999999994</v>
      </c>
      <c r="AH3879" s="465">
        <f>$AG3879*$A3879</f>
        <v>67.099999999999994</v>
      </c>
      <c r="AI3879" s="508">
        <f>$E3879-$AG3879</f>
        <v>0</v>
      </c>
      <c r="AJ3879" s="508">
        <f>$A3879*$AI3879</f>
        <v>0</v>
      </c>
      <c r="AK3879" s="509">
        <f>ROUND(($AG3879+$AI3879)*$A3879,2)</f>
        <v>67.099999999999994</v>
      </c>
      <c r="AM3879" s="510">
        <f>ROUND(R3883,2)</f>
        <v>55</v>
      </c>
      <c r="AN3879" s="511">
        <f>ROUND(T3883,2)</f>
        <v>0</v>
      </c>
      <c r="AO3879" s="512">
        <f>ROUND(AM3879+AN3879,2)*A3879</f>
        <v>55</v>
      </c>
    </row>
    <row r="3880" spans="1:41" s="504" customFormat="1" ht="13.2">
      <c r="A3880" s="872"/>
      <c r="B3880"/>
      <c r="C3880" s="872"/>
      <c r="D3880" s="873" t="s">
        <v>481</v>
      </c>
      <c r="F3880" s="877"/>
      <c r="G3880" s="3"/>
      <c r="H3880" s="877"/>
      <c r="I3880" s="878"/>
      <c r="J3880" s="877"/>
      <c r="K3880" s="877" t="s">
        <v>141</v>
      </c>
      <c r="L3880" s="877"/>
      <c r="M3880" s="877"/>
      <c r="N3880" s="877"/>
      <c r="O3880" s="877"/>
      <c r="P3880" s="877"/>
      <c r="Q3880" s="50"/>
      <c r="R3880" s="513"/>
      <c r="S3880" s="881"/>
      <c r="T3880" s="877"/>
    </row>
    <row r="3881" spans="1:41" s="504" customFormat="1" ht="13.2">
      <c r="A3881" s="112">
        <v>1</v>
      </c>
      <c r="B3881" s="1039" t="s">
        <v>949</v>
      </c>
      <c r="C3881" s="1039"/>
      <c r="D3881" s="1039" t="s">
        <v>1387</v>
      </c>
      <c r="E3881" s="1039" t="s">
        <v>1388</v>
      </c>
      <c r="F3881" s="1039" t="s">
        <v>1252</v>
      </c>
      <c r="G3881" s="1040" t="s">
        <v>1245</v>
      </c>
      <c r="H3881" s="1041">
        <v>510</v>
      </c>
      <c r="I3881" s="1039" t="s">
        <v>1246</v>
      </c>
      <c r="J3881" s="1039" t="s">
        <v>1247</v>
      </c>
      <c r="K3881" s="882"/>
      <c r="L3881" s="1039"/>
      <c r="M3881" s="1039"/>
      <c r="N3881" s="1039"/>
      <c r="O3881" s="1042">
        <v>2</v>
      </c>
      <c r="P3881" s="1043">
        <v>36880</v>
      </c>
      <c r="Q3881" s="1044">
        <v>55</v>
      </c>
      <c r="R3881" s="1072">
        <f>$A3881*Q3881</f>
        <v>55</v>
      </c>
      <c r="S3881" s="1044"/>
      <c r="T3881" s="1046">
        <f>$A3881*S3881*$T$1</f>
        <v>0</v>
      </c>
    </row>
    <row r="3882" spans="1:41" s="504" customFormat="1" ht="12">
      <c r="A3882" s="882"/>
      <c r="B3882" s="882"/>
      <c r="C3882" s="882"/>
      <c r="D3882" s="882"/>
      <c r="E3882" s="882"/>
      <c r="F3882" s="877"/>
      <c r="G3882" s="882"/>
      <c r="H3882" s="882"/>
      <c r="I3882" s="503"/>
      <c r="J3882" s="882"/>
      <c r="K3882" s="882"/>
      <c r="L3882" s="882"/>
      <c r="M3882" s="882"/>
      <c r="N3882" s="882"/>
      <c r="O3882" s="882"/>
      <c r="P3882" s="882"/>
      <c r="Q3882" s="503"/>
      <c r="R3882" s="883">
        <f>$A3882*Q3882</f>
        <v>0</v>
      </c>
      <c r="S3882" s="503"/>
      <c r="T3882" s="884">
        <f>$A3882*S3882*$T$1</f>
        <v>0</v>
      </c>
    </row>
    <row r="3883" spans="1:41" s="504" customFormat="1" ht="12.6" thickBot="1">
      <c r="A3883" s="885" t="s">
        <v>142</v>
      </c>
      <c r="B3883" s="886">
        <f>(R3882+T3882)</f>
        <v>0</v>
      </c>
      <c r="C3883" s="887"/>
      <c r="D3883" s="887"/>
      <c r="E3883" s="887"/>
      <c r="F3883" s="888"/>
      <c r="G3883" s="887" t="s">
        <v>143</v>
      </c>
      <c r="H3883" s="887"/>
      <c r="I3883" s="889"/>
      <c r="J3883" s="887"/>
      <c r="K3883" s="887" t="s">
        <v>3</v>
      </c>
      <c r="L3883" s="890" t="s">
        <v>140</v>
      </c>
      <c r="M3883" s="890"/>
      <c r="N3883" s="890"/>
      <c r="O3883" s="890"/>
      <c r="P3883" s="890"/>
      <c r="Q3883" s="891"/>
      <c r="R3883" s="892">
        <f>SUM(R3880:R3882)</f>
        <v>55</v>
      </c>
      <c r="S3883" s="887"/>
      <c r="T3883" s="892">
        <f>SUM(T3880:T3882)</f>
        <v>0</v>
      </c>
      <c r="U3883" s="514"/>
      <c r="V3883" s="514"/>
      <c r="W3883" s="514"/>
      <c r="X3883" s="514"/>
      <c r="Y3883" s="514"/>
      <c r="Z3883" s="514"/>
      <c r="AA3883" s="514"/>
      <c r="AB3883" s="514"/>
      <c r="AC3883" s="514"/>
      <c r="AD3883" s="514"/>
      <c r="AE3883" s="514"/>
      <c r="AF3883" s="514"/>
      <c r="AG3883" s="514"/>
      <c r="AH3883" s="514"/>
      <c r="AI3883" s="514"/>
      <c r="AJ3883" s="514"/>
      <c r="AK3883" s="514"/>
      <c r="AL3883" s="514"/>
      <c r="AM3883" s="514"/>
      <c r="AN3883" s="514"/>
      <c r="AO3883" s="514"/>
    </row>
    <row r="3884" spans="1:41" s="504" customFormat="1" ht="12" thickTop="1">
      <c r="A3884" s="50"/>
      <c r="B3884" s="40"/>
      <c r="C3884" s="50"/>
      <c r="E3884" s="41" t="s">
        <v>136</v>
      </c>
      <c r="F3884" s="41" t="s">
        <v>137</v>
      </c>
      <c r="G3884" s="50"/>
      <c r="H3884" s="50"/>
      <c r="I3884" s="50"/>
      <c r="J3884" s="50"/>
      <c r="K3884" s="50" t="s">
        <v>138</v>
      </c>
      <c r="L3884" s="50"/>
      <c r="M3884" s="50"/>
      <c r="N3884" s="50"/>
      <c r="O3884" s="51"/>
      <c r="P3884" s="50"/>
      <c r="Q3884" s="50"/>
      <c r="R3884" s="50"/>
      <c r="S3884" s="50"/>
      <c r="T3884" s="40"/>
      <c r="AG3884" s="867" t="s">
        <v>241</v>
      </c>
      <c r="AH3884" s="867" t="s">
        <v>242</v>
      </c>
      <c r="AI3884" s="867" t="s">
        <v>243</v>
      </c>
      <c r="AJ3884" s="867" t="s">
        <v>244</v>
      </c>
      <c r="AK3884" s="867" t="s">
        <v>245</v>
      </c>
      <c r="AM3884" s="868" t="s">
        <v>254</v>
      </c>
      <c r="AN3884" s="869" t="s">
        <v>255</v>
      </c>
      <c r="AO3884" s="505" t="s">
        <v>251</v>
      </c>
    </row>
    <row r="3885" spans="1:41" s="504" customFormat="1" ht="12" customHeight="1">
      <c r="A3885" s="870">
        <v>1</v>
      </c>
      <c r="B3885" s="871" t="s">
        <v>335</v>
      </c>
      <c r="C3885" s="872"/>
      <c r="D3885" s="873" t="s">
        <v>822</v>
      </c>
      <c r="E3885" s="874">
        <f>IF(AND($A3885=0,$A$1="DIF"),0, ROUND(ROUND(($R3891*$S$2+($T3891*$T$2))/A3885,2)*$C$2,2))</f>
        <v>690.87</v>
      </c>
      <c r="F3885" s="875">
        <f>ROUND($A3885*$E3885,2)</f>
        <v>690.87</v>
      </c>
      <c r="G3885" s="876" t="s">
        <v>139</v>
      </c>
      <c r="H3885" s="877"/>
      <c r="I3885" s="878"/>
      <c r="J3885" s="877"/>
      <c r="K3885" s="877" t="s">
        <v>3</v>
      </c>
      <c r="L3885" s="879" t="s">
        <v>140</v>
      </c>
      <c r="M3885" s="879"/>
      <c r="N3885" s="879"/>
      <c r="O3885" s="879"/>
      <c r="P3885" s="879"/>
      <c r="Q3885" s="50"/>
      <c r="T3885" s="880" t="str">
        <f>IF(AND($R3891=0,$T3891=0),"0.00","mu :" &amp; ROUND($F3885/$C$2/($R3891+$T3891*$D$9),2))</f>
        <v>mu :1.22</v>
      </c>
      <c r="W3885" s="507"/>
      <c r="AG3885" s="465">
        <f>IF($E3885=0,0,ROUND($R3891*$S$2*$C$2/$A3885,2))</f>
        <v>690.87</v>
      </c>
      <c r="AH3885" s="465">
        <f>$AG3885*$A3885</f>
        <v>690.87</v>
      </c>
      <c r="AI3885" s="508">
        <f>$E3885-$AG3885</f>
        <v>0</v>
      </c>
      <c r="AJ3885" s="508">
        <f>$A3885*$AI3885</f>
        <v>0</v>
      </c>
      <c r="AK3885" s="509">
        <f>ROUND(($AG3885+$AI3885)*$A3885,2)</f>
        <v>690.87</v>
      </c>
      <c r="AM3885" s="510">
        <f>ROUND(R3891,2)</f>
        <v>566.29</v>
      </c>
      <c r="AN3885" s="511">
        <f>ROUND(T3891,2)</f>
        <v>0</v>
      </c>
      <c r="AO3885" s="512">
        <f>ROUND(AM3885+AN3885,2)*A3885</f>
        <v>566.29</v>
      </c>
    </row>
    <row r="3886" spans="1:41" s="504" customFormat="1" ht="13.2">
      <c r="A3886" s="872"/>
      <c r="B3886"/>
      <c r="C3886" s="872"/>
      <c r="D3886" s="873" t="s">
        <v>482</v>
      </c>
      <c r="F3886" s="877"/>
      <c r="G3886" s="3"/>
      <c r="H3886" s="877"/>
      <c r="I3886" s="878"/>
      <c r="J3886" s="877"/>
      <c r="K3886" s="877" t="s">
        <v>141</v>
      </c>
      <c r="L3886" s="877"/>
      <c r="M3886" s="877"/>
      <c r="N3886" s="877"/>
      <c r="O3886" s="877"/>
      <c r="P3886" s="877"/>
      <c r="Q3886" s="50"/>
      <c r="R3886" s="513"/>
      <c r="S3886" s="881"/>
      <c r="T3886" s="877"/>
    </row>
    <row r="3887" spans="1:41" s="1039" customFormat="1" ht="13.2">
      <c r="A3887">
        <v>1</v>
      </c>
      <c r="B3887" s="1039" t="s">
        <v>949</v>
      </c>
      <c r="D3887" s="1039" t="s">
        <v>1391</v>
      </c>
      <c r="G3887" s="1040" t="s">
        <v>1389</v>
      </c>
      <c r="H3887" s="1041">
        <v>510</v>
      </c>
      <c r="I3887" s="1039" t="s">
        <v>951</v>
      </c>
      <c r="K3887" s="1039" t="s">
        <v>1390</v>
      </c>
      <c r="O3887" s="1042">
        <v>2</v>
      </c>
      <c r="P3887" s="1043">
        <v>38720</v>
      </c>
      <c r="Q3887" s="1044">
        <v>452.36</v>
      </c>
      <c r="R3887" s="1045">
        <f>$A3887*Q3887</f>
        <v>452.36</v>
      </c>
      <c r="S3887" s="1044"/>
      <c r="T3887" s="1046">
        <f>$A3887*S3887*$T$1</f>
        <v>0</v>
      </c>
    </row>
    <row r="3888" spans="1:41" s="1039" customFormat="1" ht="13.2">
      <c r="A3888">
        <v>1</v>
      </c>
      <c r="B3888" s="1039" t="s">
        <v>949</v>
      </c>
      <c r="D3888" s="1039" t="s">
        <v>1392</v>
      </c>
      <c r="G3888" s="1040" t="s">
        <v>1389</v>
      </c>
      <c r="H3888" s="1041">
        <v>510</v>
      </c>
      <c r="I3888" s="1039" t="s">
        <v>951</v>
      </c>
      <c r="K3888" s="1039" t="s">
        <v>1390</v>
      </c>
      <c r="O3888" s="1042">
        <v>2</v>
      </c>
      <c r="P3888" s="1043">
        <v>38720</v>
      </c>
      <c r="Q3888" s="1044">
        <v>66.010000000000005</v>
      </c>
      <c r="R3888" s="1045">
        <f>$A3888*Q3888</f>
        <v>66.010000000000005</v>
      </c>
      <c r="S3888" s="1044"/>
      <c r="T3888" s="1046">
        <f>$A3888*S3888*$T$1</f>
        <v>0</v>
      </c>
    </row>
    <row r="3889" spans="1:41" s="1039" customFormat="1" ht="13.2">
      <c r="A3889">
        <v>1</v>
      </c>
      <c r="B3889" s="1039" t="s">
        <v>949</v>
      </c>
      <c r="D3889" s="1039" t="s">
        <v>1393</v>
      </c>
      <c r="G3889" s="1040" t="s">
        <v>1389</v>
      </c>
      <c r="H3889" s="1041">
        <v>510</v>
      </c>
      <c r="I3889" s="1039" t="s">
        <v>951</v>
      </c>
      <c r="K3889" s="1039" t="s">
        <v>1390</v>
      </c>
      <c r="O3889" s="1042">
        <v>2</v>
      </c>
      <c r="P3889" s="1043">
        <v>38720</v>
      </c>
      <c r="Q3889" s="1044">
        <v>47.92</v>
      </c>
      <c r="R3889" s="1045">
        <f>$A3889*Q3889</f>
        <v>47.92</v>
      </c>
      <c r="S3889" s="1044"/>
      <c r="T3889" s="1046">
        <f>$A3889*S3889*$T$1</f>
        <v>0</v>
      </c>
    </row>
    <row r="3890" spans="1:41" s="504" customFormat="1" ht="12">
      <c r="A3890" s="882"/>
      <c r="B3890" s="882"/>
      <c r="C3890" s="882"/>
      <c r="D3890" s="882"/>
      <c r="E3890" s="882"/>
      <c r="F3890" s="877"/>
      <c r="G3890" s="882"/>
      <c r="H3890" s="882"/>
      <c r="I3890" s="503"/>
      <c r="J3890" s="882"/>
      <c r="K3890" s="882"/>
      <c r="L3890" s="882"/>
      <c r="M3890" s="882"/>
      <c r="N3890" s="882"/>
      <c r="O3890" s="882"/>
      <c r="P3890" s="882"/>
      <c r="Q3890" s="503"/>
      <c r="R3890" s="883">
        <f>$A3890*Q3890</f>
        <v>0</v>
      </c>
      <c r="S3890" s="503"/>
      <c r="T3890" s="884">
        <f>$A3890*S3890*$T$1</f>
        <v>0</v>
      </c>
    </row>
    <row r="3891" spans="1:41" s="504" customFormat="1" ht="12.6" thickBot="1">
      <c r="A3891" s="885" t="s">
        <v>142</v>
      </c>
      <c r="B3891" s="886">
        <f>(R3890+T3890)</f>
        <v>0</v>
      </c>
      <c r="C3891" s="887"/>
      <c r="D3891" s="887"/>
      <c r="E3891" s="887"/>
      <c r="F3891" s="888"/>
      <c r="G3891" s="887" t="s">
        <v>143</v>
      </c>
      <c r="H3891" s="887"/>
      <c r="I3891" s="889"/>
      <c r="J3891" s="887"/>
      <c r="K3891" s="887" t="s">
        <v>3</v>
      </c>
      <c r="L3891" s="890" t="s">
        <v>140</v>
      </c>
      <c r="M3891" s="890"/>
      <c r="N3891" s="890"/>
      <c r="O3891" s="890"/>
      <c r="P3891" s="890"/>
      <c r="Q3891" s="891"/>
      <c r="R3891" s="892">
        <f>SUM(R3886:R3890)</f>
        <v>566.29</v>
      </c>
      <c r="S3891" s="887"/>
      <c r="T3891" s="892">
        <f>SUM(T3886:T3890)</f>
        <v>0</v>
      </c>
      <c r="U3891" s="514"/>
      <c r="V3891" s="514"/>
      <c r="W3891" s="514"/>
      <c r="X3891" s="514"/>
      <c r="Y3891" s="514"/>
      <c r="Z3891" s="514"/>
      <c r="AA3891" s="514"/>
      <c r="AB3891" s="514"/>
      <c r="AC3891" s="514"/>
      <c r="AD3891" s="514"/>
      <c r="AE3891" s="514"/>
      <c r="AF3891" s="514"/>
      <c r="AG3891" s="514"/>
      <c r="AH3891" s="514"/>
      <c r="AI3891" s="514"/>
      <c r="AJ3891" s="514"/>
      <c r="AK3891" s="514"/>
      <c r="AL3891" s="514"/>
      <c r="AM3891" s="514"/>
      <c r="AN3891" s="514"/>
      <c r="AO3891" s="514"/>
    </row>
    <row r="3892" spans="1:41" s="504" customFormat="1" ht="12" thickTop="1">
      <c r="A3892" s="50"/>
      <c r="B3892" s="40"/>
      <c r="C3892" s="50"/>
      <c r="E3892" s="41" t="s">
        <v>136</v>
      </c>
      <c r="F3892" s="41" t="s">
        <v>137</v>
      </c>
      <c r="G3892" s="50"/>
      <c r="H3892" s="50"/>
      <c r="I3892" s="50"/>
      <c r="J3892" s="50"/>
      <c r="K3892" s="50" t="s">
        <v>138</v>
      </c>
      <c r="L3892" s="50"/>
      <c r="M3892" s="50"/>
      <c r="N3892" s="50"/>
      <c r="O3892" s="51"/>
      <c r="P3892" s="50"/>
      <c r="Q3892" s="50"/>
      <c r="R3892" s="50"/>
      <c r="S3892" s="50"/>
      <c r="T3892" s="40"/>
      <c r="AG3892" s="867" t="s">
        <v>241</v>
      </c>
      <c r="AH3892" s="867" t="s">
        <v>242</v>
      </c>
      <c r="AI3892" s="867" t="s">
        <v>243</v>
      </c>
      <c r="AJ3892" s="867" t="s">
        <v>244</v>
      </c>
      <c r="AK3892" s="867" t="s">
        <v>245</v>
      </c>
      <c r="AM3892" s="868" t="s">
        <v>254</v>
      </c>
      <c r="AN3892" s="869" t="s">
        <v>255</v>
      </c>
      <c r="AO3892" s="505" t="s">
        <v>251</v>
      </c>
    </row>
    <row r="3893" spans="1:41" s="504" customFormat="1" ht="12" customHeight="1">
      <c r="A3893" s="870">
        <v>1</v>
      </c>
      <c r="B3893" s="871" t="s">
        <v>335</v>
      </c>
      <c r="C3893" s="872"/>
      <c r="D3893" s="873" t="s">
        <v>823</v>
      </c>
      <c r="E3893" s="874">
        <f>IF(AND($A3893=0,$A$1="DIF"),0, ROUND(ROUND(($R3899*$S$2+($T3899*$T$2))/A3893,2)*$C$2,2))</f>
        <v>690.87</v>
      </c>
      <c r="F3893" s="875">
        <f>ROUND($A3893*$E3893,2)</f>
        <v>690.87</v>
      </c>
      <c r="G3893" s="876" t="s">
        <v>139</v>
      </c>
      <c r="H3893" s="877"/>
      <c r="I3893" s="878"/>
      <c r="J3893" s="877"/>
      <c r="K3893" s="877" t="s">
        <v>3</v>
      </c>
      <c r="L3893" s="879" t="s">
        <v>140</v>
      </c>
      <c r="M3893" s="879"/>
      <c r="N3893" s="879"/>
      <c r="O3893" s="879"/>
      <c r="P3893" s="879"/>
      <c r="Q3893" s="50"/>
      <c r="T3893" s="880" t="str">
        <f>IF(AND($R3899=0,$T3899=0),"0.00","mu :" &amp; ROUND($F3893/$C$2/($R3899+$T3899*$D$9),2))</f>
        <v>mu :1.22</v>
      </c>
      <c r="W3893" s="507"/>
      <c r="AG3893" s="465">
        <f>IF($E3893=0,0,ROUND($R3899*$S$2*$C$2/$A3893,2))</f>
        <v>690.87</v>
      </c>
      <c r="AH3893" s="465">
        <f>$AG3893*$A3893</f>
        <v>690.87</v>
      </c>
      <c r="AI3893" s="508">
        <f>$E3893-$AG3893</f>
        <v>0</v>
      </c>
      <c r="AJ3893" s="508">
        <f>$A3893*$AI3893</f>
        <v>0</v>
      </c>
      <c r="AK3893" s="509">
        <f>ROUND(($AG3893+$AI3893)*$A3893,2)</f>
        <v>690.87</v>
      </c>
      <c r="AM3893" s="510">
        <f>ROUND(R3899,2)</f>
        <v>566.29</v>
      </c>
      <c r="AN3893" s="511">
        <f>ROUND(T3899,2)</f>
        <v>0</v>
      </c>
      <c r="AO3893" s="512">
        <f>ROUND(AM3893+AN3893,2)*A3893</f>
        <v>566.29</v>
      </c>
    </row>
    <row r="3894" spans="1:41" s="504" customFormat="1" ht="13.2">
      <c r="A3894" s="872"/>
      <c r="B3894"/>
      <c r="C3894" s="872"/>
      <c r="D3894" s="873" t="s">
        <v>483</v>
      </c>
      <c r="F3894" s="877"/>
      <c r="G3894" s="3"/>
      <c r="H3894" s="877"/>
      <c r="I3894" s="878"/>
      <c r="J3894" s="877"/>
      <c r="K3894" s="877" t="s">
        <v>141</v>
      </c>
      <c r="L3894" s="877"/>
      <c r="M3894" s="877"/>
      <c r="N3894" s="877"/>
      <c r="O3894" s="877"/>
      <c r="P3894" s="877"/>
      <c r="Q3894" s="50"/>
      <c r="R3894" s="513"/>
      <c r="S3894" s="881"/>
      <c r="T3894" s="877"/>
    </row>
    <row r="3895" spans="1:41" s="1039" customFormat="1" ht="13.2">
      <c r="A3895">
        <v>1</v>
      </c>
      <c r="B3895" s="1039" t="s">
        <v>949</v>
      </c>
      <c r="D3895" s="1039" t="s">
        <v>1391</v>
      </c>
      <c r="G3895" s="1040" t="s">
        <v>1389</v>
      </c>
      <c r="H3895" s="1041">
        <v>510</v>
      </c>
      <c r="I3895" s="1039" t="s">
        <v>951</v>
      </c>
      <c r="K3895" s="1039" t="s">
        <v>1390</v>
      </c>
      <c r="O3895" s="1042">
        <v>2</v>
      </c>
      <c r="P3895" s="1043">
        <v>38720</v>
      </c>
      <c r="Q3895" s="1044">
        <v>452.36</v>
      </c>
      <c r="R3895" s="1045">
        <f>$A3895*Q3895</f>
        <v>452.36</v>
      </c>
      <c r="S3895" s="1044"/>
      <c r="T3895" s="1046">
        <f>$A3895*S3895*$T$1</f>
        <v>0</v>
      </c>
    </row>
    <row r="3896" spans="1:41" s="1039" customFormat="1" ht="13.2">
      <c r="A3896">
        <v>1</v>
      </c>
      <c r="B3896" s="1039" t="s">
        <v>949</v>
      </c>
      <c r="D3896" s="1039" t="s">
        <v>1392</v>
      </c>
      <c r="G3896" s="1040" t="s">
        <v>1389</v>
      </c>
      <c r="H3896" s="1041">
        <v>510</v>
      </c>
      <c r="I3896" s="1039" t="s">
        <v>951</v>
      </c>
      <c r="K3896" s="1039" t="s">
        <v>1390</v>
      </c>
      <c r="O3896" s="1042">
        <v>2</v>
      </c>
      <c r="P3896" s="1043">
        <v>38720</v>
      </c>
      <c r="Q3896" s="1044">
        <v>66.010000000000005</v>
      </c>
      <c r="R3896" s="1045">
        <f>$A3896*Q3896</f>
        <v>66.010000000000005</v>
      </c>
      <c r="S3896" s="1044"/>
      <c r="T3896" s="1046">
        <f>$A3896*S3896*$T$1</f>
        <v>0</v>
      </c>
    </row>
    <row r="3897" spans="1:41" s="1039" customFormat="1" ht="13.2">
      <c r="A3897">
        <v>1</v>
      </c>
      <c r="B3897" s="1039" t="s">
        <v>949</v>
      </c>
      <c r="D3897" s="1039" t="s">
        <v>1393</v>
      </c>
      <c r="G3897" s="1040" t="s">
        <v>1389</v>
      </c>
      <c r="H3897" s="1041">
        <v>510</v>
      </c>
      <c r="I3897" s="1039" t="s">
        <v>951</v>
      </c>
      <c r="K3897" s="1039" t="s">
        <v>1390</v>
      </c>
      <c r="O3897" s="1042">
        <v>2</v>
      </c>
      <c r="P3897" s="1043">
        <v>38720</v>
      </c>
      <c r="Q3897" s="1044">
        <v>47.92</v>
      </c>
      <c r="R3897" s="1045">
        <f>$A3897*Q3897</f>
        <v>47.92</v>
      </c>
      <c r="S3897" s="1044"/>
      <c r="T3897" s="1046">
        <f>$A3897*S3897*$T$1</f>
        <v>0</v>
      </c>
    </row>
    <row r="3898" spans="1:41" s="504" customFormat="1" ht="12">
      <c r="A3898" s="882"/>
      <c r="B3898" s="882"/>
      <c r="C3898" s="882"/>
      <c r="D3898" s="882"/>
      <c r="E3898" s="882"/>
      <c r="F3898" s="877"/>
      <c r="G3898" s="882"/>
      <c r="H3898" s="882"/>
      <c r="I3898" s="503"/>
      <c r="J3898" s="882"/>
      <c r="K3898" s="882"/>
      <c r="L3898" s="882"/>
      <c r="M3898" s="882"/>
      <c r="N3898" s="882"/>
      <c r="O3898" s="882"/>
      <c r="P3898" s="882"/>
      <c r="Q3898" s="503"/>
      <c r="R3898" s="883">
        <f>$A3898*Q3898</f>
        <v>0</v>
      </c>
      <c r="S3898" s="503"/>
      <c r="T3898" s="884">
        <f>$A3898*S3898*$T$1</f>
        <v>0</v>
      </c>
    </row>
    <row r="3899" spans="1:41" s="504" customFormat="1" ht="12.6" thickBot="1">
      <c r="A3899" s="885" t="s">
        <v>142</v>
      </c>
      <c r="B3899" s="886">
        <f>(R3898+T3898)</f>
        <v>0</v>
      </c>
      <c r="C3899" s="887"/>
      <c r="D3899" s="887"/>
      <c r="E3899" s="887"/>
      <c r="F3899" s="888"/>
      <c r="G3899" s="887" t="s">
        <v>143</v>
      </c>
      <c r="H3899" s="887"/>
      <c r="I3899" s="889"/>
      <c r="J3899" s="887"/>
      <c r="K3899" s="887" t="s">
        <v>3</v>
      </c>
      <c r="L3899" s="890" t="s">
        <v>140</v>
      </c>
      <c r="M3899" s="890"/>
      <c r="N3899" s="890"/>
      <c r="O3899" s="890"/>
      <c r="P3899" s="890"/>
      <c r="Q3899" s="891"/>
      <c r="R3899" s="892">
        <f>SUM(R3894:R3898)</f>
        <v>566.29</v>
      </c>
      <c r="S3899" s="887"/>
      <c r="T3899" s="892">
        <f>SUM(T3894:T3898)</f>
        <v>0</v>
      </c>
      <c r="U3899" s="514"/>
      <c r="V3899" s="514"/>
      <c r="W3899" s="514"/>
      <c r="X3899" s="514"/>
      <c r="Y3899" s="514"/>
      <c r="Z3899" s="514"/>
      <c r="AA3899" s="514"/>
      <c r="AB3899" s="514"/>
      <c r="AC3899" s="514"/>
      <c r="AD3899" s="514"/>
      <c r="AE3899" s="514"/>
      <c r="AF3899" s="514"/>
      <c r="AG3899" s="514"/>
      <c r="AH3899" s="514"/>
      <c r="AI3899" s="514"/>
      <c r="AJ3899" s="514"/>
      <c r="AK3899" s="514"/>
      <c r="AL3899" s="514"/>
      <c r="AM3899" s="514"/>
      <c r="AN3899" s="514"/>
      <c r="AO3899" s="514"/>
    </row>
    <row r="3900" spans="1:41" s="504" customFormat="1" ht="12" thickTop="1">
      <c r="A3900" s="50"/>
      <c r="B3900" s="40"/>
      <c r="C3900" s="50"/>
      <c r="E3900" s="41" t="s">
        <v>136</v>
      </c>
      <c r="F3900" s="41" t="s">
        <v>137</v>
      </c>
      <c r="G3900" s="50"/>
      <c r="H3900" s="50"/>
      <c r="I3900" s="50"/>
      <c r="J3900" s="50"/>
      <c r="K3900" s="50" t="s">
        <v>138</v>
      </c>
      <c r="L3900" s="50"/>
      <c r="M3900" s="50"/>
      <c r="N3900" s="50"/>
      <c r="O3900" s="51"/>
      <c r="P3900" s="50"/>
      <c r="Q3900" s="50"/>
      <c r="R3900" s="50"/>
      <c r="S3900" s="50"/>
      <c r="T3900" s="40"/>
      <c r="AG3900" s="867" t="s">
        <v>241</v>
      </c>
      <c r="AH3900" s="867" t="s">
        <v>242</v>
      </c>
      <c r="AI3900" s="867" t="s">
        <v>243</v>
      </c>
      <c r="AJ3900" s="867" t="s">
        <v>244</v>
      </c>
      <c r="AK3900" s="867" t="s">
        <v>245</v>
      </c>
      <c r="AM3900" s="868" t="s">
        <v>254</v>
      </c>
      <c r="AN3900" s="869" t="s">
        <v>255</v>
      </c>
      <c r="AO3900" s="505" t="s">
        <v>251</v>
      </c>
    </row>
    <row r="3901" spans="1:41" s="504" customFormat="1" ht="12" customHeight="1">
      <c r="A3901" s="870">
        <v>4</v>
      </c>
      <c r="B3901" s="871" t="s">
        <v>335</v>
      </c>
      <c r="C3901" s="872"/>
      <c r="D3901" s="873" t="s">
        <v>824</v>
      </c>
      <c r="E3901" s="874">
        <f>IF(AND($A3901=0,$A$1="DIF"),0, ROUND(ROUND(($R3905*$S$2+($T3905*$T$2))/A3901,2)*$C$2,2))</f>
        <v>281.81</v>
      </c>
      <c r="F3901" s="875">
        <f>ROUND($A3901*$E3901,2)</f>
        <v>1127.24</v>
      </c>
      <c r="G3901" s="876" t="s">
        <v>139</v>
      </c>
      <c r="H3901" s="877"/>
      <c r="I3901" s="878"/>
      <c r="J3901" s="877"/>
      <c r="K3901" s="877" t="s">
        <v>3</v>
      </c>
      <c r="L3901" s="879" t="s">
        <v>140</v>
      </c>
      <c r="M3901" s="879"/>
      <c r="N3901" s="879"/>
      <c r="O3901" s="879"/>
      <c r="P3901" s="879"/>
      <c r="Q3901" s="50"/>
      <c r="T3901" s="880" t="str">
        <f>IF(AND($R3905=0,$T3905=0),"0.00","mu :" &amp; ROUND($F3901/$C$2/($R3905+$T3905*$D$9),2))</f>
        <v>mu :1.22</v>
      </c>
      <c r="W3901" s="507"/>
      <c r="AG3901" s="465">
        <f>IF($E3901=0,0,ROUND($R3905*$S$2*$C$2/$A3901,2))</f>
        <v>281.81</v>
      </c>
      <c r="AH3901" s="465">
        <f>$AG3901*$A3901</f>
        <v>1127.24</v>
      </c>
      <c r="AI3901" s="508">
        <f>$E3901-$AG3901</f>
        <v>0</v>
      </c>
      <c r="AJ3901" s="508">
        <f>$A3901*$AI3901</f>
        <v>0</v>
      </c>
      <c r="AK3901" s="509">
        <f>ROUND(($AG3901+$AI3901)*$A3901,2)</f>
        <v>1127.24</v>
      </c>
      <c r="AM3901" s="510">
        <f>ROUND(R3905,2)</f>
        <v>923.96</v>
      </c>
      <c r="AN3901" s="511">
        <f>ROUND(T3905,2)</f>
        <v>0</v>
      </c>
      <c r="AO3901" s="512">
        <f>ROUND(AM3901+AN3901,2)*A3901</f>
        <v>3695.84</v>
      </c>
    </row>
    <row r="3902" spans="1:41" s="504" customFormat="1" ht="13.2">
      <c r="A3902" s="872"/>
      <c r="B3902"/>
      <c r="C3902" s="872"/>
      <c r="D3902" s="873" t="s">
        <v>484</v>
      </c>
      <c r="F3902" s="877"/>
      <c r="G3902" s="3"/>
      <c r="H3902" s="877"/>
      <c r="I3902" s="878"/>
      <c r="J3902" s="877"/>
      <c r="K3902" s="877" t="s">
        <v>141</v>
      </c>
      <c r="L3902" s="877"/>
      <c r="M3902" s="877"/>
      <c r="N3902" s="877"/>
      <c r="O3902" s="877"/>
      <c r="P3902" s="877"/>
      <c r="Q3902" s="50"/>
      <c r="R3902" s="513"/>
      <c r="S3902" s="881"/>
      <c r="T3902" s="877"/>
    </row>
    <row r="3903" spans="1:41" s="504" customFormat="1" ht="13.2">
      <c r="A3903" s="112">
        <v>4</v>
      </c>
      <c r="B3903" s="1039" t="s">
        <v>949</v>
      </c>
      <c r="C3903" s="1039"/>
      <c r="D3903" s="1039" t="s">
        <v>1394</v>
      </c>
      <c r="E3903" s="1039" t="s">
        <v>1395</v>
      </c>
      <c r="F3903" s="1039" t="s">
        <v>1252</v>
      </c>
      <c r="G3903" s="1040" t="s">
        <v>1245</v>
      </c>
      <c r="H3903" s="1041">
        <v>510</v>
      </c>
      <c r="I3903" s="1039" t="s">
        <v>1246</v>
      </c>
      <c r="J3903" s="1039" t="s">
        <v>1247</v>
      </c>
      <c r="K3903" s="882"/>
      <c r="L3903" s="1039"/>
      <c r="M3903" s="1039"/>
      <c r="N3903" s="1039"/>
      <c r="O3903" s="1042">
        <v>2</v>
      </c>
      <c r="P3903" s="1043">
        <v>36880</v>
      </c>
      <c r="Q3903" s="1044">
        <v>230.99</v>
      </c>
      <c r="R3903" s="1072">
        <f>$A3903*Q3903</f>
        <v>923.96</v>
      </c>
      <c r="S3903" s="1044"/>
      <c r="T3903" s="1046">
        <f>$A3903*S3903*$T$1</f>
        <v>0</v>
      </c>
    </row>
    <row r="3904" spans="1:41" s="504" customFormat="1" ht="12">
      <c r="A3904" s="882"/>
      <c r="B3904" s="882"/>
      <c r="C3904" s="882"/>
      <c r="D3904" s="882"/>
      <c r="E3904" s="882"/>
      <c r="F3904" s="877"/>
      <c r="G3904" s="882"/>
      <c r="H3904" s="882"/>
      <c r="I3904" s="503"/>
      <c r="J3904" s="882"/>
      <c r="K3904" s="882"/>
      <c r="L3904" s="882"/>
      <c r="M3904" s="882"/>
      <c r="N3904" s="882"/>
      <c r="O3904" s="882"/>
      <c r="P3904" s="882"/>
      <c r="Q3904" s="503"/>
      <c r="R3904" s="883">
        <f>$A3904*Q3904</f>
        <v>0</v>
      </c>
      <c r="S3904" s="503"/>
      <c r="T3904" s="884">
        <f>$A3904*S3904*$T$1</f>
        <v>0</v>
      </c>
    </row>
    <row r="3905" spans="1:41" s="504" customFormat="1" ht="12.6" thickBot="1">
      <c r="A3905" s="885" t="s">
        <v>142</v>
      </c>
      <c r="B3905" s="886">
        <f>(R3904+T3904)</f>
        <v>0</v>
      </c>
      <c r="C3905" s="887"/>
      <c r="D3905" s="887"/>
      <c r="E3905" s="887"/>
      <c r="F3905" s="888"/>
      <c r="G3905" s="887" t="s">
        <v>143</v>
      </c>
      <c r="H3905" s="887"/>
      <c r="I3905" s="889"/>
      <c r="J3905" s="887"/>
      <c r="K3905" s="887" t="s">
        <v>3</v>
      </c>
      <c r="L3905" s="890" t="s">
        <v>140</v>
      </c>
      <c r="M3905" s="890"/>
      <c r="N3905" s="890"/>
      <c r="O3905" s="890"/>
      <c r="P3905" s="890"/>
      <c r="Q3905" s="891"/>
      <c r="R3905" s="892">
        <f>SUM(R3902:R3904)</f>
        <v>923.96</v>
      </c>
      <c r="S3905" s="887"/>
      <c r="T3905" s="892">
        <f>SUM(T3902:T3904)</f>
        <v>0</v>
      </c>
      <c r="U3905" s="514"/>
      <c r="V3905" s="514"/>
      <c r="W3905" s="514"/>
      <c r="X3905" s="514"/>
      <c r="Y3905" s="514"/>
      <c r="Z3905" s="514"/>
      <c r="AA3905" s="514"/>
      <c r="AB3905" s="514"/>
      <c r="AC3905" s="514"/>
      <c r="AD3905" s="514"/>
      <c r="AE3905" s="514"/>
      <c r="AF3905" s="514"/>
      <c r="AG3905" s="514"/>
      <c r="AH3905" s="514"/>
      <c r="AI3905" s="514"/>
      <c r="AJ3905" s="514"/>
      <c r="AK3905" s="514"/>
      <c r="AL3905" s="514"/>
      <c r="AM3905" s="514"/>
      <c r="AN3905" s="514"/>
      <c r="AO3905" s="514"/>
    </row>
    <row r="3906" spans="1:41" s="504" customFormat="1" thickTop="1">
      <c r="A3906" s="50"/>
      <c r="B3906" s="50"/>
      <c r="C3906" s="3"/>
      <c r="D3906" s="3"/>
      <c r="E3906" s="50"/>
      <c r="F3906" s="50"/>
      <c r="G3906" s="50"/>
      <c r="H3906" s="50"/>
      <c r="I3906" s="50"/>
      <c r="J3906" s="50"/>
      <c r="K3906" s="50" t="s">
        <v>133</v>
      </c>
      <c r="L3906" s="50"/>
      <c r="M3906" s="50"/>
      <c r="N3906" s="50"/>
      <c r="O3906" s="51"/>
      <c r="P3906" s="50"/>
      <c r="Q3906" s="50"/>
      <c r="R3906" s="50"/>
      <c r="S3906" s="50"/>
      <c r="T3906" s="50"/>
    </row>
    <row r="3907" spans="1:41" s="504" customFormat="1" ht="12">
      <c r="A3907" s="50"/>
      <c r="B3907" s="50"/>
      <c r="C3907" s="50" t="s">
        <v>134</v>
      </c>
      <c r="D3907" s="37" t="s">
        <v>902</v>
      </c>
      <c r="E3907" s="50"/>
      <c r="F3907" s="50"/>
      <c r="G3907" s="50"/>
      <c r="H3907" s="50"/>
      <c r="I3907" s="50"/>
      <c r="J3907" s="50"/>
      <c r="K3907" s="50"/>
      <c r="L3907" s="50"/>
      <c r="M3907" s="50"/>
      <c r="N3907" s="50"/>
      <c r="O3907" s="51"/>
      <c r="P3907" s="50"/>
      <c r="Q3907" s="50"/>
      <c r="R3907" s="50"/>
      <c r="S3907" s="50"/>
      <c r="T3907" s="50"/>
    </row>
    <row r="3908" spans="1:41" s="504" customFormat="1" ht="12">
      <c r="A3908" s="50"/>
      <c r="B3908" s="50"/>
      <c r="C3908" s="50"/>
      <c r="D3908" s="37" t="s">
        <v>304</v>
      </c>
      <c r="E3908" s="50"/>
      <c r="F3908" s="50"/>
      <c r="G3908" s="50"/>
      <c r="H3908" s="50"/>
      <c r="I3908" s="50"/>
      <c r="J3908" s="50"/>
      <c r="K3908" s="50"/>
      <c r="L3908" s="50"/>
      <c r="M3908" s="50"/>
      <c r="N3908" s="50"/>
      <c r="O3908" s="51"/>
      <c r="P3908" s="50"/>
      <c r="Q3908" s="50"/>
      <c r="R3908" s="50"/>
      <c r="S3908" s="38"/>
      <c r="T3908" s="38"/>
    </row>
    <row r="3909" spans="1:41" s="3" customFormat="1" thickBot="1">
      <c r="A3909" s="514"/>
      <c r="O3909" s="103"/>
    </row>
    <row r="3910" spans="1:41" s="504" customFormat="1" ht="12" thickTop="1">
      <c r="A3910" s="50"/>
      <c r="B3910" s="40"/>
      <c r="C3910" s="50"/>
      <c r="E3910" s="41" t="s">
        <v>136</v>
      </c>
      <c r="F3910" s="41" t="s">
        <v>137</v>
      </c>
      <c r="G3910" s="50"/>
      <c r="H3910" s="50"/>
      <c r="I3910" s="50"/>
      <c r="J3910" s="50"/>
      <c r="K3910" s="50" t="s">
        <v>138</v>
      </c>
      <c r="L3910" s="50"/>
      <c r="M3910" s="50"/>
      <c r="N3910" s="50"/>
      <c r="O3910" s="51"/>
      <c r="P3910" s="50"/>
      <c r="Q3910" s="50"/>
      <c r="R3910" s="50"/>
      <c r="S3910" s="50"/>
      <c r="T3910" s="40"/>
      <c r="AG3910" s="867" t="s">
        <v>241</v>
      </c>
      <c r="AH3910" s="867" t="s">
        <v>242</v>
      </c>
      <c r="AI3910" s="867" t="s">
        <v>243</v>
      </c>
      <c r="AJ3910" s="867" t="s">
        <v>244</v>
      </c>
      <c r="AK3910" s="867" t="s">
        <v>245</v>
      </c>
      <c r="AM3910" s="868" t="s">
        <v>254</v>
      </c>
      <c r="AN3910" s="869" t="s">
        <v>255</v>
      </c>
      <c r="AO3910" s="505" t="s">
        <v>251</v>
      </c>
    </row>
    <row r="3911" spans="1:41" s="504" customFormat="1" ht="12" customHeight="1">
      <c r="A3911" s="870">
        <v>1</v>
      </c>
      <c r="B3911" s="871" t="s">
        <v>335</v>
      </c>
      <c r="C3911" s="872"/>
      <c r="D3911" s="873" t="s">
        <v>804</v>
      </c>
      <c r="E3911" s="874">
        <f>IF(AND($A3911=0,$A$1="DIF"),0, ROUND(ROUND(($R3918*$S$2+($T3918*$T$2))/A3911,2)*$C$2,2))</f>
        <v>161.74</v>
      </c>
      <c r="F3911" s="875">
        <f>ROUND($A3911*$E3911,2)</f>
        <v>161.74</v>
      </c>
      <c r="G3911" s="876" t="s">
        <v>139</v>
      </c>
      <c r="H3911" s="877"/>
      <c r="I3911" s="878"/>
      <c r="J3911" s="877"/>
      <c r="K3911" s="877" t="s">
        <v>3</v>
      </c>
      <c r="L3911" s="879" t="s">
        <v>140</v>
      </c>
      <c r="M3911" s="879"/>
      <c r="N3911" s="879"/>
      <c r="O3911" s="879"/>
      <c r="P3911" s="879"/>
      <c r="Q3911" s="50"/>
      <c r="T3911" s="880" t="str">
        <f>IF(AND($R3918=0,$T3918=0),"0.00","mu :" &amp; ROUND($F3911/$C$2/($R3918+$T3918*$D$9),2))</f>
        <v>mu :1.22</v>
      </c>
      <c r="W3911" s="507"/>
      <c r="AG3911" s="465">
        <f>IF($E3911=0,0,ROUND($R3918*$S$2*$C$2/$A3911,2))</f>
        <v>12.34</v>
      </c>
      <c r="AH3911" s="465">
        <f>$AG3911*$A3911</f>
        <v>12.34</v>
      </c>
      <c r="AI3911" s="508">
        <f>$E3911-$AG3911</f>
        <v>149.4</v>
      </c>
      <c r="AJ3911" s="508">
        <f>$A3911*$AI3911</f>
        <v>149.4</v>
      </c>
      <c r="AK3911" s="509">
        <f>ROUND(($AG3911+$AI3911)*$A3911,2)</f>
        <v>161.74</v>
      </c>
      <c r="AM3911" s="510">
        <f>ROUND(R3918,2)</f>
        <v>10.119999999999999</v>
      </c>
      <c r="AN3911" s="511">
        <f>ROUND(T3918,2)</f>
        <v>4.25</v>
      </c>
      <c r="AO3911" s="512">
        <f>ROUND(AM3911+AN3911,2)*A3911</f>
        <v>14.37</v>
      </c>
    </row>
    <row r="3912" spans="1:41" s="504" customFormat="1" ht="13.2">
      <c r="A3912" s="872"/>
      <c r="B3912"/>
      <c r="C3912" s="872"/>
      <c r="D3912" s="873" t="s">
        <v>476</v>
      </c>
      <c r="F3912" s="877"/>
      <c r="G3912" s="3"/>
      <c r="H3912" s="877"/>
      <c r="I3912" s="878"/>
      <c r="J3912" s="877"/>
      <c r="K3912" s="877" t="s">
        <v>141</v>
      </c>
      <c r="L3912" s="877"/>
      <c r="M3912" s="877"/>
      <c r="N3912" s="877"/>
      <c r="O3912" s="877"/>
      <c r="P3912" s="877"/>
      <c r="Q3912" s="50"/>
      <c r="R3912" s="513"/>
      <c r="S3912" s="881"/>
      <c r="T3912" s="877"/>
    </row>
    <row r="3913" spans="1:41" s="504" customFormat="1" ht="13.2">
      <c r="A3913">
        <v>1</v>
      </c>
      <c r="B3913" s="1039" t="s">
        <v>949</v>
      </c>
      <c r="C3913" s="1039"/>
      <c r="D3913" s="1039" t="s">
        <v>1396</v>
      </c>
      <c r="E3913" s="1039"/>
      <c r="F3913" s="1039"/>
      <c r="G3913" s="1040" t="s">
        <v>950</v>
      </c>
      <c r="H3913" s="1041">
        <v>510</v>
      </c>
      <c r="I3913" s="1039" t="s">
        <v>951</v>
      </c>
      <c r="J3913" s="1039"/>
      <c r="K3913" s="882"/>
      <c r="L3913" s="1039"/>
      <c r="M3913" s="1039"/>
      <c r="N3913" s="1039"/>
      <c r="O3913" s="1042">
        <v>2</v>
      </c>
      <c r="P3913" s="1043"/>
      <c r="Q3913" s="1044">
        <v>0</v>
      </c>
      <c r="R3913" s="883">
        <f>$A3913*Q3913</f>
        <v>0</v>
      </c>
      <c r="S3913" s="1044">
        <f>2+(4*0.5)</f>
        <v>4</v>
      </c>
      <c r="T3913" s="1046">
        <f>$A3913*S3913*$T$1</f>
        <v>4.2</v>
      </c>
    </row>
    <row r="3914" spans="1:41" s="504" customFormat="1" ht="13.2">
      <c r="A3914" s="112">
        <v>1</v>
      </c>
      <c r="B3914" s="1039" t="s">
        <v>949</v>
      </c>
      <c r="C3914" s="1039"/>
      <c r="D3914" s="1039" t="s">
        <v>957</v>
      </c>
      <c r="E3914" s="1039"/>
      <c r="F3914" s="1039"/>
      <c r="G3914" s="1040" t="s">
        <v>958</v>
      </c>
      <c r="H3914" s="1041">
        <v>875</v>
      </c>
      <c r="I3914" s="1039" t="s">
        <v>951</v>
      </c>
      <c r="J3914" s="1039"/>
      <c r="K3914" s="882"/>
      <c r="L3914" s="1039"/>
      <c r="M3914" s="1039"/>
      <c r="N3914" s="1039"/>
      <c r="O3914" s="1042">
        <v>3</v>
      </c>
      <c r="P3914" s="1043">
        <v>34820</v>
      </c>
      <c r="Q3914" s="1044">
        <f>0.9 *(5.82)</f>
        <v>5.2380000000000004</v>
      </c>
      <c r="R3914" s="883">
        <f>$A3914*Q3914</f>
        <v>5.2380000000000004</v>
      </c>
      <c r="S3914" s="1044">
        <f>0.9 *(0.05)</f>
        <v>4.5000000000000005E-2</v>
      </c>
      <c r="T3914" s="1046">
        <f>$A3914*S3914*$T$1</f>
        <v>4.7250000000000007E-2</v>
      </c>
    </row>
    <row r="3915" spans="1:41" s="504" customFormat="1" ht="13.2">
      <c r="A3915" s="112">
        <v>1</v>
      </c>
      <c r="B3915" s="1039" t="s">
        <v>949</v>
      </c>
      <c r="C3915" s="1039"/>
      <c r="D3915" s="1039" t="s">
        <v>1239</v>
      </c>
      <c r="E3915" s="1039"/>
      <c r="F3915" s="1039"/>
      <c r="G3915" s="1040" t="s">
        <v>1240</v>
      </c>
      <c r="H3915" s="1041">
        <v>880</v>
      </c>
      <c r="I3915" s="1039" t="s">
        <v>951</v>
      </c>
      <c r="J3915" s="1039"/>
      <c r="K3915" s="882"/>
      <c r="L3915" s="1039"/>
      <c r="M3915" s="1039"/>
      <c r="N3915" s="1039"/>
      <c r="O3915" s="1042">
        <v>3</v>
      </c>
      <c r="P3915" s="1043">
        <v>35443</v>
      </c>
      <c r="Q3915" s="1044">
        <f>0.9 *(4.66)</f>
        <v>4.194</v>
      </c>
      <c r="R3915" s="883">
        <f>$A3915*Q3915</f>
        <v>4.194</v>
      </c>
      <c r="S3915" s="1044"/>
      <c r="T3915" s="1046">
        <f>$A3915*S3915*$T$1</f>
        <v>0</v>
      </c>
    </row>
    <row r="3916" spans="1:41" s="504" customFormat="1" ht="13.2">
      <c r="A3916" s="112">
        <v>4</v>
      </c>
      <c r="B3916" s="1039" t="s">
        <v>949</v>
      </c>
      <c r="C3916" s="1039"/>
      <c r="D3916" s="1039" t="s">
        <v>1241</v>
      </c>
      <c r="E3916" s="1039"/>
      <c r="F3916" s="1039"/>
      <c r="G3916" s="1040" t="s">
        <v>1242</v>
      </c>
      <c r="H3916" s="1041">
        <v>875</v>
      </c>
      <c r="I3916" s="1039" t="s">
        <v>1243</v>
      </c>
      <c r="J3916" s="1039" t="s">
        <v>1244</v>
      </c>
      <c r="K3916" s="882"/>
      <c r="L3916" s="1039"/>
      <c r="M3916" s="1039"/>
      <c r="N3916" s="1039"/>
      <c r="O3916" s="1042">
        <v>1</v>
      </c>
      <c r="P3916" s="1043">
        <v>36175</v>
      </c>
      <c r="Q3916" s="1044">
        <f>0.9 *(0.19)</f>
        <v>0.17100000000000001</v>
      </c>
      <c r="R3916" s="883">
        <f>$A3916*Q3916</f>
        <v>0.68400000000000005</v>
      </c>
      <c r="S3916" s="1044"/>
      <c r="T3916" s="1046">
        <f>$A3916*S3916*$T$1</f>
        <v>0</v>
      </c>
    </row>
    <row r="3917" spans="1:41" s="504" customFormat="1" ht="12">
      <c r="A3917" s="882"/>
      <c r="B3917" s="882"/>
      <c r="C3917" s="882"/>
      <c r="D3917" s="882"/>
      <c r="E3917" s="882"/>
      <c r="F3917" s="877"/>
      <c r="G3917" s="882"/>
      <c r="H3917" s="882"/>
      <c r="I3917" s="503"/>
      <c r="J3917" s="882"/>
      <c r="K3917" s="882"/>
      <c r="L3917" s="882"/>
      <c r="M3917" s="882"/>
      <c r="N3917" s="882"/>
      <c r="O3917" s="882"/>
      <c r="P3917" s="882"/>
      <c r="Q3917" s="503"/>
      <c r="R3917" s="883">
        <f>$A3917*Q3917</f>
        <v>0</v>
      </c>
      <c r="S3917" s="503"/>
      <c r="T3917" s="884">
        <f>$A3917*S3917*$T$1</f>
        <v>0</v>
      </c>
    </row>
    <row r="3918" spans="1:41" s="504" customFormat="1" ht="12.6" thickBot="1">
      <c r="A3918" s="885" t="s">
        <v>142</v>
      </c>
      <c r="B3918" s="886">
        <f>(R3917+T3917)</f>
        <v>0</v>
      </c>
      <c r="C3918" s="887"/>
      <c r="D3918" s="887"/>
      <c r="E3918" s="887"/>
      <c r="F3918" s="888"/>
      <c r="G3918" s="887" t="s">
        <v>143</v>
      </c>
      <c r="H3918" s="887"/>
      <c r="I3918" s="889"/>
      <c r="J3918" s="887"/>
      <c r="K3918" s="887" t="s">
        <v>3</v>
      </c>
      <c r="L3918" s="890" t="s">
        <v>140</v>
      </c>
      <c r="M3918" s="890"/>
      <c r="N3918" s="890"/>
      <c r="O3918" s="890"/>
      <c r="P3918" s="890"/>
      <c r="Q3918" s="891"/>
      <c r="R3918" s="892">
        <f>SUM(R3912:R3917)</f>
        <v>10.116</v>
      </c>
      <c r="S3918" s="887"/>
      <c r="T3918" s="892">
        <f>SUM(T3912:T3917)</f>
        <v>4.2472500000000002</v>
      </c>
      <c r="U3918" s="514"/>
      <c r="V3918" s="514"/>
      <c r="W3918" s="514"/>
      <c r="X3918" s="514"/>
      <c r="Y3918" s="514"/>
      <c r="Z3918" s="514"/>
      <c r="AA3918" s="514"/>
      <c r="AB3918" s="514"/>
      <c r="AC3918" s="514"/>
      <c r="AD3918" s="514"/>
      <c r="AE3918" s="514"/>
      <c r="AF3918" s="514"/>
      <c r="AG3918" s="514"/>
      <c r="AH3918" s="514"/>
      <c r="AI3918" s="514"/>
      <c r="AJ3918" s="514"/>
      <c r="AK3918" s="514"/>
      <c r="AL3918" s="514"/>
      <c r="AM3918" s="514"/>
      <c r="AN3918" s="514"/>
      <c r="AO3918" s="514"/>
    </row>
    <row r="3919" spans="1:41" s="504" customFormat="1" ht="12" thickTop="1">
      <c r="A3919" s="50"/>
      <c r="B3919" s="40"/>
      <c r="C3919" s="50"/>
      <c r="E3919" s="41" t="s">
        <v>136</v>
      </c>
      <c r="F3919" s="41" t="s">
        <v>137</v>
      </c>
      <c r="G3919" s="50"/>
      <c r="H3919" s="50"/>
      <c r="I3919" s="50"/>
      <c r="J3919" s="50"/>
      <c r="K3919" s="50" t="s">
        <v>138</v>
      </c>
      <c r="L3919" s="50"/>
      <c r="M3919" s="50"/>
      <c r="N3919" s="50"/>
      <c r="O3919" s="51"/>
      <c r="P3919" s="50"/>
      <c r="Q3919" s="50"/>
      <c r="R3919" s="50"/>
      <c r="S3919" s="50"/>
      <c r="T3919" s="40"/>
      <c r="AG3919" s="867" t="s">
        <v>241</v>
      </c>
      <c r="AH3919" s="867" t="s">
        <v>242</v>
      </c>
      <c r="AI3919" s="867" t="s">
        <v>243</v>
      </c>
      <c r="AJ3919" s="867" t="s">
        <v>244</v>
      </c>
      <c r="AK3919" s="867" t="s">
        <v>245</v>
      </c>
      <c r="AM3919" s="868" t="s">
        <v>254</v>
      </c>
      <c r="AN3919" s="869" t="s">
        <v>255</v>
      </c>
      <c r="AO3919" s="505" t="s">
        <v>251</v>
      </c>
    </row>
    <row r="3920" spans="1:41" s="504" customFormat="1" ht="12" customHeight="1">
      <c r="A3920" s="870">
        <v>1</v>
      </c>
      <c r="B3920" s="871" t="s">
        <v>335</v>
      </c>
      <c r="C3920" s="872"/>
      <c r="D3920" s="873" t="s">
        <v>806</v>
      </c>
      <c r="E3920" s="874">
        <f>IF(AND($A3920=0,$A$1="DIF"),0, ROUND(ROUND(($R3927*$S$2+($T3927*$T$2))/A3920,2)*$C$2,2))</f>
        <v>198.68</v>
      </c>
      <c r="F3920" s="875">
        <f>ROUND($A3920*$E3920,2)</f>
        <v>198.68</v>
      </c>
      <c r="G3920" s="876" t="s">
        <v>139</v>
      </c>
      <c r="H3920" s="877"/>
      <c r="I3920" s="878"/>
      <c r="J3920" s="877"/>
      <c r="K3920" s="877" t="s">
        <v>3</v>
      </c>
      <c r="L3920" s="879" t="s">
        <v>140</v>
      </c>
      <c r="M3920" s="879"/>
      <c r="N3920" s="879"/>
      <c r="O3920" s="879"/>
      <c r="P3920" s="879"/>
      <c r="Q3920" s="50"/>
      <c r="T3920" s="880" t="str">
        <f>IF(AND($R3927=0,$T3927=0),"0.00","mu :" &amp; ROUND($F3920/$C$2/($R3927+$T3927*$D$9),2))</f>
        <v>mu :1.22</v>
      </c>
      <c r="W3920" s="507"/>
      <c r="AG3920" s="465">
        <f>IF($E3920=0,0,ROUND($R3927*$S$2*$C$2/$A3920,2))</f>
        <v>12.34</v>
      </c>
      <c r="AH3920" s="465">
        <f>$AG3920*$A3920</f>
        <v>12.34</v>
      </c>
      <c r="AI3920" s="508">
        <f>$E3920-$AG3920</f>
        <v>186.34</v>
      </c>
      <c r="AJ3920" s="508">
        <f>$A3920*$AI3920</f>
        <v>186.34</v>
      </c>
      <c r="AK3920" s="509">
        <f>ROUND(($AG3920+$AI3920)*$A3920,2)</f>
        <v>198.68</v>
      </c>
      <c r="AM3920" s="510">
        <f>ROUND(R3927,2)</f>
        <v>10.119999999999999</v>
      </c>
      <c r="AN3920" s="511">
        <f>ROUND(T3927,2)</f>
        <v>5.3</v>
      </c>
      <c r="AO3920" s="512">
        <f>ROUND(AM3920+AN3920,2)*A3920</f>
        <v>15.42</v>
      </c>
    </row>
    <row r="3921" spans="1:41" s="504" customFormat="1" ht="13.2">
      <c r="A3921" s="872"/>
      <c r="B3921"/>
      <c r="C3921" s="872"/>
      <c r="D3921" s="873" t="s">
        <v>477</v>
      </c>
      <c r="F3921" s="877"/>
      <c r="G3921" s="3"/>
      <c r="H3921" s="877"/>
      <c r="I3921" s="878"/>
      <c r="J3921" s="877"/>
      <c r="K3921" s="877" t="s">
        <v>141</v>
      </c>
      <c r="L3921" s="877"/>
      <c r="M3921" s="877"/>
      <c r="N3921" s="877"/>
      <c r="O3921" s="877"/>
      <c r="P3921" s="877"/>
      <c r="Q3921" s="50"/>
      <c r="R3921" s="513"/>
      <c r="S3921" s="881"/>
      <c r="T3921" s="877"/>
    </row>
    <row r="3922" spans="1:41" s="504" customFormat="1" ht="13.2">
      <c r="A3922">
        <v>1</v>
      </c>
      <c r="B3922" s="1039" t="s">
        <v>949</v>
      </c>
      <c r="C3922" s="1039"/>
      <c r="D3922" s="1039" t="s">
        <v>1397</v>
      </c>
      <c r="E3922" s="1039"/>
      <c r="F3922" s="1039"/>
      <c r="G3922" s="1040" t="s">
        <v>950</v>
      </c>
      <c r="H3922" s="1041">
        <v>510</v>
      </c>
      <c r="I3922" s="1039" t="s">
        <v>951</v>
      </c>
      <c r="J3922" s="1039"/>
      <c r="K3922" s="882"/>
      <c r="L3922" s="1039"/>
      <c r="M3922" s="1039"/>
      <c r="N3922" s="1039"/>
      <c r="O3922" s="1042">
        <v>2</v>
      </c>
      <c r="P3922" s="1043"/>
      <c r="Q3922" s="1044">
        <v>0</v>
      </c>
      <c r="R3922" s="883">
        <f>$A3922*Q3922</f>
        <v>0</v>
      </c>
      <c r="S3922" s="1044">
        <f>2+(6*0.5)</f>
        <v>5</v>
      </c>
      <c r="T3922" s="1046">
        <f>$A3922*S3922*$T$1</f>
        <v>5.25</v>
      </c>
    </row>
    <row r="3923" spans="1:41" s="504" customFormat="1" ht="13.2">
      <c r="A3923" s="112">
        <v>1</v>
      </c>
      <c r="B3923" s="1039" t="s">
        <v>949</v>
      </c>
      <c r="C3923" s="1039"/>
      <c r="D3923" s="1039" t="s">
        <v>957</v>
      </c>
      <c r="E3923" s="1039"/>
      <c r="F3923" s="1039"/>
      <c r="G3923" s="1040" t="s">
        <v>958</v>
      </c>
      <c r="H3923" s="1041">
        <v>875</v>
      </c>
      <c r="I3923" s="1039" t="s">
        <v>951</v>
      </c>
      <c r="J3923" s="1039"/>
      <c r="K3923" s="882"/>
      <c r="L3923" s="1039"/>
      <c r="M3923" s="1039"/>
      <c r="N3923" s="1039"/>
      <c r="O3923" s="1042">
        <v>3</v>
      </c>
      <c r="P3923" s="1043">
        <v>34820</v>
      </c>
      <c r="Q3923" s="1044">
        <f>0.9 *(5.82)</f>
        <v>5.2380000000000004</v>
      </c>
      <c r="R3923" s="883">
        <f>$A3923*Q3923</f>
        <v>5.2380000000000004</v>
      </c>
      <c r="S3923" s="1044">
        <f>0.9 *(0.05)</f>
        <v>4.5000000000000005E-2</v>
      </c>
      <c r="T3923" s="1046">
        <f>$A3923*S3923*$T$1</f>
        <v>4.7250000000000007E-2</v>
      </c>
    </row>
    <row r="3924" spans="1:41" s="504" customFormat="1" ht="13.2">
      <c r="A3924" s="112">
        <v>1</v>
      </c>
      <c r="B3924" s="1039" t="s">
        <v>949</v>
      </c>
      <c r="C3924" s="1039"/>
      <c r="D3924" s="1039" t="s">
        <v>1239</v>
      </c>
      <c r="E3924" s="1039"/>
      <c r="F3924" s="1039"/>
      <c r="G3924" s="1040" t="s">
        <v>1240</v>
      </c>
      <c r="H3924" s="1041">
        <v>880</v>
      </c>
      <c r="I3924" s="1039" t="s">
        <v>951</v>
      </c>
      <c r="J3924" s="1039"/>
      <c r="K3924" s="882"/>
      <c r="L3924" s="1039"/>
      <c r="M3924" s="1039"/>
      <c r="N3924" s="1039"/>
      <c r="O3924" s="1042">
        <v>3</v>
      </c>
      <c r="P3924" s="1043">
        <v>35443</v>
      </c>
      <c r="Q3924" s="1044">
        <f>0.9 *(4.66)</f>
        <v>4.194</v>
      </c>
      <c r="R3924" s="883">
        <f>$A3924*Q3924</f>
        <v>4.194</v>
      </c>
      <c r="S3924" s="1044"/>
      <c r="T3924" s="1046">
        <f>$A3924*S3924*$T$1</f>
        <v>0</v>
      </c>
    </row>
    <row r="3925" spans="1:41" s="504" customFormat="1" ht="13.2">
      <c r="A3925" s="112">
        <v>4</v>
      </c>
      <c r="B3925" s="1039" t="s">
        <v>949</v>
      </c>
      <c r="C3925" s="1039"/>
      <c r="D3925" s="1039" t="s">
        <v>1241</v>
      </c>
      <c r="E3925" s="1039"/>
      <c r="F3925" s="1039"/>
      <c r="G3925" s="1040" t="s">
        <v>1242</v>
      </c>
      <c r="H3925" s="1041">
        <v>875</v>
      </c>
      <c r="I3925" s="1039" t="s">
        <v>1243</v>
      </c>
      <c r="J3925" s="1039" t="s">
        <v>1244</v>
      </c>
      <c r="K3925" s="882"/>
      <c r="L3925" s="1039"/>
      <c r="M3925" s="1039"/>
      <c r="N3925" s="1039"/>
      <c r="O3925" s="1042">
        <v>1</v>
      </c>
      <c r="P3925" s="1043">
        <v>36175</v>
      </c>
      <c r="Q3925" s="1044">
        <f>0.9 *(0.19)</f>
        <v>0.17100000000000001</v>
      </c>
      <c r="R3925" s="883">
        <f>$A3925*Q3925</f>
        <v>0.68400000000000005</v>
      </c>
      <c r="S3925" s="1044"/>
      <c r="T3925" s="1046">
        <f>$A3925*S3925*$T$1</f>
        <v>0</v>
      </c>
    </row>
    <row r="3926" spans="1:41" s="504" customFormat="1" ht="12">
      <c r="A3926" s="882"/>
      <c r="B3926" s="882"/>
      <c r="C3926" s="882"/>
      <c r="D3926" s="882"/>
      <c r="E3926" s="882"/>
      <c r="F3926" s="877"/>
      <c r="G3926" s="882"/>
      <c r="H3926" s="882"/>
      <c r="I3926" s="503"/>
      <c r="J3926" s="882"/>
      <c r="K3926" s="882"/>
      <c r="L3926" s="882"/>
      <c r="M3926" s="882"/>
      <c r="N3926" s="882"/>
      <c r="O3926" s="882"/>
      <c r="P3926" s="882"/>
      <c r="Q3926" s="503"/>
      <c r="R3926" s="883">
        <f>$A3926*Q3926</f>
        <v>0</v>
      </c>
      <c r="S3926" s="503"/>
      <c r="T3926" s="884">
        <f>$A3926*S3926*$T$1</f>
        <v>0</v>
      </c>
    </row>
    <row r="3927" spans="1:41" s="504" customFormat="1" ht="12.6" thickBot="1">
      <c r="A3927" s="885" t="s">
        <v>142</v>
      </c>
      <c r="B3927" s="886">
        <f>(R3926+T3926)</f>
        <v>0</v>
      </c>
      <c r="C3927" s="887"/>
      <c r="D3927" s="887"/>
      <c r="E3927" s="887"/>
      <c r="F3927" s="888"/>
      <c r="G3927" s="887" t="s">
        <v>143</v>
      </c>
      <c r="H3927" s="887"/>
      <c r="I3927" s="889"/>
      <c r="J3927" s="887"/>
      <c r="K3927" s="887" t="s">
        <v>3</v>
      </c>
      <c r="L3927" s="890" t="s">
        <v>140</v>
      </c>
      <c r="M3927" s="890"/>
      <c r="N3927" s="890"/>
      <c r="O3927" s="890"/>
      <c r="P3927" s="890"/>
      <c r="Q3927" s="891"/>
      <c r="R3927" s="892">
        <f>SUM(R3921:R3926)</f>
        <v>10.116</v>
      </c>
      <c r="S3927" s="887"/>
      <c r="T3927" s="892">
        <f>SUM(T3921:T3926)</f>
        <v>5.29725</v>
      </c>
      <c r="U3927" s="514"/>
      <c r="V3927" s="514"/>
      <c r="W3927" s="514"/>
      <c r="X3927" s="514"/>
      <c r="Y3927" s="514"/>
      <c r="Z3927" s="514"/>
      <c r="AA3927" s="514"/>
      <c r="AB3927" s="514"/>
      <c r="AC3927" s="514"/>
      <c r="AD3927" s="514"/>
      <c r="AE3927" s="514"/>
      <c r="AF3927" s="514"/>
      <c r="AG3927" s="514"/>
      <c r="AH3927" s="514"/>
      <c r="AI3927" s="514"/>
      <c r="AJ3927" s="514"/>
      <c r="AK3927" s="514"/>
      <c r="AL3927" s="514"/>
      <c r="AM3927" s="514"/>
      <c r="AN3927" s="514"/>
      <c r="AO3927" s="514"/>
    </row>
    <row r="3928" spans="1:41" s="504" customFormat="1" ht="12" thickTop="1">
      <c r="A3928" s="50"/>
      <c r="B3928" s="40"/>
      <c r="C3928" s="50"/>
      <c r="E3928" s="41" t="s">
        <v>136</v>
      </c>
      <c r="F3928" s="41" t="s">
        <v>137</v>
      </c>
      <c r="G3928" s="50"/>
      <c r="H3928" s="50"/>
      <c r="I3928" s="50"/>
      <c r="J3928" s="50"/>
      <c r="K3928" s="50" t="s">
        <v>138</v>
      </c>
      <c r="L3928" s="50"/>
      <c r="M3928" s="50"/>
      <c r="N3928" s="50"/>
      <c r="O3928" s="51"/>
      <c r="P3928" s="50"/>
      <c r="Q3928" s="50"/>
      <c r="R3928" s="50"/>
      <c r="S3928" s="50"/>
      <c r="T3928" s="40"/>
      <c r="AG3928" s="867" t="s">
        <v>241</v>
      </c>
      <c r="AH3928" s="867" t="s">
        <v>242</v>
      </c>
      <c r="AI3928" s="867" t="s">
        <v>243</v>
      </c>
      <c r="AJ3928" s="867" t="s">
        <v>244</v>
      </c>
      <c r="AK3928" s="867" t="s">
        <v>245</v>
      </c>
      <c r="AM3928" s="868" t="s">
        <v>254</v>
      </c>
      <c r="AN3928" s="869" t="s">
        <v>255</v>
      </c>
      <c r="AO3928" s="505" t="s">
        <v>251</v>
      </c>
    </row>
    <row r="3929" spans="1:41" s="504" customFormat="1" ht="12" customHeight="1">
      <c r="A3929" s="870">
        <v>1</v>
      </c>
      <c r="B3929" s="871" t="s">
        <v>335</v>
      </c>
      <c r="C3929" s="872"/>
      <c r="D3929" s="873" t="s">
        <v>808</v>
      </c>
      <c r="E3929" s="874">
        <f>IF(AND($A3929=0,$A$1="DIF"),0, ROUND(ROUND(($R3937*$S$2+($T3937*$T$2))/A3929,2)*$C$2,2))</f>
        <v>161.1</v>
      </c>
      <c r="F3929" s="875">
        <f>ROUND($A3929*$E3929,2)</f>
        <v>161.1</v>
      </c>
      <c r="G3929" s="876" t="s">
        <v>139</v>
      </c>
      <c r="H3929" s="877"/>
      <c r="I3929" s="878"/>
      <c r="J3929" s="877"/>
      <c r="K3929" s="877" t="s">
        <v>3</v>
      </c>
      <c r="L3929" s="879" t="s">
        <v>140</v>
      </c>
      <c r="M3929" s="879"/>
      <c r="N3929" s="879"/>
      <c r="O3929" s="879"/>
      <c r="P3929" s="879"/>
      <c r="Q3929" s="50"/>
      <c r="T3929" s="880" t="str">
        <f>IF(AND($R3937=0,$T3937=0),"0.00","mu :" &amp; ROUND($F3929/$C$2/($R3937+$T3937*$D$9),2))</f>
        <v>mu :1.22</v>
      </c>
      <c r="W3929" s="507"/>
      <c r="AG3929" s="465">
        <f>IF($E3929=0,0,ROUND($R3937*$S$2*$C$2/$A3929,2))</f>
        <v>11.7</v>
      </c>
      <c r="AH3929" s="465">
        <f>$AG3929*$A3929</f>
        <v>11.7</v>
      </c>
      <c r="AI3929" s="508">
        <f>$E3929-$AG3929</f>
        <v>149.4</v>
      </c>
      <c r="AJ3929" s="508">
        <f>$A3929*$AI3929</f>
        <v>149.4</v>
      </c>
      <c r="AK3929" s="509">
        <f>ROUND(($AG3929+$AI3929)*$A3929,2)</f>
        <v>161.1</v>
      </c>
      <c r="AM3929" s="510">
        <f>ROUND(R3937,2)</f>
        <v>9.59</v>
      </c>
      <c r="AN3929" s="511">
        <f>ROUND(T3937,2)</f>
        <v>4.25</v>
      </c>
      <c r="AO3929" s="512">
        <f>ROUND(AM3929+AN3929,2)*A3929</f>
        <v>13.84</v>
      </c>
    </row>
    <row r="3930" spans="1:41" s="504" customFormat="1" ht="13.2">
      <c r="A3930" s="872"/>
      <c r="B3930"/>
      <c r="C3930" s="872"/>
      <c r="D3930" s="873" t="s">
        <v>478</v>
      </c>
      <c r="F3930" s="877"/>
      <c r="G3930" s="3"/>
      <c r="H3930" s="877"/>
      <c r="I3930" s="878"/>
      <c r="J3930" s="877"/>
      <c r="K3930" s="877" t="s">
        <v>141</v>
      </c>
      <c r="L3930" s="877"/>
      <c r="M3930" s="877"/>
      <c r="N3930" s="877"/>
      <c r="O3930" s="877"/>
      <c r="P3930" s="877"/>
      <c r="Q3930" s="50"/>
      <c r="R3930" s="513"/>
      <c r="S3930" s="881"/>
      <c r="T3930" s="877"/>
    </row>
    <row r="3931" spans="1:41" s="504" customFormat="1" ht="13.2">
      <c r="A3931">
        <v>1</v>
      </c>
      <c r="B3931" s="1039" t="s">
        <v>949</v>
      </c>
      <c r="C3931" s="1039"/>
      <c r="D3931" s="1039" t="s">
        <v>1398</v>
      </c>
      <c r="E3931" s="1039"/>
      <c r="F3931" s="1039"/>
      <c r="G3931" s="1040" t="s">
        <v>950</v>
      </c>
      <c r="H3931" s="1041">
        <v>510</v>
      </c>
      <c r="I3931" s="1039" t="s">
        <v>951</v>
      </c>
      <c r="J3931" s="1039"/>
      <c r="K3931" s="882"/>
      <c r="L3931" s="1039"/>
      <c r="M3931" s="1039"/>
      <c r="N3931" s="1039"/>
      <c r="O3931" s="1042">
        <v>2</v>
      </c>
      <c r="P3931" s="1043"/>
      <c r="Q3931" s="1044">
        <v>0</v>
      </c>
      <c r="R3931" s="883">
        <f t="shared" ref="R3931:R3936" si="50">$A3931*Q3931</f>
        <v>0</v>
      </c>
      <c r="S3931" s="1044">
        <f>2+(4*0.5)</f>
        <v>4</v>
      </c>
      <c r="T3931" s="1046">
        <f t="shared" ref="T3931:T3936" si="51">$A3931*S3931*$T$1</f>
        <v>4.2</v>
      </c>
    </row>
    <row r="3932" spans="1:41" s="504" customFormat="1" ht="13.2">
      <c r="A3932" s="112">
        <v>1</v>
      </c>
      <c r="B3932" s="1039" t="s">
        <v>949</v>
      </c>
      <c r="C3932" s="1039"/>
      <c r="D3932" s="1039" t="s">
        <v>957</v>
      </c>
      <c r="E3932" s="1039"/>
      <c r="F3932" s="1039"/>
      <c r="G3932" s="1040" t="s">
        <v>958</v>
      </c>
      <c r="H3932" s="1041">
        <v>875</v>
      </c>
      <c r="I3932" s="1039" t="s">
        <v>951</v>
      </c>
      <c r="J3932" s="1039"/>
      <c r="K3932" s="882"/>
      <c r="L3932" s="1039"/>
      <c r="M3932" s="1039"/>
      <c r="N3932" s="1039"/>
      <c r="O3932" s="1042">
        <v>3</v>
      </c>
      <c r="P3932" s="1043">
        <v>34820</v>
      </c>
      <c r="Q3932" s="1044">
        <f>0.9 *(5.82)</f>
        <v>5.2380000000000004</v>
      </c>
      <c r="R3932" s="883">
        <f t="shared" si="50"/>
        <v>5.2380000000000004</v>
      </c>
      <c r="S3932" s="1044">
        <f>0.9 *(0.05)</f>
        <v>4.5000000000000005E-2</v>
      </c>
      <c r="T3932" s="1046">
        <f t="shared" si="51"/>
        <v>4.7250000000000007E-2</v>
      </c>
    </row>
    <row r="3933" spans="1:41" s="1039" customFormat="1" ht="13.2">
      <c r="A3933" s="112">
        <v>1</v>
      </c>
      <c r="B3933" s="1039" t="s">
        <v>949</v>
      </c>
      <c r="D3933" s="1039" t="s">
        <v>1311</v>
      </c>
      <c r="G3933" s="1040" t="s">
        <v>1312</v>
      </c>
      <c r="H3933" s="1041">
        <v>880</v>
      </c>
      <c r="I3933" s="1039" t="s">
        <v>951</v>
      </c>
      <c r="O3933" s="1042">
        <v>3</v>
      </c>
      <c r="P3933" s="1043">
        <v>35443</v>
      </c>
      <c r="Q3933" s="1044">
        <f>0.9 *(4.66)</f>
        <v>4.194</v>
      </c>
      <c r="R3933" s="1045">
        <f t="shared" si="50"/>
        <v>4.194</v>
      </c>
      <c r="S3933" s="1044"/>
      <c r="T3933" s="1046">
        <f t="shared" si="51"/>
        <v>0</v>
      </c>
    </row>
    <row r="3934" spans="1:41" s="1039" customFormat="1" ht="13.2">
      <c r="A3934" s="112">
        <v>4</v>
      </c>
      <c r="B3934" s="1039" t="s">
        <v>949</v>
      </c>
      <c r="D3934" s="1039" t="s">
        <v>965</v>
      </c>
      <c r="G3934" s="1040" t="s">
        <v>966</v>
      </c>
      <c r="H3934" s="1041">
        <v>875</v>
      </c>
      <c r="I3934" s="1039" t="s">
        <v>951</v>
      </c>
      <c r="K3934" s="1039" t="s">
        <v>967</v>
      </c>
      <c r="O3934" s="1042">
        <v>1</v>
      </c>
      <c r="P3934" s="1043">
        <v>34669</v>
      </c>
      <c r="Q3934" s="1044">
        <v>0.02</v>
      </c>
      <c r="R3934" s="1045">
        <f t="shared" si="50"/>
        <v>0.08</v>
      </c>
      <c r="S3934" s="1044"/>
      <c r="T3934" s="1046">
        <f t="shared" si="51"/>
        <v>0</v>
      </c>
    </row>
    <row r="3935" spans="1:41" s="1039" customFormat="1" ht="13.2">
      <c r="A3935" s="112">
        <v>4</v>
      </c>
      <c r="B3935" s="1039" t="s">
        <v>949</v>
      </c>
      <c r="D3935" s="1039" t="s">
        <v>968</v>
      </c>
      <c r="G3935" s="1040" t="s">
        <v>969</v>
      </c>
      <c r="H3935" s="1041">
        <v>875</v>
      </c>
      <c r="I3935" s="1039" t="s">
        <v>951</v>
      </c>
      <c r="K3935" s="1039" t="s">
        <v>970</v>
      </c>
      <c r="O3935" s="1042">
        <v>1</v>
      </c>
      <c r="P3935" s="1043">
        <v>34669</v>
      </c>
      <c r="Q3935" s="1044">
        <v>0.02</v>
      </c>
      <c r="R3935" s="1045">
        <f t="shared" si="50"/>
        <v>0.08</v>
      </c>
      <c r="S3935" s="1044"/>
      <c r="T3935" s="1046">
        <f t="shared" si="51"/>
        <v>0</v>
      </c>
    </row>
    <row r="3936" spans="1:41" s="504" customFormat="1" ht="12">
      <c r="A3936" s="882"/>
      <c r="B3936" s="882"/>
      <c r="C3936" s="882"/>
      <c r="D3936" s="882"/>
      <c r="E3936" s="882"/>
      <c r="F3936" s="877"/>
      <c r="G3936" s="882"/>
      <c r="H3936" s="882"/>
      <c r="I3936" s="503"/>
      <c r="J3936" s="882"/>
      <c r="K3936" s="882"/>
      <c r="L3936" s="882"/>
      <c r="M3936" s="882"/>
      <c r="N3936" s="882"/>
      <c r="O3936" s="882"/>
      <c r="P3936" s="882"/>
      <c r="Q3936" s="503"/>
      <c r="R3936" s="883">
        <f t="shared" si="50"/>
        <v>0</v>
      </c>
      <c r="S3936" s="503"/>
      <c r="T3936" s="884">
        <f t="shared" si="51"/>
        <v>0</v>
      </c>
    </row>
    <row r="3937" spans="1:41" s="504" customFormat="1" ht="12.6" thickBot="1">
      <c r="A3937" s="885" t="s">
        <v>142</v>
      </c>
      <c r="B3937" s="886">
        <f>(R3936+T3936)</f>
        <v>0</v>
      </c>
      <c r="C3937" s="887"/>
      <c r="D3937" s="887"/>
      <c r="E3937" s="887"/>
      <c r="F3937" s="888"/>
      <c r="G3937" s="887" t="s">
        <v>143</v>
      </c>
      <c r="H3937" s="887"/>
      <c r="I3937" s="889"/>
      <c r="J3937" s="887"/>
      <c r="K3937" s="887" t="s">
        <v>3</v>
      </c>
      <c r="L3937" s="890" t="s">
        <v>140</v>
      </c>
      <c r="M3937" s="890"/>
      <c r="N3937" s="890"/>
      <c r="O3937" s="890"/>
      <c r="P3937" s="890"/>
      <c r="Q3937" s="891"/>
      <c r="R3937" s="892">
        <f>SUM(R3930:R3936)</f>
        <v>9.5920000000000005</v>
      </c>
      <c r="S3937" s="887"/>
      <c r="T3937" s="892">
        <f>SUM(T3930:T3936)</f>
        <v>4.2472500000000002</v>
      </c>
      <c r="U3937" s="514"/>
      <c r="V3937" s="514"/>
      <c r="W3937" s="514"/>
      <c r="X3937" s="514"/>
      <c r="Y3937" s="514"/>
      <c r="Z3937" s="514"/>
      <c r="AA3937" s="514"/>
      <c r="AB3937" s="514"/>
      <c r="AC3937" s="514"/>
      <c r="AD3937" s="514"/>
      <c r="AE3937" s="514"/>
      <c r="AF3937" s="514"/>
      <c r="AG3937" s="514"/>
      <c r="AH3937" s="514"/>
      <c r="AI3937" s="514"/>
      <c r="AJ3937" s="514"/>
      <c r="AK3937" s="514"/>
      <c r="AL3937" s="514"/>
      <c r="AM3937" s="514"/>
      <c r="AN3937" s="514"/>
      <c r="AO3937" s="514"/>
    </row>
    <row r="3938" spans="1:41" s="504" customFormat="1" ht="12" thickTop="1">
      <c r="A3938" s="50"/>
      <c r="B3938" s="40"/>
      <c r="C3938" s="50"/>
      <c r="E3938" s="41" t="s">
        <v>136</v>
      </c>
      <c r="F3938" s="41" t="s">
        <v>137</v>
      </c>
      <c r="G3938" s="50"/>
      <c r="H3938" s="50"/>
      <c r="I3938" s="50"/>
      <c r="J3938" s="50"/>
      <c r="K3938" s="50" t="s">
        <v>138</v>
      </c>
      <c r="L3938" s="50"/>
      <c r="M3938" s="50"/>
      <c r="N3938" s="50"/>
      <c r="O3938" s="51"/>
      <c r="P3938" s="50"/>
      <c r="Q3938" s="50"/>
      <c r="R3938" s="50"/>
      <c r="S3938" s="50"/>
      <c r="T3938" s="40"/>
      <c r="AG3938" s="867" t="s">
        <v>241</v>
      </c>
      <c r="AH3938" s="867" t="s">
        <v>242</v>
      </c>
      <c r="AI3938" s="867" t="s">
        <v>243</v>
      </c>
      <c r="AJ3938" s="867" t="s">
        <v>244</v>
      </c>
      <c r="AK3938" s="867" t="s">
        <v>245</v>
      </c>
      <c r="AM3938" s="868" t="s">
        <v>254</v>
      </c>
      <c r="AN3938" s="869" t="s">
        <v>255</v>
      </c>
      <c r="AO3938" s="505" t="s">
        <v>251</v>
      </c>
    </row>
    <row r="3939" spans="1:41" s="504" customFormat="1" ht="12" customHeight="1">
      <c r="A3939" s="870">
        <v>1</v>
      </c>
      <c r="B3939" s="871" t="s">
        <v>335</v>
      </c>
      <c r="C3939" s="872"/>
      <c r="D3939" s="873" t="s">
        <v>810</v>
      </c>
      <c r="E3939" s="874">
        <f>IF(AND($A3939=0,$A$1="DIF"),0, ROUND(ROUND(($R3946*$S$2+($T3946*$T$2))/A3939,2)*$C$2,2))</f>
        <v>13.69</v>
      </c>
      <c r="F3939" s="875">
        <f>ROUND($A3939*$E3939,2)</f>
        <v>13.69</v>
      </c>
      <c r="G3939" s="876" t="s">
        <v>139</v>
      </c>
      <c r="H3939" s="877"/>
      <c r="I3939" s="878"/>
      <c r="J3939" s="877"/>
      <c r="K3939" s="877" t="s">
        <v>3</v>
      </c>
      <c r="L3939" s="879" t="s">
        <v>140</v>
      </c>
      <c r="M3939" s="879"/>
      <c r="N3939" s="879"/>
      <c r="O3939" s="879"/>
      <c r="P3939" s="879"/>
      <c r="Q3939" s="50"/>
      <c r="T3939" s="880" t="str">
        <f>IF(AND($R3946=0,$T3946=0),"0.00","mu :" &amp; ROUND($F3939/$C$2/($R3946+$T3946*$D$9),2))</f>
        <v>mu :1.22</v>
      </c>
      <c r="W3939" s="507"/>
      <c r="AG3939" s="465">
        <f>IF($E3939=0,0,ROUND($R3946*$S$2*$C$2/$A3939,2))</f>
        <v>4.45</v>
      </c>
      <c r="AH3939" s="465">
        <f>$AG3939*$A3939</f>
        <v>4.45</v>
      </c>
      <c r="AI3939" s="508">
        <f>$E3939-$AG3939</f>
        <v>9.2399999999999984</v>
      </c>
      <c r="AJ3939" s="508">
        <f>$A3939*$AI3939</f>
        <v>9.2399999999999984</v>
      </c>
      <c r="AK3939" s="509">
        <f>ROUND(($AG3939+$AI3939)*$A3939,2)</f>
        <v>13.69</v>
      </c>
      <c r="AM3939" s="510">
        <f>ROUND(R3946,2)</f>
        <v>3.65</v>
      </c>
      <c r="AN3939" s="511">
        <f>ROUND(T3946,2)</f>
        <v>0.26</v>
      </c>
      <c r="AO3939" s="512">
        <f>ROUND(AM3939+AN3939,2)*A3939</f>
        <v>3.91</v>
      </c>
    </row>
    <row r="3940" spans="1:41" s="504" customFormat="1" ht="13.2">
      <c r="A3940" s="872"/>
      <c r="B3940"/>
      <c r="C3940" s="872"/>
      <c r="D3940" s="873" t="s">
        <v>367</v>
      </c>
      <c r="F3940" s="877"/>
      <c r="G3940" s="3"/>
      <c r="H3940" s="877"/>
      <c r="I3940" s="878"/>
      <c r="J3940" s="877"/>
      <c r="K3940" s="877" t="s">
        <v>141</v>
      </c>
      <c r="L3940" s="877"/>
      <c r="M3940" s="877"/>
      <c r="N3940" s="877"/>
      <c r="O3940" s="877"/>
      <c r="P3940" s="877"/>
      <c r="Q3940" s="50"/>
      <c r="R3940" s="513"/>
      <c r="S3940" s="881"/>
      <c r="T3940" s="877"/>
    </row>
    <row r="3941" spans="1:41" s="504" customFormat="1" ht="13.2">
      <c r="A3941" s="112">
        <v>1</v>
      </c>
      <c r="B3941" s="1039" t="s">
        <v>949</v>
      </c>
      <c r="C3941" s="1039"/>
      <c r="D3941" s="1039" t="s">
        <v>1262</v>
      </c>
      <c r="E3941" s="1039" t="s">
        <v>1251</v>
      </c>
      <c r="F3941" s="1039" t="s">
        <v>1252</v>
      </c>
      <c r="G3941" s="1040" t="s">
        <v>1245</v>
      </c>
      <c r="H3941" s="1041">
        <v>510</v>
      </c>
      <c r="I3941" s="1039" t="s">
        <v>1246</v>
      </c>
      <c r="J3941" s="1039" t="s">
        <v>1247</v>
      </c>
      <c r="K3941" s="882"/>
      <c r="L3941" s="1039"/>
      <c r="M3941" s="1039"/>
      <c r="N3941" s="1039"/>
      <c r="O3941" s="1042">
        <v>2</v>
      </c>
      <c r="P3941" s="1043">
        <v>36880</v>
      </c>
      <c r="Q3941" s="1044">
        <v>0</v>
      </c>
      <c r="R3941" s="1072">
        <f>$A3941*Q3941</f>
        <v>0</v>
      </c>
      <c r="S3941" s="1044">
        <v>0.25</v>
      </c>
      <c r="T3941" s="1046">
        <f>$A3941*S3941*$T$1</f>
        <v>0.26250000000000001</v>
      </c>
    </row>
    <row r="3942" spans="1:41" s="504" customFormat="1" ht="13.2">
      <c r="A3942" s="112">
        <v>4</v>
      </c>
      <c r="B3942" s="1039" t="s">
        <v>949</v>
      </c>
      <c r="C3942" s="1039"/>
      <c r="D3942" s="1039" t="s">
        <v>965</v>
      </c>
      <c r="E3942" s="1039"/>
      <c r="F3942" s="1039"/>
      <c r="G3942" s="1040" t="s">
        <v>966</v>
      </c>
      <c r="H3942" s="1041">
        <v>875</v>
      </c>
      <c r="I3942" s="1039" t="s">
        <v>951</v>
      </c>
      <c r="J3942" s="1039"/>
      <c r="K3942" s="882"/>
      <c r="L3942" s="1039"/>
      <c r="M3942" s="1039"/>
      <c r="N3942" s="1039"/>
      <c r="O3942" s="1042">
        <v>1</v>
      </c>
      <c r="P3942" s="1043">
        <v>34669</v>
      </c>
      <c r="Q3942" s="1044">
        <v>0.02</v>
      </c>
      <c r="R3942" s="1072">
        <f>$A3942*Q3942</f>
        <v>0.08</v>
      </c>
      <c r="S3942" s="1044"/>
      <c r="T3942" s="1046">
        <f>$A3942*S3942*$T$1</f>
        <v>0</v>
      </c>
    </row>
    <row r="3943" spans="1:41" s="504" customFormat="1" ht="13.2">
      <c r="A3943" s="112">
        <v>4</v>
      </c>
      <c r="B3943" s="1039" t="s">
        <v>949</v>
      </c>
      <c r="C3943" s="1039"/>
      <c r="D3943" s="1039" t="s">
        <v>968</v>
      </c>
      <c r="E3943" s="1039"/>
      <c r="F3943" s="1039"/>
      <c r="G3943" s="1040" t="s">
        <v>969</v>
      </c>
      <c r="H3943" s="1041">
        <v>875</v>
      </c>
      <c r="I3943" s="1039" t="s">
        <v>951</v>
      </c>
      <c r="J3943" s="1039"/>
      <c r="K3943" s="882"/>
      <c r="L3943" s="1039"/>
      <c r="M3943" s="1039"/>
      <c r="N3943" s="1039"/>
      <c r="O3943" s="1042">
        <v>1</v>
      </c>
      <c r="P3943" s="1043">
        <v>34669</v>
      </c>
      <c r="Q3943" s="1044">
        <v>0.02</v>
      </c>
      <c r="R3943" s="1072">
        <f>$A3943*Q3943</f>
        <v>0.08</v>
      </c>
      <c r="S3943" s="1044"/>
      <c r="T3943" s="1046">
        <f>$A3943*S3943*$T$1</f>
        <v>0</v>
      </c>
    </row>
    <row r="3944" spans="1:41" s="504" customFormat="1" ht="13.2">
      <c r="A3944" s="112">
        <v>1</v>
      </c>
      <c r="B3944" s="1039" t="s">
        <v>949</v>
      </c>
      <c r="C3944" s="1039"/>
      <c r="D3944" s="1039" t="s">
        <v>961</v>
      </c>
      <c r="E3944" s="1039"/>
      <c r="F3944" s="1039"/>
      <c r="G3944" s="1040" t="s">
        <v>962</v>
      </c>
      <c r="H3944" s="1041">
        <v>875</v>
      </c>
      <c r="I3944" s="1039" t="s">
        <v>951</v>
      </c>
      <c r="J3944" s="1039"/>
      <c r="K3944" s="882"/>
      <c r="L3944" s="1039"/>
      <c r="M3944" s="1039"/>
      <c r="N3944" s="1039"/>
      <c r="O3944" s="1042">
        <v>3</v>
      </c>
      <c r="P3944" s="1043">
        <v>34820</v>
      </c>
      <c r="Q3944" s="1044">
        <v>3.49</v>
      </c>
      <c r="R3944" s="1072">
        <f>$A3944*Q3944</f>
        <v>3.49</v>
      </c>
      <c r="S3944" s="1044"/>
      <c r="T3944" s="1046">
        <f>$A3944*S3944*$T$1</f>
        <v>0</v>
      </c>
    </row>
    <row r="3945" spans="1:41" s="504" customFormat="1" ht="12">
      <c r="A3945" s="882"/>
      <c r="B3945" s="882"/>
      <c r="C3945" s="882"/>
      <c r="D3945" s="882"/>
      <c r="E3945" s="882"/>
      <c r="F3945" s="877"/>
      <c r="G3945" s="882"/>
      <c r="H3945" s="882"/>
      <c r="I3945" s="503"/>
      <c r="J3945" s="882"/>
      <c r="K3945" s="882"/>
      <c r="L3945" s="882"/>
      <c r="M3945" s="882"/>
      <c r="N3945" s="882"/>
      <c r="O3945" s="882"/>
      <c r="P3945" s="882"/>
      <c r="Q3945" s="503"/>
      <c r="R3945" s="883">
        <f>$A3945*Q3945</f>
        <v>0</v>
      </c>
      <c r="S3945" s="503"/>
      <c r="T3945" s="884">
        <f>$A3945*S3945*$T$1</f>
        <v>0</v>
      </c>
    </row>
    <row r="3946" spans="1:41" s="504" customFormat="1" ht="12.6" thickBot="1">
      <c r="A3946" s="885" t="s">
        <v>142</v>
      </c>
      <c r="B3946" s="886">
        <f>(R3945+T3945)</f>
        <v>0</v>
      </c>
      <c r="C3946" s="887"/>
      <c r="D3946" s="887"/>
      <c r="E3946" s="887"/>
      <c r="F3946" s="888"/>
      <c r="G3946" s="887" t="s">
        <v>143</v>
      </c>
      <c r="H3946" s="887"/>
      <c r="I3946" s="889"/>
      <c r="J3946" s="887"/>
      <c r="K3946" s="887" t="s">
        <v>3</v>
      </c>
      <c r="L3946" s="890" t="s">
        <v>140</v>
      </c>
      <c r="M3946" s="890"/>
      <c r="N3946" s="890"/>
      <c r="O3946" s="890"/>
      <c r="P3946" s="890"/>
      <c r="Q3946" s="891"/>
      <c r="R3946" s="892">
        <f>SUM(R3940:R3945)</f>
        <v>3.6500000000000004</v>
      </c>
      <c r="S3946" s="887"/>
      <c r="T3946" s="892">
        <f>SUM(T3940:T3945)</f>
        <v>0.26250000000000001</v>
      </c>
      <c r="U3946" s="514"/>
      <c r="V3946" s="514"/>
      <c r="W3946" s="514"/>
      <c r="X3946" s="514"/>
      <c r="Y3946" s="514"/>
      <c r="Z3946" s="514"/>
      <c r="AA3946" s="514"/>
      <c r="AB3946" s="514"/>
      <c r="AC3946" s="514"/>
      <c r="AD3946" s="514"/>
      <c r="AE3946" s="514"/>
      <c r="AF3946" s="514"/>
      <c r="AG3946" s="514"/>
      <c r="AH3946" s="514"/>
      <c r="AI3946" s="514"/>
      <c r="AJ3946" s="514"/>
      <c r="AK3946" s="514"/>
      <c r="AL3946" s="514"/>
      <c r="AM3946" s="514"/>
      <c r="AN3946" s="514"/>
      <c r="AO3946" s="514"/>
    </row>
    <row r="3947" spans="1:41" s="504" customFormat="1" ht="12" thickTop="1">
      <c r="A3947" s="50"/>
      <c r="B3947" s="40"/>
      <c r="C3947" s="50"/>
      <c r="E3947" s="41" t="s">
        <v>136</v>
      </c>
      <c r="F3947" s="41" t="s">
        <v>137</v>
      </c>
      <c r="G3947" s="50"/>
      <c r="H3947" s="50"/>
      <c r="I3947" s="50"/>
      <c r="J3947" s="50"/>
      <c r="K3947" s="50" t="s">
        <v>138</v>
      </c>
      <c r="L3947" s="50"/>
      <c r="M3947" s="50"/>
      <c r="N3947" s="50"/>
      <c r="O3947" s="51"/>
      <c r="P3947" s="50"/>
      <c r="Q3947" s="50"/>
      <c r="R3947" s="50"/>
      <c r="S3947" s="50"/>
      <c r="T3947" s="40"/>
      <c r="AG3947" s="867" t="s">
        <v>241</v>
      </c>
      <c r="AH3947" s="867" t="s">
        <v>242</v>
      </c>
      <c r="AI3947" s="867" t="s">
        <v>243</v>
      </c>
      <c r="AJ3947" s="867" t="s">
        <v>244</v>
      </c>
      <c r="AK3947" s="867" t="s">
        <v>245</v>
      </c>
      <c r="AM3947" s="868" t="s">
        <v>254</v>
      </c>
      <c r="AN3947" s="869" t="s">
        <v>255</v>
      </c>
      <c r="AO3947" s="505" t="s">
        <v>251</v>
      </c>
    </row>
    <row r="3948" spans="1:41" s="504" customFormat="1" ht="12" customHeight="1">
      <c r="A3948" s="870">
        <v>1</v>
      </c>
      <c r="B3948" s="871" t="s">
        <v>335</v>
      </c>
      <c r="C3948" s="872"/>
      <c r="D3948" s="873" t="s">
        <v>812</v>
      </c>
      <c r="E3948" s="874">
        <f>IF(AND($A3948=0,$A$1="DIF"),0, ROUND(ROUND(($R3955*$S$2+($T3955*$T$2))/A3948,2)*$C$2,2))</f>
        <v>13.69</v>
      </c>
      <c r="F3948" s="875">
        <f>ROUND($A3948*$E3948,2)</f>
        <v>13.69</v>
      </c>
      <c r="G3948" s="876" t="s">
        <v>139</v>
      </c>
      <c r="H3948" s="877"/>
      <c r="I3948" s="878"/>
      <c r="J3948" s="877"/>
      <c r="K3948" s="877" t="s">
        <v>3</v>
      </c>
      <c r="L3948" s="879" t="s">
        <v>140</v>
      </c>
      <c r="M3948" s="879"/>
      <c r="N3948" s="879"/>
      <c r="O3948" s="879"/>
      <c r="P3948" s="879"/>
      <c r="Q3948" s="50"/>
      <c r="T3948" s="880" t="str">
        <f>IF(AND($R3955=0,$T3955=0),"0.00","mu :" &amp; ROUND($F3948/$C$2/($R3955+$T3955*$D$9),2))</f>
        <v>mu :1.22</v>
      </c>
      <c r="W3948" s="507"/>
      <c r="AG3948" s="465">
        <f>IF($E3948=0,0,ROUND($R3955*$S$2*$C$2/$A3948,2))</f>
        <v>4.45</v>
      </c>
      <c r="AH3948" s="465">
        <f>$AG3948*$A3948</f>
        <v>4.45</v>
      </c>
      <c r="AI3948" s="508">
        <f>$E3948-$AG3948</f>
        <v>9.2399999999999984</v>
      </c>
      <c r="AJ3948" s="508">
        <f>$A3948*$AI3948</f>
        <v>9.2399999999999984</v>
      </c>
      <c r="AK3948" s="509">
        <f>ROUND(($AG3948+$AI3948)*$A3948,2)</f>
        <v>13.69</v>
      </c>
      <c r="AM3948" s="510">
        <f>ROUND(R3955,2)</f>
        <v>3.65</v>
      </c>
      <c r="AN3948" s="511">
        <f>ROUND(T3955,2)</f>
        <v>0.26</v>
      </c>
      <c r="AO3948" s="512">
        <f>ROUND(AM3948+AN3948,2)*A3948</f>
        <v>3.91</v>
      </c>
    </row>
    <row r="3949" spans="1:41" s="504" customFormat="1" ht="13.2">
      <c r="A3949" s="872"/>
      <c r="B3949"/>
      <c r="C3949" s="872"/>
      <c r="D3949" s="873" t="s">
        <v>485</v>
      </c>
      <c r="F3949" s="877"/>
      <c r="G3949" s="3"/>
      <c r="H3949" s="877"/>
      <c r="I3949" s="878"/>
      <c r="J3949" s="877"/>
      <c r="K3949" s="877" t="s">
        <v>141</v>
      </c>
      <c r="L3949" s="877"/>
      <c r="M3949" s="877"/>
      <c r="N3949" s="877"/>
      <c r="O3949" s="877"/>
      <c r="P3949" s="877"/>
      <c r="Q3949" s="50"/>
      <c r="R3949" s="513"/>
      <c r="S3949" s="881"/>
      <c r="T3949" s="877"/>
    </row>
    <row r="3950" spans="1:41" s="504" customFormat="1" ht="13.2">
      <c r="A3950" s="112">
        <v>1</v>
      </c>
      <c r="B3950" s="1039" t="s">
        <v>949</v>
      </c>
      <c r="C3950" s="1039"/>
      <c r="D3950" s="1039" t="s">
        <v>1382</v>
      </c>
      <c r="E3950" s="1039" t="s">
        <v>1384</v>
      </c>
      <c r="F3950" s="1039" t="s">
        <v>1252</v>
      </c>
      <c r="G3950" s="1040" t="s">
        <v>1245</v>
      </c>
      <c r="H3950" s="1041">
        <v>510</v>
      </c>
      <c r="I3950" s="1039" t="s">
        <v>1246</v>
      </c>
      <c r="J3950" s="1039" t="s">
        <v>1247</v>
      </c>
      <c r="K3950" s="882"/>
      <c r="L3950" s="1039"/>
      <c r="M3950" s="1039"/>
      <c r="N3950" s="1039"/>
      <c r="O3950" s="1042">
        <v>2</v>
      </c>
      <c r="P3950" s="1043">
        <v>36880</v>
      </c>
      <c r="Q3950" s="1044">
        <v>0</v>
      </c>
      <c r="R3950" s="1072">
        <f>$A3950*Q3950</f>
        <v>0</v>
      </c>
      <c r="S3950" s="1044">
        <v>0.25</v>
      </c>
      <c r="T3950" s="1046">
        <f>$A3950*S3950*$T$1</f>
        <v>0.26250000000000001</v>
      </c>
    </row>
    <row r="3951" spans="1:41" s="504" customFormat="1" ht="13.2">
      <c r="A3951" s="112">
        <v>4</v>
      </c>
      <c r="B3951" s="1039" t="s">
        <v>949</v>
      </c>
      <c r="C3951" s="1039"/>
      <c r="D3951" s="1039" t="s">
        <v>965</v>
      </c>
      <c r="E3951" s="1039"/>
      <c r="F3951" s="1039"/>
      <c r="G3951" s="1040" t="s">
        <v>966</v>
      </c>
      <c r="H3951" s="1041">
        <v>875</v>
      </c>
      <c r="I3951" s="1039" t="s">
        <v>951</v>
      </c>
      <c r="J3951" s="1039"/>
      <c r="K3951" s="882"/>
      <c r="L3951" s="1039"/>
      <c r="M3951" s="1039"/>
      <c r="N3951" s="1039"/>
      <c r="O3951" s="1042">
        <v>1</v>
      </c>
      <c r="P3951" s="1043">
        <v>34669</v>
      </c>
      <c r="Q3951" s="1044">
        <v>0.02</v>
      </c>
      <c r="R3951" s="1072">
        <f>$A3951*Q3951</f>
        <v>0.08</v>
      </c>
      <c r="S3951" s="1044"/>
      <c r="T3951" s="1046">
        <f>$A3951*S3951*$T$1</f>
        <v>0</v>
      </c>
    </row>
    <row r="3952" spans="1:41" s="504" customFormat="1" ht="13.2">
      <c r="A3952" s="112">
        <v>4</v>
      </c>
      <c r="B3952" s="1039" t="s">
        <v>949</v>
      </c>
      <c r="C3952" s="1039"/>
      <c r="D3952" s="1039" t="s">
        <v>968</v>
      </c>
      <c r="E3952" s="1039"/>
      <c r="F3952" s="1039"/>
      <c r="G3952" s="1040" t="s">
        <v>969</v>
      </c>
      <c r="H3952" s="1041">
        <v>875</v>
      </c>
      <c r="I3952" s="1039" t="s">
        <v>951</v>
      </c>
      <c r="J3952" s="1039"/>
      <c r="K3952" s="882"/>
      <c r="L3952" s="1039"/>
      <c r="M3952" s="1039"/>
      <c r="N3952" s="1039"/>
      <c r="O3952" s="1042">
        <v>1</v>
      </c>
      <c r="P3952" s="1043">
        <v>34669</v>
      </c>
      <c r="Q3952" s="1044">
        <v>0.02</v>
      </c>
      <c r="R3952" s="1072">
        <f>$A3952*Q3952</f>
        <v>0.08</v>
      </c>
      <c r="S3952" s="1044"/>
      <c r="T3952" s="1046">
        <f>$A3952*S3952*$T$1</f>
        <v>0</v>
      </c>
    </row>
    <row r="3953" spans="1:41" s="504" customFormat="1" ht="13.2">
      <c r="A3953" s="112">
        <v>1</v>
      </c>
      <c r="B3953" s="1039" t="s">
        <v>949</v>
      </c>
      <c r="C3953" s="1039"/>
      <c r="D3953" s="1039" t="s">
        <v>961</v>
      </c>
      <c r="E3953" s="1039"/>
      <c r="F3953" s="1039"/>
      <c r="G3953" s="1040" t="s">
        <v>962</v>
      </c>
      <c r="H3953" s="1041">
        <v>875</v>
      </c>
      <c r="I3953" s="1039" t="s">
        <v>951</v>
      </c>
      <c r="J3953" s="1039"/>
      <c r="K3953" s="882"/>
      <c r="L3953" s="1039"/>
      <c r="M3953" s="1039"/>
      <c r="N3953" s="1039"/>
      <c r="O3953" s="1042">
        <v>3</v>
      </c>
      <c r="P3953" s="1043">
        <v>34820</v>
      </c>
      <c r="Q3953" s="1044">
        <v>3.49</v>
      </c>
      <c r="R3953" s="1072">
        <f>$A3953*Q3953</f>
        <v>3.49</v>
      </c>
      <c r="S3953" s="1044"/>
      <c r="T3953" s="1046">
        <f>$A3953*S3953*$T$1</f>
        <v>0</v>
      </c>
    </row>
    <row r="3954" spans="1:41" s="504" customFormat="1" ht="12">
      <c r="A3954" s="882"/>
      <c r="B3954" s="882"/>
      <c r="C3954" s="882"/>
      <c r="D3954" s="882"/>
      <c r="E3954" s="882"/>
      <c r="F3954" s="877"/>
      <c r="G3954" s="882"/>
      <c r="H3954" s="882"/>
      <c r="I3954" s="503"/>
      <c r="J3954" s="882"/>
      <c r="K3954" s="882"/>
      <c r="L3954" s="882"/>
      <c r="M3954" s="882"/>
      <c r="N3954" s="882"/>
      <c r="O3954" s="882"/>
      <c r="P3954" s="882"/>
      <c r="Q3954" s="503"/>
      <c r="R3954" s="883">
        <f>$A3954*Q3954</f>
        <v>0</v>
      </c>
      <c r="S3954" s="503"/>
      <c r="T3954" s="884">
        <f>$A3954*S3954*$T$1</f>
        <v>0</v>
      </c>
    </row>
    <row r="3955" spans="1:41" s="504" customFormat="1" ht="12.6" thickBot="1">
      <c r="A3955" s="885" t="s">
        <v>142</v>
      </c>
      <c r="B3955" s="886">
        <f>(R3954+T3954)</f>
        <v>0</v>
      </c>
      <c r="C3955" s="887"/>
      <c r="D3955" s="887"/>
      <c r="E3955" s="887"/>
      <c r="F3955" s="888"/>
      <c r="G3955" s="887" t="s">
        <v>143</v>
      </c>
      <c r="H3955" s="887"/>
      <c r="I3955" s="889"/>
      <c r="J3955" s="887"/>
      <c r="K3955" s="887" t="s">
        <v>3</v>
      </c>
      <c r="L3955" s="890" t="s">
        <v>140</v>
      </c>
      <c r="M3955" s="890"/>
      <c r="N3955" s="890"/>
      <c r="O3955" s="890"/>
      <c r="P3955" s="890"/>
      <c r="Q3955" s="891"/>
      <c r="R3955" s="892">
        <f>SUM(R3949:R3954)</f>
        <v>3.6500000000000004</v>
      </c>
      <c r="S3955" s="887"/>
      <c r="T3955" s="892">
        <f>SUM(T3949:T3954)</f>
        <v>0.26250000000000001</v>
      </c>
      <c r="U3955" s="514"/>
      <c r="V3955" s="514"/>
      <c r="W3955" s="514"/>
      <c r="X3955" s="514"/>
      <c r="Y3955" s="514"/>
      <c r="Z3955" s="514"/>
      <c r="AA3955" s="514"/>
      <c r="AB3955" s="514"/>
      <c r="AC3955" s="514"/>
      <c r="AD3955" s="514"/>
      <c r="AE3955" s="514"/>
      <c r="AF3955" s="514"/>
      <c r="AG3955" s="514"/>
      <c r="AH3955" s="514"/>
      <c r="AI3955" s="514"/>
      <c r="AJ3955" s="514"/>
      <c r="AK3955" s="514"/>
      <c r="AL3955" s="514"/>
      <c r="AM3955" s="514"/>
      <c r="AN3955" s="514"/>
      <c r="AO3955" s="514"/>
    </row>
    <row r="3956" spans="1:41" s="504" customFormat="1" ht="12" thickTop="1">
      <c r="A3956" s="50"/>
      <c r="B3956" s="40"/>
      <c r="C3956" s="50"/>
      <c r="E3956" s="41" t="s">
        <v>136</v>
      </c>
      <c r="F3956" s="41" t="s">
        <v>137</v>
      </c>
      <c r="G3956" s="50"/>
      <c r="H3956" s="50"/>
      <c r="I3956" s="50"/>
      <c r="J3956" s="50"/>
      <c r="K3956" s="50" t="s">
        <v>138</v>
      </c>
      <c r="L3956" s="50"/>
      <c r="M3956" s="50"/>
      <c r="N3956" s="50"/>
      <c r="O3956" s="51"/>
      <c r="P3956" s="50"/>
      <c r="Q3956" s="50"/>
      <c r="R3956" s="50"/>
      <c r="S3956" s="50"/>
      <c r="T3956" s="40"/>
      <c r="AG3956" s="867" t="s">
        <v>241</v>
      </c>
      <c r="AH3956" s="867" t="s">
        <v>242</v>
      </c>
      <c r="AI3956" s="867" t="s">
        <v>243</v>
      </c>
      <c r="AJ3956" s="867" t="s">
        <v>244</v>
      </c>
      <c r="AK3956" s="867" t="s">
        <v>245</v>
      </c>
      <c r="AM3956" s="868" t="s">
        <v>254</v>
      </c>
      <c r="AN3956" s="869" t="s">
        <v>255</v>
      </c>
      <c r="AO3956" s="505" t="s">
        <v>251</v>
      </c>
    </row>
    <row r="3957" spans="1:41" s="504" customFormat="1" ht="12" customHeight="1">
      <c r="A3957" s="870">
        <v>1</v>
      </c>
      <c r="B3957" s="871" t="s">
        <v>335</v>
      </c>
      <c r="C3957" s="872"/>
      <c r="D3957" s="873" t="s">
        <v>819</v>
      </c>
      <c r="E3957" s="874">
        <f>IF(AND($A3957=0,$A$1="DIF"),0, ROUND(ROUND(($R3964*$S$2+($T3964*$T$2))/A3957,2)*$C$2,2))</f>
        <v>17.38</v>
      </c>
      <c r="F3957" s="875">
        <f>ROUND($A3957*$E3957,2)</f>
        <v>17.38</v>
      </c>
      <c r="G3957" s="876" t="s">
        <v>139</v>
      </c>
      <c r="H3957" s="877"/>
      <c r="I3957" s="878"/>
      <c r="J3957" s="877"/>
      <c r="K3957" s="877" t="s">
        <v>3</v>
      </c>
      <c r="L3957" s="879" t="s">
        <v>140</v>
      </c>
      <c r="M3957" s="879"/>
      <c r="N3957" s="879"/>
      <c r="O3957" s="879"/>
      <c r="P3957" s="879"/>
      <c r="Q3957" s="50"/>
      <c r="T3957" s="880" t="str">
        <f>IF(AND($R3964=0,$T3964=0),"0.00","mu :" &amp; ROUND($F3957/$C$2/($R3964+$T3964*$D$9),2))</f>
        <v>mu :1.22</v>
      </c>
      <c r="W3957" s="507"/>
      <c r="AG3957" s="465">
        <f>IF($E3957=0,0,ROUND($R3964*$S$2*$C$2/$A3957,2))</f>
        <v>4.45</v>
      </c>
      <c r="AH3957" s="465">
        <f>$AG3957*$A3957</f>
        <v>4.45</v>
      </c>
      <c r="AI3957" s="508">
        <f>$E3957-$AG3957</f>
        <v>12.93</v>
      </c>
      <c r="AJ3957" s="508">
        <f>$A3957*$AI3957</f>
        <v>12.93</v>
      </c>
      <c r="AK3957" s="509">
        <f>ROUND(($AG3957+$AI3957)*$A3957,2)</f>
        <v>17.38</v>
      </c>
      <c r="AM3957" s="510">
        <f>ROUND(R3964,2)</f>
        <v>3.65</v>
      </c>
      <c r="AN3957" s="511">
        <f>ROUND(T3964,2)</f>
        <v>0.37</v>
      </c>
      <c r="AO3957" s="512">
        <f>ROUND(AM3957+AN3957,2)*A3957</f>
        <v>4.0199999999999996</v>
      </c>
    </row>
    <row r="3958" spans="1:41" s="504" customFormat="1" ht="13.2">
      <c r="A3958" s="872"/>
      <c r="B3958"/>
      <c r="C3958" s="872"/>
      <c r="D3958" s="873" t="s">
        <v>486</v>
      </c>
      <c r="F3958" s="877"/>
      <c r="G3958" s="3"/>
      <c r="H3958" s="877"/>
      <c r="I3958" s="878"/>
      <c r="J3958" s="877"/>
      <c r="K3958" s="877" t="s">
        <v>141</v>
      </c>
      <c r="L3958" s="877"/>
      <c r="M3958" s="877"/>
      <c r="N3958" s="877"/>
      <c r="O3958" s="877"/>
      <c r="P3958" s="877"/>
      <c r="Q3958" s="50"/>
      <c r="R3958" s="513"/>
      <c r="S3958" s="881"/>
      <c r="T3958" s="877"/>
    </row>
    <row r="3959" spans="1:41" s="504" customFormat="1" ht="13.2">
      <c r="A3959" s="112">
        <v>1</v>
      </c>
      <c r="B3959" s="1039" t="s">
        <v>949</v>
      </c>
      <c r="C3959" s="1039"/>
      <c r="D3959" s="1039" t="s">
        <v>1399</v>
      </c>
      <c r="E3959" s="1039" t="s">
        <v>1400</v>
      </c>
      <c r="F3959" s="1039" t="s">
        <v>1252</v>
      </c>
      <c r="G3959" s="1040" t="s">
        <v>1245</v>
      </c>
      <c r="H3959" s="1041">
        <v>510</v>
      </c>
      <c r="I3959" s="1039" t="s">
        <v>1246</v>
      </c>
      <c r="J3959" s="1039" t="s">
        <v>1247</v>
      </c>
      <c r="K3959" s="882"/>
      <c r="L3959" s="1039"/>
      <c r="M3959" s="1039"/>
      <c r="N3959" s="1039"/>
      <c r="O3959" s="1042">
        <v>2</v>
      </c>
      <c r="P3959" s="1043">
        <v>36880</v>
      </c>
      <c r="Q3959" s="1044">
        <v>0</v>
      </c>
      <c r="R3959" s="1072">
        <f>$A3959*Q3959</f>
        <v>0</v>
      </c>
      <c r="S3959" s="1044">
        <v>0.35</v>
      </c>
      <c r="T3959" s="1046">
        <f>$A3959*S3959*$T$1</f>
        <v>0.36749999999999999</v>
      </c>
    </row>
    <row r="3960" spans="1:41" s="504" customFormat="1" ht="13.2">
      <c r="A3960" s="112">
        <v>4</v>
      </c>
      <c r="B3960" s="1039" t="s">
        <v>949</v>
      </c>
      <c r="C3960" s="1039"/>
      <c r="D3960" s="1039" t="s">
        <v>965</v>
      </c>
      <c r="E3960" s="1039"/>
      <c r="F3960" s="1039"/>
      <c r="G3960" s="1040" t="s">
        <v>966</v>
      </c>
      <c r="H3960" s="1041">
        <v>875</v>
      </c>
      <c r="I3960" s="1039" t="s">
        <v>951</v>
      </c>
      <c r="J3960" s="1039"/>
      <c r="K3960" s="882"/>
      <c r="L3960" s="1039"/>
      <c r="M3960" s="1039"/>
      <c r="N3960" s="1039"/>
      <c r="O3960" s="1042">
        <v>1</v>
      </c>
      <c r="P3960" s="1043">
        <v>34669</v>
      </c>
      <c r="Q3960" s="1044">
        <v>0.02</v>
      </c>
      <c r="R3960" s="1072">
        <f>$A3960*Q3960</f>
        <v>0.08</v>
      </c>
      <c r="S3960" s="1044"/>
      <c r="T3960" s="1046">
        <f>$A3960*S3960*$T$1</f>
        <v>0</v>
      </c>
    </row>
    <row r="3961" spans="1:41" s="504" customFormat="1" ht="13.2">
      <c r="A3961" s="112">
        <v>4</v>
      </c>
      <c r="B3961" s="1039" t="s">
        <v>949</v>
      </c>
      <c r="C3961" s="1039"/>
      <c r="D3961" s="1039" t="s">
        <v>968</v>
      </c>
      <c r="E3961" s="1039"/>
      <c r="F3961" s="1039"/>
      <c r="G3961" s="1040" t="s">
        <v>969</v>
      </c>
      <c r="H3961" s="1041">
        <v>875</v>
      </c>
      <c r="I3961" s="1039" t="s">
        <v>951</v>
      </c>
      <c r="J3961" s="1039"/>
      <c r="K3961" s="882"/>
      <c r="L3961" s="1039"/>
      <c r="M3961" s="1039"/>
      <c r="N3961" s="1039"/>
      <c r="O3961" s="1042">
        <v>1</v>
      </c>
      <c r="P3961" s="1043">
        <v>34669</v>
      </c>
      <c r="Q3961" s="1044">
        <v>0.02</v>
      </c>
      <c r="R3961" s="1072">
        <f>$A3961*Q3961</f>
        <v>0.08</v>
      </c>
      <c r="S3961" s="1044"/>
      <c r="T3961" s="1046">
        <f>$A3961*S3961*$T$1</f>
        <v>0</v>
      </c>
    </row>
    <row r="3962" spans="1:41" s="504" customFormat="1" ht="13.2">
      <c r="A3962" s="112">
        <v>1</v>
      </c>
      <c r="B3962" s="1039" t="s">
        <v>949</v>
      </c>
      <c r="C3962" s="1039"/>
      <c r="D3962" s="1039" t="s">
        <v>961</v>
      </c>
      <c r="E3962" s="1039"/>
      <c r="F3962" s="1039"/>
      <c r="G3962" s="1040" t="s">
        <v>962</v>
      </c>
      <c r="H3962" s="1041">
        <v>875</v>
      </c>
      <c r="I3962" s="1039" t="s">
        <v>951</v>
      </c>
      <c r="J3962" s="1039"/>
      <c r="K3962" s="882"/>
      <c r="L3962" s="1039"/>
      <c r="M3962" s="1039"/>
      <c r="N3962" s="1039"/>
      <c r="O3962" s="1042">
        <v>3</v>
      </c>
      <c r="P3962" s="1043">
        <v>34820</v>
      </c>
      <c r="Q3962" s="1044">
        <v>3.49</v>
      </c>
      <c r="R3962" s="1072">
        <f>$A3962*Q3962</f>
        <v>3.49</v>
      </c>
      <c r="S3962" s="1044"/>
      <c r="T3962" s="1046">
        <f>$A3962*S3962*$T$1</f>
        <v>0</v>
      </c>
    </row>
    <row r="3963" spans="1:41" s="504" customFormat="1" ht="12">
      <c r="A3963" s="882"/>
      <c r="B3963" s="882"/>
      <c r="C3963" s="882"/>
      <c r="D3963" s="882"/>
      <c r="E3963" s="882"/>
      <c r="F3963" s="877"/>
      <c r="G3963" s="882"/>
      <c r="H3963" s="882"/>
      <c r="I3963" s="503"/>
      <c r="J3963" s="882"/>
      <c r="K3963" s="882"/>
      <c r="L3963" s="882"/>
      <c r="M3963" s="882"/>
      <c r="N3963" s="882"/>
      <c r="O3963" s="882"/>
      <c r="P3963" s="882"/>
      <c r="Q3963" s="503"/>
      <c r="R3963" s="883">
        <f>$A3963*Q3963</f>
        <v>0</v>
      </c>
      <c r="S3963" s="503"/>
      <c r="T3963" s="884">
        <f>$A3963*S3963*$T$1</f>
        <v>0</v>
      </c>
    </row>
    <row r="3964" spans="1:41" s="504" customFormat="1" ht="12.6" thickBot="1">
      <c r="A3964" s="885" t="s">
        <v>142</v>
      </c>
      <c r="B3964" s="886">
        <f>(R3963+T3963)</f>
        <v>0</v>
      </c>
      <c r="C3964" s="887"/>
      <c r="D3964" s="887"/>
      <c r="E3964" s="887"/>
      <c r="F3964" s="888"/>
      <c r="G3964" s="887" t="s">
        <v>143</v>
      </c>
      <c r="H3964" s="887"/>
      <c r="I3964" s="889"/>
      <c r="J3964" s="887"/>
      <c r="K3964" s="887" t="s">
        <v>3</v>
      </c>
      <c r="L3964" s="890" t="s">
        <v>140</v>
      </c>
      <c r="M3964" s="890"/>
      <c r="N3964" s="890"/>
      <c r="O3964" s="890"/>
      <c r="P3964" s="890"/>
      <c r="Q3964" s="891"/>
      <c r="R3964" s="892">
        <f>SUM(R3958:R3963)</f>
        <v>3.6500000000000004</v>
      </c>
      <c r="S3964" s="887"/>
      <c r="T3964" s="892">
        <f>SUM(T3958:T3963)</f>
        <v>0.36749999999999999</v>
      </c>
      <c r="U3964" s="514"/>
      <c r="V3964" s="514"/>
      <c r="W3964" s="514"/>
      <c r="X3964" s="514"/>
      <c r="Y3964" s="514"/>
      <c r="Z3964" s="514"/>
      <c r="AA3964" s="514"/>
      <c r="AB3964" s="514"/>
      <c r="AC3964" s="514"/>
      <c r="AD3964" s="514"/>
      <c r="AE3964" s="514"/>
      <c r="AF3964" s="514"/>
      <c r="AG3964" s="514"/>
      <c r="AH3964" s="514"/>
      <c r="AI3964" s="514"/>
      <c r="AJ3964" s="514"/>
      <c r="AK3964" s="514"/>
      <c r="AL3964" s="514"/>
      <c r="AM3964" s="514"/>
      <c r="AN3964" s="514"/>
      <c r="AO3964" s="514"/>
    </row>
    <row r="3965" spans="1:41" s="504" customFormat="1" ht="12" thickTop="1">
      <c r="A3965" s="50"/>
      <c r="B3965" s="40"/>
      <c r="C3965" s="50"/>
      <c r="E3965" s="41" t="s">
        <v>136</v>
      </c>
      <c r="F3965" s="41" t="s">
        <v>137</v>
      </c>
      <c r="G3965" s="50"/>
      <c r="H3965" s="50"/>
      <c r="I3965" s="50"/>
      <c r="J3965" s="50"/>
      <c r="K3965" s="50" t="s">
        <v>138</v>
      </c>
      <c r="L3965" s="50"/>
      <c r="M3965" s="50"/>
      <c r="N3965" s="50"/>
      <c r="O3965" s="51"/>
      <c r="P3965" s="50"/>
      <c r="Q3965" s="50"/>
      <c r="R3965" s="50"/>
      <c r="S3965" s="50"/>
      <c r="T3965" s="40"/>
      <c r="AG3965" s="867" t="s">
        <v>241</v>
      </c>
      <c r="AH3965" s="867" t="s">
        <v>242</v>
      </c>
      <c r="AI3965" s="867" t="s">
        <v>243</v>
      </c>
      <c r="AJ3965" s="867" t="s">
        <v>244</v>
      </c>
      <c r="AK3965" s="867" t="s">
        <v>245</v>
      </c>
      <c r="AM3965" s="868" t="s">
        <v>254</v>
      </c>
      <c r="AN3965" s="869" t="s">
        <v>255</v>
      </c>
      <c r="AO3965" s="505" t="s">
        <v>251</v>
      </c>
    </row>
    <row r="3966" spans="1:41" s="504" customFormat="1" ht="12" customHeight="1">
      <c r="A3966" s="870">
        <v>3</v>
      </c>
      <c r="B3966" s="871" t="s">
        <v>335</v>
      </c>
      <c r="C3966" s="872"/>
      <c r="D3966" s="873" t="s">
        <v>820</v>
      </c>
      <c r="E3966" s="874">
        <f>IF(AND($A3966=0,$A$1="DIF"),0, ROUND(ROUND(($R3973*$S$2+($T3973*$T$2))/A3966,2)*$C$2,2))</f>
        <v>13.69</v>
      </c>
      <c r="F3966" s="875">
        <f>ROUND($A3966*$E3966,2)</f>
        <v>41.07</v>
      </c>
      <c r="G3966" s="876" t="s">
        <v>139</v>
      </c>
      <c r="H3966" s="877"/>
      <c r="I3966" s="878"/>
      <c r="J3966" s="877"/>
      <c r="K3966" s="877" t="s">
        <v>3</v>
      </c>
      <c r="L3966" s="879" t="s">
        <v>140</v>
      </c>
      <c r="M3966" s="879"/>
      <c r="N3966" s="879"/>
      <c r="O3966" s="879"/>
      <c r="P3966" s="879"/>
      <c r="Q3966" s="50"/>
      <c r="T3966" s="880" t="str">
        <f>IF(AND($R3973=0,$T3973=0),"0.00","mu :" &amp; ROUND($F3966/$C$2/($R3973+$T3973*$D$9),2))</f>
        <v>mu :1.22</v>
      </c>
      <c r="W3966" s="507"/>
      <c r="AG3966" s="465">
        <f>IF($E3966=0,0,ROUND($R3973*$S$2*$C$2/$A3966,2))</f>
        <v>4.45</v>
      </c>
      <c r="AH3966" s="465">
        <f>$AG3966*$A3966</f>
        <v>13.350000000000001</v>
      </c>
      <c r="AI3966" s="508">
        <f>$E3966-$AG3966</f>
        <v>9.2399999999999984</v>
      </c>
      <c r="AJ3966" s="508">
        <f>$A3966*$AI3966</f>
        <v>27.719999999999995</v>
      </c>
      <c r="AK3966" s="509">
        <f>ROUND(($AG3966+$AI3966)*$A3966,2)</f>
        <v>41.07</v>
      </c>
      <c r="AM3966" s="510">
        <f>ROUND(R3973,2)</f>
        <v>10.95</v>
      </c>
      <c r="AN3966" s="511">
        <f>ROUND(T3973,2)</f>
        <v>0.79</v>
      </c>
      <c r="AO3966" s="512">
        <f>ROUND(AM3966+AN3966,2)*A3966</f>
        <v>35.22</v>
      </c>
    </row>
    <row r="3967" spans="1:41" s="504" customFormat="1" ht="13.2">
      <c r="A3967" s="872"/>
      <c r="B3967"/>
      <c r="C3967" s="872"/>
      <c r="D3967" s="873" t="s">
        <v>369</v>
      </c>
      <c r="F3967" s="877"/>
      <c r="G3967" s="3"/>
      <c r="H3967" s="877"/>
      <c r="I3967" s="878"/>
      <c r="J3967" s="877"/>
      <c r="K3967" s="877" t="s">
        <v>141</v>
      </c>
      <c r="L3967" s="877"/>
      <c r="M3967" s="877"/>
      <c r="N3967" s="877"/>
      <c r="O3967" s="877"/>
      <c r="P3967" s="877"/>
      <c r="Q3967" s="50"/>
      <c r="R3967" s="513"/>
      <c r="S3967" s="881"/>
      <c r="T3967" s="877"/>
    </row>
    <row r="3968" spans="1:41" s="504" customFormat="1" ht="13.2">
      <c r="A3968" s="112">
        <v>3</v>
      </c>
      <c r="B3968" s="1039" t="s">
        <v>949</v>
      </c>
      <c r="C3968" s="1039"/>
      <c r="D3968" s="1039" t="s">
        <v>1263</v>
      </c>
      <c r="E3968" s="1039" t="s">
        <v>1254</v>
      </c>
      <c r="F3968" s="1039" t="s">
        <v>1252</v>
      </c>
      <c r="G3968" s="1040" t="s">
        <v>1245</v>
      </c>
      <c r="H3968" s="1041">
        <v>510</v>
      </c>
      <c r="I3968" s="1039" t="s">
        <v>1246</v>
      </c>
      <c r="J3968" s="1039" t="s">
        <v>1247</v>
      </c>
      <c r="K3968" s="882"/>
      <c r="L3968" s="1039"/>
      <c r="M3968" s="1039"/>
      <c r="N3968" s="1039"/>
      <c r="O3968" s="1042">
        <v>2</v>
      </c>
      <c r="P3968" s="1043">
        <v>36880</v>
      </c>
      <c r="Q3968" s="1044">
        <v>0</v>
      </c>
      <c r="R3968" s="1072">
        <f>$A3968*Q3968</f>
        <v>0</v>
      </c>
      <c r="S3968" s="1044">
        <v>0.25</v>
      </c>
      <c r="T3968" s="1046">
        <f>$A3968*S3968*$T$1</f>
        <v>0.78750000000000009</v>
      </c>
    </row>
    <row r="3969" spans="1:41" s="504" customFormat="1" ht="13.2">
      <c r="A3969" s="112">
        <v>12</v>
      </c>
      <c r="B3969" s="1039" t="s">
        <v>949</v>
      </c>
      <c r="C3969" s="1039"/>
      <c r="D3969" s="1039" t="s">
        <v>965</v>
      </c>
      <c r="E3969" s="1039"/>
      <c r="F3969" s="1039"/>
      <c r="G3969" s="1040" t="s">
        <v>966</v>
      </c>
      <c r="H3969" s="1041">
        <v>875</v>
      </c>
      <c r="I3969" s="1039" t="s">
        <v>951</v>
      </c>
      <c r="J3969" s="1039"/>
      <c r="K3969" s="882"/>
      <c r="L3969" s="1039"/>
      <c r="M3969" s="1039"/>
      <c r="N3969" s="1039"/>
      <c r="O3969" s="1042">
        <v>1</v>
      </c>
      <c r="P3969" s="1043">
        <v>34669</v>
      </c>
      <c r="Q3969" s="1044">
        <v>0.02</v>
      </c>
      <c r="R3969" s="1072">
        <f>$A3969*Q3969</f>
        <v>0.24</v>
      </c>
      <c r="S3969" s="1044"/>
      <c r="T3969" s="1046">
        <f>$A3969*S3969*$T$1</f>
        <v>0</v>
      </c>
    </row>
    <row r="3970" spans="1:41" s="504" customFormat="1" ht="13.2">
      <c r="A3970" s="112">
        <v>12</v>
      </c>
      <c r="B3970" s="1039" t="s">
        <v>949</v>
      </c>
      <c r="C3970" s="1039"/>
      <c r="D3970" s="1039" t="s">
        <v>968</v>
      </c>
      <c r="E3970" s="1039"/>
      <c r="F3970" s="1039"/>
      <c r="G3970" s="1040" t="s">
        <v>969</v>
      </c>
      <c r="H3970" s="1041">
        <v>875</v>
      </c>
      <c r="I3970" s="1039" t="s">
        <v>951</v>
      </c>
      <c r="J3970" s="1039"/>
      <c r="K3970" s="882"/>
      <c r="L3970" s="1039"/>
      <c r="M3970" s="1039"/>
      <c r="N3970" s="1039"/>
      <c r="O3970" s="1042">
        <v>1</v>
      </c>
      <c r="P3970" s="1043">
        <v>34669</v>
      </c>
      <c r="Q3970" s="1044">
        <v>0.02</v>
      </c>
      <c r="R3970" s="1072">
        <f>$A3970*Q3970</f>
        <v>0.24</v>
      </c>
      <c r="S3970" s="1044"/>
      <c r="T3970" s="1046">
        <f>$A3970*S3970*$T$1</f>
        <v>0</v>
      </c>
    </row>
    <row r="3971" spans="1:41" s="504" customFormat="1" ht="13.2">
      <c r="A3971" s="112">
        <v>3</v>
      </c>
      <c r="B3971" s="1039" t="s">
        <v>949</v>
      </c>
      <c r="C3971" s="1039"/>
      <c r="D3971" s="1039" t="s">
        <v>961</v>
      </c>
      <c r="E3971" s="1039"/>
      <c r="F3971" s="1039"/>
      <c r="G3971" s="1040" t="s">
        <v>962</v>
      </c>
      <c r="H3971" s="1041">
        <v>875</v>
      </c>
      <c r="I3971" s="1039" t="s">
        <v>951</v>
      </c>
      <c r="J3971" s="1039"/>
      <c r="K3971" s="882"/>
      <c r="L3971" s="1039"/>
      <c r="M3971" s="1039"/>
      <c r="N3971" s="1039"/>
      <c r="O3971" s="1042">
        <v>3</v>
      </c>
      <c r="P3971" s="1043">
        <v>34820</v>
      </c>
      <c r="Q3971" s="1044">
        <v>3.49</v>
      </c>
      <c r="R3971" s="1072">
        <f>$A3971*Q3971</f>
        <v>10.47</v>
      </c>
      <c r="S3971" s="1044"/>
      <c r="T3971" s="1046">
        <f>$A3971*S3971*$T$1</f>
        <v>0</v>
      </c>
    </row>
    <row r="3972" spans="1:41" s="504" customFormat="1" ht="12">
      <c r="A3972" s="882"/>
      <c r="B3972" s="882"/>
      <c r="C3972" s="882"/>
      <c r="D3972" s="882"/>
      <c r="E3972" s="882"/>
      <c r="F3972" s="877"/>
      <c r="G3972" s="882"/>
      <c r="H3972" s="882"/>
      <c r="I3972" s="503"/>
      <c r="J3972" s="882"/>
      <c r="K3972" s="882"/>
      <c r="L3972" s="882"/>
      <c r="M3972" s="882"/>
      <c r="N3972" s="882"/>
      <c r="O3972" s="882"/>
      <c r="P3972" s="882"/>
      <c r="Q3972" s="503"/>
      <c r="R3972" s="883">
        <f>$A3972*Q3972</f>
        <v>0</v>
      </c>
      <c r="S3972" s="503"/>
      <c r="T3972" s="884">
        <f>$A3972*S3972*$T$1</f>
        <v>0</v>
      </c>
    </row>
    <row r="3973" spans="1:41" s="504" customFormat="1" ht="12.6" thickBot="1">
      <c r="A3973" s="885" t="s">
        <v>142</v>
      </c>
      <c r="B3973" s="886">
        <f>(R3972+T3972)</f>
        <v>0</v>
      </c>
      <c r="C3973" s="887"/>
      <c r="D3973" s="887"/>
      <c r="E3973" s="887"/>
      <c r="F3973" s="888"/>
      <c r="G3973" s="887" t="s">
        <v>143</v>
      </c>
      <c r="H3973" s="887"/>
      <c r="I3973" s="889"/>
      <c r="J3973" s="887"/>
      <c r="K3973" s="887" t="s">
        <v>3</v>
      </c>
      <c r="L3973" s="890" t="s">
        <v>140</v>
      </c>
      <c r="M3973" s="890"/>
      <c r="N3973" s="890"/>
      <c r="O3973" s="890"/>
      <c r="P3973" s="890"/>
      <c r="Q3973" s="891"/>
      <c r="R3973" s="892">
        <f>SUM(R3967:R3972)</f>
        <v>10.950000000000001</v>
      </c>
      <c r="S3973" s="887"/>
      <c r="T3973" s="892">
        <f>SUM(T3967:T3972)</f>
        <v>0.78750000000000009</v>
      </c>
      <c r="U3973" s="514"/>
      <c r="V3973" s="514"/>
      <c r="W3973" s="514"/>
      <c r="X3973" s="514"/>
      <c r="Y3973" s="514"/>
      <c r="Z3973" s="514"/>
      <c r="AA3973" s="514"/>
      <c r="AB3973" s="514"/>
      <c r="AC3973" s="514"/>
      <c r="AD3973" s="514"/>
      <c r="AE3973" s="514"/>
      <c r="AF3973" s="514"/>
      <c r="AG3973" s="514"/>
      <c r="AH3973" s="514"/>
      <c r="AI3973" s="514"/>
      <c r="AJ3973" s="514"/>
      <c r="AK3973" s="514"/>
      <c r="AL3973" s="514"/>
      <c r="AM3973" s="514"/>
      <c r="AN3973" s="514"/>
      <c r="AO3973" s="514"/>
    </row>
    <row r="3974" spans="1:41" s="504" customFormat="1" ht="12" thickTop="1">
      <c r="A3974" s="50"/>
      <c r="B3974" s="40"/>
      <c r="C3974" s="50"/>
      <c r="E3974" s="41" t="s">
        <v>136</v>
      </c>
      <c r="F3974" s="41" t="s">
        <v>137</v>
      </c>
      <c r="G3974" s="50"/>
      <c r="H3974" s="50"/>
      <c r="I3974" s="50"/>
      <c r="J3974" s="50"/>
      <c r="K3974" s="50" t="s">
        <v>138</v>
      </c>
      <c r="L3974" s="50"/>
      <c r="M3974" s="50"/>
      <c r="N3974" s="50"/>
      <c r="O3974" s="51"/>
      <c r="P3974" s="50"/>
      <c r="Q3974" s="50"/>
      <c r="R3974" s="50"/>
      <c r="S3974" s="50"/>
      <c r="T3974" s="40"/>
      <c r="AG3974" s="867" t="s">
        <v>241</v>
      </c>
      <c r="AH3974" s="867" t="s">
        <v>242</v>
      </c>
      <c r="AI3974" s="867" t="s">
        <v>243</v>
      </c>
      <c r="AJ3974" s="867" t="s">
        <v>244</v>
      </c>
      <c r="AK3974" s="867" t="s">
        <v>245</v>
      </c>
      <c r="AM3974" s="868" t="s">
        <v>254</v>
      </c>
      <c r="AN3974" s="869" t="s">
        <v>255</v>
      </c>
      <c r="AO3974" s="505" t="s">
        <v>251</v>
      </c>
    </row>
    <row r="3975" spans="1:41" s="504" customFormat="1" ht="12" customHeight="1">
      <c r="A3975" s="870">
        <v>1</v>
      </c>
      <c r="B3975" s="871" t="s">
        <v>335</v>
      </c>
      <c r="C3975" s="872"/>
      <c r="D3975" s="873" t="s">
        <v>821</v>
      </c>
      <c r="E3975" s="874">
        <f>IF(AND($A3975=0,$A$1="DIF"),0, ROUND(ROUND(($R3982*$S$2+($T3982*$T$2))/A3975,2)*$C$2,2))</f>
        <v>52.14</v>
      </c>
      <c r="F3975" s="875">
        <f>ROUND($A3975*$E3975,2)</f>
        <v>52.14</v>
      </c>
      <c r="G3975" s="876" t="s">
        <v>139</v>
      </c>
      <c r="H3975" s="877"/>
      <c r="I3975" s="878"/>
      <c r="J3975" s="877"/>
      <c r="K3975" s="877" t="s">
        <v>3</v>
      </c>
      <c r="L3975" s="879" t="s">
        <v>140</v>
      </c>
      <c r="M3975" s="879"/>
      <c r="N3975" s="879"/>
      <c r="O3975" s="879"/>
      <c r="P3975" s="879"/>
      <c r="Q3975" s="50"/>
      <c r="T3975" s="880" t="str">
        <f>IF(AND($R3982=0,$T3982=0),"0.00","mu :" &amp; ROUND($F3975/$C$2/($R3982+$T3982*$D$9),2))</f>
        <v>mu :1.22</v>
      </c>
      <c r="W3975" s="507"/>
      <c r="AG3975" s="465">
        <f>IF($E3975=0,0,ROUND($R3982*$S$2*$C$2/$A3975,2))</f>
        <v>13.36</v>
      </c>
      <c r="AH3975" s="465">
        <f>$AG3975*$A3975</f>
        <v>13.36</v>
      </c>
      <c r="AI3975" s="508">
        <f>$E3975-$AG3975</f>
        <v>38.78</v>
      </c>
      <c r="AJ3975" s="508">
        <f>$A3975*$AI3975</f>
        <v>38.78</v>
      </c>
      <c r="AK3975" s="509">
        <f>ROUND(($AG3975+$AI3975)*$A3975,2)</f>
        <v>52.14</v>
      </c>
      <c r="AM3975" s="510">
        <f>ROUND(R3982,2)</f>
        <v>10.95</v>
      </c>
      <c r="AN3975" s="511">
        <f>ROUND(T3982,2)</f>
        <v>1.1000000000000001</v>
      </c>
      <c r="AO3975" s="512">
        <f>ROUND(AM3975+AN3975,2)*A3975</f>
        <v>12.05</v>
      </c>
    </row>
    <row r="3976" spans="1:41" s="504" customFormat="1" ht="13.2">
      <c r="A3976" s="872"/>
      <c r="B3976"/>
      <c r="C3976" s="872"/>
      <c r="D3976" s="873" t="s">
        <v>481</v>
      </c>
      <c r="F3976" s="877"/>
      <c r="G3976" s="3"/>
      <c r="H3976" s="877"/>
      <c r="I3976" s="878"/>
      <c r="J3976" s="877"/>
      <c r="K3976" s="877" t="s">
        <v>141</v>
      </c>
      <c r="L3976" s="877"/>
      <c r="M3976" s="877"/>
      <c r="N3976" s="877"/>
      <c r="O3976" s="877"/>
      <c r="P3976" s="877"/>
      <c r="Q3976" s="50"/>
      <c r="R3976" s="513"/>
      <c r="S3976" s="881"/>
      <c r="T3976" s="877"/>
    </row>
    <row r="3977" spans="1:41" s="504" customFormat="1" ht="13.2">
      <c r="A3977" s="112">
        <v>3</v>
      </c>
      <c r="B3977" s="1039" t="s">
        <v>949</v>
      </c>
      <c r="C3977" s="1039"/>
      <c r="D3977" s="1039" t="s">
        <v>1401</v>
      </c>
      <c r="E3977" s="1039" t="s">
        <v>1388</v>
      </c>
      <c r="F3977" s="1039" t="s">
        <v>1252</v>
      </c>
      <c r="G3977" s="1040" t="s">
        <v>1245</v>
      </c>
      <c r="H3977" s="1041">
        <v>510</v>
      </c>
      <c r="I3977" s="1039" t="s">
        <v>1246</v>
      </c>
      <c r="J3977" s="1039" t="s">
        <v>1247</v>
      </c>
      <c r="K3977" s="882"/>
      <c r="L3977" s="1039"/>
      <c r="M3977" s="1039"/>
      <c r="N3977" s="1039"/>
      <c r="O3977" s="1042">
        <v>2</v>
      </c>
      <c r="P3977" s="1043">
        <v>36880</v>
      </c>
      <c r="Q3977" s="1044">
        <v>0</v>
      </c>
      <c r="R3977" s="1072">
        <f>$A3977*Q3977</f>
        <v>0</v>
      </c>
      <c r="S3977" s="1044">
        <v>0.35</v>
      </c>
      <c r="T3977" s="1046">
        <f>$A3977*S3977*$T$1</f>
        <v>1.1024999999999998</v>
      </c>
    </row>
    <row r="3978" spans="1:41" s="504" customFormat="1" ht="13.2">
      <c r="A3978" s="112">
        <v>12</v>
      </c>
      <c r="B3978" s="1039" t="s">
        <v>949</v>
      </c>
      <c r="C3978" s="1039"/>
      <c r="D3978" s="1039" t="s">
        <v>965</v>
      </c>
      <c r="E3978" s="1039"/>
      <c r="F3978" s="1039"/>
      <c r="G3978" s="1040" t="s">
        <v>966</v>
      </c>
      <c r="H3978" s="1041">
        <v>875</v>
      </c>
      <c r="I3978" s="1039" t="s">
        <v>951</v>
      </c>
      <c r="J3978" s="1039"/>
      <c r="K3978" s="882"/>
      <c r="L3978" s="1039"/>
      <c r="M3978" s="1039"/>
      <c r="N3978" s="1039"/>
      <c r="O3978" s="1042">
        <v>1</v>
      </c>
      <c r="P3978" s="1043">
        <v>34669</v>
      </c>
      <c r="Q3978" s="1044">
        <v>0.02</v>
      </c>
      <c r="R3978" s="1072">
        <f>$A3978*Q3978</f>
        <v>0.24</v>
      </c>
      <c r="S3978" s="1044"/>
      <c r="T3978" s="1046">
        <f>$A3978*S3978*$T$1</f>
        <v>0</v>
      </c>
    </row>
    <row r="3979" spans="1:41" s="504" customFormat="1" ht="13.2">
      <c r="A3979" s="112">
        <v>12</v>
      </c>
      <c r="B3979" s="1039" t="s">
        <v>949</v>
      </c>
      <c r="C3979" s="1039"/>
      <c r="D3979" s="1039" t="s">
        <v>968</v>
      </c>
      <c r="E3979" s="1039"/>
      <c r="F3979" s="1039"/>
      <c r="G3979" s="1040" t="s">
        <v>969</v>
      </c>
      <c r="H3979" s="1041">
        <v>875</v>
      </c>
      <c r="I3979" s="1039" t="s">
        <v>951</v>
      </c>
      <c r="J3979" s="1039"/>
      <c r="K3979" s="882"/>
      <c r="L3979" s="1039"/>
      <c r="M3979" s="1039"/>
      <c r="N3979" s="1039"/>
      <c r="O3979" s="1042">
        <v>1</v>
      </c>
      <c r="P3979" s="1043">
        <v>34669</v>
      </c>
      <c r="Q3979" s="1044">
        <v>0.02</v>
      </c>
      <c r="R3979" s="1072">
        <f>$A3979*Q3979</f>
        <v>0.24</v>
      </c>
      <c r="S3979" s="1044"/>
      <c r="T3979" s="1046">
        <f>$A3979*S3979*$T$1</f>
        <v>0</v>
      </c>
    </row>
    <row r="3980" spans="1:41" s="504" customFormat="1" ht="13.2">
      <c r="A3980" s="112">
        <v>3</v>
      </c>
      <c r="B3980" s="1039" t="s">
        <v>949</v>
      </c>
      <c r="C3980" s="1039"/>
      <c r="D3980" s="1039" t="s">
        <v>961</v>
      </c>
      <c r="E3980" s="1039"/>
      <c r="F3980" s="1039"/>
      <c r="G3980" s="1040" t="s">
        <v>962</v>
      </c>
      <c r="H3980" s="1041">
        <v>875</v>
      </c>
      <c r="I3980" s="1039" t="s">
        <v>951</v>
      </c>
      <c r="J3980" s="1039"/>
      <c r="K3980" s="882"/>
      <c r="L3980" s="1039"/>
      <c r="M3980" s="1039"/>
      <c r="N3980" s="1039"/>
      <c r="O3980" s="1042">
        <v>3</v>
      </c>
      <c r="P3980" s="1043">
        <v>34820</v>
      </c>
      <c r="Q3980" s="1044">
        <v>3.49</v>
      </c>
      <c r="R3980" s="1072">
        <f>$A3980*Q3980</f>
        <v>10.47</v>
      </c>
      <c r="S3980" s="1044"/>
      <c r="T3980" s="1046">
        <f>$A3980*S3980*$T$1</f>
        <v>0</v>
      </c>
    </row>
    <row r="3981" spans="1:41" s="504" customFormat="1" ht="12">
      <c r="A3981" s="882"/>
      <c r="B3981" s="882"/>
      <c r="C3981" s="882"/>
      <c r="D3981" s="882"/>
      <c r="E3981" s="882"/>
      <c r="F3981" s="877"/>
      <c r="G3981" s="882"/>
      <c r="H3981" s="882"/>
      <c r="I3981" s="503"/>
      <c r="J3981" s="882"/>
      <c r="K3981" s="882"/>
      <c r="L3981" s="882"/>
      <c r="M3981" s="882"/>
      <c r="N3981" s="882"/>
      <c r="O3981" s="882"/>
      <c r="P3981" s="882"/>
      <c r="Q3981" s="503"/>
      <c r="R3981" s="883">
        <f>$A3981*Q3981</f>
        <v>0</v>
      </c>
      <c r="S3981" s="503"/>
      <c r="T3981" s="884">
        <f>$A3981*S3981*$T$1</f>
        <v>0</v>
      </c>
    </row>
    <row r="3982" spans="1:41" s="504" customFormat="1" ht="12.6" thickBot="1">
      <c r="A3982" s="885" t="s">
        <v>142</v>
      </c>
      <c r="B3982" s="886">
        <f>(R3981+T3981)</f>
        <v>0</v>
      </c>
      <c r="C3982" s="887"/>
      <c r="D3982" s="887"/>
      <c r="E3982" s="887"/>
      <c r="F3982" s="888"/>
      <c r="G3982" s="887" t="s">
        <v>143</v>
      </c>
      <c r="H3982" s="887"/>
      <c r="I3982" s="889"/>
      <c r="J3982" s="887"/>
      <c r="K3982" s="887" t="s">
        <v>3</v>
      </c>
      <c r="L3982" s="890" t="s">
        <v>140</v>
      </c>
      <c r="M3982" s="890"/>
      <c r="N3982" s="890"/>
      <c r="O3982" s="890"/>
      <c r="P3982" s="890"/>
      <c r="Q3982" s="891"/>
      <c r="R3982" s="892">
        <f>SUM(R3976:R3981)</f>
        <v>10.950000000000001</v>
      </c>
      <c r="S3982" s="887"/>
      <c r="T3982" s="892">
        <f>SUM(T3976:T3981)</f>
        <v>1.1024999999999998</v>
      </c>
      <c r="U3982" s="514"/>
      <c r="V3982" s="514"/>
      <c r="W3982" s="514"/>
      <c r="X3982" s="514"/>
      <c r="Y3982" s="514"/>
      <c r="Z3982" s="514"/>
      <c r="AA3982" s="514"/>
      <c r="AB3982" s="514"/>
      <c r="AC3982" s="514"/>
      <c r="AD3982" s="514"/>
      <c r="AE3982" s="514"/>
      <c r="AF3982" s="514"/>
      <c r="AG3982" s="514"/>
      <c r="AH3982" s="514"/>
      <c r="AI3982" s="514"/>
      <c r="AJ3982" s="514"/>
      <c r="AK3982" s="514"/>
      <c r="AL3982" s="514"/>
      <c r="AM3982" s="514"/>
      <c r="AN3982" s="514"/>
      <c r="AO3982" s="514"/>
    </row>
    <row r="3983" spans="1:41" s="504" customFormat="1" ht="12" thickTop="1">
      <c r="A3983" s="50"/>
      <c r="B3983" s="40"/>
      <c r="C3983" s="50"/>
      <c r="E3983" s="41" t="s">
        <v>136</v>
      </c>
      <c r="F3983" s="41" t="s">
        <v>137</v>
      </c>
      <c r="G3983" s="50"/>
      <c r="H3983" s="50"/>
      <c r="I3983" s="50"/>
      <c r="J3983" s="50"/>
      <c r="K3983" s="50" t="s">
        <v>138</v>
      </c>
      <c r="L3983" s="50"/>
      <c r="M3983" s="50"/>
      <c r="N3983" s="50"/>
      <c r="O3983" s="51"/>
      <c r="P3983" s="50"/>
      <c r="Q3983" s="50"/>
      <c r="R3983" s="50"/>
      <c r="S3983" s="50"/>
      <c r="T3983" s="40"/>
      <c r="AG3983" s="867" t="s">
        <v>241</v>
      </c>
      <c r="AH3983" s="867" t="s">
        <v>242</v>
      </c>
      <c r="AI3983" s="867" t="s">
        <v>243</v>
      </c>
      <c r="AJ3983" s="867" t="s">
        <v>244</v>
      </c>
      <c r="AK3983" s="867" t="s">
        <v>245</v>
      </c>
      <c r="AM3983" s="868" t="s">
        <v>254</v>
      </c>
      <c r="AN3983" s="869" t="s">
        <v>255</v>
      </c>
      <c r="AO3983" s="505" t="s">
        <v>251</v>
      </c>
    </row>
    <row r="3984" spans="1:41" s="504" customFormat="1" ht="12" customHeight="1">
      <c r="A3984" s="870">
        <v>1</v>
      </c>
      <c r="B3984" s="871" t="s">
        <v>335</v>
      </c>
      <c r="C3984" s="872"/>
      <c r="D3984" s="873" t="s">
        <v>822</v>
      </c>
      <c r="E3984" s="874">
        <f>IF(AND($A3984=0,$A$1="DIF"),0, ROUND(ROUND(($R3991*$S$2+($T3991*$T$2))/A3984,2)*$C$2,2))</f>
        <v>45.57</v>
      </c>
      <c r="F3984" s="875">
        <f>ROUND($A3984*$E3984,2)</f>
        <v>45.57</v>
      </c>
      <c r="G3984" s="876" t="s">
        <v>139</v>
      </c>
      <c r="H3984" s="877"/>
      <c r="I3984" s="878"/>
      <c r="J3984" s="877"/>
      <c r="K3984" s="877" t="s">
        <v>3</v>
      </c>
      <c r="L3984" s="879" t="s">
        <v>140</v>
      </c>
      <c r="M3984" s="879"/>
      <c r="N3984" s="879"/>
      <c r="O3984" s="879"/>
      <c r="P3984" s="879"/>
      <c r="Q3984" s="50"/>
      <c r="T3984" s="880" t="str">
        <f>IF(AND($R3991=0,$T3991=0),"0.00","mu :" &amp; ROUND($F3984/$C$2/($R3991+$T3991*$D$9),2))</f>
        <v>mu :1.22</v>
      </c>
      <c r="W3984" s="507"/>
      <c r="AG3984" s="465">
        <f>IF($E3984=0,0,ROUND($R3991*$S$2*$C$2/$A3984,2))</f>
        <v>6.98</v>
      </c>
      <c r="AH3984" s="465">
        <f>$AG3984*$A3984</f>
        <v>6.98</v>
      </c>
      <c r="AI3984" s="508">
        <f>$E3984-$AG3984</f>
        <v>38.590000000000003</v>
      </c>
      <c r="AJ3984" s="508">
        <f>$A3984*$AI3984</f>
        <v>38.590000000000003</v>
      </c>
      <c r="AK3984" s="509">
        <f>ROUND(($AG3984+$AI3984)*$A3984,2)</f>
        <v>45.57</v>
      </c>
      <c r="AM3984" s="510">
        <f>ROUND(R3991,2)</f>
        <v>5.72</v>
      </c>
      <c r="AN3984" s="511">
        <f>ROUND(T3991,2)</f>
        <v>1.1000000000000001</v>
      </c>
      <c r="AO3984" s="512">
        <f>ROUND(AM3984+AN3984,2)*A3984</f>
        <v>6.82</v>
      </c>
    </row>
    <row r="3985" spans="1:41" s="504" customFormat="1" ht="13.2">
      <c r="A3985" s="872"/>
      <c r="B3985"/>
      <c r="C3985" s="872"/>
      <c r="D3985" s="873" t="s">
        <v>482</v>
      </c>
      <c r="F3985" s="877"/>
      <c r="G3985" s="3"/>
      <c r="H3985" s="877"/>
      <c r="I3985" s="878"/>
      <c r="J3985" s="877"/>
      <c r="K3985" s="877" t="s">
        <v>141</v>
      </c>
      <c r="L3985" s="877"/>
      <c r="M3985" s="877"/>
      <c r="N3985" s="877"/>
      <c r="O3985" s="877"/>
      <c r="P3985" s="877"/>
      <c r="Q3985" s="50"/>
      <c r="R3985" s="513"/>
      <c r="S3985" s="881"/>
      <c r="T3985" s="877"/>
    </row>
    <row r="3986" spans="1:41" s="504" customFormat="1" ht="13.2">
      <c r="A3986">
        <v>1</v>
      </c>
      <c r="B3986" s="1039" t="s">
        <v>949</v>
      </c>
      <c r="C3986" s="1039"/>
      <c r="D3986" s="1039" t="s">
        <v>1402</v>
      </c>
      <c r="E3986" s="1039"/>
      <c r="F3986" s="1039"/>
      <c r="G3986" s="1040" t="s">
        <v>950</v>
      </c>
      <c r="H3986" s="1041">
        <v>510</v>
      </c>
      <c r="I3986" s="1039" t="s">
        <v>951</v>
      </c>
      <c r="J3986" s="1039"/>
      <c r="K3986" s="882"/>
      <c r="L3986" s="1039"/>
      <c r="M3986" s="1039"/>
      <c r="N3986" s="1039"/>
      <c r="O3986" s="1042">
        <v>2</v>
      </c>
      <c r="P3986" s="1043"/>
      <c r="Q3986" s="1044">
        <v>0</v>
      </c>
      <c r="R3986" s="883">
        <f>$A3986*Q3986</f>
        <v>0</v>
      </c>
      <c r="S3986" s="1044">
        <v>1</v>
      </c>
      <c r="T3986" s="1046">
        <f>$A3986*S3986*$T$1</f>
        <v>1.05</v>
      </c>
    </row>
    <row r="3987" spans="1:41" s="504" customFormat="1" ht="13.2">
      <c r="A3987" s="112">
        <v>1</v>
      </c>
      <c r="B3987" s="1039" t="s">
        <v>949</v>
      </c>
      <c r="C3987" s="1039"/>
      <c r="D3987" s="1039" t="s">
        <v>957</v>
      </c>
      <c r="E3987" s="1039"/>
      <c r="F3987" s="1039"/>
      <c r="G3987" s="1040" t="s">
        <v>958</v>
      </c>
      <c r="H3987" s="1041">
        <v>875</v>
      </c>
      <c r="I3987" s="1039" t="s">
        <v>951</v>
      </c>
      <c r="J3987" s="1039"/>
      <c r="K3987" s="882"/>
      <c r="L3987" s="1039"/>
      <c r="M3987" s="1039"/>
      <c r="N3987" s="1039"/>
      <c r="O3987" s="1042">
        <v>3</v>
      </c>
      <c r="P3987" s="1043">
        <v>34820</v>
      </c>
      <c r="Q3987" s="1044">
        <f>0.9 *(5.82)</f>
        <v>5.2380000000000004</v>
      </c>
      <c r="R3987" s="883">
        <f>$A3987*Q3987</f>
        <v>5.2380000000000004</v>
      </c>
      <c r="S3987" s="1044">
        <f>0.9 *(0.05)</f>
        <v>4.5000000000000005E-2</v>
      </c>
      <c r="T3987" s="1046">
        <f>$A3987*S3987*$T$1</f>
        <v>4.7250000000000007E-2</v>
      </c>
    </row>
    <row r="3988" spans="1:41" s="504" customFormat="1" ht="13.2">
      <c r="A3988" s="112">
        <v>12</v>
      </c>
      <c r="B3988" s="1039" t="s">
        <v>949</v>
      </c>
      <c r="C3988" s="1039"/>
      <c r="D3988" s="1039" t="s">
        <v>965</v>
      </c>
      <c r="E3988" s="1039"/>
      <c r="F3988" s="1039"/>
      <c r="G3988" s="1040" t="s">
        <v>966</v>
      </c>
      <c r="H3988" s="1041">
        <v>875</v>
      </c>
      <c r="I3988" s="1039" t="s">
        <v>951</v>
      </c>
      <c r="J3988" s="1039"/>
      <c r="K3988" s="882"/>
      <c r="L3988" s="1039"/>
      <c r="M3988" s="1039"/>
      <c r="N3988" s="1039"/>
      <c r="O3988" s="1042">
        <v>1</v>
      </c>
      <c r="P3988" s="1043">
        <v>34669</v>
      </c>
      <c r="Q3988" s="1044">
        <v>0.02</v>
      </c>
      <c r="R3988" s="1072">
        <f>$A3988*Q3988</f>
        <v>0.24</v>
      </c>
      <c r="S3988" s="1044"/>
      <c r="T3988" s="1046">
        <f>$A3988*S3988*$T$1</f>
        <v>0</v>
      </c>
    </row>
    <row r="3989" spans="1:41" s="504" customFormat="1" ht="13.2">
      <c r="A3989" s="112">
        <v>12</v>
      </c>
      <c r="B3989" s="1039" t="s">
        <v>949</v>
      </c>
      <c r="C3989" s="1039"/>
      <c r="D3989" s="1039" t="s">
        <v>968</v>
      </c>
      <c r="E3989" s="1039"/>
      <c r="F3989" s="1039"/>
      <c r="G3989" s="1040" t="s">
        <v>969</v>
      </c>
      <c r="H3989" s="1041">
        <v>875</v>
      </c>
      <c r="I3989" s="1039" t="s">
        <v>951</v>
      </c>
      <c r="J3989" s="1039"/>
      <c r="K3989" s="882"/>
      <c r="L3989" s="1039"/>
      <c r="M3989" s="1039"/>
      <c r="N3989" s="1039"/>
      <c r="O3989" s="1042">
        <v>1</v>
      </c>
      <c r="P3989" s="1043">
        <v>34669</v>
      </c>
      <c r="Q3989" s="1044">
        <v>0.02</v>
      </c>
      <c r="R3989" s="1072">
        <f>$A3989*Q3989</f>
        <v>0.24</v>
      </c>
      <c r="S3989" s="1044"/>
      <c r="T3989" s="1046">
        <f>$A3989*S3989*$T$1</f>
        <v>0</v>
      </c>
    </row>
    <row r="3990" spans="1:41" s="504" customFormat="1" ht="12">
      <c r="A3990" s="882"/>
      <c r="B3990" s="882"/>
      <c r="C3990" s="882"/>
      <c r="D3990" s="882"/>
      <c r="E3990" s="882"/>
      <c r="F3990" s="877"/>
      <c r="G3990" s="882"/>
      <c r="H3990" s="882"/>
      <c r="I3990" s="503"/>
      <c r="J3990" s="882"/>
      <c r="K3990" s="882"/>
      <c r="L3990" s="882"/>
      <c r="M3990" s="882"/>
      <c r="N3990" s="882"/>
      <c r="O3990" s="882"/>
      <c r="P3990" s="882"/>
      <c r="Q3990" s="503"/>
      <c r="R3990" s="883">
        <f>$A3990*Q3990</f>
        <v>0</v>
      </c>
      <c r="S3990" s="503"/>
      <c r="T3990" s="884">
        <f>$A3990*S3990*$T$1</f>
        <v>0</v>
      </c>
    </row>
    <row r="3991" spans="1:41" s="504" customFormat="1" ht="12.6" thickBot="1">
      <c r="A3991" s="885" t="s">
        <v>142</v>
      </c>
      <c r="B3991" s="886">
        <f>(R3990+T3990)</f>
        <v>0</v>
      </c>
      <c r="C3991" s="887"/>
      <c r="D3991" s="887"/>
      <c r="E3991" s="887"/>
      <c r="F3991" s="888"/>
      <c r="G3991" s="887" t="s">
        <v>143</v>
      </c>
      <c r="H3991" s="887"/>
      <c r="I3991" s="889"/>
      <c r="J3991" s="887"/>
      <c r="K3991" s="887" t="s">
        <v>3</v>
      </c>
      <c r="L3991" s="890" t="s">
        <v>140</v>
      </c>
      <c r="M3991" s="890"/>
      <c r="N3991" s="890"/>
      <c r="O3991" s="890"/>
      <c r="P3991" s="890"/>
      <c r="Q3991" s="891"/>
      <c r="R3991" s="892">
        <f>SUM(R3985:R3990)</f>
        <v>5.7180000000000009</v>
      </c>
      <c r="S3991" s="887"/>
      <c r="T3991" s="892">
        <f>SUM(T3985:T3990)</f>
        <v>1.0972500000000001</v>
      </c>
      <c r="U3991" s="514"/>
      <c r="V3991" s="514"/>
      <c r="W3991" s="514"/>
      <c r="X3991" s="514"/>
      <c r="Y3991" s="514"/>
      <c r="Z3991" s="514"/>
      <c r="AA3991" s="514"/>
      <c r="AB3991" s="514"/>
      <c r="AC3991" s="514"/>
      <c r="AD3991" s="514"/>
      <c r="AE3991" s="514"/>
      <c r="AF3991" s="514"/>
      <c r="AG3991" s="514"/>
      <c r="AH3991" s="514"/>
      <c r="AI3991" s="514"/>
      <c r="AJ3991" s="514"/>
      <c r="AK3991" s="514"/>
      <c r="AL3991" s="514"/>
      <c r="AM3991" s="514"/>
      <c r="AN3991" s="514"/>
      <c r="AO3991" s="514"/>
    </row>
    <row r="3992" spans="1:41" s="504" customFormat="1" ht="12" thickTop="1">
      <c r="A3992" s="50"/>
      <c r="B3992" s="40"/>
      <c r="C3992" s="50"/>
      <c r="E3992" s="41" t="s">
        <v>136</v>
      </c>
      <c r="F3992" s="41" t="s">
        <v>137</v>
      </c>
      <c r="G3992" s="50"/>
      <c r="H3992" s="50"/>
      <c r="I3992" s="50"/>
      <c r="J3992" s="50"/>
      <c r="K3992" s="50" t="s">
        <v>138</v>
      </c>
      <c r="L3992" s="50"/>
      <c r="M3992" s="50"/>
      <c r="N3992" s="50"/>
      <c r="O3992" s="51"/>
      <c r="P3992" s="50"/>
      <c r="Q3992" s="50"/>
      <c r="R3992" s="50"/>
      <c r="S3992" s="50"/>
      <c r="T3992" s="40"/>
      <c r="AG3992" s="867" t="s">
        <v>241</v>
      </c>
      <c r="AH3992" s="867" t="s">
        <v>242</v>
      </c>
      <c r="AI3992" s="867" t="s">
        <v>243</v>
      </c>
      <c r="AJ3992" s="867" t="s">
        <v>244</v>
      </c>
      <c r="AK3992" s="867" t="s">
        <v>245</v>
      </c>
      <c r="AM3992" s="868" t="s">
        <v>254</v>
      </c>
      <c r="AN3992" s="869" t="s">
        <v>255</v>
      </c>
      <c r="AO3992" s="505" t="s">
        <v>251</v>
      </c>
    </row>
    <row r="3993" spans="1:41" s="504" customFormat="1" ht="12" customHeight="1">
      <c r="A3993" s="870">
        <v>1</v>
      </c>
      <c r="B3993" s="871" t="s">
        <v>335</v>
      </c>
      <c r="C3993" s="872"/>
      <c r="D3993" s="873" t="s">
        <v>823</v>
      </c>
      <c r="E3993" s="874">
        <f>IF(AND($A3993=0,$A$1="DIF"),0, ROUND(ROUND(($R4000*$S$2+($T4000*$T$2))/A3993,2)*$C$2,2))</f>
        <v>45.57</v>
      </c>
      <c r="F3993" s="875">
        <f>ROUND($A3993*$E3993,2)</f>
        <v>45.57</v>
      </c>
      <c r="G3993" s="876" t="s">
        <v>139</v>
      </c>
      <c r="H3993" s="877"/>
      <c r="I3993" s="878"/>
      <c r="J3993" s="877"/>
      <c r="K3993" s="877" t="s">
        <v>3</v>
      </c>
      <c r="L3993" s="879" t="s">
        <v>140</v>
      </c>
      <c r="M3993" s="879"/>
      <c r="N3993" s="879"/>
      <c r="O3993" s="879"/>
      <c r="P3993" s="879"/>
      <c r="Q3993" s="50"/>
      <c r="T3993" s="880" t="str">
        <f>IF(AND($R4000=0,$T4000=0),"0.00","mu :" &amp; ROUND($F3993/$C$2/($R4000+$T4000*$D$9),2))</f>
        <v>mu :1.22</v>
      </c>
      <c r="W3993" s="507"/>
      <c r="AG3993" s="465">
        <f>IF($E3993=0,0,ROUND($R4000*$S$2*$C$2/$A3993,2))</f>
        <v>6.98</v>
      </c>
      <c r="AH3993" s="465">
        <f>$AG3993*$A3993</f>
        <v>6.98</v>
      </c>
      <c r="AI3993" s="508">
        <f>$E3993-$AG3993</f>
        <v>38.590000000000003</v>
      </c>
      <c r="AJ3993" s="508">
        <f>$A3993*$AI3993</f>
        <v>38.590000000000003</v>
      </c>
      <c r="AK3993" s="509">
        <f>ROUND(($AG3993+$AI3993)*$A3993,2)</f>
        <v>45.57</v>
      </c>
      <c r="AM3993" s="510">
        <f>ROUND(R4000,2)</f>
        <v>5.72</v>
      </c>
      <c r="AN3993" s="511">
        <f>ROUND(T4000,2)</f>
        <v>1.1000000000000001</v>
      </c>
      <c r="AO3993" s="512">
        <f>ROUND(AM3993+AN3993,2)*A3993</f>
        <v>6.82</v>
      </c>
    </row>
    <row r="3994" spans="1:41" s="504" customFormat="1" ht="13.2">
      <c r="A3994" s="872"/>
      <c r="B3994"/>
      <c r="C3994" s="872"/>
      <c r="D3994" s="873" t="s">
        <v>483</v>
      </c>
      <c r="F3994" s="877"/>
      <c r="G3994" s="3"/>
      <c r="H3994" s="877"/>
      <c r="I3994" s="878"/>
      <c r="J3994" s="877"/>
      <c r="K3994" s="877" t="s">
        <v>141</v>
      </c>
      <c r="L3994" s="877"/>
      <c r="M3994" s="877"/>
      <c r="N3994" s="877"/>
      <c r="O3994" s="877"/>
      <c r="P3994" s="877"/>
      <c r="Q3994" s="50"/>
      <c r="R3994" s="513"/>
      <c r="S3994" s="881"/>
      <c r="T3994" s="877"/>
    </row>
    <row r="3995" spans="1:41" s="504" customFormat="1" ht="13.2">
      <c r="A3995">
        <v>1</v>
      </c>
      <c r="B3995" s="1039" t="s">
        <v>949</v>
      </c>
      <c r="C3995" s="1039"/>
      <c r="D3995" s="1039" t="s">
        <v>1402</v>
      </c>
      <c r="E3995" s="1039"/>
      <c r="F3995" s="1039"/>
      <c r="G3995" s="1040" t="s">
        <v>950</v>
      </c>
      <c r="H3995" s="1041">
        <v>510</v>
      </c>
      <c r="I3995" s="1039" t="s">
        <v>951</v>
      </c>
      <c r="J3995" s="1039"/>
      <c r="K3995" s="882"/>
      <c r="L3995" s="1039"/>
      <c r="M3995" s="1039"/>
      <c r="N3995" s="1039"/>
      <c r="O3995" s="1042">
        <v>2</v>
      </c>
      <c r="P3995" s="1043"/>
      <c r="Q3995" s="1044">
        <v>0</v>
      </c>
      <c r="R3995" s="883">
        <f>$A3995*Q3995</f>
        <v>0</v>
      </c>
      <c r="S3995" s="1044">
        <v>1</v>
      </c>
      <c r="T3995" s="1046">
        <f>$A3995*S3995*$T$1</f>
        <v>1.05</v>
      </c>
    </row>
    <row r="3996" spans="1:41" s="504" customFormat="1" ht="13.2">
      <c r="A3996" s="112">
        <v>1</v>
      </c>
      <c r="B3996" s="1039" t="s">
        <v>949</v>
      </c>
      <c r="C3996" s="1039"/>
      <c r="D3996" s="1039" t="s">
        <v>957</v>
      </c>
      <c r="E3996" s="1039"/>
      <c r="F3996" s="1039"/>
      <c r="G3996" s="1040" t="s">
        <v>958</v>
      </c>
      <c r="H3996" s="1041">
        <v>875</v>
      </c>
      <c r="I3996" s="1039" t="s">
        <v>951</v>
      </c>
      <c r="J3996" s="1039"/>
      <c r="K3996" s="882"/>
      <c r="L3996" s="1039"/>
      <c r="M3996" s="1039"/>
      <c r="N3996" s="1039"/>
      <c r="O3996" s="1042">
        <v>3</v>
      </c>
      <c r="P3996" s="1043">
        <v>34820</v>
      </c>
      <c r="Q3996" s="1044">
        <f>0.9 *(5.82)</f>
        <v>5.2380000000000004</v>
      </c>
      <c r="R3996" s="883">
        <f>$A3996*Q3996</f>
        <v>5.2380000000000004</v>
      </c>
      <c r="S3996" s="1044">
        <f>0.9 *(0.05)</f>
        <v>4.5000000000000005E-2</v>
      </c>
      <c r="T3996" s="1046">
        <f>$A3996*S3996*$T$1</f>
        <v>4.7250000000000007E-2</v>
      </c>
    </row>
    <row r="3997" spans="1:41" s="504" customFormat="1" ht="13.2">
      <c r="A3997" s="112">
        <v>12</v>
      </c>
      <c r="B3997" s="1039" t="s">
        <v>949</v>
      </c>
      <c r="C3997" s="1039"/>
      <c r="D3997" s="1039" t="s">
        <v>965</v>
      </c>
      <c r="E3997" s="1039"/>
      <c r="F3997" s="1039"/>
      <c r="G3997" s="1040" t="s">
        <v>966</v>
      </c>
      <c r="H3997" s="1041">
        <v>875</v>
      </c>
      <c r="I3997" s="1039" t="s">
        <v>951</v>
      </c>
      <c r="J3997" s="1039"/>
      <c r="K3997" s="882"/>
      <c r="L3997" s="1039"/>
      <c r="M3997" s="1039"/>
      <c r="N3997" s="1039"/>
      <c r="O3997" s="1042">
        <v>1</v>
      </c>
      <c r="P3997" s="1043">
        <v>34669</v>
      </c>
      <c r="Q3997" s="1044">
        <v>0.02</v>
      </c>
      <c r="R3997" s="1072">
        <f>$A3997*Q3997</f>
        <v>0.24</v>
      </c>
      <c r="S3997" s="1044"/>
      <c r="T3997" s="1046">
        <f>$A3997*S3997*$T$1</f>
        <v>0</v>
      </c>
    </row>
    <row r="3998" spans="1:41" s="504" customFormat="1" ht="13.2">
      <c r="A3998" s="112">
        <v>12</v>
      </c>
      <c r="B3998" s="1039" t="s">
        <v>949</v>
      </c>
      <c r="C3998" s="1039"/>
      <c r="D3998" s="1039" t="s">
        <v>968</v>
      </c>
      <c r="E3998" s="1039"/>
      <c r="F3998" s="1039"/>
      <c r="G3998" s="1040" t="s">
        <v>969</v>
      </c>
      <c r="H3998" s="1041">
        <v>875</v>
      </c>
      <c r="I3998" s="1039" t="s">
        <v>951</v>
      </c>
      <c r="J3998" s="1039"/>
      <c r="K3998" s="882"/>
      <c r="L3998" s="1039"/>
      <c r="M3998" s="1039"/>
      <c r="N3998" s="1039"/>
      <c r="O3998" s="1042">
        <v>1</v>
      </c>
      <c r="P3998" s="1043">
        <v>34669</v>
      </c>
      <c r="Q3998" s="1044">
        <v>0.02</v>
      </c>
      <c r="R3998" s="1072">
        <f>$A3998*Q3998</f>
        <v>0.24</v>
      </c>
      <c r="S3998" s="1044"/>
      <c r="T3998" s="1046">
        <f>$A3998*S3998*$T$1</f>
        <v>0</v>
      </c>
    </row>
    <row r="3999" spans="1:41" s="504" customFormat="1" ht="12">
      <c r="A3999" s="882"/>
      <c r="B3999" s="882"/>
      <c r="C3999" s="882"/>
      <c r="D3999" s="882"/>
      <c r="E3999" s="882"/>
      <c r="F3999" s="877"/>
      <c r="G3999" s="882"/>
      <c r="H3999" s="882"/>
      <c r="I3999" s="503"/>
      <c r="J3999" s="882"/>
      <c r="K3999" s="882"/>
      <c r="L3999" s="882"/>
      <c r="M3999" s="882"/>
      <c r="N3999" s="882"/>
      <c r="O3999" s="882"/>
      <c r="P3999" s="882"/>
      <c r="Q3999" s="503"/>
      <c r="R3999" s="883">
        <f>$A3999*Q3999</f>
        <v>0</v>
      </c>
      <c r="S3999" s="503"/>
      <c r="T3999" s="884">
        <f>$A3999*S3999*$T$1</f>
        <v>0</v>
      </c>
    </row>
    <row r="4000" spans="1:41" s="504" customFormat="1" ht="12.6" thickBot="1">
      <c r="A4000" s="885" t="s">
        <v>142</v>
      </c>
      <c r="B4000" s="886">
        <f>(R3999+T3999)</f>
        <v>0</v>
      </c>
      <c r="C4000" s="887"/>
      <c r="D4000" s="887"/>
      <c r="E4000" s="887"/>
      <c r="F4000" s="888"/>
      <c r="G4000" s="887" t="s">
        <v>143</v>
      </c>
      <c r="H4000" s="887"/>
      <c r="I4000" s="889"/>
      <c r="J4000" s="887"/>
      <c r="K4000" s="887" t="s">
        <v>3</v>
      </c>
      <c r="L4000" s="890" t="s">
        <v>140</v>
      </c>
      <c r="M4000" s="890"/>
      <c r="N4000" s="890"/>
      <c r="O4000" s="890"/>
      <c r="P4000" s="890"/>
      <c r="Q4000" s="891"/>
      <c r="R4000" s="892">
        <f>SUM(R3994:R3999)</f>
        <v>5.7180000000000009</v>
      </c>
      <c r="S4000" s="887"/>
      <c r="T4000" s="892">
        <f>SUM(T3994:T3999)</f>
        <v>1.0972500000000001</v>
      </c>
      <c r="U4000" s="514"/>
      <c r="V4000" s="514"/>
      <c r="W4000" s="514"/>
      <c r="X4000" s="514"/>
      <c r="Y4000" s="514"/>
      <c r="Z4000" s="514"/>
      <c r="AA4000" s="514"/>
      <c r="AB4000" s="514"/>
      <c r="AC4000" s="514"/>
      <c r="AD4000" s="514"/>
      <c r="AE4000" s="514"/>
      <c r="AF4000" s="514"/>
      <c r="AG4000" s="514"/>
      <c r="AH4000" s="514"/>
      <c r="AI4000" s="514"/>
      <c r="AJ4000" s="514"/>
      <c r="AK4000" s="514"/>
      <c r="AL4000" s="514"/>
      <c r="AM4000" s="514"/>
      <c r="AN4000" s="514"/>
      <c r="AO4000" s="514"/>
    </row>
    <row r="4001" spans="1:41" s="504" customFormat="1" ht="12" thickTop="1">
      <c r="A4001" s="50"/>
      <c r="B4001" s="40"/>
      <c r="C4001" s="50"/>
      <c r="E4001" s="41" t="s">
        <v>136</v>
      </c>
      <c r="F4001" s="41" t="s">
        <v>137</v>
      </c>
      <c r="G4001" s="50"/>
      <c r="H4001" s="50"/>
      <c r="I4001" s="50"/>
      <c r="J4001" s="50"/>
      <c r="K4001" s="50" t="s">
        <v>138</v>
      </c>
      <c r="L4001" s="50"/>
      <c r="M4001" s="50"/>
      <c r="N4001" s="50"/>
      <c r="O4001" s="51"/>
      <c r="P4001" s="50"/>
      <c r="Q4001" s="50"/>
      <c r="R4001" s="50"/>
      <c r="S4001" s="50"/>
      <c r="T4001" s="40"/>
      <c r="AG4001" s="867" t="s">
        <v>241</v>
      </c>
      <c r="AH4001" s="867" t="s">
        <v>242</v>
      </c>
      <c r="AI4001" s="867" t="s">
        <v>243</v>
      </c>
      <c r="AJ4001" s="867" t="s">
        <v>244</v>
      </c>
      <c r="AK4001" s="867" t="s">
        <v>245</v>
      </c>
      <c r="AM4001" s="868" t="s">
        <v>254</v>
      </c>
      <c r="AN4001" s="869" t="s">
        <v>255</v>
      </c>
      <c r="AO4001" s="505" t="s">
        <v>251</v>
      </c>
    </row>
    <row r="4002" spans="1:41" s="504" customFormat="1" ht="12" customHeight="1">
      <c r="A4002" s="870">
        <v>4</v>
      </c>
      <c r="B4002" s="871" t="s">
        <v>335</v>
      </c>
      <c r="C4002" s="872"/>
      <c r="D4002" s="873" t="s">
        <v>824</v>
      </c>
      <c r="E4002" s="874">
        <f>IF(AND($A4002=0,$A$1="DIF"),0, ROUND(ROUND(($R4009*$S$2+($T4009*$T$2))/A4002,2)*$C$2,2))</f>
        <v>17.38</v>
      </c>
      <c r="F4002" s="875">
        <f>ROUND($A4002*$E4002,2)</f>
        <v>69.52</v>
      </c>
      <c r="G4002" s="876" t="s">
        <v>139</v>
      </c>
      <c r="H4002" s="877"/>
      <c r="I4002" s="878"/>
      <c r="J4002" s="877"/>
      <c r="K4002" s="877" t="s">
        <v>3</v>
      </c>
      <c r="L4002" s="879" t="s">
        <v>140</v>
      </c>
      <c r="M4002" s="879"/>
      <c r="N4002" s="879"/>
      <c r="O4002" s="879"/>
      <c r="P4002" s="879"/>
      <c r="Q4002" s="50"/>
      <c r="T4002" s="880" t="str">
        <f>IF(AND($R4009=0,$T4009=0),"0.00","mu :" &amp; ROUND($F4002/$C$2/($R4009+$T4009*$D$9),2))</f>
        <v>mu :1.22</v>
      </c>
      <c r="W4002" s="507"/>
      <c r="AG4002" s="465">
        <f>IF($E4002=0,0,ROUND($R4009*$S$2*$C$2/$A4002,2))</f>
        <v>4.45</v>
      </c>
      <c r="AH4002" s="465">
        <f>$AG4002*$A4002</f>
        <v>17.8</v>
      </c>
      <c r="AI4002" s="508">
        <f>$E4002-$AG4002</f>
        <v>12.93</v>
      </c>
      <c r="AJ4002" s="508">
        <f>$A4002*$AI4002</f>
        <v>51.72</v>
      </c>
      <c r="AK4002" s="509">
        <f>ROUND(($AG4002+$AI4002)*$A4002,2)</f>
        <v>69.52</v>
      </c>
      <c r="AM4002" s="510">
        <f>ROUND(R4009,2)</f>
        <v>14.6</v>
      </c>
      <c r="AN4002" s="511">
        <f>ROUND(T4009,2)</f>
        <v>1.47</v>
      </c>
      <c r="AO4002" s="512">
        <f>ROUND(AM4002+AN4002,2)*A4002</f>
        <v>64.28</v>
      </c>
    </row>
    <row r="4003" spans="1:41" s="504" customFormat="1" ht="13.2">
      <c r="A4003" s="872"/>
      <c r="B4003"/>
      <c r="C4003" s="872"/>
      <c r="D4003" s="873" t="s">
        <v>484</v>
      </c>
      <c r="F4003" s="877"/>
      <c r="G4003" s="3"/>
      <c r="H4003" s="877"/>
      <c r="I4003" s="878"/>
      <c r="J4003" s="877"/>
      <c r="K4003" s="877" t="s">
        <v>141</v>
      </c>
      <c r="L4003" s="877"/>
      <c r="M4003" s="877"/>
      <c r="N4003" s="877"/>
      <c r="O4003" s="877"/>
      <c r="P4003" s="877"/>
      <c r="Q4003" s="50"/>
      <c r="R4003" s="513"/>
      <c r="S4003" s="881"/>
      <c r="T4003" s="877"/>
    </row>
    <row r="4004" spans="1:41" s="504" customFormat="1" ht="13.2">
      <c r="A4004" s="112">
        <v>4</v>
      </c>
      <c r="B4004" s="1039" t="s">
        <v>949</v>
      </c>
      <c r="C4004" s="1039"/>
      <c r="D4004" s="1039" t="s">
        <v>1399</v>
      </c>
      <c r="E4004" s="1039" t="s">
        <v>1395</v>
      </c>
      <c r="F4004" s="1039" t="s">
        <v>1252</v>
      </c>
      <c r="G4004" s="1040" t="s">
        <v>1245</v>
      </c>
      <c r="H4004" s="1041">
        <v>510</v>
      </c>
      <c r="I4004" s="1039" t="s">
        <v>1246</v>
      </c>
      <c r="J4004" s="1039" t="s">
        <v>1247</v>
      </c>
      <c r="K4004" s="882"/>
      <c r="L4004" s="1039"/>
      <c r="M4004" s="1039"/>
      <c r="N4004" s="1039"/>
      <c r="O4004" s="1042">
        <v>2</v>
      </c>
      <c r="P4004" s="1043">
        <v>36880</v>
      </c>
      <c r="Q4004" s="1044">
        <v>0</v>
      </c>
      <c r="R4004" s="1072">
        <f>$A4004*Q4004</f>
        <v>0</v>
      </c>
      <c r="S4004" s="1044">
        <v>0.35</v>
      </c>
      <c r="T4004" s="1046">
        <f>$A4004*S4004*$T$1</f>
        <v>1.47</v>
      </c>
    </row>
    <row r="4005" spans="1:41" s="504" customFormat="1" ht="13.2">
      <c r="A4005" s="112">
        <v>16</v>
      </c>
      <c r="B4005" s="1039" t="s">
        <v>949</v>
      </c>
      <c r="C4005" s="1039"/>
      <c r="D4005" s="1039" t="s">
        <v>965</v>
      </c>
      <c r="E4005" s="1039"/>
      <c r="F4005" s="1039"/>
      <c r="G4005" s="1040" t="s">
        <v>966</v>
      </c>
      <c r="H4005" s="1041">
        <v>875</v>
      </c>
      <c r="I4005" s="1039" t="s">
        <v>951</v>
      </c>
      <c r="J4005" s="1039"/>
      <c r="K4005" s="882"/>
      <c r="L4005" s="1039"/>
      <c r="M4005" s="1039"/>
      <c r="N4005" s="1039"/>
      <c r="O4005" s="1042">
        <v>1</v>
      </c>
      <c r="P4005" s="1043">
        <v>34669</v>
      </c>
      <c r="Q4005" s="1044">
        <v>0.02</v>
      </c>
      <c r="R4005" s="1072">
        <f>$A4005*Q4005</f>
        <v>0.32</v>
      </c>
      <c r="S4005" s="1044"/>
      <c r="T4005" s="1046">
        <f>$A4005*S4005*$T$1</f>
        <v>0</v>
      </c>
    </row>
    <row r="4006" spans="1:41" s="504" customFormat="1" ht="13.2">
      <c r="A4006" s="112">
        <v>16</v>
      </c>
      <c r="B4006" s="1039" t="s">
        <v>949</v>
      </c>
      <c r="C4006" s="1039"/>
      <c r="D4006" s="1039" t="s">
        <v>968</v>
      </c>
      <c r="E4006" s="1039"/>
      <c r="F4006" s="1039"/>
      <c r="G4006" s="1040" t="s">
        <v>969</v>
      </c>
      <c r="H4006" s="1041">
        <v>875</v>
      </c>
      <c r="I4006" s="1039" t="s">
        <v>951</v>
      </c>
      <c r="J4006" s="1039"/>
      <c r="K4006" s="882"/>
      <c r="L4006" s="1039"/>
      <c r="M4006" s="1039"/>
      <c r="N4006" s="1039"/>
      <c r="O4006" s="1042">
        <v>1</v>
      </c>
      <c r="P4006" s="1043">
        <v>34669</v>
      </c>
      <c r="Q4006" s="1044">
        <v>0.02</v>
      </c>
      <c r="R4006" s="1072">
        <f>$A4006*Q4006</f>
        <v>0.32</v>
      </c>
      <c r="S4006" s="1044"/>
      <c r="T4006" s="1046">
        <f>$A4006*S4006*$T$1</f>
        <v>0</v>
      </c>
    </row>
    <row r="4007" spans="1:41" s="504" customFormat="1" ht="13.2">
      <c r="A4007" s="112">
        <v>4</v>
      </c>
      <c r="B4007" s="1039" t="s">
        <v>949</v>
      </c>
      <c r="C4007" s="1039"/>
      <c r="D4007" s="1039" t="s">
        <v>961</v>
      </c>
      <c r="E4007" s="1039"/>
      <c r="F4007" s="1039"/>
      <c r="G4007" s="1040" t="s">
        <v>962</v>
      </c>
      <c r="H4007" s="1041">
        <v>875</v>
      </c>
      <c r="I4007" s="1039" t="s">
        <v>951</v>
      </c>
      <c r="J4007" s="1039"/>
      <c r="K4007" s="882"/>
      <c r="L4007" s="1039"/>
      <c r="M4007" s="1039"/>
      <c r="N4007" s="1039"/>
      <c r="O4007" s="1042">
        <v>3</v>
      </c>
      <c r="P4007" s="1043">
        <v>34820</v>
      </c>
      <c r="Q4007" s="1044">
        <v>3.49</v>
      </c>
      <c r="R4007" s="1072">
        <f>$A4007*Q4007</f>
        <v>13.96</v>
      </c>
      <c r="S4007" s="1044"/>
      <c r="T4007" s="1046">
        <f>$A4007*S4007*$T$1</f>
        <v>0</v>
      </c>
    </row>
    <row r="4008" spans="1:41" s="504" customFormat="1" ht="12">
      <c r="A4008" s="882"/>
      <c r="B4008" s="882"/>
      <c r="C4008" s="882"/>
      <c r="D4008" s="882"/>
      <c r="E4008" s="882"/>
      <c r="F4008" s="877"/>
      <c r="G4008" s="882"/>
      <c r="H4008" s="882"/>
      <c r="I4008" s="503"/>
      <c r="J4008" s="882"/>
      <c r="K4008" s="882"/>
      <c r="L4008" s="882"/>
      <c r="M4008" s="882"/>
      <c r="N4008" s="882"/>
      <c r="O4008" s="882"/>
      <c r="P4008" s="882"/>
      <c r="Q4008" s="503"/>
      <c r="R4008" s="883">
        <f>$A4008*Q4008</f>
        <v>0</v>
      </c>
      <c r="S4008" s="503"/>
      <c r="T4008" s="884">
        <f>$A4008*S4008*$T$1</f>
        <v>0</v>
      </c>
    </row>
    <row r="4009" spans="1:41" s="504" customFormat="1" ht="12.6" thickBot="1">
      <c r="A4009" s="885" t="s">
        <v>142</v>
      </c>
      <c r="B4009" s="886">
        <f>(R4008+T4008)</f>
        <v>0</v>
      </c>
      <c r="C4009" s="887"/>
      <c r="D4009" s="887"/>
      <c r="E4009" s="887"/>
      <c r="F4009" s="888"/>
      <c r="G4009" s="887" t="s">
        <v>143</v>
      </c>
      <c r="H4009" s="887"/>
      <c r="I4009" s="889"/>
      <c r="J4009" s="887"/>
      <c r="K4009" s="887" t="s">
        <v>3</v>
      </c>
      <c r="L4009" s="890" t="s">
        <v>140</v>
      </c>
      <c r="M4009" s="890"/>
      <c r="N4009" s="890"/>
      <c r="O4009" s="890"/>
      <c r="P4009" s="890"/>
      <c r="Q4009" s="891"/>
      <c r="R4009" s="892">
        <f>SUM(R4003:R4008)</f>
        <v>14.600000000000001</v>
      </c>
      <c r="S4009" s="887"/>
      <c r="T4009" s="892">
        <f>SUM(T4003:T4008)</f>
        <v>1.47</v>
      </c>
      <c r="U4009" s="514"/>
      <c r="V4009" s="514"/>
      <c r="W4009" s="514"/>
      <c r="X4009" s="514"/>
      <c r="Y4009" s="514"/>
      <c r="Z4009" s="514"/>
      <c r="AA4009" s="514"/>
      <c r="AB4009" s="514"/>
      <c r="AC4009" s="514"/>
      <c r="AD4009" s="514"/>
      <c r="AE4009" s="514"/>
      <c r="AF4009" s="514"/>
      <c r="AG4009" s="514"/>
      <c r="AH4009" s="514"/>
      <c r="AI4009" s="514"/>
      <c r="AJ4009" s="514"/>
      <c r="AK4009" s="514"/>
      <c r="AL4009" s="514"/>
      <c r="AM4009" s="514"/>
      <c r="AN4009" s="514"/>
      <c r="AO4009" s="514"/>
    </row>
    <row r="4010" spans="1:41" s="504" customFormat="1" thickTop="1">
      <c r="A4010" s="50"/>
      <c r="B4010" s="50"/>
      <c r="C4010" s="3"/>
      <c r="D4010" s="3"/>
      <c r="E4010" s="50"/>
      <c r="F4010" s="50"/>
      <c r="G4010" s="50"/>
      <c r="H4010" s="50"/>
      <c r="I4010" s="50"/>
      <c r="J4010" s="50"/>
      <c r="K4010" s="50" t="s">
        <v>133</v>
      </c>
      <c r="L4010" s="50"/>
      <c r="M4010" s="50"/>
      <c r="N4010" s="50"/>
      <c r="O4010" s="51"/>
      <c r="P4010" s="50"/>
      <c r="Q4010" s="50"/>
      <c r="R4010" s="50"/>
      <c r="S4010" s="50"/>
      <c r="T4010" s="50"/>
    </row>
    <row r="4011" spans="1:41" s="504" customFormat="1" ht="12">
      <c r="A4011" s="50"/>
      <c r="B4011" s="50"/>
      <c r="C4011" s="50" t="s">
        <v>134</v>
      </c>
      <c r="D4011" s="37"/>
      <c r="E4011" s="50"/>
      <c r="F4011" s="50"/>
      <c r="G4011" s="50"/>
      <c r="H4011" s="50"/>
      <c r="I4011" s="50"/>
      <c r="J4011" s="50"/>
      <c r="K4011" s="50"/>
      <c r="L4011" s="50"/>
      <c r="M4011" s="50"/>
      <c r="N4011" s="50"/>
      <c r="O4011" s="51"/>
      <c r="P4011" s="50"/>
      <c r="Q4011" s="50"/>
      <c r="R4011" s="50"/>
      <c r="S4011" s="50"/>
      <c r="T4011" s="50"/>
    </row>
    <row r="4012" spans="1:41" s="504" customFormat="1" ht="12">
      <c r="A4012" s="50"/>
      <c r="B4012" s="50"/>
      <c r="C4012" s="50"/>
      <c r="D4012" s="37" t="s">
        <v>305</v>
      </c>
      <c r="E4012" s="50"/>
      <c r="F4012" s="50"/>
      <c r="G4012" s="50"/>
      <c r="H4012" s="50"/>
      <c r="I4012" s="50"/>
      <c r="J4012" s="50"/>
      <c r="K4012" s="50"/>
      <c r="L4012" s="50"/>
      <c r="M4012" s="50"/>
      <c r="N4012" s="50"/>
      <c r="O4012" s="51"/>
      <c r="P4012" s="50"/>
      <c r="Q4012" s="50"/>
      <c r="R4012" s="50"/>
      <c r="S4012" s="38"/>
      <c r="T4012" s="38"/>
    </row>
    <row r="4013" spans="1:41" s="3" customFormat="1" thickBot="1">
      <c r="A4013" s="514"/>
      <c r="O4013" s="103"/>
    </row>
    <row r="4014" spans="1:41" s="504" customFormat="1" thickTop="1">
      <c r="A4014" s="50"/>
      <c r="B4014" s="50"/>
      <c r="C4014" s="3"/>
      <c r="D4014" s="3"/>
      <c r="E4014" s="50"/>
      <c r="F4014" s="50"/>
      <c r="G4014" s="50"/>
      <c r="H4014" s="50"/>
      <c r="I4014" s="50"/>
      <c r="J4014" s="50"/>
      <c r="K4014" s="50" t="s">
        <v>133</v>
      </c>
      <c r="L4014" s="50"/>
      <c r="M4014" s="50"/>
      <c r="N4014" s="50"/>
      <c r="O4014" s="51"/>
      <c r="P4014" s="50"/>
      <c r="Q4014" s="50"/>
      <c r="R4014" s="50"/>
      <c r="S4014" s="50"/>
      <c r="T4014" s="50"/>
    </row>
    <row r="4015" spans="1:41" s="504" customFormat="1" ht="12">
      <c r="A4015" s="50"/>
      <c r="B4015" s="50"/>
      <c r="C4015" s="50" t="s">
        <v>134</v>
      </c>
      <c r="D4015" s="37" t="s">
        <v>903</v>
      </c>
      <c r="E4015" s="50"/>
      <c r="F4015" s="50"/>
      <c r="G4015" s="50"/>
      <c r="H4015" s="50"/>
      <c r="I4015" s="50"/>
      <c r="J4015" s="50"/>
      <c r="K4015" s="50"/>
      <c r="L4015" s="50"/>
      <c r="M4015" s="50"/>
      <c r="N4015" s="50"/>
      <c r="O4015" s="51"/>
      <c r="P4015" s="50"/>
      <c r="Q4015" s="50"/>
      <c r="R4015" s="50"/>
      <c r="S4015" s="50"/>
      <c r="T4015" s="50"/>
    </row>
    <row r="4016" spans="1:41" s="504" customFormat="1" ht="13.2">
      <c r="A4016" s="872"/>
      <c r="B4016"/>
      <c r="C4016" s="872"/>
      <c r="D4016" s="916" t="s">
        <v>687</v>
      </c>
      <c r="E4016" s="917"/>
      <c r="F4016" s="918"/>
      <c r="G4016" s="919"/>
      <c r="H4016" s="918"/>
      <c r="I4016" s="920"/>
      <c r="J4016" s="918"/>
      <c r="K4016" s="918"/>
      <c r="L4016" s="918"/>
      <c r="M4016" s="918"/>
      <c r="N4016" s="918"/>
      <c r="O4016" s="918"/>
      <c r="P4016" s="918"/>
      <c r="Q4016" s="921"/>
      <c r="R4016" s="513"/>
      <c r="S4016" s="881"/>
      <c r="T4016" s="877"/>
    </row>
    <row r="4017" spans="1:41" s="3" customFormat="1" thickBot="1">
      <c r="A4017" s="514"/>
      <c r="O4017" s="103"/>
    </row>
    <row r="4018" spans="1:41" s="504" customFormat="1" ht="12" thickTop="1">
      <c r="A4018" s="50"/>
      <c r="B4018" s="40"/>
      <c r="C4018" s="50"/>
      <c r="E4018" s="41" t="s">
        <v>136</v>
      </c>
      <c r="F4018" s="41" t="s">
        <v>137</v>
      </c>
      <c r="G4018" s="50"/>
      <c r="H4018" s="50"/>
      <c r="I4018" s="50"/>
      <c r="J4018" s="50"/>
      <c r="K4018" s="50" t="s">
        <v>138</v>
      </c>
      <c r="L4018" s="50"/>
      <c r="M4018" s="50"/>
      <c r="N4018" s="50"/>
      <c r="O4018" s="51"/>
      <c r="P4018" s="50"/>
      <c r="Q4018" s="50"/>
      <c r="R4018" s="50"/>
      <c r="S4018" s="50"/>
      <c r="T4018" s="40"/>
      <c r="AG4018" s="867" t="s">
        <v>241</v>
      </c>
      <c r="AH4018" s="867" t="s">
        <v>242</v>
      </c>
      <c r="AI4018" s="867" t="s">
        <v>243</v>
      </c>
      <c r="AJ4018" s="867" t="s">
        <v>244</v>
      </c>
      <c r="AK4018" s="867" t="s">
        <v>245</v>
      </c>
      <c r="AM4018" s="868" t="s">
        <v>254</v>
      </c>
      <c r="AN4018" s="869" t="s">
        <v>255</v>
      </c>
      <c r="AO4018" s="505" t="s">
        <v>251</v>
      </c>
    </row>
    <row r="4019" spans="1:41" s="504" customFormat="1" ht="12" customHeight="1">
      <c r="A4019" s="870">
        <v>5</v>
      </c>
      <c r="B4019" s="871" t="s">
        <v>306</v>
      </c>
      <c r="C4019" s="872"/>
      <c r="D4019" s="873" t="s">
        <v>804</v>
      </c>
      <c r="E4019" s="874">
        <f ca="1">IF(AND($A4019=0,$A$1="DIF"),0, ROUND(ROUND(($R4024*$S$2+($T4024*$T$2))/A4019,2)*$C$2,2))</f>
        <v>12.03</v>
      </c>
      <c r="F4019" s="875">
        <f ca="1">ROUND($A4019*$E4019,2)</f>
        <v>60.15</v>
      </c>
      <c r="G4019" s="876" t="s">
        <v>139</v>
      </c>
      <c r="H4019" s="877"/>
      <c r="I4019" s="878"/>
      <c r="J4019" s="877"/>
      <c r="K4019" s="877" t="s">
        <v>3</v>
      </c>
      <c r="L4019" s="879" t="s">
        <v>140</v>
      </c>
      <c r="M4019" s="879"/>
      <c r="N4019" s="879"/>
      <c r="O4019" s="879"/>
      <c r="P4019" s="879"/>
      <c r="Q4019" s="50"/>
      <c r="T4019" s="880" t="str">
        <f ca="1">IF(AND($R4024=0,$T4024=0),"0.00","mu :" &amp; ROUND($F4019/$C$2/($R4024+$T4024*$D$9),2))</f>
        <v>mu :1.22</v>
      </c>
      <c r="W4019" s="507"/>
      <c r="AG4019" s="465">
        <f ca="1">IF($E4019=0,0,ROUND($R4024*$S$2*$C$2/$A4019,2))</f>
        <v>3.59</v>
      </c>
      <c r="AH4019" s="465">
        <f ca="1">$AG4019*$A4019</f>
        <v>17.95</v>
      </c>
      <c r="AI4019" s="508">
        <f ca="1">$E4019-$AG4019</f>
        <v>8.44</v>
      </c>
      <c r="AJ4019" s="508">
        <f ca="1">$A4019*$AI4019</f>
        <v>42.199999999999996</v>
      </c>
      <c r="AK4019" s="509">
        <f ca="1">ROUND(($AG4019+$AI4019)*$A4019,2)</f>
        <v>60.15</v>
      </c>
      <c r="AM4019" s="510">
        <f ca="1">ROUND(R4024,2)</f>
        <v>14.7</v>
      </c>
      <c r="AN4019" s="511">
        <f ca="1">ROUND(T4024,2)</f>
        <v>1.2</v>
      </c>
      <c r="AO4019" s="512">
        <f ca="1">ROUND(AM4019+AN4019,2)*A4019</f>
        <v>79.5</v>
      </c>
    </row>
    <row r="4020" spans="1:41" s="504" customFormat="1" ht="13.2">
      <c r="A4020" s="872"/>
      <c r="B4020"/>
      <c r="C4020" s="872"/>
      <c r="D4020" s="873" t="s">
        <v>787</v>
      </c>
      <c r="F4020" s="877"/>
      <c r="G4020" s="3"/>
      <c r="H4020" s="877"/>
      <c r="I4020" s="878"/>
      <c r="J4020" s="877"/>
      <c r="K4020" s="877" t="s">
        <v>141</v>
      </c>
      <c r="L4020" s="877"/>
      <c r="M4020" s="877"/>
      <c r="N4020" s="877"/>
      <c r="O4020" s="877"/>
      <c r="P4020" s="877"/>
      <c r="Q4020" s="50"/>
      <c r="R4020" s="513"/>
      <c r="S4020" s="881"/>
      <c r="T4020" s="877"/>
    </row>
    <row r="4021" spans="1:41" s="997" customFormat="1" ht="13.2">
      <c r="A4021"/>
      <c r="B4021" s="1065"/>
      <c r="C4021" s="1065" t="s">
        <v>1006</v>
      </c>
      <c r="D4021" s="1065" t="str">
        <f ca="1">CELL("Address",Elec_Rates!D$85)</f>
        <v>[EL25_0662B_Brittania_Hotel_Elec_Revised_Estim_B.xlsx]Elec_Rates!$D$85</v>
      </c>
      <c r="E4021" s="1066"/>
      <c r="F4021" s="1066"/>
      <c r="G4021" s="1067" t="s">
        <v>1007</v>
      </c>
      <c r="H4021" s="1067"/>
      <c r="I4021" s="1067"/>
      <c r="J4021" s="1067"/>
      <c r="K4021" s="1068"/>
      <c r="L4021" s="1066"/>
      <c r="M4021" s="1066"/>
      <c r="N4021" s="1066"/>
      <c r="O4021" s="1069"/>
      <c r="P4021" s="1066"/>
      <c r="Q4021" s="1070"/>
      <c r="R4021" s="1071"/>
      <c r="S4021" s="1070"/>
      <c r="T4021" s="1072"/>
      <c r="U4021" s="1073"/>
    </row>
    <row r="4022" spans="1:41" s="997" customFormat="1" ht="11.4">
      <c r="A4022" s="1074">
        <v>5</v>
      </c>
      <c r="B4022" s="1075">
        <v>1</v>
      </c>
      <c r="C4022" s="1075">
        <f>$A4022*$B4022</f>
        <v>5</v>
      </c>
      <c r="D4022" s="1076" t="str">
        <f>Elec_Rates!$D$85</f>
        <v>008# 3 core x 6.0 mm2 FG16(O)M16 Cable</v>
      </c>
      <c r="E4022" s="1076"/>
      <c r="F4022" s="1076"/>
      <c r="G4022" s="1077" t="s">
        <v>1008</v>
      </c>
      <c r="H4022" s="1077"/>
      <c r="I4022" s="1077"/>
      <c r="J4022" s="1077"/>
      <c r="K4022" s="1078"/>
      <c r="L4022" s="1073"/>
      <c r="M4022" s="1073"/>
      <c r="N4022" s="1073"/>
      <c r="O4022" s="1079"/>
      <c r="P4022" s="1076"/>
      <c r="Q4022" s="1080">
        <f ca="1">$B4022*Elec_Rates!$R$85</f>
        <v>2.94</v>
      </c>
      <c r="R4022" s="1071">
        <f ca="1">$A4022*Q4022</f>
        <v>14.7</v>
      </c>
      <c r="S4022" s="1080">
        <f ca="1">$B4022*Elec_Rates!$T$85</f>
        <v>0.24</v>
      </c>
      <c r="T4022" s="1072">
        <f ca="1">$A4022*S4022</f>
        <v>1.2</v>
      </c>
      <c r="U4022" s="1081"/>
    </row>
    <row r="4023" spans="1:41" s="504" customFormat="1" ht="12">
      <c r="A4023" s="882"/>
      <c r="B4023" s="882"/>
      <c r="C4023" s="882"/>
      <c r="D4023" s="882"/>
      <c r="E4023" s="882"/>
      <c r="F4023" s="877"/>
      <c r="G4023" s="882"/>
      <c r="H4023" s="882"/>
      <c r="I4023" s="503"/>
      <c r="J4023" s="882"/>
      <c r="K4023" s="882"/>
      <c r="L4023" s="882"/>
      <c r="M4023" s="882"/>
      <c r="N4023" s="882"/>
      <c r="O4023" s="882"/>
      <c r="P4023" s="882"/>
      <c r="Q4023" s="503"/>
      <c r="R4023" s="883">
        <f>$A4023*Q4023</f>
        <v>0</v>
      </c>
      <c r="S4023" s="503"/>
      <c r="T4023" s="884">
        <f>$A4023*S4023*$T$1</f>
        <v>0</v>
      </c>
    </row>
    <row r="4024" spans="1:41" s="504" customFormat="1" ht="12.6" thickBot="1">
      <c r="A4024" s="885" t="s">
        <v>142</v>
      </c>
      <c r="B4024" s="886">
        <f>(R4023+T4023)</f>
        <v>0</v>
      </c>
      <c r="C4024" s="887"/>
      <c r="D4024" s="887"/>
      <c r="E4024" s="887"/>
      <c r="F4024" s="888"/>
      <c r="G4024" s="887" t="s">
        <v>143</v>
      </c>
      <c r="H4024" s="887"/>
      <c r="I4024" s="889"/>
      <c r="J4024" s="887"/>
      <c r="K4024" s="887" t="s">
        <v>3</v>
      </c>
      <c r="L4024" s="890" t="s">
        <v>140</v>
      </c>
      <c r="M4024" s="890"/>
      <c r="N4024" s="890"/>
      <c r="O4024" s="890"/>
      <c r="P4024" s="890"/>
      <c r="Q4024" s="891"/>
      <c r="R4024" s="892">
        <f ca="1">SUM(R4020:R4023)</f>
        <v>14.7</v>
      </c>
      <c r="S4024" s="887"/>
      <c r="T4024" s="892">
        <f ca="1">SUM(T4020:T4023)</f>
        <v>1.2</v>
      </c>
      <c r="U4024" s="514"/>
      <c r="V4024" s="514"/>
      <c r="W4024" s="514"/>
      <c r="X4024" s="514"/>
      <c r="Y4024" s="514"/>
      <c r="Z4024" s="514"/>
      <c r="AA4024" s="514"/>
      <c r="AB4024" s="514"/>
      <c r="AC4024" s="514"/>
      <c r="AD4024" s="514"/>
      <c r="AE4024" s="514"/>
      <c r="AF4024" s="514"/>
      <c r="AG4024" s="514"/>
      <c r="AH4024" s="514"/>
      <c r="AI4024" s="514"/>
      <c r="AJ4024" s="514"/>
      <c r="AK4024" s="514"/>
      <c r="AL4024" s="514"/>
      <c r="AM4024" s="514"/>
      <c r="AN4024" s="514"/>
      <c r="AO4024" s="514"/>
    </row>
    <row r="4025" spans="1:41" s="504" customFormat="1" ht="12" thickTop="1">
      <c r="A4025" s="50"/>
      <c r="B4025" s="40"/>
      <c r="C4025" s="50"/>
      <c r="E4025" s="41" t="s">
        <v>136</v>
      </c>
      <c r="F4025" s="41" t="s">
        <v>137</v>
      </c>
      <c r="G4025" s="50"/>
      <c r="H4025" s="50"/>
      <c r="I4025" s="50"/>
      <c r="J4025" s="50"/>
      <c r="K4025" s="50" t="s">
        <v>138</v>
      </c>
      <c r="L4025" s="50"/>
      <c r="M4025" s="50"/>
      <c r="N4025" s="50"/>
      <c r="O4025" s="51"/>
      <c r="P4025" s="50"/>
      <c r="Q4025" s="50"/>
      <c r="R4025" s="50"/>
      <c r="S4025" s="50"/>
      <c r="T4025" s="40"/>
      <c r="AG4025" s="867" t="s">
        <v>241</v>
      </c>
      <c r="AH4025" s="867" t="s">
        <v>242</v>
      </c>
      <c r="AI4025" s="867" t="s">
        <v>243</v>
      </c>
      <c r="AJ4025" s="867" t="s">
        <v>244</v>
      </c>
      <c r="AK4025" s="867" t="s">
        <v>245</v>
      </c>
      <c r="AM4025" s="868" t="s">
        <v>254</v>
      </c>
      <c r="AN4025" s="869" t="s">
        <v>255</v>
      </c>
      <c r="AO4025" s="505" t="s">
        <v>251</v>
      </c>
    </row>
    <row r="4026" spans="1:41" s="504" customFormat="1" ht="12" customHeight="1">
      <c r="A4026" s="870">
        <v>12</v>
      </c>
      <c r="B4026" s="871" t="s">
        <v>306</v>
      </c>
      <c r="C4026" s="872"/>
      <c r="D4026" s="873" t="s">
        <v>806</v>
      </c>
      <c r="E4026" s="874">
        <f ca="1">IF(AND($A4026=0,$A$1="DIF"),0, ROUND(ROUND(($R4031*$S$2+($T4031*$T$2))/A4026,2)*$C$2,2))</f>
        <v>13.11</v>
      </c>
      <c r="F4026" s="875">
        <f ca="1">ROUND($A4026*$E4026,2)</f>
        <v>157.32</v>
      </c>
      <c r="G4026" s="876" t="s">
        <v>139</v>
      </c>
      <c r="H4026" s="877"/>
      <c r="I4026" s="878"/>
      <c r="J4026" s="877"/>
      <c r="K4026" s="877" t="s">
        <v>3</v>
      </c>
      <c r="L4026" s="879" t="s">
        <v>140</v>
      </c>
      <c r="M4026" s="879"/>
      <c r="N4026" s="879"/>
      <c r="O4026" s="879"/>
      <c r="P4026" s="879"/>
      <c r="Q4026" s="50"/>
      <c r="T4026" s="880" t="str">
        <f ca="1">IF(AND($R4031=0,$T4031=0),"0.00","mu :" &amp; ROUND($F4026/$C$2/($R4031+$T4031*$D$9),2))</f>
        <v>mu :1.22</v>
      </c>
      <c r="W4026" s="507"/>
      <c r="AG4026" s="465">
        <f ca="1">IF($E4026=0,0,ROUND($R4031*$S$2*$C$2/$A4026,2))</f>
        <v>8.19</v>
      </c>
      <c r="AH4026" s="465">
        <f ca="1">$AG4026*$A4026</f>
        <v>98.28</v>
      </c>
      <c r="AI4026" s="508">
        <f ca="1">$E4026-$AG4026</f>
        <v>4.92</v>
      </c>
      <c r="AJ4026" s="508">
        <f ca="1">$A4026*$AI4026</f>
        <v>59.04</v>
      </c>
      <c r="AK4026" s="509">
        <f ca="1">ROUND(($AG4026+$AI4026)*$A4026,2)</f>
        <v>157.32</v>
      </c>
      <c r="AM4026" s="510">
        <f ca="1">ROUND(R4031,2)</f>
        <v>80.52</v>
      </c>
      <c r="AN4026" s="511">
        <f ca="1">ROUND(T4031,2)</f>
        <v>1.68</v>
      </c>
      <c r="AO4026" s="512">
        <f ca="1">ROUND(AM4026+AN4026,2)*A4026</f>
        <v>986.40000000000009</v>
      </c>
    </row>
    <row r="4027" spans="1:41" s="504" customFormat="1" ht="13.2">
      <c r="A4027" s="872"/>
      <c r="B4027"/>
      <c r="C4027" s="872"/>
      <c r="D4027" s="873" t="s">
        <v>788</v>
      </c>
      <c r="F4027" s="877"/>
      <c r="G4027" s="3"/>
      <c r="H4027" s="877"/>
      <c r="I4027" s="878"/>
      <c r="J4027" s="877"/>
      <c r="K4027" s="877" t="s">
        <v>141</v>
      </c>
      <c r="L4027" s="877"/>
      <c r="M4027" s="877"/>
      <c r="N4027" s="877"/>
      <c r="O4027" s="877"/>
      <c r="P4027" s="877"/>
      <c r="Q4027" s="50"/>
      <c r="R4027" s="513"/>
      <c r="S4027" s="881"/>
      <c r="T4027" s="877"/>
    </row>
    <row r="4028" spans="1:41" s="997" customFormat="1" ht="13.2">
      <c r="A4028"/>
      <c r="B4028" s="1065"/>
      <c r="C4028" s="1065" t="s">
        <v>1006</v>
      </c>
      <c r="D4028" s="1065" t="str">
        <f ca="1">CELL("Address",Elec_Rates!D$55)</f>
        <v>[EL25_0662B_Brittania_Hotel_Elec_Revised_Estim_B.xlsx]Elec_Rates!$D$55</v>
      </c>
      <c r="E4028" s="1066"/>
      <c r="F4028" s="1066"/>
      <c r="G4028" s="1067" t="s">
        <v>1007</v>
      </c>
      <c r="H4028" s="1067"/>
      <c r="I4028" s="1067"/>
      <c r="J4028" s="1067"/>
      <c r="K4028" s="1068"/>
      <c r="L4028" s="1066"/>
      <c r="M4028" s="1066"/>
      <c r="N4028" s="1066"/>
      <c r="O4028" s="1069"/>
      <c r="P4028" s="1066"/>
      <c r="Q4028" s="1070"/>
      <c r="R4028" s="1071"/>
      <c r="S4028" s="1070"/>
      <c r="T4028" s="1072"/>
      <c r="U4028" s="1073"/>
    </row>
    <row r="4029" spans="1:41" s="997" customFormat="1" ht="11.4">
      <c r="A4029" s="1074">
        <v>12</v>
      </c>
      <c r="B4029" s="1075">
        <v>1</v>
      </c>
      <c r="C4029" s="1075">
        <f>$A4029*$B4029</f>
        <v>12</v>
      </c>
      <c r="D4029" s="1076" t="str">
        <f>Elec_Rates!$D$55</f>
        <v>005# 5 core x 10 mm2 FG16(O)M16 Cable</v>
      </c>
      <c r="E4029" s="1076"/>
      <c r="F4029" s="1076"/>
      <c r="G4029" s="1077" t="s">
        <v>1008</v>
      </c>
      <c r="H4029" s="1077"/>
      <c r="I4029" s="1077"/>
      <c r="J4029" s="1077"/>
      <c r="K4029" s="1078"/>
      <c r="L4029" s="1073"/>
      <c r="M4029" s="1073"/>
      <c r="N4029" s="1073"/>
      <c r="O4029" s="1079"/>
      <c r="P4029" s="1076"/>
      <c r="Q4029" s="1080">
        <f ca="1">$B4029*Elec_Rates!$R$55</f>
        <v>6.71</v>
      </c>
      <c r="R4029" s="1071">
        <f ca="1">$A4029*Q4029</f>
        <v>80.52</v>
      </c>
      <c r="S4029" s="1080">
        <f ca="1">$B4029*Elec_Rates!$T$55</f>
        <v>0.14000000000000001</v>
      </c>
      <c r="T4029" s="1072">
        <f ca="1">$A4029*S4029</f>
        <v>1.6800000000000002</v>
      </c>
      <c r="U4029" s="1081"/>
    </row>
    <row r="4030" spans="1:41" s="504" customFormat="1" ht="12">
      <c r="A4030" s="882"/>
      <c r="B4030" s="882"/>
      <c r="C4030" s="882"/>
      <c r="D4030" s="882"/>
      <c r="E4030" s="882"/>
      <c r="F4030" s="877"/>
      <c r="G4030" s="882"/>
      <c r="H4030" s="882"/>
      <c r="I4030" s="503"/>
      <c r="J4030" s="882"/>
      <c r="K4030" s="882"/>
      <c r="L4030" s="882"/>
      <c r="M4030" s="882"/>
      <c r="N4030" s="882"/>
      <c r="O4030" s="882"/>
      <c r="P4030" s="882"/>
      <c r="Q4030" s="503"/>
      <c r="R4030" s="883">
        <f>$A4030*Q4030</f>
        <v>0</v>
      </c>
      <c r="S4030" s="503"/>
      <c r="T4030" s="884">
        <f>$A4030*S4030*$T$1</f>
        <v>0</v>
      </c>
    </row>
    <row r="4031" spans="1:41" s="504" customFormat="1" ht="12.6" thickBot="1">
      <c r="A4031" s="885" t="s">
        <v>142</v>
      </c>
      <c r="B4031" s="886">
        <f>(R4030+T4030)</f>
        <v>0</v>
      </c>
      <c r="C4031" s="887"/>
      <c r="D4031" s="887"/>
      <c r="E4031" s="887"/>
      <c r="F4031" s="888"/>
      <c r="G4031" s="887" t="s">
        <v>143</v>
      </c>
      <c r="H4031" s="887"/>
      <c r="I4031" s="889"/>
      <c r="J4031" s="887"/>
      <c r="K4031" s="887" t="s">
        <v>3</v>
      </c>
      <c r="L4031" s="890" t="s">
        <v>140</v>
      </c>
      <c r="M4031" s="890"/>
      <c r="N4031" s="890"/>
      <c r="O4031" s="890"/>
      <c r="P4031" s="890"/>
      <c r="Q4031" s="891"/>
      <c r="R4031" s="892">
        <f ca="1">SUM(R4027:R4030)</f>
        <v>80.52</v>
      </c>
      <c r="S4031" s="887"/>
      <c r="T4031" s="892">
        <f ca="1">SUM(T4027:T4030)</f>
        <v>1.6800000000000002</v>
      </c>
      <c r="U4031" s="514"/>
      <c r="V4031" s="514"/>
      <c r="W4031" s="514"/>
      <c r="X4031" s="514"/>
      <c r="Y4031" s="514"/>
      <c r="Z4031" s="514"/>
      <c r="AA4031" s="514"/>
      <c r="AB4031" s="514"/>
      <c r="AC4031" s="514"/>
      <c r="AD4031" s="514"/>
      <c r="AE4031" s="514"/>
      <c r="AF4031" s="514"/>
      <c r="AG4031" s="514"/>
      <c r="AH4031" s="514"/>
      <c r="AI4031" s="514"/>
      <c r="AJ4031" s="514"/>
      <c r="AK4031" s="514"/>
      <c r="AL4031" s="514"/>
      <c r="AM4031" s="514"/>
      <c r="AN4031" s="514"/>
      <c r="AO4031" s="514"/>
    </row>
    <row r="4032" spans="1:41" s="504" customFormat="1" ht="12" thickTop="1">
      <c r="A4032" s="47" t="s">
        <v>145</v>
      </c>
      <c r="D4032" s="13"/>
      <c r="E4032" s="41"/>
      <c r="O4032" s="893"/>
    </row>
    <row r="4033" spans="1:41" s="504" customFormat="1" ht="13.2">
      <c r="B4033" s="3"/>
      <c r="O4033" s="893"/>
    </row>
    <row r="4034" spans="1:41" s="504" customFormat="1" ht="12">
      <c r="B4034" s="894">
        <f ca="1">$F4034/$C$2-($R4034*$S$2+$T4034*$T$2)</f>
        <v>-4.5608749983330199E-3</v>
      </c>
      <c r="D4034" s="895" t="s">
        <v>817</v>
      </c>
      <c r="E4034" s="896"/>
      <c r="F4034" s="897">
        <f ca="1">SUMIF($L3878:$L4032,"ITEM",F3878:F4032)</f>
        <v>3613.7000000000003</v>
      </c>
      <c r="G4034" s="882"/>
      <c r="H4034" s="882"/>
      <c r="I4034" s="503"/>
      <c r="J4034" s="882"/>
      <c r="K4034" s="882"/>
      <c r="L4034" s="879" t="s">
        <v>154</v>
      </c>
      <c r="M4034" s="879"/>
      <c r="N4034" s="879"/>
      <c r="O4034" s="879"/>
      <c r="P4034" s="879"/>
      <c r="R4034" s="897">
        <f ca="1">SUMIF($L3878:$L4032,"ITEM",R3878:R4032)</f>
        <v>2295.4699999999993</v>
      </c>
      <c r="S4034" s="898"/>
      <c r="T4034" s="897">
        <f ca="1">SUMIF($L3878:$L4032,"ITEM",T3878:T4032)</f>
        <v>23.118749999999995</v>
      </c>
    </row>
    <row r="4035" spans="1:41" s="504" customFormat="1" ht="13.2">
      <c r="A4035" s="50"/>
      <c r="B4035" s="48" t="s">
        <v>816</v>
      </c>
      <c r="C4035" s="50"/>
      <c r="D4035" s="3"/>
      <c r="F4035" s="899" t="s">
        <v>155</v>
      </c>
      <c r="G4035" s="882"/>
      <c r="H4035" s="882"/>
      <c r="I4035" s="503"/>
      <c r="J4035" s="882"/>
      <c r="K4035" s="882"/>
      <c r="L4035" s="882"/>
      <c r="M4035" s="882"/>
      <c r="N4035" s="882"/>
      <c r="O4035" s="882"/>
      <c r="P4035" s="882"/>
      <c r="Q4035" s="900"/>
      <c r="R4035" s="899" t="s">
        <v>156</v>
      </c>
      <c r="S4035" s="38"/>
      <c r="T4035" s="899" t="s">
        <v>157</v>
      </c>
    </row>
    <row r="4036" spans="1:41" s="504" customFormat="1" ht="13.2">
      <c r="A4036" s="882"/>
      <c r="B4036" s="3"/>
      <c r="C4036" s="882"/>
      <c r="D4036" s="3"/>
      <c r="E4036" s="3"/>
      <c r="G4036" s="3"/>
      <c r="H4036" s="3"/>
      <c r="I4036" s="3"/>
      <c r="J4036" s="3"/>
      <c r="K4036" s="3"/>
      <c r="L4036" s="3"/>
      <c r="M4036" s="3"/>
      <c r="N4036" s="3"/>
      <c r="O4036" s="103"/>
      <c r="P4036" s="3"/>
      <c r="Q4036" s="3"/>
      <c r="R4036" s="3"/>
      <c r="S4036" s="3"/>
      <c r="T4036" s="3"/>
    </row>
    <row r="4037" spans="1:41" s="504" customFormat="1" ht="12" thickBot="1">
      <c r="A4037" s="514"/>
      <c r="B4037" s="887"/>
      <c r="C4037" s="887"/>
      <c r="D4037" s="514"/>
      <c r="E4037" s="39"/>
      <c r="F4037" s="901"/>
      <c r="G4037" s="887"/>
      <c r="H4037" s="887"/>
      <c r="I4037" s="889"/>
      <c r="J4037" s="887"/>
      <c r="K4037" s="887"/>
      <c r="L4037" s="890"/>
      <c r="M4037" s="890"/>
      <c r="N4037" s="890"/>
      <c r="O4037" s="890"/>
      <c r="P4037" s="890"/>
      <c r="Q4037" s="891"/>
      <c r="R4037" s="901"/>
      <c r="S4037" s="902"/>
      <c r="T4037" s="901"/>
      <c r="U4037" s="514"/>
      <c r="V4037" s="514"/>
      <c r="W4037" s="514"/>
      <c r="X4037" s="514"/>
      <c r="Y4037" s="514"/>
      <c r="Z4037" s="514"/>
      <c r="AA4037" s="514"/>
      <c r="AB4037" s="514"/>
      <c r="AC4037" s="514"/>
      <c r="AD4037" s="514"/>
      <c r="AE4037" s="514"/>
      <c r="AF4037" s="514"/>
      <c r="AG4037" s="514"/>
      <c r="AH4037" s="514"/>
      <c r="AI4037" s="514"/>
      <c r="AJ4037" s="514"/>
      <c r="AK4037" s="514"/>
    </row>
    <row r="4038" spans="1:41" s="504" customFormat="1" ht="12" thickTop="1">
      <c r="A4038" s="50"/>
      <c r="B4038" s="40"/>
      <c r="C4038" s="50"/>
      <c r="E4038" s="41" t="s">
        <v>136</v>
      </c>
      <c r="F4038" s="41" t="s">
        <v>137</v>
      </c>
      <c r="G4038" s="50"/>
      <c r="H4038" s="50"/>
      <c r="I4038" s="50"/>
      <c r="J4038" s="50"/>
      <c r="K4038" s="50" t="s">
        <v>138</v>
      </c>
      <c r="L4038" s="50"/>
      <c r="M4038" s="50"/>
      <c r="N4038" s="50"/>
      <c r="O4038" s="51"/>
      <c r="P4038" s="50"/>
      <c r="Q4038" s="50"/>
      <c r="R4038" s="50"/>
      <c r="S4038" s="50"/>
      <c r="T4038" s="40"/>
      <c r="AG4038" s="867" t="s">
        <v>241</v>
      </c>
      <c r="AH4038" s="867" t="s">
        <v>242</v>
      </c>
      <c r="AI4038" s="867" t="s">
        <v>243</v>
      </c>
      <c r="AJ4038" s="867" t="s">
        <v>244</v>
      </c>
      <c r="AK4038" s="867" t="s">
        <v>245</v>
      </c>
      <c r="AM4038" s="868" t="s">
        <v>254</v>
      </c>
      <c r="AN4038" s="869" t="s">
        <v>255</v>
      </c>
      <c r="AO4038" s="505" t="s">
        <v>251</v>
      </c>
    </row>
    <row r="4039" spans="1:41" s="504" customFormat="1" ht="12" customHeight="1">
      <c r="A4039" s="870">
        <v>15</v>
      </c>
      <c r="B4039" s="871" t="s">
        <v>306</v>
      </c>
      <c r="C4039" s="872"/>
      <c r="D4039" s="873" t="s">
        <v>808</v>
      </c>
      <c r="E4039" s="874">
        <f ca="1">IF(AND($A4039=0,$A$1="DIF"),0, ROUND(ROUND(($R4044*$S$2+($T4044*$T$2))/A4039,2)*$C$2,2))</f>
        <v>10.36</v>
      </c>
      <c r="F4039" s="875">
        <f ca="1">ROUND($A4039*$E4039,2)</f>
        <v>155.4</v>
      </c>
      <c r="G4039" s="876" t="s">
        <v>139</v>
      </c>
      <c r="H4039" s="877"/>
      <c r="I4039" s="878"/>
      <c r="J4039" s="877"/>
      <c r="K4039" s="877" t="s">
        <v>3</v>
      </c>
      <c r="L4039" s="879" t="s">
        <v>140</v>
      </c>
      <c r="M4039" s="879"/>
      <c r="N4039" s="879"/>
      <c r="O4039" s="879"/>
      <c r="P4039" s="879"/>
      <c r="Q4039" s="50"/>
      <c r="T4039" s="880" t="str">
        <f ca="1">IF(AND($R4044=0,$T4044=0),"0.00","mu :" &amp; ROUND($F4039/$C$2/($R4044+$T4044*$D$9),2))</f>
        <v>mu :1.22</v>
      </c>
      <c r="W4039" s="507"/>
      <c r="AG4039" s="465">
        <f ca="1">IF($E4039=0,0,ROUND($R4044*$S$2*$C$2/$A4039,2))</f>
        <v>5.09</v>
      </c>
      <c r="AH4039" s="465">
        <f ca="1">$AG4039*$A4039</f>
        <v>76.349999999999994</v>
      </c>
      <c r="AI4039" s="508">
        <f ca="1">$E4039-$AG4039</f>
        <v>5.27</v>
      </c>
      <c r="AJ4039" s="508">
        <f ca="1">$A4039*$AI4039</f>
        <v>79.05</v>
      </c>
      <c r="AK4039" s="509">
        <f ca="1">ROUND(($AG4039+$AI4039)*$A4039,2)</f>
        <v>155.4</v>
      </c>
      <c r="AM4039" s="510">
        <f ca="1">ROUND(R4044,2)</f>
        <v>62.55</v>
      </c>
      <c r="AN4039" s="511">
        <f ca="1">ROUND(T4044,2)</f>
        <v>2.25</v>
      </c>
      <c r="AO4039" s="512">
        <f ca="1">ROUND(AM4039+AN4039,2)*A4039</f>
        <v>972</v>
      </c>
    </row>
    <row r="4040" spans="1:41" s="504" customFormat="1" ht="13.2">
      <c r="A4040" s="872"/>
      <c r="B4040"/>
      <c r="C4040" s="872"/>
      <c r="D4040" s="916" t="s">
        <v>790</v>
      </c>
      <c r="E4040" s="917"/>
      <c r="F4040" s="918"/>
      <c r="G4040" s="919"/>
      <c r="H4040" s="918"/>
      <c r="I4040" s="920"/>
      <c r="J4040" s="918"/>
      <c r="K4040" s="918" t="s">
        <v>141</v>
      </c>
      <c r="L4040" s="918"/>
      <c r="M4040" s="918"/>
      <c r="N4040" s="918"/>
      <c r="O4040" s="918"/>
      <c r="P4040" s="918"/>
      <c r="Q4040" s="921"/>
      <c r="R4040" s="513"/>
      <c r="S4040" s="881"/>
      <c r="T4040" s="877"/>
    </row>
    <row r="4041" spans="1:41" s="997" customFormat="1" ht="13.2">
      <c r="A4041"/>
      <c r="B4041" s="1065"/>
      <c r="C4041" s="1065" t="s">
        <v>1006</v>
      </c>
      <c r="D4041" s="1065" t="str">
        <f ca="1">CELL("Address",Elec_Rates!D$65)</f>
        <v>[EL25_0662B_Brittania_Hotel_Elec_Revised_Estim_B.xlsx]Elec_Rates!$D$65</v>
      </c>
      <c r="E4041" s="1066"/>
      <c r="F4041" s="1066"/>
      <c r="G4041" s="1067" t="s">
        <v>1007</v>
      </c>
      <c r="H4041" s="1067"/>
      <c r="I4041" s="1067"/>
      <c r="J4041" s="1067"/>
      <c r="K4041" s="1068"/>
      <c r="L4041" s="1066"/>
      <c r="M4041" s="1066"/>
      <c r="N4041" s="1066"/>
      <c r="O4041" s="1069"/>
      <c r="P4041" s="1066"/>
      <c r="Q4041" s="1070"/>
      <c r="R4041" s="1071"/>
      <c r="S4041" s="1070"/>
      <c r="T4041" s="1072"/>
      <c r="U4041" s="1073"/>
    </row>
    <row r="4042" spans="1:41" s="997" customFormat="1" ht="11.4">
      <c r="A4042" s="1074">
        <v>15</v>
      </c>
      <c r="B4042" s="1075">
        <v>1</v>
      </c>
      <c r="C4042" s="1075">
        <f>$A4042*$B4042</f>
        <v>15</v>
      </c>
      <c r="D4042" s="1076" t="str">
        <f>Elec_Rates!$D$65</f>
        <v>006# 5 core x 6.0 mm2 FG16(O)M16 Cable</v>
      </c>
      <c r="E4042" s="1076"/>
      <c r="F4042" s="1076"/>
      <c r="G4042" s="1077" t="s">
        <v>1008</v>
      </c>
      <c r="H4042" s="1077"/>
      <c r="I4042" s="1077"/>
      <c r="J4042" s="1077"/>
      <c r="K4042" s="1078"/>
      <c r="L4042" s="1073"/>
      <c r="M4042" s="1073"/>
      <c r="N4042" s="1073"/>
      <c r="O4042" s="1079"/>
      <c r="P4042" s="1076"/>
      <c r="Q4042" s="1080">
        <f ca="1">$B4042*Elec_Rates!$R$65</f>
        <v>4.17</v>
      </c>
      <c r="R4042" s="1071">
        <f ca="1">$A4042*Q4042</f>
        <v>62.55</v>
      </c>
      <c r="S4042" s="1080">
        <f ca="1">$B4042*Elec_Rates!$T$65</f>
        <v>0.15</v>
      </c>
      <c r="T4042" s="1072">
        <f ca="1">$A4042*S4042</f>
        <v>2.25</v>
      </c>
      <c r="U4042" s="1081"/>
    </row>
    <row r="4043" spans="1:41" s="504" customFormat="1" ht="12">
      <c r="A4043" s="882"/>
      <c r="B4043" s="882"/>
      <c r="C4043" s="882"/>
      <c r="D4043" s="882"/>
      <c r="E4043" s="882"/>
      <c r="F4043" s="877"/>
      <c r="G4043" s="882"/>
      <c r="H4043" s="882"/>
      <c r="I4043" s="503"/>
      <c r="J4043" s="882"/>
      <c r="K4043" s="882"/>
      <c r="L4043" s="882"/>
      <c r="M4043" s="882"/>
      <c r="N4043" s="882"/>
      <c r="O4043" s="882"/>
      <c r="P4043" s="882"/>
      <c r="Q4043" s="503"/>
      <c r="R4043" s="883">
        <f>$A4043*Q4043</f>
        <v>0</v>
      </c>
      <c r="S4043" s="503"/>
      <c r="T4043" s="884">
        <f>$A4043*S4043*$T$1</f>
        <v>0</v>
      </c>
    </row>
    <row r="4044" spans="1:41" s="504" customFormat="1" ht="12.6" thickBot="1">
      <c r="A4044" s="885" t="s">
        <v>142</v>
      </c>
      <c r="B4044" s="886">
        <f>(R4043+T4043)</f>
        <v>0</v>
      </c>
      <c r="C4044" s="887"/>
      <c r="D4044" s="887"/>
      <c r="E4044" s="887"/>
      <c r="F4044" s="888"/>
      <c r="G4044" s="887" t="s">
        <v>143</v>
      </c>
      <c r="H4044" s="887"/>
      <c r="I4044" s="889"/>
      <c r="J4044" s="887"/>
      <c r="K4044" s="887" t="s">
        <v>3</v>
      </c>
      <c r="L4044" s="890" t="s">
        <v>140</v>
      </c>
      <c r="M4044" s="890"/>
      <c r="N4044" s="890"/>
      <c r="O4044" s="890"/>
      <c r="P4044" s="890"/>
      <c r="Q4044" s="891"/>
      <c r="R4044" s="892">
        <f ca="1">SUM(R4040:R4043)</f>
        <v>62.55</v>
      </c>
      <c r="S4044" s="887"/>
      <c r="T4044" s="892">
        <f ca="1">SUM(T4040:T4043)</f>
        <v>2.25</v>
      </c>
      <c r="U4044" s="514"/>
      <c r="V4044" s="514"/>
      <c r="W4044" s="514"/>
      <c r="X4044" s="514"/>
      <c r="Y4044" s="514"/>
      <c r="Z4044" s="514"/>
      <c r="AA4044" s="514"/>
      <c r="AB4044" s="514"/>
      <c r="AC4044" s="514"/>
      <c r="AD4044" s="514"/>
      <c r="AE4044" s="514"/>
      <c r="AF4044" s="514"/>
      <c r="AG4044" s="514"/>
      <c r="AH4044" s="514"/>
      <c r="AI4044" s="514"/>
      <c r="AJ4044" s="514"/>
      <c r="AK4044" s="514"/>
      <c r="AL4044" s="514"/>
      <c r="AM4044" s="514"/>
      <c r="AN4044" s="514"/>
      <c r="AO4044" s="514"/>
    </row>
    <row r="4045" spans="1:41" s="504" customFormat="1" ht="12" thickTop="1">
      <c r="A4045" s="50"/>
      <c r="B4045" s="40"/>
      <c r="C4045" s="50"/>
      <c r="E4045" s="41" t="s">
        <v>136</v>
      </c>
      <c r="F4045" s="41" t="s">
        <v>137</v>
      </c>
      <c r="G4045" s="50"/>
      <c r="H4045" s="50"/>
      <c r="I4045" s="50"/>
      <c r="J4045" s="50"/>
      <c r="K4045" s="50" t="s">
        <v>138</v>
      </c>
      <c r="L4045" s="50"/>
      <c r="M4045" s="50"/>
      <c r="N4045" s="50"/>
      <c r="O4045" s="51"/>
      <c r="P4045" s="50"/>
      <c r="Q4045" s="50"/>
      <c r="R4045" s="50"/>
      <c r="S4045" s="50"/>
      <c r="T4045" s="40"/>
      <c r="AG4045" s="867" t="s">
        <v>241</v>
      </c>
      <c r="AH4045" s="867" t="s">
        <v>242</v>
      </c>
      <c r="AI4045" s="867" t="s">
        <v>243</v>
      </c>
      <c r="AJ4045" s="867" t="s">
        <v>244</v>
      </c>
      <c r="AK4045" s="867" t="s">
        <v>245</v>
      </c>
      <c r="AM4045" s="868" t="s">
        <v>254</v>
      </c>
      <c r="AN4045" s="869" t="s">
        <v>255</v>
      </c>
      <c r="AO4045" s="505" t="s">
        <v>251</v>
      </c>
    </row>
    <row r="4046" spans="1:41" s="504" customFormat="1" ht="12" customHeight="1">
      <c r="A4046" s="870">
        <v>17</v>
      </c>
      <c r="B4046" s="871" t="s">
        <v>306</v>
      </c>
      <c r="C4046" s="872"/>
      <c r="D4046" s="873" t="s">
        <v>810</v>
      </c>
      <c r="E4046" s="874">
        <f ca="1">IF(AND($A4046=0,$A$1="DIF"),0, ROUND(ROUND(($R4051*$S$2+($T4051*$T$2))/A4046,2)*$C$2,2))</f>
        <v>10.36</v>
      </c>
      <c r="F4046" s="875">
        <f ca="1">ROUND($A4046*$E4046,2)</f>
        <v>176.12</v>
      </c>
      <c r="G4046" s="876" t="s">
        <v>139</v>
      </c>
      <c r="H4046" s="877"/>
      <c r="I4046" s="878"/>
      <c r="J4046" s="877"/>
      <c r="K4046" s="877" t="s">
        <v>3</v>
      </c>
      <c r="L4046" s="879" t="s">
        <v>140</v>
      </c>
      <c r="M4046" s="879"/>
      <c r="N4046" s="879"/>
      <c r="O4046" s="879"/>
      <c r="P4046" s="879"/>
      <c r="Q4046" s="50"/>
      <c r="T4046" s="880" t="str">
        <f ca="1">IF(AND($R4051=0,$T4051=0),"0.00","mu :" &amp; ROUND($F4046/$C$2/($R4051+$T4051*$D$9),2))</f>
        <v>mu :1.22</v>
      </c>
      <c r="W4046" s="507"/>
      <c r="AG4046" s="465">
        <f ca="1">IF($E4046=0,0,ROUND($R4051*$S$2*$C$2/$A4046,2))</f>
        <v>5.09</v>
      </c>
      <c r="AH4046" s="465">
        <f ca="1">$AG4046*$A4046</f>
        <v>86.53</v>
      </c>
      <c r="AI4046" s="508">
        <f ca="1">$E4046-$AG4046</f>
        <v>5.27</v>
      </c>
      <c r="AJ4046" s="508">
        <f ca="1">$A4046*$AI4046</f>
        <v>89.589999999999989</v>
      </c>
      <c r="AK4046" s="509">
        <f ca="1">ROUND(($AG4046+$AI4046)*$A4046,2)</f>
        <v>176.12</v>
      </c>
      <c r="AM4046" s="510">
        <f ca="1">ROUND(R4051,2)</f>
        <v>70.89</v>
      </c>
      <c r="AN4046" s="511">
        <f ca="1">ROUND(T4051,2)</f>
        <v>2.5499999999999998</v>
      </c>
      <c r="AO4046" s="512">
        <f ca="1">ROUND(AM4046+AN4046,2)*A4046</f>
        <v>1248.48</v>
      </c>
    </row>
    <row r="4047" spans="1:41" s="504" customFormat="1" ht="13.2">
      <c r="A4047" s="872"/>
      <c r="B4047"/>
      <c r="C4047" s="872"/>
      <c r="D4047" s="916" t="s">
        <v>791</v>
      </c>
      <c r="E4047" s="917"/>
      <c r="F4047" s="918"/>
      <c r="G4047" s="919"/>
      <c r="H4047" s="918"/>
      <c r="I4047" s="920"/>
      <c r="J4047" s="918"/>
      <c r="K4047" s="918" t="s">
        <v>141</v>
      </c>
      <c r="L4047" s="918"/>
      <c r="M4047" s="918"/>
      <c r="N4047" s="918"/>
      <c r="O4047" s="918"/>
      <c r="P4047" s="918"/>
      <c r="Q4047" s="921"/>
      <c r="R4047" s="513"/>
      <c r="S4047" s="881"/>
      <c r="T4047" s="877"/>
    </row>
    <row r="4048" spans="1:41" s="997" customFormat="1" ht="13.2">
      <c r="A4048"/>
      <c r="B4048" s="1065"/>
      <c r="C4048" s="1065" t="s">
        <v>1006</v>
      </c>
      <c r="D4048" s="1065" t="str">
        <f ca="1">CELL("Address",Elec_Rates!D$65)</f>
        <v>[EL25_0662B_Brittania_Hotel_Elec_Revised_Estim_B.xlsx]Elec_Rates!$D$65</v>
      </c>
      <c r="E4048" s="1066"/>
      <c r="F4048" s="1066"/>
      <c r="G4048" s="1067" t="s">
        <v>1007</v>
      </c>
      <c r="H4048" s="1067"/>
      <c r="I4048" s="1067"/>
      <c r="J4048" s="1067"/>
      <c r="K4048" s="1068"/>
      <c r="L4048" s="1066"/>
      <c r="M4048" s="1066"/>
      <c r="N4048" s="1066"/>
      <c r="O4048" s="1069"/>
      <c r="P4048" s="1066"/>
      <c r="Q4048" s="1070"/>
      <c r="R4048" s="1071"/>
      <c r="S4048" s="1070"/>
      <c r="T4048" s="1072"/>
      <c r="U4048" s="1073"/>
    </row>
    <row r="4049" spans="1:41" s="997" customFormat="1" ht="11.4">
      <c r="A4049" s="1074">
        <v>17</v>
      </c>
      <c r="B4049" s="1075">
        <v>1</v>
      </c>
      <c r="C4049" s="1075">
        <f>$A4049*$B4049</f>
        <v>17</v>
      </c>
      <c r="D4049" s="1076" t="str">
        <f>Elec_Rates!$D$65</f>
        <v>006# 5 core x 6.0 mm2 FG16(O)M16 Cable</v>
      </c>
      <c r="E4049" s="1076"/>
      <c r="F4049" s="1076"/>
      <c r="G4049" s="1077" t="s">
        <v>1008</v>
      </c>
      <c r="H4049" s="1077"/>
      <c r="I4049" s="1077"/>
      <c r="J4049" s="1077"/>
      <c r="K4049" s="1078"/>
      <c r="L4049" s="1073"/>
      <c r="M4049" s="1073"/>
      <c r="N4049" s="1073"/>
      <c r="O4049" s="1079"/>
      <c r="P4049" s="1076"/>
      <c r="Q4049" s="1080">
        <f ca="1">$B4049*Elec_Rates!$R$65</f>
        <v>4.17</v>
      </c>
      <c r="R4049" s="1071">
        <f ca="1">$A4049*Q4049</f>
        <v>70.89</v>
      </c>
      <c r="S4049" s="1080">
        <f ca="1">$B4049*Elec_Rates!$T$65</f>
        <v>0.15</v>
      </c>
      <c r="T4049" s="1072">
        <f ca="1">$A4049*S4049</f>
        <v>2.5499999999999998</v>
      </c>
      <c r="U4049" s="1081"/>
    </row>
    <row r="4050" spans="1:41" s="504" customFormat="1" ht="12">
      <c r="A4050" s="882"/>
      <c r="B4050" s="882"/>
      <c r="C4050" s="882"/>
      <c r="D4050" s="882"/>
      <c r="E4050" s="882"/>
      <c r="F4050" s="877"/>
      <c r="G4050" s="882"/>
      <c r="H4050" s="882"/>
      <c r="I4050" s="503"/>
      <c r="J4050" s="882"/>
      <c r="K4050" s="882"/>
      <c r="L4050" s="882"/>
      <c r="M4050" s="882"/>
      <c r="N4050" s="882"/>
      <c r="O4050" s="882"/>
      <c r="P4050" s="882"/>
      <c r="Q4050" s="503"/>
      <c r="R4050" s="883">
        <f>$A4050*Q4050</f>
        <v>0</v>
      </c>
      <c r="S4050" s="503"/>
      <c r="T4050" s="884">
        <f>$A4050*S4050*$T$1</f>
        <v>0</v>
      </c>
    </row>
    <row r="4051" spans="1:41" s="504" customFormat="1" ht="12.6" thickBot="1">
      <c r="A4051" s="885" t="s">
        <v>142</v>
      </c>
      <c r="B4051" s="886">
        <f>(R4050+T4050)</f>
        <v>0</v>
      </c>
      <c r="C4051" s="887"/>
      <c r="D4051" s="887"/>
      <c r="E4051" s="887"/>
      <c r="F4051" s="888"/>
      <c r="G4051" s="887" t="s">
        <v>143</v>
      </c>
      <c r="H4051" s="887"/>
      <c r="I4051" s="889"/>
      <c r="J4051" s="887"/>
      <c r="K4051" s="887" t="s">
        <v>3</v>
      </c>
      <c r="L4051" s="890" t="s">
        <v>140</v>
      </c>
      <c r="M4051" s="890"/>
      <c r="N4051" s="890"/>
      <c r="O4051" s="890"/>
      <c r="P4051" s="890"/>
      <c r="Q4051" s="891"/>
      <c r="R4051" s="892">
        <f ca="1">SUM(R4047:R4050)</f>
        <v>70.89</v>
      </c>
      <c r="S4051" s="887"/>
      <c r="T4051" s="892">
        <f ca="1">SUM(T4047:T4050)</f>
        <v>2.5499999999999998</v>
      </c>
      <c r="U4051" s="514"/>
      <c r="V4051" s="514"/>
      <c r="W4051" s="514"/>
      <c r="X4051" s="514"/>
      <c r="Y4051" s="514"/>
      <c r="Z4051" s="514"/>
      <c r="AA4051" s="514"/>
      <c r="AB4051" s="514"/>
      <c r="AC4051" s="514"/>
      <c r="AD4051" s="514"/>
      <c r="AE4051" s="514"/>
      <c r="AF4051" s="514"/>
      <c r="AG4051" s="514"/>
      <c r="AH4051" s="514"/>
      <c r="AI4051" s="514"/>
      <c r="AJ4051" s="514"/>
      <c r="AK4051" s="514"/>
      <c r="AL4051" s="514"/>
      <c r="AM4051" s="514"/>
      <c r="AN4051" s="514"/>
      <c r="AO4051" s="514"/>
    </row>
    <row r="4052" spans="1:41" s="504" customFormat="1" ht="12" thickTop="1">
      <c r="A4052" s="50"/>
      <c r="B4052" s="40"/>
      <c r="C4052" s="50"/>
      <c r="E4052" s="41" t="s">
        <v>136</v>
      </c>
      <c r="F4052" s="41" t="s">
        <v>137</v>
      </c>
      <c r="G4052" s="50"/>
      <c r="H4052" s="50"/>
      <c r="I4052" s="50"/>
      <c r="J4052" s="50"/>
      <c r="K4052" s="50" t="s">
        <v>138</v>
      </c>
      <c r="L4052" s="50"/>
      <c r="M4052" s="50"/>
      <c r="N4052" s="50"/>
      <c r="O4052" s="51"/>
      <c r="P4052" s="50"/>
      <c r="Q4052" s="50"/>
      <c r="R4052" s="50"/>
      <c r="S4052" s="50"/>
      <c r="T4052" s="40"/>
      <c r="AG4052" s="867" t="s">
        <v>241</v>
      </c>
      <c r="AH4052" s="867" t="s">
        <v>242</v>
      </c>
      <c r="AI4052" s="867" t="s">
        <v>243</v>
      </c>
      <c r="AJ4052" s="867" t="s">
        <v>244</v>
      </c>
      <c r="AK4052" s="867" t="s">
        <v>245</v>
      </c>
      <c r="AM4052" s="868" t="s">
        <v>254</v>
      </c>
      <c r="AN4052" s="869" t="s">
        <v>255</v>
      </c>
      <c r="AO4052" s="505" t="s">
        <v>251</v>
      </c>
    </row>
    <row r="4053" spans="1:41" s="504" customFormat="1" ht="12" customHeight="1">
      <c r="A4053" s="870">
        <v>20</v>
      </c>
      <c r="B4053" s="871" t="s">
        <v>306</v>
      </c>
      <c r="C4053" s="872"/>
      <c r="D4053" s="873" t="s">
        <v>812</v>
      </c>
      <c r="E4053" s="874">
        <f ca="1">IF(AND($A4053=0,$A$1="DIF"),0, ROUND(ROUND(($R4058*$S$2+($T4058*$T$2))/A4053,2)*$C$2,2))</f>
        <v>10.36</v>
      </c>
      <c r="F4053" s="875">
        <f ca="1">ROUND($A4053*$E4053,2)</f>
        <v>207.2</v>
      </c>
      <c r="G4053" s="876" t="s">
        <v>139</v>
      </c>
      <c r="H4053" s="877"/>
      <c r="I4053" s="878"/>
      <c r="J4053" s="877"/>
      <c r="K4053" s="877" t="s">
        <v>3</v>
      </c>
      <c r="L4053" s="879" t="s">
        <v>140</v>
      </c>
      <c r="M4053" s="879"/>
      <c r="N4053" s="879"/>
      <c r="O4053" s="879"/>
      <c r="P4053" s="879"/>
      <c r="Q4053" s="50"/>
      <c r="T4053" s="880" t="str">
        <f ca="1">IF(AND($R4058=0,$T4058=0),"0.00","mu :" &amp; ROUND($F4053/$C$2/($R4058+$T4058*$D$9),2))</f>
        <v>mu :1.22</v>
      </c>
      <c r="W4053" s="507"/>
      <c r="AG4053" s="465">
        <f ca="1">IF($E4053=0,0,ROUND($R4058*$S$2*$C$2/$A4053,2))</f>
        <v>5.09</v>
      </c>
      <c r="AH4053" s="465">
        <f ca="1">$AG4053*$A4053</f>
        <v>101.8</v>
      </c>
      <c r="AI4053" s="508">
        <f ca="1">$E4053-$AG4053</f>
        <v>5.27</v>
      </c>
      <c r="AJ4053" s="508">
        <f ca="1">$A4053*$AI4053</f>
        <v>105.39999999999999</v>
      </c>
      <c r="AK4053" s="509">
        <f ca="1">ROUND(($AG4053+$AI4053)*$A4053,2)</f>
        <v>207.2</v>
      </c>
      <c r="AM4053" s="510">
        <f ca="1">ROUND(R4058,2)</f>
        <v>83.4</v>
      </c>
      <c r="AN4053" s="511">
        <f ca="1">ROUND(T4058,2)</f>
        <v>3</v>
      </c>
      <c r="AO4053" s="512">
        <f ca="1">ROUND(AM4053+AN4053,2)*A4053</f>
        <v>1728</v>
      </c>
    </row>
    <row r="4054" spans="1:41" s="504" customFormat="1" ht="13.2">
      <c r="A4054" s="872"/>
      <c r="B4054"/>
      <c r="C4054" s="872"/>
      <c r="D4054" s="916" t="s">
        <v>792</v>
      </c>
      <c r="E4054" s="917"/>
      <c r="F4054" s="918"/>
      <c r="G4054" s="919"/>
      <c r="H4054" s="918"/>
      <c r="I4054" s="920"/>
      <c r="J4054" s="918"/>
      <c r="K4054" s="918" t="s">
        <v>141</v>
      </c>
      <c r="L4054" s="918"/>
      <c r="M4054" s="918"/>
      <c r="N4054" s="918"/>
      <c r="O4054" s="918"/>
      <c r="P4054" s="918"/>
      <c r="Q4054" s="921"/>
      <c r="R4054" s="513"/>
      <c r="S4054" s="881"/>
      <c r="T4054" s="877"/>
    </row>
    <row r="4055" spans="1:41" s="997" customFormat="1" ht="13.2">
      <c r="A4055"/>
      <c r="B4055" s="1065"/>
      <c r="C4055" s="1065" t="s">
        <v>1006</v>
      </c>
      <c r="D4055" s="1065" t="str">
        <f ca="1">CELL("Address",Elec_Rates!D$65)</f>
        <v>[EL25_0662B_Brittania_Hotel_Elec_Revised_Estim_B.xlsx]Elec_Rates!$D$65</v>
      </c>
      <c r="E4055" s="1066"/>
      <c r="F4055" s="1066"/>
      <c r="G4055" s="1067" t="s">
        <v>1007</v>
      </c>
      <c r="H4055" s="1067"/>
      <c r="I4055" s="1067"/>
      <c r="J4055" s="1067"/>
      <c r="K4055" s="1068"/>
      <c r="L4055" s="1066"/>
      <c r="M4055" s="1066"/>
      <c r="N4055" s="1066"/>
      <c r="O4055" s="1069"/>
      <c r="P4055" s="1066"/>
      <c r="Q4055" s="1070"/>
      <c r="R4055" s="1071"/>
      <c r="S4055" s="1070"/>
      <c r="T4055" s="1072"/>
      <c r="U4055" s="1073"/>
    </row>
    <row r="4056" spans="1:41" s="997" customFormat="1" ht="11.4">
      <c r="A4056" s="1074">
        <v>20</v>
      </c>
      <c r="B4056" s="1075">
        <v>1</v>
      </c>
      <c r="C4056" s="1075">
        <f>$A4056*$B4056</f>
        <v>20</v>
      </c>
      <c r="D4056" s="1076" t="str">
        <f>Elec_Rates!$D$65</f>
        <v>006# 5 core x 6.0 mm2 FG16(O)M16 Cable</v>
      </c>
      <c r="E4056" s="1076"/>
      <c r="F4056" s="1076"/>
      <c r="G4056" s="1077" t="s">
        <v>1008</v>
      </c>
      <c r="H4056" s="1077"/>
      <c r="I4056" s="1077"/>
      <c r="J4056" s="1077"/>
      <c r="K4056" s="1078"/>
      <c r="L4056" s="1073"/>
      <c r="M4056" s="1073"/>
      <c r="N4056" s="1073"/>
      <c r="O4056" s="1079"/>
      <c r="P4056" s="1076"/>
      <c r="Q4056" s="1080">
        <f ca="1">$B4056*Elec_Rates!$R$65</f>
        <v>4.17</v>
      </c>
      <c r="R4056" s="1071">
        <f ca="1">$A4056*Q4056</f>
        <v>83.4</v>
      </c>
      <c r="S4056" s="1080">
        <f ca="1">$B4056*Elec_Rates!$T$65</f>
        <v>0.15</v>
      </c>
      <c r="T4056" s="1072">
        <f ca="1">$A4056*S4056</f>
        <v>3</v>
      </c>
      <c r="U4056" s="1081"/>
    </row>
    <row r="4057" spans="1:41" s="504" customFormat="1" ht="12">
      <c r="A4057" s="882"/>
      <c r="B4057" s="882"/>
      <c r="C4057" s="882"/>
      <c r="D4057" s="882"/>
      <c r="E4057" s="882"/>
      <c r="F4057" s="877"/>
      <c r="G4057" s="882"/>
      <c r="H4057" s="882"/>
      <c r="I4057" s="503"/>
      <c r="J4057" s="882"/>
      <c r="K4057" s="882"/>
      <c r="L4057" s="882"/>
      <c r="M4057" s="882"/>
      <c r="N4057" s="882"/>
      <c r="O4057" s="882"/>
      <c r="P4057" s="882"/>
      <c r="Q4057" s="503"/>
      <c r="R4057" s="883">
        <f>$A4057*Q4057</f>
        <v>0</v>
      </c>
      <c r="S4057" s="503"/>
      <c r="T4057" s="884">
        <f>$A4057*S4057*$T$1</f>
        <v>0</v>
      </c>
    </row>
    <row r="4058" spans="1:41" s="504" customFormat="1" ht="12.6" thickBot="1">
      <c r="A4058" s="885" t="s">
        <v>142</v>
      </c>
      <c r="B4058" s="886">
        <f>(R4057+T4057)</f>
        <v>0</v>
      </c>
      <c r="C4058" s="887"/>
      <c r="D4058" s="887"/>
      <c r="E4058" s="887"/>
      <c r="F4058" s="888"/>
      <c r="G4058" s="887" t="s">
        <v>143</v>
      </c>
      <c r="H4058" s="887"/>
      <c r="I4058" s="889"/>
      <c r="J4058" s="887"/>
      <c r="K4058" s="887" t="s">
        <v>3</v>
      </c>
      <c r="L4058" s="890" t="s">
        <v>140</v>
      </c>
      <c r="M4058" s="890"/>
      <c r="N4058" s="890"/>
      <c r="O4058" s="890"/>
      <c r="P4058" s="890"/>
      <c r="Q4058" s="891"/>
      <c r="R4058" s="892">
        <f ca="1">SUM(R4054:R4057)</f>
        <v>83.4</v>
      </c>
      <c r="S4058" s="887"/>
      <c r="T4058" s="892">
        <f ca="1">SUM(T4054:T4057)</f>
        <v>3</v>
      </c>
      <c r="U4058" s="514"/>
      <c r="V4058" s="514"/>
      <c r="W4058" s="514"/>
      <c r="X4058" s="514"/>
      <c r="Y4058" s="514"/>
      <c r="Z4058" s="514"/>
      <c r="AA4058" s="514"/>
      <c r="AB4058" s="514"/>
      <c r="AC4058" s="514"/>
      <c r="AD4058" s="514"/>
      <c r="AE4058" s="514"/>
      <c r="AF4058" s="514"/>
      <c r="AG4058" s="514"/>
      <c r="AH4058" s="514"/>
      <c r="AI4058" s="514"/>
      <c r="AJ4058" s="514"/>
      <c r="AK4058" s="514"/>
      <c r="AL4058" s="514"/>
      <c r="AM4058" s="514"/>
      <c r="AN4058" s="514"/>
      <c r="AO4058" s="514"/>
    </row>
    <row r="4059" spans="1:41" s="504" customFormat="1" ht="12" thickTop="1">
      <c r="A4059" s="50"/>
      <c r="B4059" s="40"/>
      <c r="C4059" s="50"/>
      <c r="E4059" s="41" t="s">
        <v>136</v>
      </c>
      <c r="F4059" s="41" t="s">
        <v>137</v>
      </c>
      <c r="G4059" s="50"/>
      <c r="H4059" s="50"/>
      <c r="I4059" s="50"/>
      <c r="J4059" s="50"/>
      <c r="K4059" s="50" t="s">
        <v>138</v>
      </c>
      <c r="L4059" s="50"/>
      <c r="M4059" s="50"/>
      <c r="N4059" s="50"/>
      <c r="O4059" s="51"/>
      <c r="P4059" s="50"/>
      <c r="Q4059" s="50"/>
      <c r="R4059" s="50"/>
      <c r="S4059" s="50"/>
      <c r="T4059" s="40"/>
      <c r="AG4059" s="867" t="s">
        <v>241</v>
      </c>
      <c r="AH4059" s="867" t="s">
        <v>242</v>
      </c>
      <c r="AI4059" s="867" t="s">
        <v>243</v>
      </c>
      <c r="AJ4059" s="867" t="s">
        <v>244</v>
      </c>
      <c r="AK4059" s="867" t="s">
        <v>245</v>
      </c>
      <c r="AM4059" s="868" t="s">
        <v>254</v>
      </c>
      <c r="AN4059" s="869" t="s">
        <v>255</v>
      </c>
      <c r="AO4059" s="505" t="s">
        <v>251</v>
      </c>
    </row>
    <row r="4060" spans="1:41" s="504" customFormat="1" ht="12" customHeight="1">
      <c r="A4060" s="870">
        <v>24</v>
      </c>
      <c r="B4060" s="871" t="s">
        <v>306</v>
      </c>
      <c r="C4060" s="872"/>
      <c r="D4060" s="873" t="s">
        <v>819</v>
      </c>
      <c r="E4060" s="874">
        <f ca="1">IF(AND($A4060=0,$A$1="DIF"),0, ROUND(ROUND(($R4065*$S$2+($T4065*$T$2))/A4060,2)*$C$2,2))</f>
        <v>4.5</v>
      </c>
      <c r="F4060" s="875">
        <f ca="1">ROUND($A4060*$E4060,2)</f>
        <v>108</v>
      </c>
      <c r="G4060" s="876" t="s">
        <v>139</v>
      </c>
      <c r="H4060" s="877"/>
      <c r="I4060" s="878"/>
      <c r="J4060" s="877"/>
      <c r="K4060" s="877" t="s">
        <v>3</v>
      </c>
      <c r="L4060" s="879" t="s">
        <v>140</v>
      </c>
      <c r="M4060" s="879"/>
      <c r="N4060" s="879"/>
      <c r="O4060" s="879"/>
      <c r="P4060" s="879"/>
      <c r="Q4060" s="50"/>
      <c r="T4060" s="880" t="str">
        <f ca="1">IF(AND($R4065=0,$T4065=0),"0.00","mu :" &amp; ROUND($F4060/$C$2/($R4065+$T4065*$D$9),2))</f>
        <v>mu :1.22</v>
      </c>
      <c r="W4060" s="507"/>
      <c r="AG4060" s="465">
        <f ca="1">IF($E4060=0,0,ROUND($R4065*$S$2*$C$2/$A4060,2))</f>
        <v>1.68</v>
      </c>
      <c r="AH4060" s="465">
        <f ca="1">$AG4060*$A4060</f>
        <v>40.32</v>
      </c>
      <c r="AI4060" s="508">
        <f ca="1">$E4060-$AG4060</f>
        <v>2.8200000000000003</v>
      </c>
      <c r="AJ4060" s="508">
        <f ca="1">$A4060*$AI4060</f>
        <v>67.680000000000007</v>
      </c>
      <c r="AK4060" s="509">
        <f ca="1">ROUND(($AG4060+$AI4060)*$A4060,2)</f>
        <v>108</v>
      </c>
      <c r="AM4060" s="510">
        <f ca="1">ROUND(R4065,2)</f>
        <v>33.119999999999997</v>
      </c>
      <c r="AN4060" s="511">
        <f ca="1">ROUND(T4065,2)</f>
        <v>1.92</v>
      </c>
      <c r="AO4060" s="512">
        <f ca="1">ROUND(AM4060+AN4060,2)*A4060</f>
        <v>840.96</v>
      </c>
    </row>
    <row r="4061" spans="1:41" s="504" customFormat="1" ht="13.2">
      <c r="A4061" s="872"/>
      <c r="B4061"/>
      <c r="C4061" s="872"/>
      <c r="D4061" s="916" t="s">
        <v>793</v>
      </c>
      <c r="E4061" s="917"/>
      <c r="F4061" s="918"/>
      <c r="G4061" s="919"/>
      <c r="H4061" s="918"/>
      <c r="I4061" s="920"/>
      <c r="J4061" s="918"/>
      <c r="K4061" s="918" t="s">
        <v>141</v>
      </c>
      <c r="L4061" s="918"/>
      <c r="M4061" s="918"/>
      <c r="N4061" s="918"/>
      <c r="O4061" s="918"/>
      <c r="P4061" s="918"/>
      <c r="Q4061" s="921"/>
      <c r="R4061" s="513"/>
      <c r="S4061" s="881"/>
      <c r="T4061" s="877"/>
    </row>
    <row r="4062" spans="1:41" s="997" customFormat="1" ht="13.2">
      <c r="A4062"/>
      <c r="B4062" s="1065"/>
      <c r="C4062" s="1065" t="s">
        <v>1006</v>
      </c>
      <c r="D4062" s="1065" t="str">
        <f ca="1">CELL("Address",Elec_Rates!D$105)</f>
        <v>[EL25_0662B_Brittania_Hotel_Elec_Revised_Estim_B.xlsx]Elec_Rates!$D$105</v>
      </c>
      <c r="E4062" s="1066"/>
      <c r="F4062" s="1066"/>
      <c r="G4062" s="1067" t="s">
        <v>1007</v>
      </c>
      <c r="H4062" s="1067"/>
      <c r="I4062" s="1067"/>
      <c r="J4062" s="1067"/>
      <c r="K4062" s="1068"/>
      <c r="L4062" s="1066"/>
      <c r="M4062" s="1066"/>
      <c r="N4062" s="1066"/>
      <c r="O4062" s="1069"/>
      <c r="P4062" s="1066"/>
      <c r="Q4062" s="1070"/>
      <c r="R4062" s="1071"/>
      <c r="S4062" s="1070"/>
      <c r="T4062" s="1072"/>
      <c r="U4062" s="1073"/>
    </row>
    <row r="4063" spans="1:41" s="997" customFormat="1" ht="11.4">
      <c r="A4063" s="1074">
        <v>24</v>
      </c>
      <c r="B4063" s="1075">
        <v>1</v>
      </c>
      <c r="C4063" s="1075">
        <f>$A4063*$B4063</f>
        <v>24</v>
      </c>
      <c r="D4063" s="1076" t="str">
        <f>Elec_Rates!$D$105</f>
        <v>010# 3 core x 2.5 mm2 FG16(O)M16 Cable</v>
      </c>
      <c r="E4063" s="1076"/>
      <c r="F4063" s="1076"/>
      <c r="G4063" s="1077" t="s">
        <v>1008</v>
      </c>
      <c r="H4063" s="1077"/>
      <c r="I4063" s="1077"/>
      <c r="J4063" s="1077"/>
      <c r="K4063" s="1078"/>
      <c r="L4063" s="1073"/>
      <c r="M4063" s="1073"/>
      <c r="N4063" s="1073"/>
      <c r="O4063" s="1079"/>
      <c r="P4063" s="1076"/>
      <c r="Q4063" s="1080">
        <f ca="1">$B4063*Elec_Rates!$R$105</f>
        <v>1.38</v>
      </c>
      <c r="R4063" s="1071">
        <f ca="1">$A4063*Q4063</f>
        <v>33.119999999999997</v>
      </c>
      <c r="S4063" s="1080">
        <f ca="1">$B4063*Elec_Rates!$T$105</f>
        <v>0.08</v>
      </c>
      <c r="T4063" s="1072">
        <f ca="1">$A4063*S4063</f>
        <v>1.92</v>
      </c>
      <c r="U4063" s="1081"/>
    </row>
    <row r="4064" spans="1:41" s="504" customFormat="1" ht="12">
      <c r="A4064" s="882"/>
      <c r="B4064" s="882"/>
      <c r="C4064" s="882"/>
      <c r="D4064" s="882"/>
      <c r="E4064" s="882"/>
      <c r="F4064" s="877"/>
      <c r="G4064" s="882"/>
      <c r="H4064" s="882"/>
      <c r="I4064" s="503"/>
      <c r="J4064" s="882"/>
      <c r="K4064" s="882"/>
      <c r="L4064" s="882"/>
      <c r="M4064" s="882"/>
      <c r="N4064" s="882"/>
      <c r="O4064" s="882"/>
      <c r="P4064" s="882"/>
      <c r="Q4064" s="503"/>
      <c r="R4064" s="883">
        <f>$A4064*Q4064</f>
        <v>0</v>
      </c>
      <c r="S4064" s="503"/>
      <c r="T4064" s="884">
        <f>$A4064*S4064*$T$1</f>
        <v>0</v>
      </c>
    </row>
    <row r="4065" spans="1:41" s="504" customFormat="1" ht="12.6" thickBot="1">
      <c r="A4065" s="885" t="s">
        <v>142</v>
      </c>
      <c r="B4065" s="886">
        <f>(R4064+T4064)</f>
        <v>0</v>
      </c>
      <c r="C4065" s="887"/>
      <c r="D4065" s="887"/>
      <c r="E4065" s="887"/>
      <c r="F4065" s="888"/>
      <c r="G4065" s="887" t="s">
        <v>143</v>
      </c>
      <c r="H4065" s="887"/>
      <c r="I4065" s="889"/>
      <c r="J4065" s="887"/>
      <c r="K4065" s="887" t="s">
        <v>3</v>
      </c>
      <c r="L4065" s="890" t="s">
        <v>140</v>
      </c>
      <c r="M4065" s="890"/>
      <c r="N4065" s="890"/>
      <c r="O4065" s="890"/>
      <c r="P4065" s="890"/>
      <c r="Q4065" s="891"/>
      <c r="R4065" s="892">
        <f ca="1">SUM(R4061:R4064)</f>
        <v>33.119999999999997</v>
      </c>
      <c r="S4065" s="887"/>
      <c r="T4065" s="892">
        <f ca="1">SUM(T4061:T4064)</f>
        <v>1.92</v>
      </c>
      <c r="U4065" s="514"/>
      <c r="V4065" s="514"/>
      <c r="W4065" s="514"/>
      <c r="X4065" s="514"/>
      <c r="Y4065" s="514"/>
      <c r="Z4065" s="514"/>
      <c r="AA4065" s="514"/>
      <c r="AB4065" s="514"/>
      <c r="AC4065" s="514"/>
      <c r="AD4065" s="514"/>
      <c r="AE4065" s="514"/>
      <c r="AF4065" s="514"/>
      <c r="AG4065" s="514"/>
      <c r="AH4065" s="514"/>
      <c r="AI4065" s="514"/>
      <c r="AJ4065" s="514"/>
      <c r="AK4065" s="514"/>
      <c r="AL4065" s="514"/>
      <c r="AM4065" s="514"/>
      <c r="AN4065" s="514"/>
      <c r="AO4065" s="514"/>
    </row>
    <row r="4066" spans="1:41" s="504" customFormat="1" ht="12" thickTop="1">
      <c r="A4066" s="47" t="s">
        <v>145</v>
      </c>
      <c r="D4066" s="13"/>
      <c r="E4066" s="41"/>
      <c r="O4066" s="893"/>
    </row>
    <row r="4067" spans="1:41" s="504" customFormat="1" ht="13.2">
      <c r="B4067" s="3"/>
      <c r="O4067" s="893"/>
    </row>
    <row r="4068" spans="1:41" s="504" customFormat="1" ht="12">
      <c r="B4068" s="894">
        <f ca="1">$F4068/$C$2-($R4068*$S$2+$T4068*$T$2)</f>
        <v>-0.14444719999994504</v>
      </c>
      <c r="D4068" s="895" t="s">
        <v>817</v>
      </c>
      <c r="E4068" s="896"/>
      <c r="F4068" s="897">
        <f ca="1">SUMIF($L4038:$L4066,"ITEM",F4038:F4066)</f>
        <v>646.72</v>
      </c>
      <c r="G4068" s="882"/>
      <c r="H4068" s="882"/>
      <c r="I4068" s="503"/>
      <c r="J4068" s="882"/>
      <c r="K4068" s="882"/>
      <c r="L4068" s="879" t="s">
        <v>154</v>
      </c>
      <c r="M4068" s="879"/>
      <c r="N4068" s="879"/>
      <c r="O4068" s="879"/>
      <c r="P4068" s="879"/>
      <c r="R4068" s="897">
        <f ca="1">SUMIF($L4038:$L4066,"ITEM",R4038:R4066)</f>
        <v>249.96</v>
      </c>
      <c r="S4068" s="898"/>
      <c r="T4068" s="897">
        <f ca="1">SUMIF($L4038:$L4066,"ITEM",T4038:T4066)</f>
        <v>9.7199999999999989</v>
      </c>
    </row>
    <row r="4069" spans="1:41" s="504" customFormat="1" ht="13.2">
      <c r="A4069" s="50"/>
      <c r="B4069" s="48" t="s">
        <v>816</v>
      </c>
      <c r="C4069" s="50"/>
      <c r="D4069" s="3"/>
      <c r="F4069" s="899" t="s">
        <v>155</v>
      </c>
      <c r="G4069" s="882"/>
      <c r="H4069" s="882"/>
      <c r="I4069" s="503"/>
      <c r="J4069" s="882"/>
      <c r="K4069" s="882"/>
      <c r="L4069" s="882"/>
      <c r="M4069" s="882"/>
      <c r="N4069" s="882"/>
      <c r="O4069" s="882"/>
      <c r="P4069" s="882"/>
      <c r="Q4069" s="900"/>
      <c r="R4069" s="899" t="s">
        <v>156</v>
      </c>
      <c r="S4069" s="38"/>
      <c r="T4069" s="899" t="s">
        <v>157</v>
      </c>
    </row>
    <row r="4070" spans="1:41" s="504" customFormat="1" ht="13.2">
      <c r="A4070" s="882"/>
      <c r="B4070" s="3"/>
      <c r="C4070" s="882"/>
      <c r="D4070" s="3"/>
      <c r="E4070" s="3"/>
      <c r="G4070" s="3"/>
      <c r="H4070" s="3"/>
      <c r="I4070" s="3"/>
      <c r="J4070" s="3"/>
      <c r="K4070" s="3"/>
      <c r="L4070" s="3"/>
      <c r="M4070" s="3"/>
      <c r="N4070" s="3"/>
      <c r="O4070" s="103"/>
      <c r="P4070" s="3"/>
      <c r="Q4070" s="3"/>
      <c r="R4070" s="3"/>
      <c r="S4070" s="3"/>
      <c r="T4070" s="3"/>
    </row>
    <row r="4071" spans="1:41" s="504" customFormat="1" ht="12" thickBot="1">
      <c r="A4071" s="514"/>
      <c r="B4071" s="887"/>
      <c r="C4071" s="887"/>
      <c r="D4071" s="514"/>
      <c r="E4071" s="39"/>
      <c r="F4071" s="901"/>
      <c r="G4071" s="887"/>
      <c r="H4071" s="887"/>
      <c r="I4071" s="889"/>
      <c r="J4071" s="887"/>
      <c r="K4071" s="887"/>
      <c r="L4071" s="890"/>
      <c r="M4071" s="890"/>
      <c r="N4071" s="890"/>
      <c r="O4071" s="890"/>
      <c r="P4071" s="890"/>
      <c r="Q4071" s="891"/>
      <c r="R4071" s="901"/>
      <c r="S4071" s="902"/>
      <c r="T4071" s="901"/>
      <c r="U4071" s="514"/>
      <c r="V4071" s="514"/>
      <c r="W4071" s="514"/>
      <c r="X4071" s="514"/>
      <c r="Y4071" s="514"/>
      <c r="Z4071" s="514"/>
      <c r="AA4071" s="514"/>
      <c r="AB4071" s="514"/>
      <c r="AC4071" s="514"/>
      <c r="AD4071" s="514"/>
      <c r="AE4071" s="514"/>
      <c r="AF4071" s="514"/>
      <c r="AG4071" s="514"/>
      <c r="AH4071" s="514"/>
      <c r="AI4071" s="514"/>
      <c r="AJ4071" s="514"/>
      <c r="AK4071" s="514"/>
    </row>
    <row r="4072" spans="1:41" s="504" customFormat="1" thickTop="1">
      <c r="A4072" s="50"/>
      <c r="B4072" s="50"/>
      <c r="C4072" s="3"/>
      <c r="D4072" s="3"/>
      <c r="E4072" s="50"/>
      <c r="F4072" s="50"/>
      <c r="G4072" s="50"/>
      <c r="H4072" s="50"/>
      <c r="I4072" s="50"/>
      <c r="J4072" s="50"/>
      <c r="K4072" s="50" t="s">
        <v>133</v>
      </c>
      <c r="L4072" s="50"/>
      <c r="M4072" s="50"/>
      <c r="N4072" s="50"/>
      <c r="O4072" s="51"/>
      <c r="P4072" s="50"/>
      <c r="Q4072" s="50"/>
      <c r="R4072" s="50"/>
      <c r="S4072" s="50"/>
      <c r="T4072" s="50"/>
    </row>
    <row r="4073" spans="1:41" s="504" customFormat="1" ht="12">
      <c r="A4073" s="50"/>
      <c r="B4073" s="50"/>
      <c r="C4073" s="50" t="s">
        <v>134</v>
      </c>
      <c r="D4073" s="37"/>
      <c r="E4073" s="50"/>
      <c r="F4073" s="50"/>
      <c r="G4073" s="50"/>
      <c r="H4073" s="50"/>
      <c r="I4073" s="50"/>
      <c r="J4073" s="50"/>
      <c r="K4073" s="50"/>
      <c r="L4073" s="50"/>
      <c r="M4073" s="50"/>
      <c r="N4073" s="50"/>
      <c r="O4073" s="51"/>
      <c r="P4073" s="50"/>
      <c r="Q4073" s="50"/>
      <c r="R4073" s="50"/>
      <c r="S4073" s="50"/>
      <c r="T4073" s="50"/>
    </row>
    <row r="4074" spans="1:41" s="504" customFormat="1" ht="12">
      <c r="A4074" s="50"/>
      <c r="B4074" s="50"/>
      <c r="C4074" s="50"/>
      <c r="D4074" s="37" t="s">
        <v>487</v>
      </c>
      <c r="E4074" s="50"/>
      <c r="F4074" s="50"/>
      <c r="G4074" s="50"/>
      <c r="H4074" s="50"/>
      <c r="I4074" s="50"/>
      <c r="J4074" s="50"/>
      <c r="K4074" s="50"/>
      <c r="L4074" s="50"/>
      <c r="M4074" s="50"/>
      <c r="N4074" s="50"/>
      <c r="O4074" s="51"/>
      <c r="P4074" s="50"/>
      <c r="Q4074" s="50"/>
      <c r="R4074" s="50"/>
      <c r="S4074" s="38"/>
      <c r="T4074" s="38"/>
    </row>
    <row r="4075" spans="1:41" s="3" customFormat="1" thickBot="1">
      <c r="A4075" s="514"/>
      <c r="O4075" s="103"/>
    </row>
    <row r="4076" spans="1:41" s="504" customFormat="1" thickTop="1">
      <c r="A4076" s="50"/>
      <c r="B4076" s="50"/>
      <c r="C4076" s="3"/>
      <c r="D4076" s="3"/>
      <c r="E4076" s="50"/>
      <c r="F4076" s="50"/>
      <c r="G4076" s="50"/>
      <c r="H4076" s="50"/>
      <c r="I4076" s="50"/>
      <c r="J4076" s="50"/>
      <c r="K4076" s="50" t="s">
        <v>133</v>
      </c>
      <c r="L4076" s="50"/>
      <c r="M4076" s="50"/>
      <c r="N4076" s="50"/>
      <c r="O4076" s="51"/>
      <c r="P4076" s="50"/>
      <c r="Q4076" s="50"/>
      <c r="R4076" s="50"/>
      <c r="S4076" s="50"/>
      <c r="T4076" s="50"/>
    </row>
    <row r="4077" spans="1:41" s="504" customFormat="1" ht="12">
      <c r="A4077" s="50"/>
      <c r="B4077" s="50"/>
      <c r="C4077" s="50" t="s">
        <v>134</v>
      </c>
      <c r="D4077" s="37"/>
      <c r="E4077" s="50"/>
      <c r="F4077" s="50"/>
      <c r="G4077" s="50"/>
      <c r="H4077" s="50"/>
      <c r="I4077" s="50"/>
      <c r="J4077" s="50"/>
      <c r="K4077" s="50"/>
      <c r="L4077" s="50"/>
      <c r="M4077" s="50"/>
      <c r="N4077" s="50"/>
      <c r="O4077" s="51"/>
      <c r="P4077" s="50"/>
      <c r="Q4077" s="50"/>
      <c r="R4077" s="50"/>
      <c r="S4077" s="50"/>
      <c r="T4077" s="50"/>
    </row>
    <row r="4078" spans="1:41" s="504" customFormat="1" ht="12">
      <c r="A4078" s="50"/>
      <c r="B4078" s="50"/>
      <c r="C4078" s="50"/>
      <c r="D4078" s="37" t="s">
        <v>332</v>
      </c>
      <c r="E4078" s="50"/>
      <c r="F4078" s="50"/>
      <c r="G4078" s="50"/>
      <c r="H4078" s="50"/>
      <c r="I4078" s="50"/>
      <c r="J4078" s="50"/>
      <c r="K4078" s="50"/>
      <c r="L4078" s="50"/>
      <c r="M4078" s="50"/>
      <c r="N4078" s="50"/>
      <c r="O4078" s="51"/>
      <c r="P4078" s="50"/>
      <c r="Q4078" s="50"/>
      <c r="R4078" s="50"/>
      <c r="S4078" s="38"/>
      <c r="T4078" s="38"/>
    </row>
    <row r="4079" spans="1:41" s="3" customFormat="1" thickBot="1">
      <c r="A4079" s="514"/>
      <c r="O4079" s="103"/>
    </row>
    <row r="4080" spans="1:41" s="504" customFormat="1" thickTop="1">
      <c r="A4080" s="50"/>
      <c r="B4080" s="50"/>
      <c r="C4080" s="3"/>
      <c r="D4080" s="3"/>
      <c r="E4080" s="50"/>
      <c r="F4080" s="50"/>
      <c r="G4080" s="50"/>
      <c r="H4080" s="50"/>
      <c r="I4080" s="50"/>
      <c r="J4080" s="50"/>
      <c r="K4080" s="50" t="s">
        <v>133</v>
      </c>
      <c r="L4080" s="50"/>
      <c r="M4080" s="50"/>
      <c r="N4080" s="50"/>
      <c r="O4080" s="51"/>
      <c r="P4080" s="50"/>
      <c r="Q4080" s="50"/>
      <c r="R4080" s="50"/>
      <c r="S4080" s="50"/>
      <c r="T4080" s="50"/>
    </row>
    <row r="4081" spans="1:41" s="504" customFormat="1" ht="12">
      <c r="A4081" s="50"/>
      <c r="B4081" s="50"/>
      <c r="C4081" s="50" t="s">
        <v>134</v>
      </c>
      <c r="D4081" s="37" t="s">
        <v>904</v>
      </c>
      <c r="E4081" s="50"/>
      <c r="F4081" s="50"/>
      <c r="G4081" s="50"/>
      <c r="H4081" s="50"/>
      <c r="I4081" s="50"/>
      <c r="J4081" s="50"/>
      <c r="K4081" s="50"/>
      <c r="L4081" s="50"/>
      <c r="M4081" s="50"/>
      <c r="N4081" s="50"/>
      <c r="O4081" s="51"/>
      <c r="P4081" s="50"/>
      <c r="Q4081" s="50"/>
      <c r="R4081" s="50"/>
      <c r="S4081" s="50"/>
      <c r="T4081" s="50"/>
    </row>
    <row r="4082" spans="1:41" s="504" customFormat="1" ht="12">
      <c r="A4082" s="50"/>
      <c r="B4082" s="50"/>
      <c r="C4082" s="50"/>
      <c r="D4082" s="37" t="s">
        <v>839</v>
      </c>
      <c r="E4082" s="50"/>
      <c r="F4082" s="50"/>
      <c r="G4082" s="50"/>
      <c r="H4082" s="50"/>
      <c r="I4082" s="50"/>
      <c r="J4082" s="50"/>
      <c r="K4082" s="50"/>
      <c r="L4082" s="50"/>
      <c r="M4082" s="50"/>
      <c r="N4082" s="50"/>
      <c r="O4082" s="51"/>
      <c r="P4082" s="50"/>
      <c r="Q4082" s="50"/>
      <c r="R4082" s="50"/>
      <c r="S4082" s="38"/>
      <c r="T4082" s="38"/>
    </row>
    <row r="4083" spans="1:41" s="3" customFormat="1" thickBot="1">
      <c r="A4083" s="514"/>
      <c r="O4083" s="103"/>
    </row>
    <row r="4084" spans="1:41" s="504" customFormat="1" ht="12" thickTop="1">
      <c r="A4084" s="50"/>
      <c r="B4084" s="40"/>
      <c r="C4084" s="50"/>
      <c r="E4084" s="41" t="s">
        <v>136</v>
      </c>
      <c r="F4084" s="41" t="s">
        <v>137</v>
      </c>
      <c r="G4084" s="50"/>
      <c r="H4084" s="50"/>
      <c r="I4084" s="50"/>
      <c r="J4084" s="50"/>
      <c r="K4084" s="50" t="s">
        <v>138</v>
      </c>
      <c r="L4084" s="50"/>
      <c r="M4084" s="50"/>
      <c r="N4084" s="50"/>
      <c r="O4084" s="51"/>
      <c r="P4084" s="50"/>
      <c r="Q4084" s="50"/>
      <c r="R4084" s="50"/>
      <c r="S4084" s="50"/>
      <c r="T4084" s="40"/>
      <c r="AG4084" s="867" t="s">
        <v>241</v>
      </c>
      <c r="AH4084" s="867" t="s">
        <v>242</v>
      </c>
      <c r="AI4084" s="867" t="s">
        <v>243</v>
      </c>
      <c r="AJ4084" s="867" t="s">
        <v>244</v>
      </c>
      <c r="AK4084" s="867" t="s">
        <v>245</v>
      </c>
      <c r="AM4084" s="868" t="s">
        <v>254</v>
      </c>
      <c r="AN4084" s="869" t="s">
        <v>255</v>
      </c>
      <c r="AO4084" s="505" t="s">
        <v>251</v>
      </c>
    </row>
    <row r="4085" spans="1:41" s="504" customFormat="1" ht="12" customHeight="1">
      <c r="A4085" s="870">
        <v>1</v>
      </c>
      <c r="B4085" s="871" t="s">
        <v>335</v>
      </c>
      <c r="C4085" s="872"/>
      <c r="D4085" s="873" t="s">
        <v>804</v>
      </c>
      <c r="E4085" s="874">
        <f ca="1">IF(AND($A4085=0,$A$1="DIF"),0, ROUND(ROUND(($R4092*$S$2+($T4092*$T$2))/A4085,2)*$C$2,2))</f>
        <v>611.02</v>
      </c>
      <c r="F4085" s="875">
        <f ca="1">ROUND($A4085*$E4085,2)</f>
        <v>611.02</v>
      </c>
      <c r="G4085" s="876" t="s">
        <v>139</v>
      </c>
      <c r="H4085" s="877"/>
      <c r="I4085" s="878"/>
      <c r="J4085" s="877"/>
      <c r="K4085" s="877" t="s">
        <v>3</v>
      </c>
      <c r="L4085" s="879" t="s">
        <v>140</v>
      </c>
      <c r="M4085" s="879"/>
      <c r="N4085" s="879"/>
      <c r="O4085" s="879"/>
      <c r="P4085" s="879"/>
      <c r="Q4085" s="50"/>
      <c r="T4085" s="880" t="str">
        <f ca="1">IF(AND($R4092=0,$T4092=0),"0.00","mu :" &amp; ROUND($F4085/$C$2/($R4092+$T4092*$D$9),2))</f>
        <v>mu :1.22</v>
      </c>
      <c r="W4085" s="507"/>
      <c r="AG4085" s="465">
        <f ca="1">IF($E4085=0,0,ROUND($R4092*$S$2*$C$2/$A4085,2))</f>
        <v>154.96</v>
      </c>
      <c r="AH4085" s="465">
        <f ca="1">$AG4085*$A4085</f>
        <v>154.96</v>
      </c>
      <c r="AI4085" s="508">
        <f ca="1">$E4085-$AG4085</f>
        <v>456.05999999999995</v>
      </c>
      <c r="AJ4085" s="508">
        <f ca="1">$A4085*$AI4085</f>
        <v>456.05999999999995</v>
      </c>
      <c r="AK4085" s="509">
        <f ca="1">ROUND(($AG4085+$AI4085)*$A4085,2)</f>
        <v>611.02</v>
      </c>
      <c r="AM4085" s="510">
        <f ca="1">ROUND(R4092,2)</f>
        <v>127.02</v>
      </c>
      <c r="AN4085" s="511">
        <f ca="1">ROUND(T4092,2)</f>
        <v>12.97</v>
      </c>
      <c r="AO4085" s="512">
        <f ca="1">ROUND(AM4085+AN4085,2)*A4085</f>
        <v>139.99</v>
      </c>
    </row>
    <row r="4086" spans="1:41" s="504" customFormat="1" ht="13.2">
      <c r="A4086" s="872"/>
      <c r="B4086"/>
      <c r="C4086" s="872"/>
      <c r="D4086" s="873" t="s">
        <v>488</v>
      </c>
      <c r="F4086" s="877"/>
      <c r="G4086" s="3"/>
      <c r="H4086" s="877"/>
      <c r="I4086" s="878"/>
      <c r="J4086" s="877"/>
      <c r="K4086" s="877" t="s">
        <v>141</v>
      </c>
      <c r="L4086" s="877"/>
      <c r="M4086" s="877"/>
      <c r="N4086" s="877"/>
      <c r="O4086" s="877"/>
      <c r="P4086" s="877"/>
      <c r="Q4086" s="50"/>
      <c r="R4086" s="513"/>
      <c r="S4086" s="881"/>
      <c r="T4086" s="877"/>
    </row>
    <row r="4087" spans="1:41" s="997" customFormat="1" ht="13.2">
      <c r="A4087"/>
      <c r="B4087" s="1065"/>
      <c r="C4087" s="1065" t="s">
        <v>1006</v>
      </c>
      <c r="D4087" s="1065" t="str">
        <f ca="1">CELL("Address",Elec_Rates!D$200)</f>
        <v>[EL25_0662B_Brittania_Hotel_Elec_Revised_Estim_B.xlsx]Elec_Rates!$D$200</v>
      </c>
      <c r="E4087" s="1066"/>
      <c r="F4087" s="1066"/>
      <c r="G4087" s="1067" t="s">
        <v>1007</v>
      </c>
      <c r="H4087" s="1067"/>
      <c r="I4087" s="1067"/>
      <c r="J4087" s="1067"/>
      <c r="K4087" s="1068"/>
      <c r="L4087" s="1066"/>
      <c r="M4087" s="1066"/>
      <c r="N4087" s="1066"/>
      <c r="O4087" s="1069"/>
      <c r="P4087" s="1066"/>
      <c r="Q4087" s="1070"/>
      <c r="R4087" s="1071"/>
      <c r="S4087" s="1070"/>
      <c r="T4087" s="1072"/>
      <c r="U4087" s="1073"/>
    </row>
    <row r="4088" spans="1:41" s="997" customFormat="1" ht="11.4">
      <c r="A4088" s="1074">
        <v>1</v>
      </c>
      <c r="B4088" s="1075">
        <v>9.5</v>
      </c>
      <c r="C4088" s="1075">
        <f>$A4088*$B4088</f>
        <v>9.5</v>
      </c>
      <c r="D4088" s="1076" t="str">
        <f>Elec_Rates!$D$200</f>
        <v>019# Lighting point in LSZH Conduit</v>
      </c>
      <c r="E4088" s="1076"/>
      <c r="F4088" s="1076" t="s">
        <v>1403</v>
      </c>
      <c r="G4088" s="1077" t="s">
        <v>1008</v>
      </c>
      <c r="H4088" s="1077"/>
      <c r="I4088" s="1077"/>
      <c r="J4088" s="1077"/>
      <c r="K4088" s="1078"/>
      <c r="L4088" s="1073"/>
      <c r="M4088" s="1073"/>
      <c r="N4088" s="1073"/>
      <c r="O4088" s="1079"/>
      <c r="P4088" s="1076"/>
      <c r="Q4088" s="1080">
        <f ca="1">$B4088*Elec_Rates!$R$200</f>
        <v>91.674999999999997</v>
      </c>
      <c r="R4088" s="1071">
        <f ca="1">$A4088*Q4088</f>
        <v>91.674999999999997</v>
      </c>
      <c r="S4088" s="1080">
        <f ca="1">$B4088*Elec_Rates!$T$200</f>
        <v>12.445</v>
      </c>
      <c r="T4088" s="1072">
        <f ca="1">$A4088*S4088</f>
        <v>12.445</v>
      </c>
      <c r="U4088" s="1081"/>
    </row>
    <row r="4089" spans="1:41" s="997" customFormat="1" ht="13.2">
      <c r="A4089"/>
      <c r="B4089" s="1065"/>
      <c r="C4089" s="1065" t="s">
        <v>1006</v>
      </c>
      <c r="D4089" s="1065" t="str">
        <f ca="1">CELL("Address",Elec_Rates!D$210)</f>
        <v>[EL25_0662B_Brittania_Hotel_Elec_Revised_Estim_B.xlsx]Elec_Rates!$D$210</v>
      </c>
      <c r="E4089" s="1066"/>
      <c r="F4089" s="1066"/>
      <c r="G4089" s="1067" t="s">
        <v>1007</v>
      </c>
      <c r="H4089" s="1067"/>
      <c r="I4089" s="1067"/>
      <c r="J4089" s="1067"/>
      <c r="K4089" s="1068"/>
      <c r="L4089" s="1066"/>
      <c r="M4089" s="1066"/>
      <c r="N4089" s="1066"/>
      <c r="O4089" s="1069"/>
      <c r="P4089" s="1066"/>
      <c r="Q4089" s="1070"/>
      <c r="R4089" s="1071"/>
      <c r="S4089" s="1070"/>
      <c r="T4089" s="1072"/>
      <c r="U4089" s="1073"/>
    </row>
    <row r="4090" spans="1:41" s="997" customFormat="1" ht="11.4">
      <c r="A4090" s="1074">
        <v>2</v>
      </c>
      <c r="B4090" s="1075">
        <v>1</v>
      </c>
      <c r="C4090" s="1075">
        <f>$A4090*$B4090</f>
        <v>2</v>
      </c>
      <c r="D4090" s="1076" t="str">
        <f>Elec_Rates!$D$210</f>
        <v>020# Movement Detector</v>
      </c>
      <c r="E4090" s="1076"/>
      <c r="F4090" s="1076"/>
      <c r="G4090" s="1077" t="s">
        <v>1008</v>
      </c>
      <c r="H4090" s="1077"/>
      <c r="I4090" s="1077"/>
      <c r="J4090" s="1077"/>
      <c r="K4090" s="1078"/>
      <c r="L4090" s="1073"/>
      <c r="M4090" s="1073"/>
      <c r="N4090" s="1073"/>
      <c r="O4090" s="1079"/>
      <c r="P4090" s="1076"/>
      <c r="Q4090" s="1080">
        <f ca="1">$B4090*Elec_Rates!$R$210</f>
        <v>17.670000000000002</v>
      </c>
      <c r="R4090" s="1071">
        <f ca="1">$A4090*Q4090</f>
        <v>35.340000000000003</v>
      </c>
      <c r="S4090" s="1080">
        <f ca="1">$B4090*Elec_Rates!$T$210</f>
        <v>0.26</v>
      </c>
      <c r="T4090" s="1072">
        <f ca="1">$A4090*S4090</f>
        <v>0.52</v>
      </c>
      <c r="U4090" s="1081"/>
    </row>
    <row r="4091" spans="1:41" s="504" customFormat="1" ht="12">
      <c r="A4091" s="882"/>
      <c r="B4091" s="882"/>
      <c r="C4091" s="882"/>
      <c r="D4091" s="882"/>
      <c r="E4091" s="882"/>
      <c r="F4091" s="877"/>
      <c r="G4091" s="882"/>
      <c r="H4091" s="882"/>
      <c r="I4091" s="503"/>
      <c r="J4091" s="882"/>
      <c r="K4091" s="882"/>
      <c r="L4091" s="882"/>
      <c r="M4091" s="882"/>
      <c r="N4091" s="882"/>
      <c r="O4091" s="882"/>
      <c r="P4091" s="882"/>
      <c r="Q4091" s="503"/>
      <c r="R4091" s="883">
        <f>$A4091*Q4091</f>
        <v>0</v>
      </c>
      <c r="S4091" s="503"/>
      <c r="T4091" s="884">
        <f>$A4091*S4091*$T$1</f>
        <v>0</v>
      </c>
    </row>
    <row r="4092" spans="1:41" s="504" customFormat="1" ht="12.6" thickBot="1">
      <c r="A4092" s="885" t="s">
        <v>142</v>
      </c>
      <c r="B4092" s="886">
        <f>(R4091+T4091)</f>
        <v>0</v>
      </c>
      <c r="C4092" s="887"/>
      <c r="D4092" s="887"/>
      <c r="E4092" s="887"/>
      <c r="F4092" s="888"/>
      <c r="G4092" s="887" t="s">
        <v>143</v>
      </c>
      <c r="H4092" s="887"/>
      <c r="I4092" s="889"/>
      <c r="J4092" s="887"/>
      <c r="K4092" s="887" t="s">
        <v>3</v>
      </c>
      <c r="L4092" s="890" t="s">
        <v>140</v>
      </c>
      <c r="M4092" s="890"/>
      <c r="N4092" s="890"/>
      <c r="O4092" s="890"/>
      <c r="P4092" s="890"/>
      <c r="Q4092" s="891"/>
      <c r="R4092" s="892">
        <f ca="1">SUM(R4086:R4091)</f>
        <v>127.015</v>
      </c>
      <c r="S4092" s="887"/>
      <c r="T4092" s="892">
        <f ca="1">SUM(T4086:T4091)</f>
        <v>12.965</v>
      </c>
      <c r="U4092" s="514"/>
      <c r="V4092" s="514"/>
      <c r="W4092" s="514"/>
      <c r="X4092" s="514"/>
      <c r="Y4092" s="514"/>
      <c r="Z4092" s="514"/>
      <c r="AA4092" s="514"/>
      <c r="AB4092" s="514"/>
      <c r="AC4092" s="514"/>
      <c r="AD4092" s="514"/>
      <c r="AE4092" s="514"/>
      <c r="AF4092" s="514"/>
      <c r="AG4092" s="514"/>
      <c r="AH4092" s="514"/>
      <c r="AI4092" s="514"/>
      <c r="AJ4092" s="514"/>
      <c r="AK4092" s="514"/>
      <c r="AL4092" s="514"/>
      <c r="AM4092" s="514"/>
      <c r="AN4092" s="514"/>
      <c r="AO4092" s="514"/>
    </row>
    <row r="4093" spans="1:41" s="504" customFormat="1" ht="12" thickTop="1">
      <c r="A4093" s="50"/>
      <c r="B4093" s="40"/>
      <c r="C4093" s="50"/>
      <c r="E4093" s="41" t="s">
        <v>136</v>
      </c>
      <c r="F4093" s="41" t="s">
        <v>137</v>
      </c>
      <c r="G4093" s="50"/>
      <c r="H4093" s="50"/>
      <c r="I4093" s="50"/>
      <c r="J4093" s="50"/>
      <c r="K4093" s="50" t="s">
        <v>138</v>
      </c>
      <c r="L4093" s="50"/>
      <c r="M4093" s="50"/>
      <c r="N4093" s="50"/>
      <c r="O4093" s="51"/>
      <c r="P4093" s="50"/>
      <c r="Q4093" s="50"/>
      <c r="R4093" s="50"/>
      <c r="S4093" s="50"/>
      <c r="T4093" s="40"/>
      <c r="AG4093" s="867" t="s">
        <v>241</v>
      </c>
      <c r="AH4093" s="867" t="s">
        <v>242</v>
      </c>
      <c r="AI4093" s="867" t="s">
        <v>243</v>
      </c>
      <c r="AJ4093" s="867" t="s">
        <v>244</v>
      </c>
      <c r="AK4093" s="867" t="s">
        <v>245</v>
      </c>
      <c r="AM4093" s="868" t="s">
        <v>254</v>
      </c>
      <c r="AN4093" s="869" t="s">
        <v>255</v>
      </c>
      <c r="AO4093" s="505" t="s">
        <v>251</v>
      </c>
    </row>
    <row r="4094" spans="1:41" s="504" customFormat="1" ht="12" customHeight="1">
      <c r="A4094" s="870">
        <v>1</v>
      </c>
      <c r="B4094" s="871" t="s">
        <v>335</v>
      </c>
      <c r="C4094" s="872"/>
      <c r="D4094" s="873" t="s">
        <v>806</v>
      </c>
      <c r="E4094" s="874">
        <f ca="1">IF(AND($A4094=0,$A$1="DIF"),0, ROUND(ROUND(($R4101*$S$2+($T4101*$T$2))/A4094,2)*$C$2,2))</f>
        <v>1399.15</v>
      </c>
      <c r="F4094" s="875">
        <f ca="1">ROUND($A4094*$E4094,2)</f>
        <v>1399.15</v>
      </c>
      <c r="G4094" s="876" t="s">
        <v>139</v>
      </c>
      <c r="H4094" s="877"/>
      <c r="I4094" s="878"/>
      <c r="J4094" s="877"/>
      <c r="K4094" s="877" t="s">
        <v>3</v>
      </c>
      <c r="L4094" s="879" t="s">
        <v>140</v>
      </c>
      <c r="M4094" s="879"/>
      <c r="N4094" s="879"/>
      <c r="O4094" s="879"/>
      <c r="P4094" s="879"/>
      <c r="Q4094" s="50"/>
      <c r="T4094" s="880" t="str">
        <f ca="1">IF(AND($R4101=0,$T4101=0),"0.00","mu :" &amp; ROUND($F4094/$C$2/($R4101+$T4101*$D$9),2))</f>
        <v>mu :1.22</v>
      </c>
      <c r="W4094" s="507"/>
      <c r="AG4094" s="465">
        <f ca="1">IF($E4094=0,0,ROUND($R4101*$S$2*$C$2/$A4094,2))</f>
        <v>376.58</v>
      </c>
      <c r="AH4094" s="465">
        <f ca="1">$AG4094*$A4094</f>
        <v>376.58</v>
      </c>
      <c r="AI4094" s="508">
        <f ca="1">$E4094-$AG4094</f>
        <v>1022.5700000000002</v>
      </c>
      <c r="AJ4094" s="508">
        <f ca="1">$A4094*$AI4094</f>
        <v>1022.5700000000002</v>
      </c>
      <c r="AK4094" s="509">
        <f ca="1">ROUND(($AG4094+$AI4094)*$A4094,2)</f>
        <v>1399.15</v>
      </c>
      <c r="AM4094" s="510">
        <f ca="1">ROUND(R4101,2)</f>
        <v>308.67</v>
      </c>
      <c r="AN4094" s="511">
        <f ca="1">ROUND(T4101,2)</f>
        <v>29.07</v>
      </c>
      <c r="AO4094" s="512">
        <f ca="1">ROUND(AM4094+AN4094,2)*A4094</f>
        <v>337.74</v>
      </c>
    </row>
    <row r="4095" spans="1:41" s="504" customFormat="1" ht="13.2">
      <c r="A4095" s="872"/>
      <c r="B4095"/>
      <c r="C4095" s="872"/>
      <c r="D4095" s="873" t="s">
        <v>489</v>
      </c>
      <c r="F4095" s="877"/>
      <c r="G4095" s="3"/>
      <c r="H4095" s="877"/>
      <c r="I4095" s="878"/>
      <c r="J4095" s="877"/>
      <c r="K4095" s="877" t="s">
        <v>141</v>
      </c>
      <c r="L4095" s="877"/>
      <c r="M4095" s="877"/>
      <c r="N4095" s="877"/>
      <c r="O4095" s="877"/>
      <c r="P4095" s="877"/>
      <c r="Q4095" s="50"/>
      <c r="R4095" s="513"/>
      <c r="S4095" s="881"/>
      <c r="T4095" s="877"/>
    </row>
    <row r="4096" spans="1:41" s="997" customFormat="1" ht="13.2">
      <c r="A4096"/>
      <c r="B4096" s="1065"/>
      <c r="C4096" s="1065" t="s">
        <v>1006</v>
      </c>
      <c r="D4096" s="1065" t="str">
        <f ca="1">CELL("Address",Elec_Rates!D$200)</f>
        <v>[EL25_0662B_Brittania_Hotel_Elec_Revised_Estim_B.xlsx]Elec_Rates!$D$200</v>
      </c>
      <c r="E4096" s="1066"/>
      <c r="F4096" s="1066"/>
      <c r="G4096" s="1067" t="s">
        <v>1007</v>
      </c>
      <c r="H4096" s="1067"/>
      <c r="I4096" s="1067"/>
      <c r="J4096" s="1067"/>
      <c r="K4096" s="1068"/>
      <c r="L4096" s="1066"/>
      <c r="M4096" s="1066"/>
      <c r="N4096" s="1066"/>
      <c r="O4096" s="1069"/>
      <c r="P4096" s="1066"/>
      <c r="Q4096" s="1070"/>
      <c r="R4096" s="1071"/>
      <c r="S4096" s="1070"/>
      <c r="T4096" s="1072"/>
      <c r="U4096" s="1073"/>
    </row>
    <row r="4097" spans="1:41" s="997" customFormat="1" ht="11.4">
      <c r="A4097" s="1074">
        <v>1</v>
      </c>
      <c r="B4097" s="1075">
        <v>21</v>
      </c>
      <c r="C4097" s="1075">
        <f>$A4097*$B4097</f>
        <v>21</v>
      </c>
      <c r="D4097" s="1076" t="str">
        <f>Elec_Rates!$D$200</f>
        <v>019# Lighting point in LSZH Conduit</v>
      </c>
      <c r="E4097" s="1076"/>
      <c r="F4097" s="1076" t="s">
        <v>1404</v>
      </c>
      <c r="G4097" s="1077" t="s">
        <v>1008</v>
      </c>
      <c r="H4097" s="1077"/>
      <c r="I4097" s="1077"/>
      <c r="J4097" s="1077"/>
      <c r="K4097" s="1078"/>
      <c r="L4097" s="1073"/>
      <c r="M4097" s="1073"/>
      <c r="N4097" s="1073"/>
      <c r="O4097" s="1079"/>
      <c r="P4097" s="1076"/>
      <c r="Q4097" s="1080">
        <f ca="1">$B4097*Elec_Rates!$R$200</f>
        <v>202.65</v>
      </c>
      <c r="R4097" s="1071">
        <f ca="1">$A4097*Q4097</f>
        <v>202.65</v>
      </c>
      <c r="S4097" s="1080">
        <f ca="1">$B4097*Elec_Rates!$T$200</f>
        <v>27.51</v>
      </c>
      <c r="T4097" s="1072">
        <f ca="1">$A4097*S4097</f>
        <v>27.51</v>
      </c>
      <c r="U4097" s="1081"/>
    </row>
    <row r="4098" spans="1:41" s="997" customFormat="1" ht="13.2">
      <c r="A4098"/>
      <c r="B4098" s="1065"/>
      <c r="C4098" s="1065" t="s">
        <v>1006</v>
      </c>
      <c r="D4098" s="1065" t="str">
        <f ca="1">CELL("Address",Elec_Rates!D$210)</f>
        <v>[EL25_0662B_Brittania_Hotel_Elec_Revised_Estim_B.xlsx]Elec_Rates!$D$210</v>
      </c>
      <c r="E4098" s="1066"/>
      <c r="F4098" s="1066"/>
      <c r="G4098" s="1067" t="s">
        <v>1007</v>
      </c>
      <c r="H4098" s="1067"/>
      <c r="I4098" s="1067"/>
      <c r="J4098" s="1067"/>
      <c r="K4098" s="1068"/>
      <c r="L4098" s="1066"/>
      <c r="M4098" s="1066"/>
      <c r="N4098" s="1066"/>
      <c r="O4098" s="1069"/>
      <c r="P4098" s="1066"/>
      <c r="Q4098" s="1070"/>
      <c r="R4098" s="1071"/>
      <c r="S4098" s="1070"/>
      <c r="T4098" s="1072"/>
      <c r="U4098" s="1073"/>
    </row>
    <row r="4099" spans="1:41" s="997" customFormat="1" ht="11.4">
      <c r="A4099" s="1074">
        <v>6</v>
      </c>
      <c r="B4099" s="1075">
        <v>1</v>
      </c>
      <c r="C4099" s="1075">
        <f>$A4099*$B4099</f>
        <v>6</v>
      </c>
      <c r="D4099" s="1076" t="str">
        <f>Elec_Rates!$D$210</f>
        <v>020# Movement Detector</v>
      </c>
      <c r="E4099" s="1076"/>
      <c r="F4099" s="1076"/>
      <c r="G4099" s="1077" t="s">
        <v>1008</v>
      </c>
      <c r="H4099" s="1077"/>
      <c r="I4099" s="1077"/>
      <c r="J4099" s="1077"/>
      <c r="K4099" s="1078"/>
      <c r="L4099" s="1073"/>
      <c r="M4099" s="1073"/>
      <c r="N4099" s="1073"/>
      <c r="O4099" s="1079"/>
      <c r="P4099" s="1076"/>
      <c r="Q4099" s="1080">
        <f ca="1">$B4099*Elec_Rates!$R$210</f>
        <v>17.670000000000002</v>
      </c>
      <c r="R4099" s="1071">
        <f ca="1">$A4099*Q4099</f>
        <v>106.02000000000001</v>
      </c>
      <c r="S4099" s="1080">
        <f ca="1">$B4099*Elec_Rates!$T$210</f>
        <v>0.26</v>
      </c>
      <c r="T4099" s="1072">
        <f ca="1">$A4099*S4099</f>
        <v>1.56</v>
      </c>
      <c r="U4099" s="1081"/>
    </row>
    <row r="4100" spans="1:41" s="504" customFormat="1" ht="12">
      <c r="A4100" s="882"/>
      <c r="B4100" s="882"/>
      <c r="C4100" s="882"/>
      <c r="D4100" s="882"/>
      <c r="E4100" s="882"/>
      <c r="F4100" s="877"/>
      <c r="G4100" s="882"/>
      <c r="H4100" s="882"/>
      <c r="I4100" s="503"/>
      <c r="J4100" s="882"/>
      <c r="K4100" s="882"/>
      <c r="L4100" s="882"/>
      <c r="M4100" s="882"/>
      <c r="N4100" s="882"/>
      <c r="O4100" s="882"/>
      <c r="P4100" s="882"/>
      <c r="Q4100" s="503"/>
      <c r="R4100" s="883">
        <f>$A4100*Q4100</f>
        <v>0</v>
      </c>
      <c r="S4100" s="503"/>
      <c r="T4100" s="884">
        <f>$A4100*S4100*$T$1</f>
        <v>0</v>
      </c>
    </row>
    <row r="4101" spans="1:41" s="504" customFormat="1" ht="12.6" thickBot="1">
      <c r="A4101" s="885" t="s">
        <v>142</v>
      </c>
      <c r="B4101" s="886">
        <f>(R4100+T4100)</f>
        <v>0</v>
      </c>
      <c r="C4101" s="887"/>
      <c r="D4101" s="887"/>
      <c r="E4101" s="887"/>
      <c r="F4101" s="888"/>
      <c r="G4101" s="887" t="s">
        <v>143</v>
      </c>
      <c r="H4101" s="887"/>
      <c r="I4101" s="889"/>
      <c r="J4101" s="887"/>
      <c r="K4101" s="887" t="s">
        <v>3</v>
      </c>
      <c r="L4101" s="890" t="s">
        <v>140</v>
      </c>
      <c r="M4101" s="890"/>
      <c r="N4101" s="890"/>
      <c r="O4101" s="890"/>
      <c r="P4101" s="890"/>
      <c r="Q4101" s="891"/>
      <c r="R4101" s="892">
        <f ca="1">SUM(R4095:R4100)</f>
        <v>308.67</v>
      </c>
      <c r="S4101" s="887"/>
      <c r="T4101" s="892">
        <f ca="1">SUM(T4095:T4100)</f>
        <v>29.07</v>
      </c>
      <c r="U4101" s="514"/>
      <c r="V4101" s="514"/>
      <c r="W4101" s="514"/>
      <c r="X4101" s="514"/>
      <c r="Y4101" s="514"/>
      <c r="Z4101" s="514"/>
      <c r="AA4101" s="514"/>
      <c r="AB4101" s="514"/>
      <c r="AC4101" s="514"/>
      <c r="AD4101" s="514"/>
      <c r="AE4101" s="514"/>
      <c r="AF4101" s="514"/>
      <c r="AG4101" s="514"/>
      <c r="AH4101" s="514"/>
      <c r="AI4101" s="514"/>
      <c r="AJ4101" s="514"/>
      <c r="AK4101" s="514"/>
      <c r="AL4101" s="514"/>
      <c r="AM4101" s="514"/>
      <c r="AN4101" s="514"/>
      <c r="AO4101" s="514"/>
    </row>
    <row r="4102" spans="1:41" s="504" customFormat="1" ht="12" thickTop="1">
      <c r="A4102" s="50"/>
      <c r="B4102" s="40"/>
      <c r="C4102" s="50"/>
      <c r="E4102" s="41" t="s">
        <v>136</v>
      </c>
      <c r="F4102" s="41" t="s">
        <v>137</v>
      </c>
      <c r="G4102" s="50"/>
      <c r="H4102" s="50"/>
      <c r="I4102" s="50"/>
      <c r="J4102" s="50"/>
      <c r="K4102" s="50" t="s">
        <v>138</v>
      </c>
      <c r="L4102" s="50"/>
      <c r="M4102" s="50"/>
      <c r="N4102" s="50"/>
      <c r="O4102" s="51"/>
      <c r="P4102" s="50"/>
      <c r="Q4102" s="50"/>
      <c r="R4102" s="50"/>
      <c r="S4102" s="50"/>
      <c r="T4102" s="40"/>
      <c r="AG4102" s="867" t="s">
        <v>241</v>
      </c>
      <c r="AH4102" s="867" t="s">
        <v>242</v>
      </c>
      <c r="AI4102" s="867" t="s">
        <v>243</v>
      </c>
      <c r="AJ4102" s="867" t="s">
        <v>244</v>
      </c>
      <c r="AK4102" s="867" t="s">
        <v>245</v>
      </c>
      <c r="AM4102" s="868" t="s">
        <v>254</v>
      </c>
      <c r="AN4102" s="869" t="s">
        <v>255</v>
      </c>
      <c r="AO4102" s="505" t="s">
        <v>251</v>
      </c>
    </row>
    <row r="4103" spans="1:41" s="504" customFormat="1" ht="12" customHeight="1">
      <c r="A4103" s="870">
        <v>9</v>
      </c>
      <c r="B4103" s="871" t="s">
        <v>335</v>
      </c>
      <c r="C4103" s="872"/>
      <c r="D4103" s="873" t="s">
        <v>808</v>
      </c>
      <c r="E4103" s="874">
        <f ca="1">IF(AND($A4103=0,$A$1="DIF"),0, ROUND(ROUND(($R4108*$S$2+($T4108*$T$2))/A4103,2)*$C$2,2))</f>
        <v>57.85</v>
      </c>
      <c r="F4103" s="875">
        <f ca="1">ROUND($A4103*$E4103,2)</f>
        <v>520.65</v>
      </c>
      <c r="G4103" s="876" t="s">
        <v>139</v>
      </c>
      <c r="H4103" s="877"/>
      <c r="I4103" s="878"/>
      <c r="J4103" s="877"/>
      <c r="K4103" s="877" t="s">
        <v>3</v>
      </c>
      <c r="L4103" s="879" t="s">
        <v>140</v>
      </c>
      <c r="M4103" s="879"/>
      <c r="N4103" s="879"/>
      <c r="O4103" s="879"/>
      <c r="P4103" s="879"/>
      <c r="Q4103" s="50"/>
      <c r="T4103" s="880" t="str">
        <f ca="1">IF(AND($R4108=0,$T4108=0),"0.00","mu :" &amp; ROUND($F4103/$C$2/($R4108+$T4108*$D$9),2))</f>
        <v>mu :1.22</v>
      </c>
      <c r="W4103" s="507"/>
      <c r="AG4103" s="465">
        <f ca="1">IF($E4103=0,0,ROUND($R4108*$S$2*$C$2/$A4103,2))</f>
        <v>11.77</v>
      </c>
      <c r="AH4103" s="465">
        <f ca="1">$AG4103*$A4103</f>
        <v>105.92999999999999</v>
      </c>
      <c r="AI4103" s="508">
        <f ca="1">$E4103-$AG4103</f>
        <v>46.08</v>
      </c>
      <c r="AJ4103" s="508">
        <f ca="1">$A4103*$AI4103</f>
        <v>414.71999999999997</v>
      </c>
      <c r="AK4103" s="509">
        <f ca="1">ROUND(($AG4103+$AI4103)*$A4103,2)</f>
        <v>520.65</v>
      </c>
      <c r="AM4103" s="510">
        <f ca="1">ROUND(R4108,2)</f>
        <v>86.85</v>
      </c>
      <c r="AN4103" s="511">
        <f ca="1">ROUND(T4108,2)</f>
        <v>11.79</v>
      </c>
      <c r="AO4103" s="512">
        <f ca="1">ROUND(AM4103+AN4103,2)*A4103</f>
        <v>887.76</v>
      </c>
    </row>
    <row r="4104" spans="1:41" s="504" customFormat="1" ht="13.2">
      <c r="A4104" s="872"/>
      <c r="B4104"/>
      <c r="C4104" s="872"/>
      <c r="D4104" s="873" t="s">
        <v>344</v>
      </c>
      <c r="F4104" s="877"/>
      <c r="G4104" s="3"/>
      <c r="H4104" s="877"/>
      <c r="I4104" s="878"/>
      <c r="J4104" s="877"/>
      <c r="K4104" s="877" t="s">
        <v>141</v>
      </c>
      <c r="L4104" s="877"/>
      <c r="M4104" s="877"/>
      <c r="N4104" s="877"/>
      <c r="O4104" s="877"/>
      <c r="P4104" s="877"/>
      <c r="Q4104" s="50"/>
      <c r="R4104" s="513"/>
      <c r="S4104" s="881"/>
      <c r="T4104" s="877"/>
    </row>
    <row r="4105" spans="1:41" s="997" customFormat="1" ht="13.2">
      <c r="A4105"/>
      <c r="B4105" s="1065"/>
      <c r="C4105" s="1065" t="s">
        <v>1006</v>
      </c>
      <c r="D4105" s="1065" t="str">
        <f ca="1">CELL("Address",Elec_Rates!D$200)</f>
        <v>[EL25_0662B_Brittania_Hotel_Elec_Revised_Estim_B.xlsx]Elec_Rates!$D$200</v>
      </c>
      <c r="E4105" s="1066"/>
      <c r="F4105" s="1066"/>
      <c r="G4105" s="1067" t="s">
        <v>1007</v>
      </c>
      <c r="H4105" s="1067"/>
      <c r="I4105" s="1067"/>
      <c r="J4105" s="1067"/>
      <c r="K4105" s="1068"/>
      <c r="L4105" s="1066"/>
      <c r="M4105" s="1066"/>
      <c r="N4105" s="1066"/>
      <c r="O4105" s="1069"/>
      <c r="P4105" s="1066"/>
      <c r="Q4105" s="1070"/>
      <c r="R4105" s="1071"/>
      <c r="S4105" s="1070"/>
      <c r="T4105" s="1072"/>
      <c r="U4105" s="1073"/>
    </row>
    <row r="4106" spans="1:41" s="997" customFormat="1" ht="11.4">
      <c r="A4106" s="1074">
        <v>9</v>
      </c>
      <c r="B4106" s="1075">
        <v>1</v>
      </c>
      <c r="C4106" s="1075">
        <f>$A4106*$B4106</f>
        <v>9</v>
      </c>
      <c r="D4106" s="1076" t="str">
        <f>Elec_Rates!$D$200</f>
        <v>019# Lighting point in LSZH Conduit</v>
      </c>
      <c r="E4106" s="1076"/>
      <c r="F4106" s="1076" t="s">
        <v>1179</v>
      </c>
      <c r="G4106" s="1077" t="s">
        <v>1008</v>
      </c>
      <c r="H4106" s="1077"/>
      <c r="I4106" s="1077"/>
      <c r="J4106" s="1077"/>
      <c r="K4106" s="1078"/>
      <c r="L4106" s="1073"/>
      <c r="M4106" s="1073"/>
      <c r="N4106" s="1073"/>
      <c r="O4106" s="1079"/>
      <c r="P4106" s="1076"/>
      <c r="Q4106" s="1080">
        <f ca="1">$B4106*Elec_Rates!$R$200</f>
        <v>9.65</v>
      </c>
      <c r="R4106" s="1071">
        <f ca="1">$A4106*Q4106</f>
        <v>86.850000000000009</v>
      </c>
      <c r="S4106" s="1080">
        <f ca="1">$B4106*Elec_Rates!$T$200</f>
        <v>1.31</v>
      </c>
      <c r="T4106" s="1072">
        <f ca="1">$A4106*S4106</f>
        <v>11.790000000000001</v>
      </c>
      <c r="U4106" s="1081"/>
    </row>
    <row r="4107" spans="1:41" s="504" customFormat="1" ht="12">
      <c r="A4107" s="882"/>
      <c r="B4107" s="882"/>
      <c r="C4107" s="882"/>
      <c r="D4107" s="882"/>
      <c r="E4107" s="882"/>
      <c r="F4107" s="877"/>
      <c r="G4107" s="882"/>
      <c r="H4107" s="882"/>
      <c r="I4107" s="503"/>
      <c r="J4107" s="882"/>
      <c r="K4107" s="882"/>
      <c r="L4107" s="882"/>
      <c r="M4107" s="882"/>
      <c r="N4107" s="882"/>
      <c r="O4107" s="882"/>
      <c r="P4107" s="882"/>
      <c r="Q4107" s="503"/>
      <c r="R4107" s="883">
        <f>$A4107*Q4107</f>
        <v>0</v>
      </c>
      <c r="S4107" s="503"/>
      <c r="T4107" s="884">
        <f>$A4107*S4107*$T$1</f>
        <v>0</v>
      </c>
    </row>
    <row r="4108" spans="1:41" s="504" customFormat="1" ht="12.6" thickBot="1">
      <c r="A4108" s="885" t="s">
        <v>142</v>
      </c>
      <c r="B4108" s="886">
        <f>(R4107+T4107)</f>
        <v>0</v>
      </c>
      <c r="C4108" s="887"/>
      <c r="D4108" s="887"/>
      <c r="E4108" s="887"/>
      <c r="F4108" s="888"/>
      <c r="G4108" s="887" t="s">
        <v>143</v>
      </c>
      <c r="H4108" s="887"/>
      <c r="I4108" s="889"/>
      <c r="J4108" s="887"/>
      <c r="K4108" s="887" t="s">
        <v>3</v>
      </c>
      <c r="L4108" s="890" t="s">
        <v>140</v>
      </c>
      <c r="M4108" s="890"/>
      <c r="N4108" s="890"/>
      <c r="O4108" s="890"/>
      <c r="P4108" s="890"/>
      <c r="Q4108" s="891"/>
      <c r="R4108" s="892">
        <f ca="1">SUM(R4104:R4107)</f>
        <v>86.850000000000009</v>
      </c>
      <c r="S4108" s="887"/>
      <c r="T4108" s="892">
        <f ca="1">SUM(T4104:T4107)</f>
        <v>11.790000000000001</v>
      </c>
      <c r="U4108" s="514"/>
      <c r="V4108" s="514"/>
      <c r="W4108" s="514"/>
      <c r="X4108" s="514"/>
      <c r="Y4108" s="514"/>
      <c r="Z4108" s="514"/>
      <c r="AA4108" s="514"/>
      <c r="AB4108" s="514"/>
      <c r="AC4108" s="514"/>
      <c r="AD4108" s="514"/>
      <c r="AE4108" s="514"/>
      <c r="AF4108" s="514"/>
      <c r="AG4108" s="514"/>
      <c r="AH4108" s="514"/>
      <c r="AI4108" s="514"/>
      <c r="AJ4108" s="514"/>
      <c r="AK4108" s="514"/>
      <c r="AL4108" s="514"/>
      <c r="AM4108" s="514"/>
      <c r="AN4108" s="514"/>
      <c r="AO4108" s="514"/>
    </row>
    <row r="4109" spans="1:41" s="504" customFormat="1" thickTop="1">
      <c r="A4109" s="50"/>
      <c r="B4109" s="50"/>
      <c r="C4109" s="3"/>
      <c r="D4109" s="3"/>
      <c r="E4109" s="50"/>
      <c r="F4109" s="50"/>
      <c r="G4109" s="50"/>
      <c r="H4109" s="50"/>
      <c r="I4109" s="50"/>
      <c r="J4109" s="50"/>
      <c r="K4109" s="50" t="s">
        <v>133</v>
      </c>
      <c r="L4109" s="50"/>
      <c r="M4109" s="50"/>
      <c r="N4109" s="50"/>
      <c r="O4109" s="51"/>
      <c r="P4109" s="50"/>
      <c r="Q4109" s="50"/>
      <c r="R4109" s="50"/>
      <c r="S4109" s="50"/>
      <c r="T4109" s="50"/>
    </row>
    <row r="4110" spans="1:41" s="504" customFormat="1" ht="12">
      <c r="A4110" s="50"/>
      <c r="B4110" s="50"/>
      <c r="C4110" s="50" t="s">
        <v>134</v>
      </c>
      <c r="D4110" s="37" t="s">
        <v>905</v>
      </c>
      <c r="E4110" s="50"/>
      <c r="F4110" s="50"/>
      <c r="G4110" s="50"/>
      <c r="H4110" s="50"/>
      <c r="I4110" s="50"/>
      <c r="J4110" s="50"/>
      <c r="K4110" s="50"/>
      <c r="L4110" s="50"/>
      <c r="M4110" s="50"/>
      <c r="N4110" s="50"/>
      <c r="O4110" s="51"/>
      <c r="P4110" s="50"/>
      <c r="Q4110" s="50"/>
      <c r="R4110" s="50"/>
      <c r="S4110" s="50"/>
      <c r="T4110" s="50"/>
    </row>
    <row r="4111" spans="1:41" s="504" customFormat="1" ht="12">
      <c r="A4111" s="50"/>
      <c r="B4111" s="50"/>
      <c r="C4111" s="50"/>
      <c r="D4111" s="37" t="s">
        <v>345</v>
      </c>
      <c r="E4111" s="50"/>
      <c r="F4111" s="50"/>
      <c r="G4111" s="50"/>
      <c r="H4111" s="50"/>
      <c r="I4111" s="50"/>
      <c r="J4111" s="50"/>
      <c r="K4111" s="50"/>
      <c r="L4111" s="50"/>
      <c r="M4111" s="50"/>
      <c r="N4111" s="50"/>
      <c r="O4111" s="51"/>
      <c r="P4111" s="50"/>
      <c r="Q4111" s="50"/>
      <c r="R4111" s="50"/>
      <c r="S4111" s="38"/>
      <c r="T4111" s="38"/>
    </row>
    <row r="4112" spans="1:41" s="3" customFormat="1" thickBot="1">
      <c r="A4112" s="514"/>
      <c r="O4112" s="103"/>
    </row>
    <row r="4113" spans="1:41" s="504" customFormat="1" ht="12" thickTop="1">
      <c r="A4113" s="50"/>
      <c r="B4113" s="40"/>
      <c r="C4113" s="50"/>
      <c r="E4113" s="41" t="s">
        <v>136</v>
      </c>
      <c r="F4113" s="41" t="s">
        <v>137</v>
      </c>
      <c r="G4113" s="50"/>
      <c r="H4113" s="50"/>
      <c r="I4113" s="50"/>
      <c r="J4113" s="50"/>
      <c r="K4113" s="50" t="s">
        <v>138</v>
      </c>
      <c r="L4113" s="50"/>
      <c r="M4113" s="50"/>
      <c r="N4113" s="50"/>
      <c r="O4113" s="51"/>
      <c r="P4113" s="50"/>
      <c r="Q4113" s="50"/>
      <c r="R4113" s="50"/>
      <c r="S4113" s="50"/>
      <c r="T4113" s="40"/>
      <c r="AG4113" s="867" t="s">
        <v>241</v>
      </c>
      <c r="AH4113" s="867" t="s">
        <v>242</v>
      </c>
      <c r="AI4113" s="867" t="s">
        <v>243</v>
      </c>
      <c r="AJ4113" s="867" t="s">
        <v>244</v>
      </c>
      <c r="AK4113" s="867" t="s">
        <v>245</v>
      </c>
      <c r="AM4113" s="868" t="s">
        <v>254</v>
      </c>
      <c r="AN4113" s="869" t="s">
        <v>255</v>
      </c>
      <c r="AO4113" s="505" t="s">
        <v>251</v>
      </c>
    </row>
    <row r="4114" spans="1:41" s="504" customFormat="1" ht="12" customHeight="1">
      <c r="A4114" s="870">
        <v>9</v>
      </c>
      <c r="B4114" s="871" t="s">
        <v>335</v>
      </c>
      <c r="C4114" s="872"/>
      <c r="D4114" s="873" t="s">
        <v>804</v>
      </c>
      <c r="E4114" s="874">
        <f ca="1">IF(AND($A4114=0,$A$1="DIF"),0, ROUND(ROUND(($R4119*$S$2+($T4119*$T$2))/A4114,2)*$C$2,2))</f>
        <v>28.98</v>
      </c>
      <c r="F4114" s="875">
        <f ca="1">ROUND($A4114*$E4114,2)</f>
        <v>260.82</v>
      </c>
      <c r="G4114" s="876" t="s">
        <v>139</v>
      </c>
      <c r="H4114" s="877"/>
      <c r="I4114" s="878"/>
      <c r="J4114" s="877"/>
      <c r="K4114" s="877" t="s">
        <v>3</v>
      </c>
      <c r="L4114" s="879" t="s">
        <v>140</v>
      </c>
      <c r="M4114" s="879"/>
      <c r="N4114" s="879"/>
      <c r="O4114" s="879"/>
      <c r="P4114" s="879"/>
      <c r="Q4114" s="50"/>
      <c r="T4114" s="880" t="str">
        <f ca="1">IF(AND($R4119=0,$T4119=0),"0.00","mu :" &amp; ROUND($F4114/$C$2/($R4119+$T4119*$D$9),2))</f>
        <v>mu :1.22</v>
      </c>
      <c r="W4114" s="507"/>
      <c r="AG4114" s="465">
        <f ca="1">IF($E4114=0,0,ROUND($R4119*$S$2*$C$2/$A4114,2))</f>
        <v>28.98</v>
      </c>
      <c r="AH4114" s="465">
        <f ca="1">$AG4114*$A4114</f>
        <v>260.82</v>
      </c>
      <c r="AI4114" s="508">
        <f ca="1">$E4114-$AG4114</f>
        <v>0</v>
      </c>
      <c r="AJ4114" s="508">
        <f ca="1">$A4114*$AI4114</f>
        <v>0</v>
      </c>
      <c r="AK4114" s="509">
        <f ca="1">ROUND(($AG4114+$AI4114)*$A4114,2)</f>
        <v>260.82</v>
      </c>
      <c r="AM4114" s="510">
        <f ca="1">ROUND(R4119,2)</f>
        <v>213.75</v>
      </c>
      <c r="AN4114" s="511">
        <f ca="1">ROUND(T4119,2)</f>
        <v>0</v>
      </c>
      <c r="AO4114" s="512">
        <f ca="1">ROUND(AM4114+AN4114,2)*A4114</f>
        <v>1923.75</v>
      </c>
    </row>
    <row r="4115" spans="1:41" s="504" customFormat="1" ht="13.2">
      <c r="A4115" s="872"/>
      <c r="B4115"/>
      <c r="C4115" s="872"/>
      <c r="D4115" s="873" t="s">
        <v>348</v>
      </c>
      <c r="F4115" s="877"/>
      <c r="G4115" s="3"/>
      <c r="H4115" s="877"/>
      <c r="I4115" s="878"/>
      <c r="J4115" s="877"/>
      <c r="K4115" s="877" t="s">
        <v>141</v>
      </c>
      <c r="L4115" s="877"/>
      <c r="M4115" s="877"/>
      <c r="N4115" s="877"/>
      <c r="O4115" s="877"/>
      <c r="P4115" s="877"/>
      <c r="Q4115" s="50"/>
      <c r="R4115" s="513"/>
      <c r="S4115" s="881"/>
      <c r="T4115" s="877"/>
    </row>
    <row r="4116" spans="1:41" s="997" customFormat="1" ht="13.2">
      <c r="A4116"/>
      <c r="B4116" s="1065"/>
      <c r="C4116" s="1065" t="s">
        <v>1006</v>
      </c>
      <c r="D4116" s="1065" t="str">
        <f ca="1">CELL("Address",Elec_Rates!D$222)</f>
        <v>[EL25_0662B_Brittania_Hotel_Elec_Revised_Estim_B.xlsx]Elec_Rates!$D$222</v>
      </c>
      <c r="E4116" s="1066"/>
      <c r="F4116" s="1066"/>
      <c r="G4116" s="1067" t="s">
        <v>1007</v>
      </c>
      <c r="H4116" s="1067"/>
      <c r="I4116" s="1067"/>
      <c r="J4116" s="1067"/>
      <c r="K4116" s="1068"/>
      <c r="L4116" s="1066"/>
      <c r="M4116" s="1066"/>
      <c r="N4116" s="1066"/>
      <c r="O4116" s="1069"/>
      <c r="P4116" s="1066"/>
      <c r="Q4116" s="1070"/>
      <c r="R4116" s="1071"/>
      <c r="S4116" s="1070"/>
      <c r="T4116" s="1072"/>
      <c r="U4116" s="1073"/>
    </row>
    <row r="4117" spans="1:41" s="997" customFormat="1" ht="11.4">
      <c r="A4117" s="1074">
        <v>9</v>
      </c>
      <c r="B4117" s="1075">
        <v>1</v>
      </c>
      <c r="C4117" s="1075">
        <f>$A4117*$B4117</f>
        <v>9</v>
      </c>
      <c r="D4117" s="1076" t="str">
        <f>Elec_Rates!$D$222</f>
        <v>022# Supply Only - Type 'E1' - Single Sided, Wall Mounted, Directional Exit Signage</v>
      </c>
      <c r="E4117" s="1076"/>
      <c r="F4117" s="1076"/>
      <c r="G4117" s="1077" t="s">
        <v>1008</v>
      </c>
      <c r="H4117" s="1077"/>
      <c r="I4117" s="1077"/>
      <c r="J4117" s="1077"/>
      <c r="K4117" s="1078"/>
      <c r="L4117" s="1073"/>
      <c r="M4117" s="1073"/>
      <c r="N4117" s="1073"/>
      <c r="O4117" s="1079"/>
      <c r="P4117" s="1076"/>
      <c r="Q4117" s="1080">
        <f ca="1">$B4117*Elec_Rates!$R$222</f>
        <v>23.75</v>
      </c>
      <c r="R4117" s="1071">
        <f ca="1">$A4117*Q4117</f>
        <v>213.75</v>
      </c>
      <c r="S4117" s="1080">
        <f ca="1">$B4117*Elec_Rates!$T$222</f>
        <v>0</v>
      </c>
      <c r="T4117" s="1072">
        <f ca="1">$A4117*S4117</f>
        <v>0</v>
      </c>
      <c r="U4117" s="1081"/>
    </row>
    <row r="4118" spans="1:41" s="504" customFormat="1" ht="12">
      <c r="A4118" s="882"/>
      <c r="B4118" s="882"/>
      <c r="C4118" s="882"/>
      <c r="D4118" s="882"/>
      <c r="E4118" s="882"/>
      <c r="F4118" s="877"/>
      <c r="G4118" s="882"/>
      <c r="H4118" s="882"/>
      <c r="I4118" s="503"/>
      <c r="J4118" s="882"/>
      <c r="K4118" s="882"/>
      <c r="L4118" s="882"/>
      <c r="M4118" s="882"/>
      <c r="N4118" s="882"/>
      <c r="O4118" s="882"/>
      <c r="P4118" s="882"/>
      <c r="Q4118" s="503"/>
      <c r="R4118" s="883">
        <f>$A4118*Q4118</f>
        <v>0</v>
      </c>
      <c r="S4118" s="503"/>
      <c r="T4118" s="884">
        <f>$A4118*S4118*$T$1</f>
        <v>0</v>
      </c>
    </row>
    <row r="4119" spans="1:41" s="504" customFormat="1" ht="12.6" thickBot="1">
      <c r="A4119" s="885" t="s">
        <v>142</v>
      </c>
      <c r="B4119" s="886">
        <f>(R4118+T4118)</f>
        <v>0</v>
      </c>
      <c r="C4119" s="887"/>
      <c r="D4119" s="887"/>
      <c r="E4119" s="887"/>
      <c r="F4119" s="888"/>
      <c r="G4119" s="887" t="s">
        <v>143</v>
      </c>
      <c r="H4119" s="887"/>
      <c r="I4119" s="889"/>
      <c r="J4119" s="887"/>
      <c r="K4119" s="887" t="s">
        <v>3</v>
      </c>
      <c r="L4119" s="890" t="s">
        <v>140</v>
      </c>
      <c r="M4119" s="890"/>
      <c r="N4119" s="890"/>
      <c r="O4119" s="890"/>
      <c r="P4119" s="890"/>
      <c r="Q4119" s="891"/>
      <c r="R4119" s="892">
        <f ca="1">SUM(R4115:R4118)</f>
        <v>213.75</v>
      </c>
      <c r="S4119" s="887"/>
      <c r="T4119" s="892">
        <f ca="1">SUM(T4115:T4118)</f>
        <v>0</v>
      </c>
      <c r="U4119" s="514"/>
      <c r="V4119" s="514"/>
      <c r="W4119" s="514"/>
      <c r="X4119" s="514"/>
      <c r="Y4119" s="514"/>
      <c r="Z4119" s="514"/>
      <c r="AA4119" s="514"/>
      <c r="AB4119" s="514"/>
      <c r="AC4119" s="514"/>
      <c r="AD4119" s="514"/>
      <c r="AE4119" s="514"/>
      <c r="AF4119" s="514"/>
      <c r="AG4119" s="514"/>
      <c r="AH4119" s="514"/>
      <c r="AI4119" s="514"/>
      <c r="AJ4119" s="514"/>
      <c r="AK4119" s="514"/>
      <c r="AL4119" s="514"/>
      <c r="AM4119" s="514"/>
      <c r="AN4119" s="514"/>
      <c r="AO4119" s="514"/>
    </row>
    <row r="4120" spans="1:41" s="504" customFormat="1" thickTop="1">
      <c r="A4120" s="50"/>
      <c r="B4120" s="50"/>
      <c r="C4120" s="3"/>
      <c r="D4120" s="3"/>
      <c r="E4120" s="50"/>
      <c r="F4120" s="50"/>
      <c r="G4120" s="50"/>
      <c r="H4120" s="50"/>
      <c r="I4120" s="50"/>
      <c r="J4120" s="50"/>
      <c r="K4120" s="50" t="s">
        <v>133</v>
      </c>
      <c r="L4120" s="50"/>
      <c r="M4120" s="50"/>
      <c r="N4120" s="50"/>
      <c r="O4120" s="51"/>
      <c r="P4120" s="50"/>
      <c r="Q4120" s="50"/>
      <c r="R4120" s="50"/>
      <c r="S4120" s="50"/>
      <c r="T4120" s="50"/>
    </row>
    <row r="4121" spans="1:41" s="504" customFormat="1" ht="12">
      <c r="A4121" s="50"/>
      <c r="B4121" s="50"/>
      <c r="C4121" s="50" t="s">
        <v>134</v>
      </c>
      <c r="D4121" s="37" t="s">
        <v>906</v>
      </c>
      <c r="E4121" s="50"/>
      <c r="F4121" s="50"/>
      <c r="G4121" s="50"/>
      <c r="H4121" s="50"/>
      <c r="I4121" s="50"/>
      <c r="J4121" s="50"/>
      <c r="K4121" s="50"/>
      <c r="L4121" s="50"/>
      <c r="M4121" s="50"/>
      <c r="N4121" s="50"/>
      <c r="O4121" s="51"/>
      <c r="P4121" s="50"/>
      <c r="Q4121" s="50"/>
      <c r="R4121" s="50"/>
      <c r="S4121" s="50"/>
      <c r="T4121" s="50"/>
    </row>
    <row r="4122" spans="1:41" s="504" customFormat="1" ht="13.2">
      <c r="A4122" s="872"/>
      <c r="B4122"/>
      <c r="C4122" s="872"/>
      <c r="D4122" s="916" t="s">
        <v>351</v>
      </c>
      <c r="E4122" s="917"/>
      <c r="F4122" s="918"/>
      <c r="G4122" s="919"/>
      <c r="H4122" s="918"/>
      <c r="I4122" s="920"/>
      <c r="J4122" s="918"/>
      <c r="K4122" s="918"/>
      <c r="L4122" s="918"/>
      <c r="M4122" s="918"/>
      <c r="N4122" s="918"/>
      <c r="O4122" s="918"/>
      <c r="P4122" s="918"/>
      <c r="Q4122" s="921"/>
      <c r="R4122" s="513"/>
      <c r="S4122" s="881"/>
      <c r="T4122" s="877"/>
    </row>
    <row r="4123" spans="1:41" s="3" customFormat="1" thickBot="1">
      <c r="A4123" s="514"/>
      <c r="O4123" s="103"/>
    </row>
    <row r="4124" spans="1:41" s="504" customFormat="1" ht="12" thickTop="1">
      <c r="A4124" s="50"/>
      <c r="B4124" s="40"/>
      <c r="C4124" s="50"/>
      <c r="E4124" s="41" t="s">
        <v>136</v>
      </c>
      <c r="F4124" s="41" t="s">
        <v>137</v>
      </c>
      <c r="G4124" s="50"/>
      <c r="H4124" s="50"/>
      <c r="I4124" s="50"/>
      <c r="J4124" s="50"/>
      <c r="K4124" s="50" t="s">
        <v>138</v>
      </c>
      <c r="L4124" s="50"/>
      <c r="M4124" s="50"/>
      <c r="N4124" s="50"/>
      <c r="O4124" s="51"/>
      <c r="P4124" s="50"/>
      <c r="Q4124" s="50"/>
      <c r="R4124" s="50"/>
      <c r="S4124" s="50"/>
      <c r="T4124" s="40"/>
      <c r="AG4124" s="867" t="s">
        <v>241</v>
      </c>
      <c r="AH4124" s="867" t="s">
        <v>242</v>
      </c>
      <c r="AI4124" s="867" t="s">
        <v>243</v>
      </c>
      <c r="AJ4124" s="867" t="s">
        <v>244</v>
      </c>
      <c r="AK4124" s="867" t="s">
        <v>245</v>
      </c>
      <c r="AM4124" s="868" t="s">
        <v>254</v>
      </c>
      <c r="AN4124" s="869" t="s">
        <v>255</v>
      </c>
      <c r="AO4124" s="505" t="s">
        <v>251</v>
      </c>
    </row>
    <row r="4125" spans="1:41" s="504" customFormat="1" ht="12" customHeight="1">
      <c r="A4125" s="870">
        <v>43</v>
      </c>
      <c r="B4125" s="871" t="s">
        <v>335</v>
      </c>
      <c r="C4125" s="872"/>
      <c r="D4125" s="873" t="s">
        <v>804</v>
      </c>
      <c r="E4125" s="874">
        <f ca="1">IF(AND($A4125=0,$A$1="DIF"),0, ROUND(ROUND(($R4130*$S$2+($T4130*$T$2))/A4125,2)*$C$2,2))</f>
        <v>11.35</v>
      </c>
      <c r="F4125" s="875">
        <f ca="1">ROUND($A4125*$E4125,2)</f>
        <v>488.05</v>
      </c>
      <c r="G4125" s="876" t="s">
        <v>139</v>
      </c>
      <c r="H4125" s="877"/>
      <c r="I4125" s="878"/>
      <c r="J4125" s="877"/>
      <c r="K4125" s="877" t="s">
        <v>3</v>
      </c>
      <c r="L4125" s="879" t="s">
        <v>140</v>
      </c>
      <c r="M4125" s="879"/>
      <c r="N4125" s="879"/>
      <c r="O4125" s="879"/>
      <c r="P4125" s="879"/>
      <c r="Q4125" s="50"/>
      <c r="T4125" s="880" t="str">
        <f ca="1">IF(AND($R4130=0,$T4130=0),"0.00","mu :" &amp; ROUND($F4125/$C$2/($R4130+$T4130*$D$9),2))</f>
        <v>mu :1.22</v>
      </c>
      <c r="W4125" s="507"/>
      <c r="AG4125" s="465">
        <f ca="1">IF($E4125=0,0,ROUND($R4130*$S$2*$C$2/$A4125,2))</f>
        <v>0.1</v>
      </c>
      <c r="AH4125" s="465">
        <f ca="1">$AG4125*$A4125</f>
        <v>4.3</v>
      </c>
      <c r="AI4125" s="508">
        <f ca="1">$E4125-$AG4125</f>
        <v>11.25</v>
      </c>
      <c r="AJ4125" s="508">
        <f ca="1">$A4125*$AI4125</f>
        <v>483.75</v>
      </c>
      <c r="AK4125" s="509">
        <f ca="1">ROUND(($AG4125+$AI4125)*$A4125,2)</f>
        <v>488.05</v>
      </c>
      <c r="AM4125" s="510">
        <f ca="1">ROUND(R4130,2)</f>
        <v>3.44</v>
      </c>
      <c r="AN4125" s="511">
        <f ca="1">ROUND(T4130,2)</f>
        <v>13.76</v>
      </c>
      <c r="AO4125" s="512">
        <f ca="1">ROUND(AM4125+AN4125,2)*A4125</f>
        <v>739.6</v>
      </c>
    </row>
    <row r="4126" spans="1:41" s="504" customFormat="1" ht="13.2">
      <c r="A4126" s="872"/>
      <c r="B4126"/>
      <c r="C4126" s="872"/>
      <c r="D4126" s="873" t="s">
        <v>490</v>
      </c>
      <c r="F4126" s="877"/>
      <c r="G4126" s="3"/>
      <c r="H4126" s="877"/>
      <c r="I4126" s="878"/>
      <c r="J4126" s="877"/>
      <c r="K4126" s="877" t="s">
        <v>141</v>
      </c>
      <c r="L4126" s="877"/>
      <c r="M4126" s="877"/>
      <c r="N4126" s="877"/>
      <c r="O4126" s="877"/>
      <c r="P4126" s="877"/>
      <c r="Q4126" s="50"/>
      <c r="R4126" s="513"/>
      <c r="S4126" s="881"/>
      <c r="T4126" s="877"/>
    </row>
    <row r="4127" spans="1:41" s="997" customFormat="1" ht="13.2">
      <c r="A4127"/>
      <c r="B4127" s="1065"/>
      <c r="C4127" s="1065" t="s">
        <v>1006</v>
      </c>
      <c r="D4127" s="1065" t="str">
        <f ca="1">CELL("Address",Elec_Rates!D$415)</f>
        <v>[EL25_0662B_Brittania_Hotel_Elec_Revised_Estim_B.xlsx]Elec_Rates!$D$415</v>
      </c>
      <c r="E4127" s="1066"/>
      <c r="F4127" s="1066"/>
      <c r="G4127" s="1067" t="s">
        <v>1007</v>
      </c>
      <c r="H4127" s="1067"/>
      <c r="I4127" s="1067"/>
      <c r="J4127" s="1067"/>
      <c r="K4127" s="1068"/>
      <c r="L4127" s="1066"/>
      <c r="M4127" s="1066"/>
      <c r="N4127" s="1066"/>
      <c r="O4127" s="1069"/>
      <c r="P4127" s="1066"/>
      <c r="Q4127" s="1070"/>
      <c r="R4127" s="1071"/>
      <c r="S4127" s="1070"/>
      <c r="T4127" s="1072"/>
      <c r="U4127" s="1073"/>
    </row>
    <row r="4128" spans="1:41" s="997" customFormat="1" ht="11.4">
      <c r="A4128" s="1074">
        <v>43</v>
      </c>
      <c r="B4128" s="1075">
        <v>1</v>
      </c>
      <c r="C4128" s="1075">
        <f>$A4128*$B4128</f>
        <v>43</v>
      </c>
      <c r="D4128" s="1076" t="str">
        <f>Elec_Rates!$D$415</f>
        <v>048# Install and connect Only - Type 'LT-07' - 2W Wall Recessed Step Light, IP65</v>
      </c>
      <c r="E4128" s="1076"/>
      <c r="F4128" s="1076"/>
      <c r="G4128" s="1077" t="s">
        <v>1008</v>
      </c>
      <c r="H4128" s="1077"/>
      <c r="I4128" s="1077"/>
      <c r="J4128" s="1077"/>
      <c r="K4128" s="1078"/>
      <c r="L4128" s="1073"/>
      <c r="M4128" s="1073"/>
      <c r="N4128" s="1073"/>
      <c r="O4128" s="1079"/>
      <c r="P4128" s="1076"/>
      <c r="Q4128" s="1080">
        <f ca="1">$B4128*Elec_Rates!$R$415</f>
        <v>0.08</v>
      </c>
      <c r="R4128" s="1071">
        <f ca="1">$A4128*Q4128</f>
        <v>3.44</v>
      </c>
      <c r="S4128" s="1080">
        <f ca="1">$B4128*Elec_Rates!$T$415</f>
        <v>0.32</v>
      </c>
      <c r="T4128" s="1072">
        <f ca="1">$A4128*S4128</f>
        <v>13.76</v>
      </c>
      <c r="U4128" s="1081"/>
    </row>
    <row r="4129" spans="1:41" s="504" customFormat="1" ht="12">
      <c r="A4129" s="882"/>
      <c r="B4129" s="882"/>
      <c r="C4129" s="882"/>
      <c r="D4129" s="882"/>
      <c r="E4129" s="882"/>
      <c r="F4129" s="877"/>
      <c r="G4129" s="882"/>
      <c r="H4129" s="882"/>
      <c r="I4129" s="503"/>
      <c r="J4129" s="882"/>
      <c r="K4129" s="882"/>
      <c r="L4129" s="882"/>
      <c r="M4129" s="882"/>
      <c r="N4129" s="882"/>
      <c r="O4129" s="882"/>
      <c r="P4129" s="882"/>
      <c r="Q4129" s="503"/>
      <c r="R4129" s="883">
        <f>$A4129*Q4129</f>
        <v>0</v>
      </c>
      <c r="S4129" s="503"/>
      <c r="T4129" s="884">
        <f>$A4129*S4129*$T$1</f>
        <v>0</v>
      </c>
    </row>
    <row r="4130" spans="1:41" s="504" customFormat="1" ht="12.6" thickBot="1">
      <c r="A4130" s="885" t="s">
        <v>142</v>
      </c>
      <c r="B4130" s="886">
        <f>(R4129+T4129)</f>
        <v>0</v>
      </c>
      <c r="C4130" s="887"/>
      <c r="D4130" s="887"/>
      <c r="E4130" s="887"/>
      <c r="F4130" s="888"/>
      <c r="G4130" s="887" t="s">
        <v>143</v>
      </c>
      <c r="H4130" s="887"/>
      <c r="I4130" s="889"/>
      <c r="J4130" s="887"/>
      <c r="K4130" s="887" t="s">
        <v>3</v>
      </c>
      <c r="L4130" s="890" t="s">
        <v>140</v>
      </c>
      <c r="M4130" s="890"/>
      <c r="N4130" s="890"/>
      <c r="O4130" s="890"/>
      <c r="P4130" s="890"/>
      <c r="Q4130" s="891"/>
      <c r="R4130" s="892">
        <f ca="1">SUM(R4126:R4129)</f>
        <v>3.44</v>
      </c>
      <c r="S4130" s="887"/>
      <c r="T4130" s="892">
        <f ca="1">SUM(T4126:T4129)</f>
        <v>13.76</v>
      </c>
      <c r="U4130" s="514"/>
      <c r="V4130" s="514"/>
      <c r="W4130" s="514"/>
      <c r="X4130" s="514"/>
      <c r="Y4130" s="514"/>
      <c r="Z4130" s="514"/>
      <c r="AA4130" s="514"/>
      <c r="AB4130" s="514"/>
      <c r="AC4130" s="514"/>
      <c r="AD4130" s="514"/>
      <c r="AE4130" s="514"/>
      <c r="AF4130" s="514"/>
      <c r="AG4130" s="514"/>
      <c r="AH4130" s="514"/>
      <c r="AI4130" s="514"/>
      <c r="AJ4130" s="514"/>
      <c r="AK4130" s="514"/>
      <c r="AL4130" s="514"/>
      <c r="AM4130" s="514"/>
      <c r="AN4130" s="514"/>
      <c r="AO4130" s="514"/>
    </row>
    <row r="4131" spans="1:41" s="504" customFormat="1" ht="12" thickTop="1">
      <c r="A4131" s="50"/>
      <c r="B4131" s="40"/>
      <c r="C4131" s="50"/>
      <c r="E4131" s="41" t="s">
        <v>136</v>
      </c>
      <c r="F4131" s="41" t="s">
        <v>137</v>
      </c>
      <c r="G4131" s="50"/>
      <c r="H4131" s="50"/>
      <c r="I4131" s="50"/>
      <c r="J4131" s="50"/>
      <c r="K4131" s="50" t="s">
        <v>138</v>
      </c>
      <c r="L4131" s="50"/>
      <c r="M4131" s="50"/>
      <c r="N4131" s="50"/>
      <c r="O4131" s="51"/>
      <c r="P4131" s="50"/>
      <c r="Q4131" s="50"/>
      <c r="R4131" s="50"/>
      <c r="S4131" s="50"/>
      <c r="T4131" s="40"/>
      <c r="AG4131" s="867" t="s">
        <v>241</v>
      </c>
      <c r="AH4131" s="867" t="s">
        <v>242</v>
      </c>
      <c r="AI4131" s="867" t="s">
        <v>243</v>
      </c>
      <c r="AJ4131" s="867" t="s">
        <v>244</v>
      </c>
      <c r="AK4131" s="867" t="s">
        <v>245</v>
      </c>
      <c r="AM4131" s="868" t="s">
        <v>254</v>
      </c>
      <c r="AN4131" s="869" t="s">
        <v>255</v>
      </c>
      <c r="AO4131" s="505" t="s">
        <v>251</v>
      </c>
    </row>
    <row r="4132" spans="1:41" s="504" customFormat="1" ht="12" customHeight="1">
      <c r="A4132" s="870">
        <v>10</v>
      </c>
      <c r="B4132" s="871" t="s">
        <v>335</v>
      </c>
      <c r="C4132" s="872"/>
      <c r="D4132" s="873" t="s">
        <v>806</v>
      </c>
      <c r="E4132" s="874">
        <f ca="1">IF(AND($A4132=0,$A$1="DIF"),0, ROUND(ROUND(($R4137*$S$2+($T4137*$T$2))/A4132,2)*$C$2,2))</f>
        <v>11.35</v>
      </c>
      <c r="F4132" s="875">
        <f ca="1">ROUND($A4132*$E4132,2)</f>
        <v>113.5</v>
      </c>
      <c r="G4132" s="876" t="s">
        <v>139</v>
      </c>
      <c r="H4132" s="877"/>
      <c r="I4132" s="878"/>
      <c r="J4132" s="877"/>
      <c r="K4132" s="877" t="s">
        <v>3</v>
      </c>
      <c r="L4132" s="879" t="s">
        <v>140</v>
      </c>
      <c r="M4132" s="879"/>
      <c r="N4132" s="879"/>
      <c r="O4132" s="879"/>
      <c r="P4132" s="879"/>
      <c r="Q4132" s="50"/>
      <c r="T4132" s="880" t="str">
        <f ca="1">IF(AND($R4137=0,$T4137=0),"0.00","mu :" &amp; ROUND($F4132/$C$2/($R4137+$T4137*$D$9),2))</f>
        <v>mu :1.22</v>
      </c>
      <c r="W4132" s="507"/>
      <c r="AG4132" s="465">
        <f ca="1">IF($E4132=0,0,ROUND($R4137*$S$2*$C$2/$A4132,2))</f>
        <v>0.1</v>
      </c>
      <c r="AH4132" s="465">
        <f ca="1">$AG4132*$A4132</f>
        <v>1</v>
      </c>
      <c r="AI4132" s="508">
        <f ca="1">$E4132-$AG4132</f>
        <v>11.25</v>
      </c>
      <c r="AJ4132" s="508">
        <f ca="1">$A4132*$AI4132</f>
        <v>112.5</v>
      </c>
      <c r="AK4132" s="509">
        <f ca="1">ROUND(($AG4132+$AI4132)*$A4132,2)</f>
        <v>113.5</v>
      </c>
      <c r="AM4132" s="510">
        <f ca="1">ROUND(R4137,2)</f>
        <v>0.8</v>
      </c>
      <c r="AN4132" s="511">
        <f ca="1">ROUND(T4137,2)</f>
        <v>3.2</v>
      </c>
      <c r="AO4132" s="512">
        <f ca="1">ROUND(AM4132+AN4132,2)*A4132</f>
        <v>40</v>
      </c>
    </row>
    <row r="4133" spans="1:41" s="504" customFormat="1" ht="13.2">
      <c r="A4133" s="872"/>
      <c r="B4133"/>
      <c r="C4133" s="872"/>
      <c r="D4133" s="873" t="s">
        <v>491</v>
      </c>
      <c r="F4133" s="877"/>
      <c r="G4133" s="3"/>
      <c r="H4133" s="877"/>
      <c r="I4133" s="878"/>
      <c r="J4133" s="877"/>
      <c r="K4133" s="877" t="s">
        <v>141</v>
      </c>
      <c r="L4133" s="877"/>
      <c r="M4133" s="877"/>
      <c r="N4133" s="877"/>
      <c r="O4133" s="877"/>
      <c r="P4133" s="877"/>
      <c r="Q4133" s="50"/>
      <c r="R4133" s="513"/>
      <c r="S4133" s="881"/>
      <c r="T4133" s="877"/>
    </row>
    <row r="4134" spans="1:41" s="997" customFormat="1" ht="13.2">
      <c r="A4134"/>
      <c r="B4134" s="1065"/>
      <c r="C4134" s="1065" t="s">
        <v>1006</v>
      </c>
      <c r="D4134" s="1065" t="str">
        <f ca="1">CELL("Address",Elec_Rates!D$308)</f>
        <v>[EL25_0662B_Brittania_Hotel_Elec_Revised_Estim_B.xlsx]Elec_Rates!$D$308</v>
      </c>
      <c r="E4134" s="1066"/>
      <c r="F4134" s="1066"/>
      <c r="G4134" s="1067" t="s">
        <v>1007</v>
      </c>
      <c r="H4134" s="1067"/>
      <c r="I4134" s="1067"/>
      <c r="J4134" s="1067"/>
      <c r="K4134" s="1068"/>
      <c r="L4134" s="1066"/>
      <c r="M4134" s="1066"/>
      <c r="N4134" s="1066"/>
      <c r="O4134" s="1069"/>
      <c r="P4134" s="1066"/>
      <c r="Q4134" s="1070"/>
      <c r="R4134" s="1071"/>
      <c r="S4134" s="1070"/>
      <c r="T4134" s="1072"/>
      <c r="U4134" s="1073"/>
    </row>
    <row r="4135" spans="1:41" s="997" customFormat="1" ht="11.4">
      <c r="A4135" s="1074">
        <v>10</v>
      </c>
      <c r="B4135" s="1075">
        <v>1</v>
      </c>
      <c r="C4135" s="1075">
        <f>$A4135*$B4135</f>
        <v>10</v>
      </c>
      <c r="D4135" s="1076" t="str">
        <f>Elec_Rates!$D$308</f>
        <v>034# Install and connect Only - Type 'LD-08' - Staircase Wall Light</v>
      </c>
      <c r="E4135" s="1076"/>
      <c r="F4135" s="1076"/>
      <c r="G4135" s="1077" t="s">
        <v>1008</v>
      </c>
      <c r="H4135" s="1077"/>
      <c r="I4135" s="1077"/>
      <c r="J4135" s="1077"/>
      <c r="K4135" s="1078"/>
      <c r="L4135" s="1073"/>
      <c r="M4135" s="1073"/>
      <c r="N4135" s="1073"/>
      <c r="O4135" s="1079"/>
      <c r="P4135" s="1076"/>
      <c r="Q4135" s="1080">
        <f ca="1">$B4135*Elec_Rates!$R$308</f>
        <v>0.08</v>
      </c>
      <c r="R4135" s="1071">
        <f ca="1">$A4135*Q4135</f>
        <v>0.8</v>
      </c>
      <c r="S4135" s="1080">
        <f ca="1">$B4135*Elec_Rates!$T$308</f>
        <v>0.32</v>
      </c>
      <c r="T4135" s="1072">
        <f ca="1">$A4135*S4135</f>
        <v>3.2</v>
      </c>
      <c r="U4135" s="1081"/>
    </row>
    <row r="4136" spans="1:41" s="504" customFormat="1" ht="12">
      <c r="A4136" s="882"/>
      <c r="B4136" s="882"/>
      <c r="C4136" s="882"/>
      <c r="D4136" s="882"/>
      <c r="E4136" s="882"/>
      <c r="F4136" s="877"/>
      <c r="G4136" s="882"/>
      <c r="H4136" s="882"/>
      <c r="I4136" s="503"/>
      <c r="J4136" s="882"/>
      <c r="K4136" s="882"/>
      <c r="L4136" s="882"/>
      <c r="M4136" s="882"/>
      <c r="N4136" s="882"/>
      <c r="O4136" s="882"/>
      <c r="P4136" s="882"/>
      <c r="Q4136" s="503"/>
      <c r="R4136" s="883">
        <f>$A4136*Q4136</f>
        <v>0</v>
      </c>
      <c r="S4136" s="503"/>
      <c r="T4136" s="884">
        <f>$A4136*S4136*$T$1</f>
        <v>0</v>
      </c>
    </row>
    <row r="4137" spans="1:41" s="504" customFormat="1" ht="12.6" thickBot="1">
      <c r="A4137" s="885" t="s">
        <v>142</v>
      </c>
      <c r="B4137" s="886">
        <f>(R4136+T4136)</f>
        <v>0</v>
      </c>
      <c r="C4137" s="887"/>
      <c r="D4137" s="887"/>
      <c r="E4137" s="887"/>
      <c r="F4137" s="888"/>
      <c r="G4137" s="887" t="s">
        <v>143</v>
      </c>
      <c r="H4137" s="887"/>
      <c r="I4137" s="889"/>
      <c r="J4137" s="887"/>
      <c r="K4137" s="887" t="s">
        <v>3</v>
      </c>
      <c r="L4137" s="890" t="s">
        <v>140</v>
      </c>
      <c r="M4137" s="890"/>
      <c r="N4137" s="890"/>
      <c r="O4137" s="890"/>
      <c r="P4137" s="890"/>
      <c r="Q4137" s="891"/>
      <c r="R4137" s="892">
        <f ca="1">SUM(R4133:R4136)</f>
        <v>0.8</v>
      </c>
      <c r="S4137" s="887"/>
      <c r="T4137" s="892">
        <f ca="1">SUM(T4133:T4136)</f>
        <v>3.2</v>
      </c>
      <c r="U4137" s="514"/>
      <c r="V4137" s="514"/>
      <c r="W4137" s="514"/>
      <c r="X4137" s="514"/>
      <c r="Y4137" s="514"/>
      <c r="Z4137" s="514"/>
      <c r="AA4137" s="514"/>
      <c r="AB4137" s="514"/>
      <c r="AC4137" s="514"/>
      <c r="AD4137" s="514"/>
      <c r="AE4137" s="514"/>
      <c r="AF4137" s="514"/>
      <c r="AG4137" s="514"/>
      <c r="AH4137" s="514"/>
      <c r="AI4137" s="514"/>
      <c r="AJ4137" s="514"/>
      <c r="AK4137" s="514"/>
      <c r="AL4137" s="514"/>
      <c r="AM4137" s="514"/>
      <c r="AN4137" s="514"/>
      <c r="AO4137" s="514"/>
    </row>
    <row r="4138" spans="1:41" s="504" customFormat="1" ht="12" thickTop="1">
      <c r="A4138" s="50"/>
      <c r="B4138" s="40"/>
      <c r="C4138" s="50"/>
      <c r="E4138" s="41" t="s">
        <v>136</v>
      </c>
      <c r="F4138" s="41" t="s">
        <v>137</v>
      </c>
      <c r="G4138" s="50"/>
      <c r="H4138" s="50"/>
      <c r="I4138" s="50"/>
      <c r="J4138" s="50"/>
      <c r="K4138" s="50" t="s">
        <v>138</v>
      </c>
      <c r="L4138" s="50"/>
      <c r="M4138" s="50"/>
      <c r="N4138" s="50"/>
      <c r="O4138" s="51"/>
      <c r="P4138" s="50"/>
      <c r="Q4138" s="50"/>
      <c r="R4138" s="50"/>
      <c r="S4138" s="50"/>
      <c r="T4138" s="40"/>
      <c r="AG4138" s="867" t="s">
        <v>241</v>
      </c>
      <c r="AH4138" s="867" t="s">
        <v>242</v>
      </c>
      <c r="AI4138" s="867" t="s">
        <v>243</v>
      </c>
      <c r="AJ4138" s="867" t="s">
        <v>244</v>
      </c>
      <c r="AK4138" s="867" t="s">
        <v>245</v>
      </c>
      <c r="AM4138" s="868" t="s">
        <v>254</v>
      </c>
      <c r="AN4138" s="869" t="s">
        <v>255</v>
      </c>
      <c r="AO4138" s="505" t="s">
        <v>251</v>
      </c>
    </row>
    <row r="4139" spans="1:41" s="504" customFormat="1" ht="12" customHeight="1">
      <c r="A4139" s="870">
        <v>9</v>
      </c>
      <c r="B4139" s="871" t="s">
        <v>335</v>
      </c>
      <c r="C4139" s="872"/>
      <c r="D4139" s="873" t="s">
        <v>808</v>
      </c>
      <c r="E4139" s="874">
        <f ca="1">IF(AND($A4139=0,$A$1="DIF"),0, ROUND(ROUND(($R4144*$S$2+($T4144*$T$2))/A4139,2)*$C$2,2))</f>
        <v>13.21</v>
      </c>
      <c r="F4139" s="875">
        <f ca="1">ROUND($A4139*$E4139,2)</f>
        <v>118.89</v>
      </c>
      <c r="G4139" s="876" t="s">
        <v>139</v>
      </c>
      <c r="H4139" s="877"/>
      <c r="I4139" s="878"/>
      <c r="J4139" s="877"/>
      <c r="K4139" s="877" t="s">
        <v>3</v>
      </c>
      <c r="L4139" s="879" t="s">
        <v>140</v>
      </c>
      <c r="M4139" s="879"/>
      <c r="N4139" s="879"/>
      <c r="O4139" s="879"/>
      <c r="P4139" s="879"/>
      <c r="Q4139" s="50"/>
      <c r="T4139" s="880" t="str">
        <f ca="1">IF(AND($R4144=0,$T4144=0),"0.00","mu :" &amp; ROUND($F4139/$C$2/($R4144+$T4144*$D$9),2))</f>
        <v>mu :1.22</v>
      </c>
      <c r="W4139" s="507"/>
      <c r="AG4139" s="465">
        <f ca="1">IF($E4139=0,0,ROUND($R4144*$S$2*$C$2/$A4139,2))</f>
        <v>0.2</v>
      </c>
      <c r="AH4139" s="465">
        <f ca="1">$AG4139*$A4139</f>
        <v>1.8</v>
      </c>
      <c r="AI4139" s="508">
        <f ca="1">$E4139-$AG4139</f>
        <v>13.010000000000002</v>
      </c>
      <c r="AJ4139" s="508">
        <f ca="1">$A4139*$AI4139</f>
        <v>117.09000000000002</v>
      </c>
      <c r="AK4139" s="509">
        <f ca="1">ROUND(($AG4139+$AI4139)*$A4139,2)</f>
        <v>118.89</v>
      </c>
      <c r="AM4139" s="510">
        <f ca="1">ROUND(R4144,2)</f>
        <v>1.44</v>
      </c>
      <c r="AN4139" s="511">
        <f ca="1">ROUND(T4144,2)</f>
        <v>3.33</v>
      </c>
      <c r="AO4139" s="512">
        <f ca="1">ROUND(AM4139+AN4139,2)*A4139</f>
        <v>42.929999999999993</v>
      </c>
    </row>
    <row r="4140" spans="1:41" s="504" customFormat="1" ht="13.2">
      <c r="A4140" s="872"/>
      <c r="B4140"/>
      <c r="C4140" s="872"/>
      <c r="D4140" s="873" t="s">
        <v>348</v>
      </c>
      <c r="F4140" s="877"/>
      <c r="G4140" s="3"/>
      <c r="H4140" s="877"/>
      <c r="I4140" s="878"/>
      <c r="J4140" s="877"/>
      <c r="K4140" s="877" t="s">
        <v>141</v>
      </c>
      <c r="L4140" s="877"/>
      <c r="M4140" s="877"/>
      <c r="N4140" s="877"/>
      <c r="O4140" s="877"/>
      <c r="P4140" s="877"/>
      <c r="Q4140" s="50"/>
      <c r="R4140" s="513"/>
      <c r="S4140" s="881"/>
      <c r="T4140" s="877"/>
    </row>
    <row r="4141" spans="1:41" s="997" customFormat="1" ht="13.2">
      <c r="A4141"/>
      <c r="B4141" s="1065"/>
      <c r="C4141" s="1065" t="s">
        <v>1006</v>
      </c>
      <c r="D4141" s="1065" t="str">
        <f ca="1">CELL("Address",Elec_Rates!D$247)</f>
        <v>[EL25_0662B_Brittania_Hotel_Elec_Revised_Estim_B.xlsx]Elec_Rates!$D$247</v>
      </c>
      <c r="E4141" s="1066"/>
      <c r="F4141" s="1066"/>
      <c r="G4141" s="1067" t="s">
        <v>1007</v>
      </c>
      <c r="H4141" s="1067"/>
      <c r="I4141" s="1067"/>
      <c r="J4141" s="1067"/>
      <c r="K4141" s="1068"/>
      <c r="L4141" s="1066"/>
      <c r="M4141" s="1066"/>
      <c r="N4141" s="1066"/>
      <c r="O4141" s="1069"/>
      <c r="P4141" s="1066"/>
      <c r="Q4141" s="1070"/>
      <c r="R4141" s="1071"/>
      <c r="S4141" s="1070"/>
      <c r="T4141" s="1072"/>
      <c r="U4141" s="1073"/>
    </row>
    <row r="4142" spans="1:41" s="997" customFormat="1" ht="11.4">
      <c r="A4142" s="1074">
        <v>9</v>
      </c>
      <c r="B4142" s="1075">
        <v>1</v>
      </c>
      <c r="C4142" s="1075">
        <f>$A4142*$B4142</f>
        <v>9</v>
      </c>
      <c r="D4142" s="1076" t="str">
        <f>Elec_Rates!$D$247</f>
        <v>026# Install and connect Only - Type 'E1' - Single Sided, Wall Mounted, Directional Exit Signage</v>
      </c>
      <c r="E4142" s="1076"/>
      <c r="F4142" s="1076"/>
      <c r="G4142" s="1077" t="s">
        <v>1008</v>
      </c>
      <c r="H4142" s="1077"/>
      <c r="I4142" s="1077"/>
      <c r="J4142" s="1077"/>
      <c r="K4142" s="1078"/>
      <c r="L4142" s="1073"/>
      <c r="M4142" s="1073"/>
      <c r="N4142" s="1073"/>
      <c r="O4142" s="1079"/>
      <c r="P4142" s="1076"/>
      <c r="Q4142" s="1080">
        <f ca="1">$B4142*Elec_Rates!$R$247</f>
        <v>0.16</v>
      </c>
      <c r="R4142" s="1071">
        <f ca="1">$A4142*Q4142</f>
        <v>1.44</v>
      </c>
      <c r="S4142" s="1080">
        <f ca="1">$B4142*Elec_Rates!$T$247</f>
        <v>0.37</v>
      </c>
      <c r="T4142" s="1072">
        <f ca="1">$A4142*S4142</f>
        <v>3.33</v>
      </c>
      <c r="U4142" s="1081"/>
    </row>
    <row r="4143" spans="1:41" s="504" customFormat="1" ht="12">
      <c r="A4143" s="882"/>
      <c r="B4143" s="882"/>
      <c r="C4143" s="882"/>
      <c r="D4143" s="882"/>
      <c r="E4143" s="882"/>
      <c r="F4143" s="877"/>
      <c r="G4143" s="882"/>
      <c r="H4143" s="882"/>
      <c r="I4143" s="503"/>
      <c r="J4143" s="882"/>
      <c r="K4143" s="882"/>
      <c r="L4143" s="882"/>
      <c r="M4143" s="882"/>
      <c r="N4143" s="882"/>
      <c r="O4143" s="882"/>
      <c r="P4143" s="882"/>
      <c r="Q4143" s="503"/>
      <c r="R4143" s="883">
        <f>$A4143*Q4143</f>
        <v>0</v>
      </c>
      <c r="S4143" s="503"/>
      <c r="T4143" s="884">
        <f>$A4143*S4143*$T$1</f>
        <v>0</v>
      </c>
    </row>
    <row r="4144" spans="1:41" s="504" customFormat="1" ht="12.6" thickBot="1">
      <c r="A4144" s="885" t="s">
        <v>142</v>
      </c>
      <c r="B4144" s="886">
        <f>(R4143+T4143)</f>
        <v>0</v>
      </c>
      <c r="C4144" s="887"/>
      <c r="D4144" s="887"/>
      <c r="E4144" s="887"/>
      <c r="F4144" s="888"/>
      <c r="G4144" s="887" t="s">
        <v>143</v>
      </c>
      <c r="H4144" s="887"/>
      <c r="I4144" s="889"/>
      <c r="J4144" s="887"/>
      <c r="K4144" s="887" t="s">
        <v>3</v>
      </c>
      <c r="L4144" s="890" t="s">
        <v>140</v>
      </c>
      <c r="M4144" s="890"/>
      <c r="N4144" s="890"/>
      <c r="O4144" s="890"/>
      <c r="P4144" s="890"/>
      <c r="Q4144" s="891"/>
      <c r="R4144" s="892">
        <f ca="1">SUM(R4140:R4143)</f>
        <v>1.44</v>
      </c>
      <c r="S4144" s="887"/>
      <c r="T4144" s="892">
        <f ca="1">SUM(T4140:T4143)</f>
        <v>3.33</v>
      </c>
      <c r="U4144" s="514"/>
      <c r="V4144" s="514"/>
      <c r="W4144" s="514"/>
      <c r="X4144" s="514"/>
      <c r="Y4144" s="514"/>
      <c r="Z4144" s="514"/>
      <c r="AA4144" s="514"/>
      <c r="AB4144" s="514"/>
      <c r="AC4144" s="514"/>
      <c r="AD4144" s="514"/>
      <c r="AE4144" s="514"/>
      <c r="AF4144" s="514"/>
      <c r="AG4144" s="514"/>
      <c r="AH4144" s="514"/>
      <c r="AI4144" s="514"/>
      <c r="AJ4144" s="514"/>
      <c r="AK4144" s="514"/>
      <c r="AL4144" s="514"/>
      <c r="AM4144" s="514"/>
      <c r="AN4144" s="514"/>
      <c r="AO4144" s="514"/>
    </row>
    <row r="4145" spans="1:41" s="504" customFormat="1" ht="12" thickTop="1">
      <c r="A4145" s="47" t="s">
        <v>145</v>
      </c>
      <c r="D4145" s="13"/>
      <c r="E4145" s="41"/>
      <c r="O4145" s="893"/>
    </row>
    <row r="4146" spans="1:41" s="504" customFormat="1" ht="13.2">
      <c r="B4146" s="3"/>
      <c r="O4146" s="893"/>
    </row>
    <row r="4147" spans="1:41" s="504" customFormat="1" ht="12">
      <c r="B4147" s="894">
        <f ca="1">$F4147/$C$2-($R4147*$S$2+$T4147*$T$2)</f>
        <v>-0.2058098999991671</v>
      </c>
      <c r="D4147" s="895" t="s">
        <v>817</v>
      </c>
      <c r="E4147" s="896"/>
      <c r="F4147" s="897">
        <f ca="1">SUMIF($L4072:$L4145,"ITEM",F4072:F4145)</f>
        <v>3512.0800000000004</v>
      </c>
      <c r="G4147" s="882"/>
      <c r="H4147" s="882"/>
      <c r="I4147" s="503"/>
      <c r="J4147" s="882"/>
      <c r="K4147" s="882"/>
      <c r="L4147" s="879" t="s">
        <v>154</v>
      </c>
      <c r="M4147" s="879"/>
      <c r="N4147" s="879"/>
      <c r="O4147" s="879"/>
      <c r="P4147" s="879"/>
      <c r="R4147" s="897">
        <f ca="1">SUMIF($L4072:$L4145,"ITEM",R4072:R4145)</f>
        <v>741.96500000000003</v>
      </c>
      <c r="S4147" s="898"/>
      <c r="T4147" s="897">
        <f ca="1">SUMIF($L4072:$L4145,"ITEM",T4072:T4145)</f>
        <v>74.114999999999995</v>
      </c>
    </row>
    <row r="4148" spans="1:41" s="504" customFormat="1" ht="13.2">
      <c r="A4148" s="50"/>
      <c r="B4148" s="48" t="s">
        <v>816</v>
      </c>
      <c r="C4148" s="50"/>
      <c r="D4148" s="3"/>
      <c r="F4148" s="899" t="s">
        <v>155</v>
      </c>
      <c r="G4148" s="882"/>
      <c r="H4148" s="882"/>
      <c r="I4148" s="503"/>
      <c r="J4148" s="882"/>
      <c r="K4148" s="882"/>
      <c r="L4148" s="882"/>
      <c r="M4148" s="882"/>
      <c r="N4148" s="882"/>
      <c r="O4148" s="882"/>
      <c r="P4148" s="882"/>
      <c r="Q4148" s="900"/>
      <c r="R4148" s="899" t="s">
        <v>156</v>
      </c>
      <c r="S4148" s="38"/>
      <c r="T4148" s="899" t="s">
        <v>157</v>
      </c>
    </row>
    <row r="4149" spans="1:41" s="504" customFormat="1" ht="13.2">
      <c r="A4149" s="882"/>
      <c r="B4149" s="3"/>
      <c r="C4149" s="882"/>
      <c r="D4149" s="3"/>
      <c r="E4149" s="3"/>
      <c r="G4149" s="3"/>
      <c r="H4149" s="3"/>
      <c r="I4149" s="3"/>
      <c r="J4149" s="3"/>
      <c r="K4149" s="3"/>
      <c r="L4149" s="3"/>
      <c r="M4149" s="3"/>
      <c r="N4149" s="3"/>
      <c r="O4149" s="103"/>
      <c r="P4149" s="3"/>
      <c r="Q4149" s="3"/>
      <c r="R4149" s="3"/>
      <c r="S4149" s="3"/>
      <c r="T4149" s="3"/>
    </row>
    <row r="4150" spans="1:41" s="504" customFormat="1" ht="12" thickBot="1">
      <c r="A4150" s="514"/>
      <c r="B4150" s="887"/>
      <c r="C4150" s="887"/>
      <c r="D4150" s="514"/>
      <c r="E4150" s="39"/>
      <c r="F4150" s="901"/>
      <c r="G4150" s="887"/>
      <c r="H4150" s="887"/>
      <c r="I4150" s="889"/>
      <c r="J4150" s="887"/>
      <c r="K4150" s="887"/>
      <c r="L4150" s="890"/>
      <c r="M4150" s="890"/>
      <c r="N4150" s="890"/>
      <c r="O4150" s="890"/>
      <c r="P4150" s="890"/>
      <c r="Q4150" s="891"/>
      <c r="R4150" s="901"/>
      <c r="S4150" s="902"/>
      <c r="T4150" s="901"/>
      <c r="U4150" s="514"/>
      <c r="V4150" s="514"/>
      <c r="W4150" s="514"/>
      <c r="X4150" s="514"/>
      <c r="Y4150" s="514"/>
      <c r="Z4150" s="514"/>
      <c r="AA4150" s="514"/>
      <c r="AB4150" s="514"/>
      <c r="AC4150" s="514"/>
      <c r="AD4150" s="514"/>
      <c r="AE4150" s="514"/>
      <c r="AF4150" s="514"/>
      <c r="AG4150" s="514"/>
      <c r="AH4150" s="514"/>
      <c r="AI4150" s="514"/>
      <c r="AJ4150" s="514"/>
      <c r="AK4150" s="514"/>
    </row>
    <row r="4151" spans="1:41" s="504" customFormat="1" thickTop="1">
      <c r="A4151" s="50"/>
      <c r="B4151" s="50"/>
      <c r="C4151" s="3"/>
      <c r="D4151" s="3"/>
      <c r="E4151" s="50"/>
      <c r="F4151" s="50"/>
      <c r="G4151" s="50"/>
      <c r="H4151" s="50"/>
      <c r="I4151" s="50"/>
      <c r="J4151" s="50"/>
      <c r="K4151" s="50" t="s">
        <v>133</v>
      </c>
      <c r="L4151" s="50"/>
      <c r="M4151" s="50"/>
      <c r="N4151" s="50"/>
      <c r="O4151" s="51"/>
      <c r="P4151" s="50"/>
      <c r="Q4151" s="50"/>
      <c r="R4151" s="50"/>
      <c r="S4151" s="50"/>
      <c r="T4151" s="50"/>
    </row>
    <row r="4152" spans="1:41" s="504" customFormat="1" ht="12">
      <c r="A4152" s="50"/>
      <c r="B4152" s="50"/>
      <c r="C4152" s="50" t="s">
        <v>134</v>
      </c>
      <c r="D4152" s="37"/>
      <c r="E4152" s="50"/>
      <c r="F4152" s="50"/>
      <c r="G4152" s="50"/>
      <c r="H4152" s="50"/>
      <c r="I4152" s="50"/>
      <c r="J4152" s="50"/>
      <c r="K4152" s="50"/>
      <c r="L4152" s="50"/>
      <c r="M4152" s="50"/>
      <c r="N4152" s="50"/>
      <c r="O4152" s="51"/>
      <c r="P4152" s="50"/>
      <c r="Q4152" s="50"/>
      <c r="R4152" s="50"/>
      <c r="S4152" s="50"/>
      <c r="T4152" s="50"/>
    </row>
    <row r="4153" spans="1:41" s="504" customFormat="1" ht="12">
      <c r="A4153" s="50"/>
      <c r="B4153" s="50"/>
      <c r="C4153" s="50"/>
      <c r="D4153" s="37" t="s">
        <v>492</v>
      </c>
      <c r="E4153" s="50"/>
      <c r="F4153" s="50"/>
      <c r="G4153" s="50"/>
      <c r="H4153" s="50"/>
      <c r="I4153" s="50"/>
      <c r="J4153" s="50"/>
      <c r="K4153" s="50"/>
      <c r="L4153" s="50"/>
      <c r="M4153" s="50"/>
      <c r="N4153" s="50"/>
      <c r="O4153" s="51"/>
      <c r="P4153" s="50"/>
      <c r="Q4153" s="50"/>
      <c r="R4153" s="50"/>
      <c r="S4153" s="38"/>
      <c r="T4153" s="38"/>
    </row>
    <row r="4154" spans="1:41" s="3" customFormat="1" thickBot="1">
      <c r="A4154" s="514"/>
      <c r="O4154" s="103"/>
    </row>
    <row r="4155" spans="1:41" s="504" customFormat="1" ht="12" thickTop="1">
      <c r="A4155" s="50"/>
      <c r="B4155" s="40"/>
      <c r="C4155" s="50"/>
      <c r="E4155" s="41" t="s">
        <v>136</v>
      </c>
      <c r="F4155" s="41" t="s">
        <v>137</v>
      </c>
      <c r="G4155" s="50"/>
      <c r="H4155" s="50"/>
      <c r="I4155" s="50"/>
      <c r="J4155" s="50"/>
      <c r="K4155" s="50" t="s">
        <v>138</v>
      </c>
      <c r="L4155" s="50"/>
      <c r="M4155" s="50"/>
      <c r="N4155" s="50"/>
      <c r="O4155" s="51"/>
      <c r="P4155" s="50"/>
      <c r="Q4155" s="50"/>
      <c r="R4155" s="50"/>
      <c r="S4155" s="50"/>
      <c r="T4155" s="40"/>
      <c r="AG4155" s="867" t="s">
        <v>241</v>
      </c>
      <c r="AH4155" s="867" t="s">
        <v>242</v>
      </c>
      <c r="AI4155" s="867" t="s">
        <v>243</v>
      </c>
      <c r="AJ4155" s="867" t="s">
        <v>244</v>
      </c>
      <c r="AK4155" s="867" t="s">
        <v>245</v>
      </c>
      <c r="AM4155" s="868" t="s">
        <v>254</v>
      </c>
      <c r="AN4155" s="869" t="s">
        <v>255</v>
      </c>
      <c r="AO4155" s="505" t="s">
        <v>251</v>
      </c>
    </row>
    <row r="4156" spans="1:41" s="504" customFormat="1" ht="12" customHeight="1">
      <c r="A4156" s="870">
        <v>1</v>
      </c>
      <c r="B4156" s="871" t="s">
        <v>335</v>
      </c>
      <c r="C4156" s="872"/>
      <c r="D4156" s="1326" t="s">
        <v>907</v>
      </c>
      <c r="E4156" s="874">
        <f>IF(AND($A4156=0,$A$1="DIF"),0, ROUND(ROUND(($R4165*$S$2+($T4165*$T$2))/A4156,2)*$C$2,2))</f>
        <v>1384.64</v>
      </c>
      <c r="F4156" s="875">
        <f>ROUND($A4156*$E4156,2)</f>
        <v>1384.64</v>
      </c>
      <c r="G4156" s="876" t="s">
        <v>139</v>
      </c>
      <c r="H4156" s="877"/>
      <c r="I4156" s="878"/>
      <c r="J4156" s="877"/>
      <c r="K4156" s="877" t="s">
        <v>3</v>
      </c>
      <c r="L4156" s="879" t="s">
        <v>140</v>
      </c>
      <c r="M4156" s="879"/>
      <c r="N4156" s="879"/>
      <c r="O4156" s="879"/>
      <c r="P4156" s="879"/>
      <c r="Q4156" s="50"/>
      <c r="T4156" s="880" t="str">
        <f>IF(AND($R4165=0,$T4165=0),"0.00","mu :" &amp; ROUND($F4156/$C$2/($R4165+$T4165*$D$9),2))</f>
        <v>mu :1.22</v>
      </c>
      <c r="W4156" s="507"/>
      <c r="AG4156" s="465">
        <f>IF($E4156=0,0,ROUND($R4165*$S$2*$C$2/$A4156,2))</f>
        <v>1286.76</v>
      </c>
      <c r="AH4156" s="465">
        <f>$AG4156*$A4156</f>
        <v>1286.76</v>
      </c>
      <c r="AI4156" s="508">
        <f>$E4156-$AG4156</f>
        <v>97.880000000000109</v>
      </c>
      <c r="AJ4156" s="508">
        <f>$A4156*$AI4156</f>
        <v>97.880000000000109</v>
      </c>
      <c r="AK4156" s="509">
        <f>ROUND(($AG4156+$AI4156)*$A4156,2)</f>
        <v>1384.64</v>
      </c>
      <c r="AM4156" s="510">
        <f>ROUND(R4165,2)</f>
        <v>1054.72</v>
      </c>
      <c r="AN4156" s="511">
        <f>ROUND(T4165,2)</f>
        <v>2.78</v>
      </c>
      <c r="AO4156" s="512">
        <f>ROUND(AM4156+AN4156,2)*A4156</f>
        <v>1057.5</v>
      </c>
    </row>
    <row r="4157" spans="1:41" s="504" customFormat="1" ht="13.2">
      <c r="A4157" s="872"/>
      <c r="B4157"/>
      <c r="C4157" s="872"/>
      <c r="D4157" s="916" t="s">
        <v>493</v>
      </c>
      <c r="E4157" s="917"/>
      <c r="F4157" s="918"/>
      <c r="G4157" s="919"/>
      <c r="H4157" s="918"/>
      <c r="I4157" s="920"/>
      <c r="J4157" s="918"/>
      <c r="K4157" s="918"/>
      <c r="L4157" s="918"/>
      <c r="M4157" s="918"/>
      <c r="N4157" s="918"/>
      <c r="O4157" s="918"/>
      <c r="P4157" s="918"/>
      <c r="Q4157" s="921"/>
      <c r="R4157" s="513"/>
      <c r="S4157" s="881"/>
      <c r="T4157" s="877"/>
    </row>
    <row r="4158" spans="1:41" s="504" customFormat="1" ht="13.2">
      <c r="A4158" s="112">
        <v>1</v>
      </c>
      <c r="B4158" s="1039" t="s">
        <v>949</v>
      </c>
      <c r="C4158" s="1039"/>
      <c r="D4158" s="1213" t="s">
        <v>1559</v>
      </c>
      <c r="E4158" s="1047"/>
      <c r="F4158" s="1047"/>
      <c r="G4158" s="1040" t="s">
        <v>1413</v>
      </c>
      <c r="H4158" s="1041">
        <v>810</v>
      </c>
      <c r="I4158" s="1039" t="s">
        <v>1414</v>
      </c>
      <c r="J4158" s="1039" t="s">
        <v>1415</v>
      </c>
      <c r="K4158" s="1039"/>
      <c r="L4158" s="1039"/>
      <c r="M4158" s="1039"/>
      <c r="N4158" s="1039"/>
      <c r="O4158" s="1042">
        <v>2</v>
      </c>
      <c r="P4158" s="1043">
        <v>38330</v>
      </c>
      <c r="Q4158" s="1044">
        <v>758.42</v>
      </c>
      <c r="R4158" s="1045">
        <f t="shared" ref="R4158:R4164" si="52">$A4158*Q4158</f>
        <v>758.42</v>
      </c>
      <c r="S4158" s="1044"/>
      <c r="T4158" s="1046">
        <f t="shared" ref="T4158:T4164" si="53">$A4158*S4158*$T$1</f>
        <v>0</v>
      </c>
      <c r="AC4158" s="968"/>
    </row>
    <row r="4159" spans="1:41" s="504" customFormat="1" ht="13.2">
      <c r="A4159" s="112">
        <v>1</v>
      </c>
      <c r="B4159" s="1039" t="s">
        <v>949</v>
      </c>
      <c r="C4159" s="1039"/>
      <c r="D4159" s="1213" t="s">
        <v>1416</v>
      </c>
      <c r="E4159" s="1047"/>
      <c r="F4159" s="1047"/>
      <c r="G4159" s="1040" t="s">
        <v>1413</v>
      </c>
      <c r="H4159" s="1041">
        <v>810</v>
      </c>
      <c r="I4159" s="1039" t="s">
        <v>1414</v>
      </c>
      <c r="J4159" s="1039" t="s">
        <v>1415</v>
      </c>
      <c r="K4159" s="1039"/>
      <c r="L4159" s="1039"/>
      <c r="M4159" s="1039"/>
      <c r="N4159" s="1039"/>
      <c r="O4159" s="1042">
        <v>2</v>
      </c>
      <c r="P4159" s="1043">
        <v>38330</v>
      </c>
      <c r="Q4159" s="1044">
        <v>0</v>
      </c>
      <c r="R4159" s="883">
        <f t="shared" si="52"/>
        <v>0</v>
      </c>
      <c r="S4159" s="503"/>
      <c r="T4159" s="884">
        <f t="shared" si="53"/>
        <v>0</v>
      </c>
    </row>
    <row r="4160" spans="1:41" s="1039" customFormat="1" ht="13.2">
      <c r="A4160">
        <v>35</v>
      </c>
      <c r="B4160" s="1039" t="s">
        <v>326</v>
      </c>
      <c r="D4160" s="1039" t="s">
        <v>1417</v>
      </c>
      <c r="G4160" s="1040" t="s">
        <v>1418</v>
      </c>
      <c r="H4160" s="1041">
        <v>615</v>
      </c>
      <c r="I4160" s="1039" t="s">
        <v>991</v>
      </c>
      <c r="K4160" s="1039" t="s">
        <v>1419</v>
      </c>
      <c r="O4160" s="1042">
        <v>2</v>
      </c>
      <c r="P4160" s="1043">
        <v>38988</v>
      </c>
      <c r="Q4160" s="1044">
        <v>8.33</v>
      </c>
      <c r="R4160" s="1045">
        <f t="shared" si="52"/>
        <v>291.55</v>
      </c>
      <c r="S4160" s="1044">
        <v>7.0000000000000007E-2</v>
      </c>
      <c r="T4160" s="1046">
        <f t="shared" si="53"/>
        <v>2.5725000000000002</v>
      </c>
    </row>
    <row r="4161" spans="1:41" s="1039" customFormat="1" ht="13.2">
      <c r="A4161">
        <v>2</v>
      </c>
      <c r="B4161" s="1039" t="s">
        <v>949</v>
      </c>
      <c r="D4161" s="1039" t="s">
        <v>997</v>
      </c>
      <c r="G4161" s="1040" t="s">
        <v>998</v>
      </c>
      <c r="H4161" s="1041">
        <v>620</v>
      </c>
      <c r="I4161" s="1039" t="s">
        <v>999</v>
      </c>
      <c r="O4161" s="1042">
        <v>2</v>
      </c>
      <c r="P4161" s="1043">
        <v>34669</v>
      </c>
      <c r="Q4161" s="1044">
        <v>1</v>
      </c>
      <c r="R4161" s="1045">
        <f t="shared" si="52"/>
        <v>2</v>
      </c>
      <c r="S4161" s="1044">
        <v>0.1</v>
      </c>
      <c r="T4161" s="1046">
        <f t="shared" si="53"/>
        <v>0.21000000000000002</v>
      </c>
    </row>
    <row r="4162" spans="1:41" s="1039" customFormat="1" ht="13.2">
      <c r="A4162">
        <v>2</v>
      </c>
      <c r="B4162" s="1039" t="s">
        <v>949</v>
      </c>
      <c r="D4162" s="1039" t="s">
        <v>1000</v>
      </c>
      <c r="G4162" s="1040" t="s">
        <v>1001</v>
      </c>
      <c r="H4162" s="1041">
        <v>620</v>
      </c>
      <c r="I4162" s="1039" t="s">
        <v>951</v>
      </c>
      <c r="O4162" s="1042">
        <v>2</v>
      </c>
      <c r="P4162" s="1043"/>
      <c r="Q4162" s="1044">
        <v>0.5</v>
      </c>
      <c r="R4162" s="1045">
        <f t="shared" si="52"/>
        <v>1</v>
      </c>
      <c r="S4162" s="1044"/>
      <c r="T4162" s="1046">
        <f t="shared" si="53"/>
        <v>0</v>
      </c>
    </row>
    <row r="4163" spans="1:41" s="1039" customFormat="1" ht="13.2">
      <c r="A4163" s="112">
        <v>35</v>
      </c>
      <c r="B4163" s="1039" t="s">
        <v>949</v>
      </c>
      <c r="D4163" s="1039" t="s">
        <v>1002</v>
      </c>
      <c r="G4163" s="1040" t="s">
        <v>1003</v>
      </c>
      <c r="H4163" s="1041">
        <v>875</v>
      </c>
      <c r="I4163" s="1039" t="s">
        <v>951</v>
      </c>
      <c r="K4163" s="1039" t="s">
        <v>1004</v>
      </c>
      <c r="O4163" s="1042">
        <v>1</v>
      </c>
      <c r="P4163" s="1043">
        <v>34669</v>
      </c>
      <c r="Q4163" s="1044">
        <v>0.05</v>
      </c>
      <c r="R4163" s="1045">
        <f t="shared" si="52"/>
        <v>1.75</v>
      </c>
      <c r="S4163" s="1044"/>
      <c r="T4163" s="1046">
        <f t="shared" si="53"/>
        <v>0</v>
      </c>
    </row>
    <row r="4164" spans="1:41" s="504" customFormat="1" ht="12">
      <c r="A4164" s="882"/>
      <c r="B4164" s="882"/>
      <c r="C4164" s="882"/>
      <c r="D4164" s="882"/>
      <c r="E4164" s="882"/>
      <c r="F4164" s="877"/>
      <c r="G4164" s="882"/>
      <c r="H4164" s="882"/>
      <c r="I4164" s="503"/>
      <c r="J4164" s="882"/>
      <c r="K4164" s="882"/>
      <c r="L4164" s="882"/>
      <c r="M4164" s="882"/>
      <c r="N4164" s="882"/>
      <c r="O4164" s="882"/>
      <c r="P4164" s="882"/>
      <c r="Q4164" s="503"/>
      <c r="R4164" s="883">
        <f t="shared" si="52"/>
        <v>0</v>
      </c>
      <c r="S4164" s="503"/>
      <c r="T4164" s="884">
        <f t="shared" si="53"/>
        <v>0</v>
      </c>
    </row>
    <row r="4165" spans="1:41" s="504" customFormat="1" ht="12.6" thickBot="1">
      <c r="A4165" s="885" t="s">
        <v>142</v>
      </c>
      <c r="B4165" s="886">
        <f>(R4164+T4164)</f>
        <v>0</v>
      </c>
      <c r="C4165" s="887"/>
      <c r="D4165" s="887"/>
      <c r="E4165" s="887"/>
      <c r="F4165" s="888"/>
      <c r="G4165" s="887" t="s">
        <v>143</v>
      </c>
      <c r="H4165" s="887"/>
      <c r="I4165" s="889"/>
      <c r="J4165" s="887"/>
      <c r="K4165" s="887" t="s">
        <v>3</v>
      </c>
      <c r="L4165" s="890" t="s">
        <v>140</v>
      </c>
      <c r="M4165" s="890"/>
      <c r="N4165" s="890"/>
      <c r="O4165" s="890"/>
      <c r="P4165" s="890"/>
      <c r="Q4165" s="891"/>
      <c r="R4165" s="892">
        <f>SUM(R4157:R4164)</f>
        <v>1054.72</v>
      </c>
      <c r="S4165" s="887"/>
      <c r="T4165" s="892">
        <f>SUM(T4157:T4164)</f>
        <v>2.7825000000000002</v>
      </c>
      <c r="U4165" s="514"/>
      <c r="V4165" s="514"/>
      <c r="W4165" s="514"/>
      <c r="X4165" s="514"/>
      <c r="Y4165" s="514"/>
      <c r="Z4165" s="514"/>
      <c r="AA4165" s="514"/>
      <c r="AB4165" s="514"/>
      <c r="AC4165" s="514"/>
      <c r="AD4165" s="514"/>
      <c r="AE4165" s="514"/>
      <c r="AF4165" s="514"/>
      <c r="AG4165" s="514"/>
      <c r="AH4165" s="514"/>
      <c r="AI4165" s="514"/>
      <c r="AJ4165" s="514"/>
      <c r="AK4165" s="514"/>
      <c r="AL4165" s="514"/>
      <c r="AM4165" s="514"/>
      <c r="AN4165" s="514"/>
      <c r="AO4165" s="514"/>
    </row>
    <row r="4166" spans="1:41" s="504" customFormat="1" ht="12" thickTop="1">
      <c r="A4166" s="50"/>
      <c r="B4166" s="40"/>
      <c r="C4166" s="50"/>
      <c r="E4166" s="41" t="s">
        <v>136</v>
      </c>
      <c r="F4166" s="41" t="s">
        <v>137</v>
      </c>
      <c r="G4166" s="50"/>
      <c r="H4166" s="50"/>
      <c r="I4166" s="50"/>
      <c r="J4166" s="50"/>
      <c r="K4166" s="50" t="s">
        <v>138</v>
      </c>
      <c r="L4166" s="50"/>
      <c r="M4166" s="50"/>
      <c r="N4166" s="50"/>
      <c r="O4166" s="51"/>
      <c r="P4166" s="50"/>
      <c r="Q4166" s="50"/>
      <c r="R4166" s="50"/>
      <c r="S4166" s="50"/>
      <c r="T4166" s="40"/>
      <c r="AG4166" s="867" t="s">
        <v>241</v>
      </c>
      <c r="AH4166" s="867" t="s">
        <v>242</v>
      </c>
      <c r="AI4166" s="867" t="s">
        <v>243</v>
      </c>
      <c r="AJ4166" s="867" t="s">
        <v>244</v>
      </c>
      <c r="AK4166" s="867" t="s">
        <v>245</v>
      </c>
      <c r="AM4166" s="868" t="s">
        <v>254</v>
      </c>
      <c r="AN4166" s="869" t="s">
        <v>255</v>
      </c>
      <c r="AO4166" s="505" t="s">
        <v>251</v>
      </c>
    </row>
    <row r="4167" spans="1:41" s="504" customFormat="1" ht="12" customHeight="1">
      <c r="A4167" s="904">
        <v>1</v>
      </c>
      <c r="B4167" s="871" t="s">
        <v>335</v>
      </c>
      <c r="C4167" s="872"/>
      <c r="D4167" s="1326" t="s">
        <v>908</v>
      </c>
      <c r="E4167" s="874">
        <f>IF(AND($A4167=0,$A$1="DIF"),0, ROUND(ROUND(($R4171*$S$2+($T4171*$T$2))/A4167,2)*$C$2,2))</f>
        <v>136.72</v>
      </c>
      <c r="F4167" s="875">
        <f>ROUND($A4167*$E4167,2)</f>
        <v>136.72</v>
      </c>
      <c r="G4167" s="876" t="s">
        <v>139</v>
      </c>
      <c r="H4167" s="877"/>
      <c r="I4167" s="878"/>
      <c r="J4167" s="877"/>
      <c r="K4167" s="877" t="s">
        <v>3</v>
      </c>
      <c r="L4167" s="879" t="s">
        <v>140</v>
      </c>
      <c r="M4167" s="879"/>
      <c r="N4167" s="879"/>
      <c r="O4167" s="879"/>
      <c r="P4167" s="879"/>
      <c r="Q4167" s="50"/>
      <c r="T4167" s="880" t="str">
        <f>IF(AND($R4171=0,$T4171=0),"0.00","mu :" &amp; ROUND($F4167/$C$2/($R4171+$T4171*$D$9),2))</f>
        <v>mu :1.22</v>
      </c>
      <c r="W4167" s="507"/>
      <c r="AG4167" s="465">
        <f>IF($E4167=0,0,ROUND($R4171*$S$2*$C$2/$A4167,2))</f>
        <v>118.25</v>
      </c>
      <c r="AH4167" s="465">
        <f>$AG4167*$A4167</f>
        <v>118.25</v>
      </c>
      <c r="AI4167" s="508">
        <f>$E4167-$AG4167</f>
        <v>18.47</v>
      </c>
      <c r="AJ4167" s="508">
        <f>$A4167*$AI4167</f>
        <v>18.47</v>
      </c>
      <c r="AK4167" s="509">
        <f>ROUND(($AG4167+$AI4167)*$A4167,2)</f>
        <v>136.72</v>
      </c>
      <c r="AM4167" s="510">
        <f>ROUND(R4171,2)</f>
        <v>96.93</v>
      </c>
      <c r="AN4167" s="511">
        <f>ROUND(T4171,2)</f>
        <v>0.53</v>
      </c>
      <c r="AO4167" s="512">
        <f>ROUND(AM4167+AN4167,2)*A4167</f>
        <v>97.46</v>
      </c>
    </row>
    <row r="4168" spans="1:41" s="504" customFormat="1" ht="13.2">
      <c r="A4168" s="872"/>
      <c r="B4168"/>
      <c r="C4168" s="872"/>
      <c r="D4168" s="873" t="s">
        <v>494</v>
      </c>
      <c r="F4168" s="877"/>
      <c r="G4168" s="3"/>
      <c r="H4168" s="877"/>
      <c r="I4168" s="878"/>
      <c r="J4168" s="877"/>
      <c r="K4168" s="877" t="s">
        <v>141</v>
      </c>
      <c r="L4168" s="877"/>
      <c r="M4168" s="877"/>
      <c r="N4168" s="877"/>
      <c r="O4168" s="877"/>
      <c r="P4168" s="877"/>
      <c r="Q4168" s="50"/>
      <c r="R4168" s="513"/>
      <c r="S4168" s="881"/>
      <c r="T4168" s="877"/>
    </row>
    <row r="4169" spans="1:41" s="504" customFormat="1" ht="13.2">
      <c r="A4169" s="112">
        <v>1</v>
      </c>
      <c r="B4169" s="1039" t="s">
        <v>949</v>
      </c>
      <c r="C4169" s="1039"/>
      <c r="D4169" s="1213" t="s">
        <v>1420</v>
      </c>
      <c r="E4169" s="1047"/>
      <c r="F4169" s="1047"/>
      <c r="G4169" s="1040" t="s">
        <v>1413</v>
      </c>
      <c r="H4169" s="1041">
        <v>810</v>
      </c>
      <c r="I4169" s="1039" t="s">
        <v>1414</v>
      </c>
      <c r="J4169" s="1039" t="s">
        <v>1415</v>
      </c>
      <c r="K4169" s="1039"/>
      <c r="L4169" s="1039"/>
      <c r="M4169" s="1039"/>
      <c r="N4169" s="1039"/>
      <c r="O4169" s="1042">
        <v>2</v>
      </c>
      <c r="P4169" s="1043">
        <v>38330</v>
      </c>
      <c r="Q4169" s="503">
        <v>96.93</v>
      </c>
      <c r="R4169" s="883">
        <f>$A4169*Q4169</f>
        <v>96.93</v>
      </c>
      <c r="S4169" s="503">
        <v>0.5</v>
      </c>
      <c r="T4169" s="884">
        <f>$A4169*S4169*$T$1</f>
        <v>0.52500000000000002</v>
      </c>
    </row>
    <row r="4170" spans="1:41" s="504" customFormat="1" ht="12">
      <c r="A4170" s="882"/>
      <c r="B4170" s="882"/>
      <c r="C4170" s="882"/>
      <c r="D4170" s="882"/>
      <c r="E4170" s="882"/>
      <c r="F4170" s="877"/>
      <c r="G4170" s="882"/>
      <c r="H4170" s="882"/>
      <c r="I4170" s="503"/>
      <c r="J4170" s="882"/>
      <c r="K4170" s="882"/>
      <c r="L4170" s="882"/>
      <c r="M4170" s="882"/>
      <c r="N4170" s="882"/>
      <c r="O4170" s="882"/>
      <c r="P4170" s="882"/>
      <c r="Q4170" s="503"/>
      <c r="R4170" s="883">
        <f>$A4170*Q4170</f>
        <v>0</v>
      </c>
      <c r="S4170" s="503"/>
      <c r="T4170" s="884">
        <f>$A4170*S4170*$T$1</f>
        <v>0</v>
      </c>
    </row>
    <row r="4171" spans="1:41" s="504" customFormat="1" ht="12.6" thickBot="1">
      <c r="A4171" s="885" t="s">
        <v>142</v>
      </c>
      <c r="B4171" s="886">
        <f>(R4170+T4170)</f>
        <v>0</v>
      </c>
      <c r="C4171" s="887"/>
      <c r="D4171" s="887"/>
      <c r="E4171" s="887"/>
      <c r="F4171" s="888"/>
      <c r="G4171" s="887" t="s">
        <v>143</v>
      </c>
      <c r="H4171" s="887"/>
      <c r="I4171" s="889"/>
      <c r="J4171" s="887"/>
      <c r="K4171" s="887" t="s">
        <v>3</v>
      </c>
      <c r="L4171" s="890" t="s">
        <v>140</v>
      </c>
      <c r="M4171" s="890"/>
      <c r="N4171" s="890"/>
      <c r="O4171" s="890"/>
      <c r="P4171" s="890"/>
      <c r="Q4171" s="891"/>
      <c r="R4171" s="892">
        <f>SUM(R4168:R4170)</f>
        <v>96.93</v>
      </c>
      <c r="S4171" s="887"/>
      <c r="T4171" s="892">
        <f>SUM(T4168:T4170)</f>
        <v>0.52500000000000002</v>
      </c>
      <c r="U4171" s="514"/>
      <c r="V4171" s="514"/>
      <c r="W4171" s="514"/>
      <c r="X4171" s="514"/>
      <c r="Y4171" s="514"/>
      <c r="Z4171" s="514"/>
      <c r="AA4171" s="514"/>
      <c r="AB4171" s="514"/>
      <c r="AC4171" s="514"/>
      <c r="AD4171" s="514"/>
      <c r="AE4171" s="514"/>
      <c r="AF4171" s="514"/>
      <c r="AG4171" s="514"/>
      <c r="AH4171" s="514"/>
      <c r="AI4171" s="514"/>
      <c r="AJ4171" s="514"/>
      <c r="AK4171" s="514"/>
      <c r="AL4171" s="514"/>
      <c r="AM4171" s="514"/>
      <c r="AN4171" s="514"/>
      <c r="AO4171" s="514"/>
    </row>
    <row r="4172" spans="1:41" s="504" customFormat="1" ht="12" thickTop="1">
      <c r="A4172" s="50"/>
      <c r="B4172" s="40"/>
      <c r="C4172" s="50"/>
      <c r="E4172" s="41" t="s">
        <v>136</v>
      </c>
      <c r="F4172" s="41" t="s">
        <v>137</v>
      </c>
      <c r="G4172" s="50"/>
      <c r="H4172" s="50"/>
      <c r="I4172" s="50"/>
      <c r="J4172" s="50"/>
      <c r="K4172" s="50" t="s">
        <v>138</v>
      </c>
      <c r="L4172" s="50"/>
      <c r="M4172" s="50"/>
      <c r="N4172" s="50"/>
      <c r="O4172" s="51"/>
      <c r="P4172" s="50"/>
      <c r="Q4172" s="50"/>
      <c r="R4172" s="50"/>
      <c r="S4172" s="50"/>
      <c r="T4172" s="40"/>
      <c r="AG4172" s="867" t="s">
        <v>241</v>
      </c>
      <c r="AH4172" s="867" t="s">
        <v>242</v>
      </c>
      <c r="AI4172" s="867" t="s">
        <v>243</v>
      </c>
      <c r="AJ4172" s="867" t="s">
        <v>244</v>
      </c>
      <c r="AK4172" s="867" t="s">
        <v>245</v>
      </c>
      <c r="AM4172" s="868" t="s">
        <v>254</v>
      </c>
      <c r="AN4172" s="869" t="s">
        <v>255</v>
      </c>
      <c r="AO4172" s="505" t="s">
        <v>251</v>
      </c>
    </row>
    <row r="4173" spans="1:41" s="504" customFormat="1" ht="12" customHeight="1">
      <c r="A4173" s="870">
        <v>1</v>
      </c>
      <c r="B4173" s="871" t="s">
        <v>272</v>
      </c>
      <c r="C4173" s="872"/>
      <c r="D4173" s="873" t="s">
        <v>909</v>
      </c>
      <c r="E4173" s="874">
        <f>IF(AND($A4173=0,$A$1="DIF"),0, ROUND(ROUND(($R4178*$S$2+($T4178*$T$2))/A4173,2)*$C$2,2))</f>
        <v>0</v>
      </c>
      <c r="F4173" s="875">
        <f>ROUND($A4173*$E4173,2)</f>
        <v>0</v>
      </c>
      <c r="G4173" s="876" t="s">
        <v>139</v>
      </c>
      <c r="H4173" s="877"/>
      <c r="I4173" s="878"/>
      <c r="J4173" s="877"/>
      <c r="K4173" s="877" t="s">
        <v>3</v>
      </c>
      <c r="L4173" s="879" t="s">
        <v>140</v>
      </c>
      <c r="M4173" s="879"/>
      <c r="N4173" s="879"/>
      <c r="O4173" s="879"/>
      <c r="P4173" s="879"/>
      <c r="Q4173" s="50" t="s">
        <v>1407</v>
      </c>
      <c r="T4173" s="880" t="str">
        <f>IF(AND($R4178=0,$T4178=0),"0.00","mu :" &amp; ROUND($F4173/$C$2/($R4178+$T4178*$D$9),2))</f>
        <v>0.00</v>
      </c>
      <c r="W4173" s="507"/>
      <c r="AG4173" s="465">
        <f>IF($E4173=0,0,ROUND($R4178*$S$2*$C$2/$A4173,2))</f>
        <v>0</v>
      </c>
      <c r="AH4173" s="465">
        <f>$AG4173*$A4173</f>
        <v>0</v>
      </c>
      <c r="AI4173" s="508">
        <f>$E4173-$AG4173</f>
        <v>0</v>
      </c>
      <c r="AJ4173" s="508">
        <f>$A4173*$AI4173</f>
        <v>0</v>
      </c>
      <c r="AK4173" s="509">
        <f>ROUND(($AG4173+$AI4173)*$A4173,2)</f>
        <v>0</v>
      </c>
      <c r="AM4173" s="510">
        <f>ROUND(R4178,2)</f>
        <v>0</v>
      </c>
      <c r="AN4173" s="511">
        <f>ROUND(T4178,2)</f>
        <v>0</v>
      </c>
      <c r="AO4173" s="512">
        <f>ROUND(AM4173+AN4173,2)*A4173</f>
        <v>0</v>
      </c>
    </row>
    <row r="4174" spans="1:41" s="504" customFormat="1" ht="13.2">
      <c r="A4174" s="872"/>
      <c r="B4174"/>
      <c r="C4174" s="872"/>
      <c r="D4174" s="873" t="s">
        <v>495</v>
      </c>
      <c r="F4174" s="877"/>
      <c r="G4174" s="3"/>
      <c r="H4174" s="877"/>
      <c r="I4174" s="878"/>
      <c r="J4174" s="877"/>
      <c r="K4174" s="877" t="s">
        <v>141</v>
      </c>
      <c r="L4174" s="877"/>
      <c r="M4174" s="877"/>
      <c r="N4174" s="877"/>
      <c r="O4174" s="877"/>
      <c r="P4174" s="877"/>
      <c r="Q4174" s="50"/>
      <c r="R4174" s="513"/>
      <c r="S4174" s="881"/>
      <c r="T4174" s="877"/>
    </row>
    <row r="4175" spans="1:41" s="504" customFormat="1" ht="12">
      <c r="A4175" s="50"/>
      <c r="B4175" s="882"/>
      <c r="C4175" s="882"/>
      <c r="D4175" s="882"/>
      <c r="E4175" s="882"/>
      <c r="F4175" s="877"/>
      <c r="G4175" s="882"/>
      <c r="H4175" s="882"/>
      <c r="I4175" s="503"/>
      <c r="J4175" s="882"/>
      <c r="K4175" s="882"/>
      <c r="L4175" s="882"/>
      <c r="M4175" s="882"/>
      <c r="N4175" s="882"/>
      <c r="O4175" s="882"/>
      <c r="P4175" s="882"/>
      <c r="Q4175" s="503"/>
      <c r="R4175" s="883">
        <f>$A4175*Q4175</f>
        <v>0</v>
      </c>
      <c r="S4175" s="503"/>
      <c r="T4175" s="884">
        <f>$A4175*S4175*$T$1</f>
        <v>0</v>
      </c>
    </row>
    <row r="4176" spans="1:41" s="504" customFormat="1" ht="12">
      <c r="A4176" s="50"/>
      <c r="B4176" s="882"/>
      <c r="C4176" s="882"/>
      <c r="D4176" s="50" t="s">
        <v>1407</v>
      </c>
      <c r="E4176" s="882"/>
      <c r="F4176" s="877"/>
      <c r="G4176" s="882"/>
      <c r="H4176" s="882"/>
      <c r="I4176" s="503"/>
      <c r="J4176" s="882"/>
      <c r="K4176" s="882"/>
      <c r="L4176" s="882"/>
      <c r="M4176" s="882"/>
      <c r="N4176" s="882"/>
      <c r="O4176" s="882"/>
      <c r="P4176" s="882"/>
      <c r="Q4176" s="503"/>
      <c r="R4176" s="883">
        <f>$A4176*Q4176</f>
        <v>0</v>
      </c>
      <c r="S4176" s="503"/>
      <c r="T4176" s="884">
        <f>$A4176*S4176*$T$1</f>
        <v>0</v>
      </c>
    </row>
    <row r="4177" spans="1:41" s="504" customFormat="1" ht="12">
      <c r="A4177" s="882"/>
      <c r="B4177" s="882"/>
      <c r="C4177" s="882"/>
      <c r="D4177" s="882"/>
      <c r="E4177" s="882"/>
      <c r="F4177" s="877"/>
      <c r="G4177" s="882"/>
      <c r="H4177" s="882"/>
      <c r="I4177" s="503"/>
      <c r="J4177" s="882"/>
      <c r="K4177" s="882"/>
      <c r="L4177" s="882"/>
      <c r="M4177" s="882"/>
      <c r="N4177" s="882"/>
      <c r="O4177" s="882"/>
      <c r="P4177" s="882"/>
      <c r="Q4177" s="503"/>
      <c r="R4177" s="883">
        <f>$A4177*Q4177</f>
        <v>0</v>
      </c>
      <c r="S4177" s="503"/>
      <c r="T4177" s="884">
        <f>$A4177*S4177*$T$1</f>
        <v>0</v>
      </c>
    </row>
    <row r="4178" spans="1:41" s="504" customFormat="1" ht="12.6" thickBot="1">
      <c r="A4178" s="885" t="s">
        <v>142</v>
      </c>
      <c r="B4178" s="886">
        <f>(R4177+T4177)</f>
        <v>0</v>
      </c>
      <c r="C4178" s="887"/>
      <c r="D4178" s="887"/>
      <c r="E4178" s="887"/>
      <c r="F4178" s="888"/>
      <c r="G4178" s="887" t="s">
        <v>143</v>
      </c>
      <c r="H4178" s="887"/>
      <c r="I4178" s="889"/>
      <c r="J4178" s="887"/>
      <c r="K4178" s="887" t="s">
        <v>3</v>
      </c>
      <c r="L4178" s="890" t="s">
        <v>140</v>
      </c>
      <c r="M4178" s="890"/>
      <c r="N4178" s="890"/>
      <c r="O4178" s="890"/>
      <c r="P4178" s="890"/>
      <c r="Q4178" s="891"/>
      <c r="R4178" s="892">
        <f>SUM(R4174:R4177)</f>
        <v>0</v>
      </c>
      <c r="S4178" s="887"/>
      <c r="T4178" s="892">
        <f>SUM(T4174:T4177)</f>
        <v>0</v>
      </c>
      <c r="U4178" s="514"/>
      <c r="V4178" s="514"/>
      <c r="W4178" s="514"/>
      <c r="X4178" s="514"/>
      <c r="Y4178" s="514"/>
      <c r="Z4178" s="514"/>
      <c r="AA4178" s="514"/>
      <c r="AB4178" s="514"/>
      <c r="AC4178" s="514"/>
      <c r="AD4178" s="514"/>
      <c r="AE4178" s="514"/>
      <c r="AF4178" s="514"/>
      <c r="AG4178" s="514"/>
      <c r="AH4178" s="514"/>
      <c r="AI4178" s="514"/>
      <c r="AJ4178" s="514"/>
      <c r="AK4178" s="514"/>
      <c r="AL4178" s="514"/>
      <c r="AM4178" s="514"/>
      <c r="AN4178" s="514"/>
      <c r="AO4178" s="514"/>
    </row>
    <row r="4179" spans="1:41" s="504" customFormat="1" ht="12" thickTop="1">
      <c r="A4179" s="50"/>
      <c r="B4179" s="40"/>
      <c r="C4179" s="50"/>
      <c r="E4179" s="41" t="s">
        <v>136</v>
      </c>
      <c r="F4179" s="41" t="s">
        <v>137</v>
      </c>
      <c r="G4179" s="50"/>
      <c r="H4179" s="50"/>
      <c r="I4179" s="50"/>
      <c r="J4179" s="50"/>
      <c r="K4179" s="50" t="s">
        <v>138</v>
      </c>
      <c r="L4179" s="50"/>
      <c r="M4179" s="50"/>
      <c r="N4179" s="50"/>
      <c r="O4179" s="51"/>
      <c r="P4179" s="50"/>
      <c r="Q4179" s="50"/>
      <c r="R4179" s="50"/>
      <c r="S4179" s="50"/>
      <c r="T4179" s="40"/>
      <c r="AG4179" s="867" t="s">
        <v>241</v>
      </c>
      <c r="AH4179" s="867" t="s">
        <v>242</v>
      </c>
      <c r="AI4179" s="867" t="s">
        <v>243</v>
      </c>
      <c r="AJ4179" s="867" t="s">
        <v>244</v>
      </c>
      <c r="AK4179" s="867" t="s">
        <v>245</v>
      </c>
      <c r="AM4179" s="868" t="s">
        <v>254</v>
      </c>
      <c r="AN4179" s="869" t="s">
        <v>255</v>
      </c>
      <c r="AO4179" s="505" t="s">
        <v>251</v>
      </c>
    </row>
    <row r="4180" spans="1:41" s="504" customFormat="1" ht="12" customHeight="1">
      <c r="A4180" s="870">
        <v>1</v>
      </c>
      <c r="B4180" s="871" t="s">
        <v>272</v>
      </c>
      <c r="C4180" s="872"/>
      <c r="D4180" s="873" t="s">
        <v>910</v>
      </c>
      <c r="E4180" s="874">
        <f>IF(AND($A4180=0,$A$1="DIF"),0, ROUND(ROUND(($R4185*$S$2+($T4185*$T$2))/A4180,2)*$C$2,2))</f>
        <v>0</v>
      </c>
      <c r="F4180" s="875">
        <f>ROUND($A4180*$E4180,2)</f>
        <v>0</v>
      </c>
      <c r="G4180" s="876" t="s">
        <v>139</v>
      </c>
      <c r="H4180" s="877"/>
      <c r="I4180" s="878"/>
      <c r="J4180" s="877"/>
      <c r="K4180" s="877" t="s">
        <v>3</v>
      </c>
      <c r="L4180" s="879" t="s">
        <v>140</v>
      </c>
      <c r="M4180" s="879"/>
      <c r="N4180" s="879"/>
      <c r="O4180" s="879"/>
      <c r="P4180" s="879"/>
      <c r="Q4180" s="50" t="s">
        <v>1407</v>
      </c>
      <c r="T4180" s="880" t="str">
        <f>IF(AND($R4185=0,$T4185=0),"0.00","mu :" &amp; ROUND($F4180/$C$2/($R4185+$T4185*$D$9),2))</f>
        <v>0.00</v>
      </c>
      <c r="W4180" s="507"/>
      <c r="AG4180" s="465">
        <f>IF($E4180=0,0,ROUND($R4185*$S$2*$C$2/$A4180,2))</f>
        <v>0</v>
      </c>
      <c r="AH4180" s="465">
        <f>$AG4180*$A4180</f>
        <v>0</v>
      </c>
      <c r="AI4180" s="508">
        <f>$E4180-$AG4180</f>
        <v>0</v>
      </c>
      <c r="AJ4180" s="508">
        <f>$A4180*$AI4180</f>
        <v>0</v>
      </c>
      <c r="AK4180" s="509">
        <f>ROUND(($AG4180+$AI4180)*$A4180,2)</f>
        <v>0</v>
      </c>
      <c r="AM4180" s="510">
        <f>ROUND(R4185,2)</f>
        <v>0</v>
      </c>
      <c r="AN4180" s="511">
        <f>ROUND(T4185,2)</f>
        <v>0</v>
      </c>
      <c r="AO4180" s="512">
        <f>ROUND(AM4180+AN4180,2)*A4180</f>
        <v>0</v>
      </c>
    </row>
    <row r="4181" spans="1:41" s="504" customFormat="1" ht="13.2">
      <c r="A4181" s="872"/>
      <c r="B4181"/>
      <c r="C4181" s="872"/>
      <c r="D4181" s="873" t="s">
        <v>496</v>
      </c>
      <c r="F4181" s="877"/>
      <c r="G4181" s="3"/>
      <c r="H4181" s="877"/>
      <c r="I4181" s="878"/>
      <c r="J4181" s="877"/>
      <c r="K4181" s="877" t="s">
        <v>141</v>
      </c>
      <c r="L4181" s="877"/>
      <c r="M4181" s="877"/>
      <c r="N4181" s="877"/>
      <c r="O4181" s="877"/>
      <c r="P4181" s="877"/>
      <c r="Q4181" s="50"/>
      <c r="R4181" s="513"/>
      <c r="S4181" s="881"/>
      <c r="T4181" s="877"/>
    </row>
    <row r="4182" spans="1:41" s="504" customFormat="1" ht="12">
      <c r="A4182" s="50"/>
      <c r="B4182" s="882"/>
      <c r="C4182" s="882"/>
      <c r="D4182" s="882"/>
      <c r="E4182" s="882"/>
      <c r="F4182" s="877"/>
      <c r="G4182" s="882"/>
      <c r="H4182" s="882"/>
      <c r="I4182" s="503"/>
      <c r="J4182" s="882"/>
      <c r="K4182" s="882"/>
      <c r="L4182" s="882"/>
      <c r="M4182" s="882"/>
      <c r="N4182" s="882"/>
      <c r="O4182" s="882"/>
      <c r="P4182" s="882"/>
      <c r="Q4182" s="503"/>
      <c r="R4182" s="883">
        <f>$A4182*Q4182</f>
        <v>0</v>
      </c>
      <c r="S4182" s="503"/>
      <c r="T4182" s="884">
        <f>$A4182*S4182*$T$1</f>
        <v>0</v>
      </c>
    </row>
    <row r="4183" spans="1:41" s="504" customFormat="1" ht="12">
      <c r="A4183" s="50"/>
      <c r="B4183" s="882"/>
      <c r="C4183" s="882"/>
      <c r="D4183" s="50" t="s">
        <v>1407</v>
      </c>
      <c r="E4183" s="882"/>
      <c r="F4183" s="877"/>
      <c r="G4183" s="882"/>
      <c r="H4183" s="882"/>
      <c r="I4183" s="503"/>
      <c r="J4183" s="882"/>
      <c r="K4183" s="882"/>
      <c r="L4183" s="882"/>
      <c r="M4183" s="882"/>
      <c r="N4183" s="882"/>
      <c r="O4183" s="882"/>
      <c r="P4183" s="882"/>
      <c r="Q4183" s="503"/>
      <c r="R4183" s="883">
        <f>$A4183*Q4183</f>
        <v>0</v>
      </c>
      <c r="S4183" s="503"/>
      <c r="T4183" s="884">
        <f>$A4183*S4183*$T$1</f>
        <v>0</v>
      </c>
    </row>
    <row r="4184" spans="1:41" s="504" customFormat="1" ht="12">
      <c r="A4184" s="882"/>
      <c r="B4184" s="882"/>
      <c r="C4184" s="882"/>
      <c r="D4184" s="882"/>
      <c r="E4184" s="882"/>
      <c r="F4184" s="877"/>
      <c r="G4184" s="882"/>
      <c r="H4184" s="882"/>
      <c r="I4184" s="503"/>
      <c r="J4184" s="882"/>
      <c r="K4184" s="882"/>
      <c r="L4184" s="882"/>
      <c r="M4184" s="882"/>
      <c r="N4184" s="882"/>
      <c r="O4184" s="882"/>
      <c r="P4184" s="882"/>
      <c r="Q4184" s="503"/>
      <c r="R4184" s="883">
        <f>$A4184*Q4184</f>
        <v>0</v>
      </c>
      <c r="S4184" s="503"/>
      <c r="T4184" s="884">
        <f>$A4184*S4184*$T$1</f>
        <v>0</v>
      </c>
    </row>
    <row r="4185" spans="1:41" s="504" customFormat="1" ht="12.6" thickBot="1">
      <c r="A4185" s="885" t="s">
        <v>142</v>
      </c>
      <c r="B4185" s="886">
        <f>(R4184+T4184)</f>
        <v>0</v>
      </c>
      <c r="C4185" s="887"/>
      <c r="D4185" s="887"/>
      <c r="E4185" s="887"/>
      <c r="F4185" s="888"/>
      <c r="G4185" s="887" t="s">
        <v>143</v>
      </c>
      <c r="H4185" s="887"/>
      <c r="I4185" s="889"/>
      <c r="J4185" s="887"/>
      <c r="K4185" s="887" t="s">
        <v>3</v>
      </c>
      <c r="L4185" s="890" t="s">
        <v>140</v>
      </c>
      <c r="M4185" s="890"/>
      <c r="N4185" s="890"/>
      <c r="O4185" s="890"/>
      <c r="P4185" s="890"/>
      <c r="Q4185" s="891"/>
      <c r="R4185" s="892">
        <f>SUM(R4181:R4184)</f>
        <v>0</v>
      </c>
      <c r="S4185" s="887"/>
      <c r="T4185" s="892">
        <f>SUM(T4181:T4184)</f>
        <v>0</v>
      </c>
      <c r="U4185" s="514"/>
      <c r="V4185" s="514"/>
      <c r="W4185" s="514"/>
      <c r="X4185" s="514"/>
      <c r="Y4185" s="514"/>
      <c r="Z4185" s="514"/>
      <c r="AA4185" s="514"/>
      <c r="AB4185" s="514"/>
      <c r="AC4185" s="514"/>
      <c r="AD4185" s="514"/>
      <c r="AE4185" s="514"/>
      <c r="AF4185" s="514"/>
      <c r="AG4185" s="514"/>
      <c r="AH4185" s="514"/>
      <c r="AI4185" s="514"/>
      <c r="AJ4185" s="514"/>
      <c r="AK4185" s="514"/>
      <c r="AL4185" s="514"/>
      <c r="AM4185" s="514"/>
      <c r="AN4185" s="514"/>
      <c r="AO4185" s="514"/>
    </row>
    <row r="4186" spans="1:41" s="504" customFormat="1" thickTop="1">
      <c r="A4186" s="50"/>
      <c r="B4186" s="50"/>
      <c r="C4186" s="3"/>
      <c r="D4186" s="3"/>
      <c r="E4186" s="50"/>
      <c r="F4186" s="50"/>
      <c r="G4186" s="50"/>
      <c r="H4186" s="50"/>
      <c r="I4186" s="50"/>
      <c r="J4186" s="50"/>
      <c r="K4186" s="50" t="s">
        <v>133</v>
      </c>
      <c r="L4186" s="50"/>
      <c r="M4186" s="50"/>
      <c r="N4186" s="50"/>
      <c r="O4186" s="51"/>
      <c r="P4186" s="50"/>
      <c r="Q4186" s="50"/>
      <c r="R4186" s="50"/>
      <c r="S4186" s="50"/>
      <c r="T4186" s="50"/>
    </row>
    <row r="4187" spans="1:41" s="504" customFormat="1" ht="12">
      <c r="A4187" s="50"/>
      <c r="B4187" s="50"/>
      <c r="C4187" s="50" t="s">
        <v>134</v>
      </c>
      <c r="D4187" s="37" t="s">
        <v>911</v>
      </c>
      <c r="E4187" s="50"/>
      <c r="F4187" s="50"/>
      <c r="G4187" s="50"/>
      <c r="H4187" s="50"/>
      <c r="I4187" s="50"/>
      <c r="J4187" s="50"/>
      <c r="K4187" s="50"/>
      <c r="L4187" s="50"/>
      <c r="M4187" s="50"/>
      <c r="N4187" s="50"/>
      <c r="O4187" s="51"/>
      <c r="P4187" s="50"/>
      <c r="Q4187" s="50"/>
      <c r="R4187" s="50"/>
      <c r="S4187" s="50"/>
      <c r="T4187" s="50"/>
    </row>
    <row r="4188" spans="1:41" s="504" customFormat="1" ht="12">
      <c r="A4188" s="50"/>
      <c r="B4188" s="50"/>
      <c r="C4188" s="50"/>
      <c r="D4188" s="37" t="s">
        <v>497</v>
      </c>
      <c r="E4188" s="50"/>
      <c r="F4188" s="50"/>
      <c r="G4188" s="50"/>
      <c r="H4188" s="50"/>
      <c r="I4188" s="50"/>
      <c r="J4188" s="50"/>
      <c r="K4188" s="50"/>
      <c r="L4188" s="50"/>
      <c r="M4188" s="50"/>
      <c r="N4188" s="50"/>
      <c r="O4188" s="51"/>
      <c r="P4188" s="50"/>
      <c r="Q4188" s="50"/>
      <c r="R4188" s="50"/>
      <c r="S4188" s="38"/>
      <c r="T4188" s="38"/>
    </row>
    <row r="4189" spans="1:41" s="3" customFormat="1" thickBot="1">
      <c r="A4189" s="514"/>
      <c r="O4189" s="103"/>
    </row>
    <row r="4190" spans="1:41" s="504" customFormat="1" thickTop="1">
      <c r="A4190" s="50"/>
      <c r="B4190" s="40"/>
      <c r="C4190" s="50"/>
      <c r="E4190" s="41" t="s">
        <v>136</v>
      </c>
      <c r="F4190" s="41" t="s">
        <v>137</v>
      </c>
      <c r="G4190" s="50"/>
      <c r="H4190" s="50"/>
      <c r="I4190" s="50"/>
      <c r="J4190" s="50"/>
      <c r="K4190" s="50" t="s">
        <v>138</v>
      </c>
      <c r="L4190" s="1219"/>
      <c r="M4190" s="50"/>
      <c r="N4190" s="50"/>
      <c r="O4190" s="51"/>
      <c r="P4190" s="50"/>
      <c r="Q4190"/>
      <c r="R4190"/>
      <c r="S4190"/>
      <c r="T4190" s="40"/>
      <c r="AG4190" s="867" t="s">
        <v>241</v>
      </c>
      <c r="AH4190" s="867" t="s">
        <v>242</v>
      </c>
      <c r="AI4190" s="867" t="s">
        <v>243</v>
      </c>
      <c r="AJ4190" s="867" t="s">
        <v>244</v>
      </c>
      <c r="AK4190" s="867" t="s">
        <v>245</v>
      </c>
      <c r="AM4190" s="868" t="s">
        <v>254</v>
      </c>
      <c r="AN4190" s="869" t="s">
        <v>255</v>
      </c>
      <c r="AO4190" s="505" t="s">
        <v>251</v>
      </c>
    </row>
    <row r="4191" spans="1:41" s="504" customFormat="1" ht="13.2">
      <c r="A4191" s="870">
        <v>1</v>
      </c>
      <c r="B4191" s="871" t="s">
        <v>272</v>
      </c>
      <c r="C4191" s="872"/>
      <c r="D4191" s="873" t="s">
        <v>912</v>
      </c>
      <c r="E4191" s="1220">
        <f>IF(AND($A4191=0,$A$1="DIF"),0, ROUND(ROUND(SUMIF($L4193:$L4199,"SUBI",$E4193:$E4199)/$A4191,2)*$C$12,2))</f>
        <v>6551.57</v>
      </c>
      <c r="F4191" s="1221">
        <f>ROUND($A4191*$E4191,2)</f>
        <v>6551.57</v>
      </c>
      <c r="G4191" s="876" t="s">
        <v>139</v>
      </c>
      <c r="H4191" s="877"/>
      <c r="I4191" s="878"/>
      <c r="J4191" s="877"/>
      <c r="K4191" s="1222"/>
      <c r="L4191" s="1223" t="s">
        <v>140</v>
      </c>
      <c r="M4191" s="879"/>
      <c r="N4191" s="879"/>
      <c r="O4191" s="879"/>
      <c r="P4191" s="879"/>
      <c r="Q4191"/>
      <c r="R4191"/>
      <c r="S4191"/>
      <c r="T4191" s="1224" t="str">
        <f>IF(AND($R4209=0,$T4209=0),"0.00","mu :" &amp; ROUND($F4191/$C$12/($R4209+$T4209*$D$9),2))</f>
        <v>mu :1.61</v>
      </c>
      <c r="W4191" s="507"/>
      <c r="AG4191" s="1225">
        <f>IF(A4191=0,0,ROUND(SUM(AG4193:AG4209)/A4191,2))</f>
        <v>0</v>
      </c>
      <c r="AH4191" s="1225">
        <f>$AG4191*$A4191</f>
        <v>0</v>
      </c>
      <c r="AI4191" s="1225">
        <f>$E4191-$AG4191</f>
        <v>6551.57</v>
      </c>
      <c r="AJ4191" s="1225">
        <f>$A4191*$AI4191</f>
        <v>6551.57</v>
      </c>
      <c r="AK4191" s="1226">
        <f>ROUND(($AG4191+$AI4191)*$A4191,2)</f>
        <v>6551.57</v>
      </c>
      <c r="AM4191" s="510">
        <f>ROUND(R4209,2)</f>
        <v>0</v>
      </c>
      <c r="AN4191" s="511">
        <f>ROUND(T4209,2)</f>
        <v>140.69999999999999</v>
      </c>
      <c r="AO4191" s="512">
        <f>ROUND(AM4191+AN4191,2)*A4191</f>
        <v>140.69999999999999</v>
      </c>
    </row>
    <row r="4192" spans="1:41" s="504" customFormat="1" ht="13.2">
      <c r="A4192" s="872"/>
      <c r="B4192"/>
      <c r="C4192" s="872"/>
      <c r="D4192" s="916" t="s">
        <v>498</v>
      </c>
      <c r="E4192" s="917"/>
      <c r="F4192" s="918"/>
      <c r="G4192" s="919"/>
      <c r="H4192" s="918"/>
      <c r="I4192" s="920"/>
      <c r="J4192" s="918"/>
      <c r="K4192" s="918"/>
      <c r="L4192" s="918"/>
      <c r="M4192" s="918"/>
      <c r="N4192" s="918"/>
      <c r="O4192" s="918"/>
      <c r="P4192" s="918"/>
      <c r="Q4192" s="921"/>
      <c r="R4192" s="513"/>
      <c r="S4192" s="881"/>
      <c r="T4192" s="877"/>
    </row>
    <row r="4193" spans="1:33" s="504" customFormat="1" ht="12">
      <c r="A4193" s="1228"/>
      <c r="B4193" s="1229"/>
      <c r="C4193" s="882"/>
      <c r="D4193" s="877"/>
      <c r="E4193" s="1230">
        <f>F4191/$C$12-SUMIF($L4190:$L4209,"SUBI",$E4190:$E4209)</f>
        <v>0</v>
      </c>
      <c r="F4193" s="1231" t="s">
        <v>1472</v>
      </c>
      <c r="G4193" s="1232"/>
      <c r="H4193" s="1232"/>
      <c r="I4193" s="1233"/>
      <c r="J4193" s="1232"/>
      <c r="K4193" s="1232"/>
      <c r="L4193" s="1234"/>
      <c r="M4193" s="1235"/>
      <c r="N4193" s="1235"/>
      <c r="O4193" s="1235"/>
      <c r="P4193" s="1235"/>
      <c r="Q4193" s="1236"/>
      <c r="R4193" s="1237"/>
      <c r="S4193" s="1236"/>
      <c r="T4193" s="1238"/>
    </row>
    <row r="4194" spans="1:33" s="504" customFormat="1" ht="12" customHeight="1">
      <c r="A4194" s="1239"/>
      <c r="B4194" s="1304"/>
      <c r="C4194" s="1240"/>
      <c r="D4194" s="1240" t="str">
        <f>$F$2</f>
        <v>Electrical</v>
      </c>
      <c r="E4194" s="1240">
        <f>ROUND(($R4198*$S$2 + ($T4198*$T$2)), 2)</f>
        <v>1477.4</v>
      </c>
      <c r="F4194" s="1305">
        <f>$E4194*$C$12</f>
        <v>1477.4</v>
      </c>
      <c r="G4194" s="513"/>
      <c r="H4194" s="1241"/>
      <c r="I4194" s="513"/>
      <c r="J4194" s="51"/>
      <c r="K4194" s="1242" t="s">
        <v>3</v>
      </c>
      <c r="L4194" s="1243" t="s">
        <v>1473</v>
      </c>
      <c r="M4194" s="513"/>
      <c r="N4194" s="513"/>
      <c r="O4194" s="51"/>
      <c r="P4194" s="513"/>
      <c r="Q4194" s="513"/>
      <c r="R4194"/>
      <c r="S4194"/>
      <c r="T4194"/>
    </row>
    <row r="4195" spans="1:33" s="504" customFormat="1" ht="13.95" customHeight="1">
      <c r="A4195" s="930"/>
      <c r="B4195" s="1244" t="s">
        <v>1474</v>
      </c>
      <c r="C4195" s="513"/>
      <c r="D4195" s="513"/>
      <c r="E4195" s="513"/>
      <c r="F4195" s="513"/>
      <c r="G4195" s="513"/>
      <c r="H4195" s="1241"/>
      <c r="I4195" s="513"/>
      <c r="J4195" s="51"/>
      <c r="K4195" s="1245"/>
      <c r="L4195" s="1246"/>
      <c r="M4195" s="513"/>
      <c r="N4195" s="513"/>
      <c r="O4195" s="51"/>
      <c r="P4195" s="513"/>
      <c r="Q4195" s="513"/>
      <c r="R4195" s="1247">
        <f>$A4195*Q4195</f>
        <v>0</v>
      </c>
      <c r="S4195" s="513"/>
      <c r="T4195" s="884">
        <f>$A4195*S4195*$T$1</f>
        <v>0</v>
      </c>
    </row>
    <row r="4196" spans="1:33" s="1039" customFormat="1" ht="13.2">
      <c r="A4196" s="112">
        <v>1</v>
      </c>
      <c r="B4196" s="1039" t="s">
        <v>272</v>
      </c>
      <c r="D4196" s="1039" t="s">
        <v>1408</v>
      </c>
      <c r="G4196" s="1040" t="s">
        <v>1409</v>
      </c>
      <c r="H4196" s="1041">
        <v>902</v>
      </c>
      <c r="I4196" s="1039" t="s">
        <v>984</v>
      </c>
      <c r="O4196" s="1042">
        <v>3</v>
      </c>
      <c r="P4196" s="1043">
        <v>38317</v>
      </c>
      <c r="Q4196" s="1044">
        <v>0</v>
      </c>
      <c r="R4196" s="1045">
        <f>$A4196*Q4196</f>
        <v>0</v>
      </c>
      <c r="S4196" s="1044">
        <v>40</v>
      </c>
      <c r="T4196" s="1046">
        <f>$A4196*S4196*$T$1</f>
        <v>42</v>
      </c>
    </row>
    <row r="4197" spans="1:33" s="504" customFormat="1" ht="13.95" customHeight="1">
      <c r="A4197" s="930"/>
      <c r="B4197" s="513"/>
      <c r="C4197" s="513"/>
      <c r="D4197" s="513"/>
      <c r="E4197" s="513"/>
      <c r="F4197" s="513"/>
      <c r="G4197" s="513"/>
      <c r="H4197" s="1241"/>
      <c r="I4197" s="513"/>
      <c r="J4197" s="51"/>
      <c r="K4197" s="1245"/>
      <c r="L4197" s="1246"/>
      <c r="M4197" s="513"/>
      <c r="N4197" s="513"/>
      <c r="O4197" s="51"/>
      <c r="P4197" s="513"/>
      <c r="Q4197" s="513"/>
      <c r="R4197" s="1247">
        <f>$A4197*Q4197</f>
        <v>0</v>
      </c>
      <c r="S4197" s="513"/>
      <c r="T4197" s="884">
        <f>$A4197*S4197*$T$1</f>
        <v>0</v>
      </c>
    </row>
    <row r="4198" spans="1:33" s="504" customFormat="1" ht="12">
      <c r="A4198" s="1248" t="s">
        <v>142</v>
      </c>
      <c r="B4198" s="1249">
        <f>(R4197+T4197)</f>
        <v>0</v>
      </c>
      <c r="C4198" s="882"/>
      <c r="G4198" s="1250"/>
      <c r="H4198" s="1250"/>
      <c r="I4198" s="1250"/>
      <c r="J4198" s="1250"/>
      <c r="K4198" s="1251" t="s">
        <v>3</v>
      </c>
      <c r="L4198" s="1252" t="s">
        <v>1473</v>
      </c>
      <c r="M4198" s="1250"/>
      <c r="N4198" s="1250"/>
      <c r="O4198" s="1250"/>
      <c r="P4198" s="1250"/>
      <c r="Q4198" s="1253"/>
      <c r="R4198" s="1254">
        <f>SUM(R4194:R4197)</f>
        <v>0</v>
      </c>
      <c r="S4198" s="1255"/>
      <c r="T4198" s="1254">
        <f>SUM(T4194:T4197)</f>
        <v>42</v>
      </c>
      <c r="AG4198" s="1256">
        <f>ROUND($R4198*$S$2,2)</f>
        <v>0</v>
      </c>
    </row>
    <row r="4199" spans="1:33" s="504" customFormat="1" ht="12" customHeight="1">
      <c r="A4199" s="1257"/>
      <c r="B4199" s="1314"/>
      <c r="C4199" s="1315"/>
      <c r="D4199" s="1315" t="str">
        <f>$F$4</f>
        <v>Controls Section Engineer (DALI)</v>
      </c>
      <c r="E4199" s="1315">
        <f>ROUND(($R4207*$S$4 + ($T4207*$T$4)),2)</f>
        <v>5074.17</v>
      </c>
      <c r="F4199" s="1316">
        <f ca="1">$F4191-SUMIF($L4193:$P4196,"SUBI",$F4193:$F4196)</f>
        <v>5074.17</v>
      </c>
      <c r="G4199" s="503"/>
      <c r="H4199" s="503"/>
      <c r="I4199" s="503"/>
      <c r="J4199" s="503"/>
      <c r="K4199" s="1242" t="s">
        <v>7</v>
      </c>
      <c r="L4199" s="1243" t="s">
        <v>1473</v>
      </c>
      <c r="M4199" s="503"/>
      <c r="N4199" s="503"/>
      <c r="O4199" s="503"/>
      <c r="P4199" s="503"/>
      <c r="Q4199" s="503"/>
      <c r="R4199" s="1258"/>
      <c r="S4199" s="503"/>
      <c r="T4199" s="1258"/>
    </row>
    <row r="4200" spans="1:33" s="1271" customFormat="1" ht="14.4" customHeight="1">
      <c r="A4200" s="1259"/>
      <c r="B4200" s="1244" t="s">
        <v>1475</v>
      </c>
      <c r="C4200" s="1260"/>
      <c r="D4200" s="1261"/>
      <c r="E4200" s="1261"/>
      <c r="F4200" s="1261"/>
      <c r="G4200" s="1262"/>
      <c r="H4200" s="1263"/>
      <c r="I4200" s="1263"/>
      <c r="J4200" s="1264"/>
      <c r="K4200" s="1265"/>
      <c r="L4200" s="1260"/>
      <c r="M4200" s="1266"/>
      <c r="N4200" s="1267"/>
      <c r="O4200" s="1268"/>
      <c r="P4200" s="1269"/>
      <c r="Q4200" s="1270"/>
      <c r="R4200" s="1247">
        <f t="shared" ref="R4200:R4206" si="54">$A4200*Q4200</f>
        <v>0</v>
      </c>
      <c r="S4200" s="513"/>
      <c r="T4200" s="884">
        <f t="shared" ref="T4200:T4206" si="55">$A4200*S4200*$T$1</f>
        <v>0</v>
      </c>
    </row>
    <row r="4201" spans="1:33" s="1039" customFormat="1" ht="13.2">
      <c r="A4201" s="112">
        <v>1</v>
      </c>
      <c r="B4201" s="1039" t="s">
        <v>272</v>
      </c>
      <c r="D4201" s="1039" t="s">
        <v>1553</v>
      </c>
      <c r="G4201" s="1040" t="s">
        <v>1409</v>
      </c>
      <c r="H4201" s="1041">
        <v>706</v>
      </c>
      <c r="I4201" s="1039" t="s">
        <v>984</v>
      </c>
      <c r="O4201" s="1042">
        <v>3</v>
      </c>
      <c r="P4201" s="1043">
        <v>38317</v>
      </c>
      <c r="Q4201" s="1044">
        <v>0</v>
      </c>
      <c r="R4201" s="1045">
        <f t="shared" si="54"/>
        <v>0</v>
      </c>
      <c r="S4201" s="1044">
        <v>32</v>
      </c>
      <c r="T4201" s="1046">
        <f t="shared" si="55"/>
        <v>33.6</v>
      </c>
    </row>
    <row r="4202" spans="1:33" s="1039" customFormat="1" ht="13.2">
      <c r="A4202" s="112">
        <v>1</v>
      </c>
      <c r="B4202" s="1039" t="s">
        <v>272</v>
      </c>
      <c r="D4202" s="1039" t="s">
        <v>1554</v>
      </c>
      <c r="G4202" s="1040" t="s">
        <v>1409</v>
      </c>
      <c r="H4202" s="1041">
        <v>706</v>
      </c>
      <c r="I4202" s="1039" t="s">
        <v>984</v>
      </c>
      <c r="O4202" s="1042">
        <v>3</v>
      </c>
      <c r="P4202" s="1043">
        <v>38317</v>
      </c>
      <c r="Q4202" s="1044">
        <v>0</v>
      </c>
      <c r="R4202" s="1045">
        <f t="shared" si="54"/>
        <v>0</v>
      </c>
      <c r="S4202" s="1044">
        <v>18</v>
      </c>
      <c r="T4202" s="1046">
        <f t="shared" si="55"/>
        <v>18.900000000000002</v>
      </c>
    </row>
    <row r="4203" spans="1:33" s="1039" customFormat="1" ht="13.2">
      <c r="A4203" s="112">
        <v>1</v>
      </c>
      <c r="B4203" s="1039" t="s">
        <v>272</v>
      </c>
      <c r="D4203" s="1039" t="s">
        <v>1555</v>
      </c>
      <c r="G4203" s="1040" t="s">
        <v>1409</v>
      </c>
      <c r="H4203" s="1041">
        <v>706</v>
      </c>
      <c r="I4203" s="1039" t="s">
        <v>984</v>
      </c>
      <c r="O4203" s="1042">
        <v>3</v>
      </c>
      <c r="P4203" s="1043">
        <v>38317</v>
      </c>
      <c r="Q4203" s="1044">
        <v>0</v>
      </c>
      <c r="R4203" s="1045">
        <f t="shared" si="54"/>
        <v>0</v>
      </c>
      <c r="S4203" s="1044">
        <v>22</v>
      </c>
      <c r="T4203" s="1046">
        <f t="shared" si="55"/>
        <v>23.1</v>
      </c>
    </row>
    <row r="4204" spans="1:33" s="1039" customFormat="1" ht="13.2">
      <c r="A4204" s="112">
        <v>1</v>
      </c>
      <c r="B4204" s="1039" t="s">
        <v>272</v>
      </c>
      <c r="D4204" s="1039" t="s">
        <v>1556</v>
      </c>
      <c r="G4204" s="1040" t="s">
        <v>1409</v>
      </c>
      <c r="H4204" s="1041">
        <v>706</v>
      </c>
      <c r="I4204" s="1039" t="s">
        <v>984</v>
      </c>
      <c r="O4204" s="1042">
        <v>3</v>
      </c>
      <c r="P4204" s="1043">
        <v>38317</v>
      </c>
      <c r="Q4204" s="1044">
        <v>0</v>
      </c>
      <c r="R4204" s="1045">
        <f t="shared" si="54"/>
        <v>0</v>
      </c>
      <c r="S4204" s="1044">
        <v>10</v>
      </c>
      <c r="T4204" s="1046">
        <f t="shared" si="55"/>
        <v>10.5</v>
      </c>
    </row>
    <row r="4205" spans="1:33" s="1039" customFormat="1" ht="13.2">
      <c r="A4205" s="112">
        <v>1</v>
      </c>
      <c r="B4205" s="1039" t="s">
        <v>272</v>
      </c>
      <c r="D4205" s="1039" t="s">
        <v>1557</v>
      </c>
      <c r="G4205" s="1040" t="s">
        <v>1409</v>
      </c>
      <c r="H4205" s="1041">
        <v>706</v>
      </c>
      <c r="I4205" s="1039" t="s">
        <v>984</v>
      </c>
      <c r="O4205" s="1042">
        <v>3</v>
      </c>
      <c r="P4205" s="1043">
        <v>38317</v>
      </c>
      <c r="Q4205" s="1044">
        <v>0</v>
      </c>
      <c r="R4205" s="1045">
        <f t="shared" si="54"/>
        <v>0</v>
      </c>
      <c r="S4205" s="1044">
        <v>12</v>
      </c>
      <c r="T4205" s="1046">
        <f t="shared" si="55"/>
        <v>12.600000000000001</v>
      </c>
    </row>
    <row r="4206" spans="1:33" s="504" customFormat="1" ht="13.2">
      <c r="A4206" s="930"/>
      <c r="B4206" s="513"/>
      <c r="C4206" s="513"/>
      <c r="D4206" s="3"/>
      <c r="E4206" s="513"/>
      <c r="F4206" s="513"/>
      <c r="G4206" s="513"/>
      <c r="H4206" s="513"/>
      <c r="I4206" s="513"/>
      <c r="J4206" s="513"/>
      <c r="K4206" s="513"/>
      <c r="L4206" s="1246"/>
      <c r="M4206" s="513"/>
      <c r="N4206" s="513"/>
      <c r="O4206" s="513"/>
      <c r="P4206" s="513"/>
      <c r="Q4206" s="513"/>
      <c r="R4206" s="1247">
        <f t="shared" si="54"/>
        <v>0</v>
      </c>
      <c r="S4206" s="513"/>
      <c r="T4206" s="884">
        <f t="shared" si="55"/>
        <v>0</v>
      </c>
    </row>
    <row r="4207" spans="1:33" s="504" customFormat="1" ht="12" customHeight="1">
      <c r="A4207" s="1272" t="s">
        <v>142</v>
      </c>
      <c r="B4207" s="1273">
        <f>(R4206+T4206)</f>
        <v>0</v>
      </c>
      <c r="C4207" s="1274"/>
      <c r="D4207" s="1274"/>
      <c r="E4207" s="1274"/>
      <c r="F4207" s="1274"/>
      <c r="G4207" s="1253"/>
      <c r="H4207" s="1253"/>
      <c r="I4207" s="1253"/>
      <c r="J4207" s="1253"/>
      <c r="K4207" s="1275" t="s">
        <v>7</v>
      </c>
      <c r="L4207" s="1276" t="s">
        <v>1473</v>
      </c>
      <c r="M4207" s="1253"/>
      <c r="N4207" s="1253"/>
      <c r="O4207" s="1253"/>
      <c r="P4207" s="1253"/>
      <c r="Q4207" s="1253"/>
      <c r="R4207" s="1254">
        <f>SUM(R4199:R4206)</f>
        <v>0</v>
      </c>
      <c r="S4207" s="1255"/>
      <c r="T4207" s="1254">
        <f>SUM(T4199:T4206)</f>
        <v>98.699999999999989</v>
      </c>
      <c r="AG4207" s="1317">
        <f>ROUND($R4207*$S$4,2)</f>
        <v>0</v>
      </c>
    </row>
    <row r="4208" spans="1:33" s="504" customFormat="1" ht="12.75" customHeight="1">
      <c r="A4208" s="1277"/>
      <c r="B4208" s="1278"/>
      <c r="E4208" s="882"/>
      <c r="F4208" s="1279"/>
      <c r="G4208" s="882"/>
      <c r="H4208" s="882"/>
      <c r="I4208" s="503"/>
      <c r="J4208" s="882"/>
      <c r="K4208" s="882"/>
      <c r="L4208" s="1280"/>
      <c r="M4208" s="933"/>
      <c r="N4208" s="933"/>
      <c r="O4208" s="933"/>
      <c r="P4208" s="933"/>
      <c r="Q4208" s="900"/>
      <c r="R4208" s="1258"/>
      <c r="S4208" s="882"/>
      <c r="T4208" s="1258"/>
    </row>
    <row r="4209" spans="1:41" s="504" customFormat="1" ht="13.5" customHeight="1" thickBot="1">
      <c r="A4209" s="1281"/>
      <c r="B4209" s="1282"/>
      <c r="C4209" s="514"/>
      <c r="D4209" s="514"/>
      <c r="E4209" s="887"/>
      <c r="F4209" s="888"/>
      <c r="G4209" s="887" t="s">
        <v>143</v>
      </c>
      <c r="H4209" s="887"/>
      <c r="I4209" s="889"/>
      <c r="J4209" s="887"/>
      <c r="K4209" s="887"/>
      <c r="L4209" s="1283" t="s">
        <v>140</v>
      </c>
      <c r="M4209" s="890"/>
      <c r="N4209" s="890"/>
      <c r="O4209" s="890"/>
      <c r="P4209" s="890"/>
      <c r="Q4209" s="891"/>
      <c r="R4209" s="1284">
        <f>SUMIF($L4192:$L4208,"SUBI",R4192:R4208)</f>
        <v>0</v>
      </c>
      <c r="S4209" s="887"/>
      <c r="T4209" s="1284">
        <f>SUMIF($L4192:$L4208,"SUBI",T4192:T4208)</f>
        <v>140.69999999999999</v>
      </c>
      <c r="U4209" s="514"/>
      <c r="V4209" s="514"/>
      <c r="W4209" s="514"/>
      <c r="X4209" s="514"/>
      <c r="Y4209" s="514"/>
      <c r="Z4209" s="514"/>
      <c r="AA4209" s="514"/>
      <c r="AB4209" s="514"/>
      <c r="AC4209" s="514"/>
      <c r="AD4209" s="514"/>
      <c r="AE4209" s="514"/>
      <c r="AF4209" s="514"/>
      <c r="AG4209" s="514"/>
      <c r="AH4209" s="514"/>
      <c r="AI4209" s="514"/>
      <c r="AJ4209" s="514"/>
      <c r="AK4209" s="514"/>
      <c r="AL4209" s="514"/>
      <c r="AM4209" s="514"/>
      <c r="AN4209" s="514"/>
      <c r="AO4209" s="514"/>
    </row>
    <row r="4210" spans="1:41" s="504" customFormat="1" ht="12" thickTop="1">
      <c r="A4210" s="50"/>
      <c r="B4210" s="40"/>
      <c r="C4210" s="50"/>
      <c r="E4210" s="41" t="s">
        <v>136</v>
      </c>
      <c r="F4210" s="41" t="s">
        <v>137</v>
      </c>
      <c r="G4210" s="50"/>
      <c r="H4210" s="50"/>
      <c r="I4210" s="50"/>
      <c r="J4210" s="50"/>
      <c r="K4210" s="50" t="s">
        <v>138</v>
      </c>
      <c r="L4210" s="50"/>
      <c r="M4210" s="50"/>
      <c r="N4210" s="50"/>
      <c r="O4210" s="51"/>
      <c r="P4210" s="50"/>
      <c r="Q4210" s="50"/>
      <c r="R4210" s="50"/>
      <c r="S4210" s="50"/>
      <c r="T4210" s="40"/>
      <c r="AG4210" s="867" t="s">
        <v>241</v>
      </c>
      <c r="AH4210" s="867" t="s">
        <v>242</v>
      </c>
      <c r="AI4210" s="867" t="s">
        <v>243</v>
      </c>
      <c r="AJ4210" s="867" t="s">
        <v>244</v>
      </c>
      <c r="AK4210" s="867" t="s">
        <v>245</v>
      </c>
      <c r="AM4210" s="868" t="s">
        <v>254</v>
      </c>
      <c r="AN4210" s="869" t="s">
        <v>255</v>
      </c>
      <c r="AO4210" s="505" t="s">
        <v>251</v>
      </c>
    </row>
    <row r="4211" spans="1:41" s="504" customFormat="1" ht="12" customHeight="1">
      <c r="A4211" s="870">
        <v>1</v>
      </c>
      <c r="B4211" s="871" t="s">
        <v>335</v>
      </c>
      <c r="C4211" s="872"/>
      <c r="D4211" s="873" t="s">
        <v>913</v>
      </c>
      <c r="E4211" s="1207">
        <f>IF(AND($A4211=0,$A$1="DIF"),0, ROUND(ROUND(($R4215*$S$10+($T4215*$T$10))/$A4211,2)*$C$10,2))</f>
        <v>1056.5999999999999</v>
      </c>
      <c r="F4211" s="1208">
        <f>ROUND($A4211*$E4211,2)</f>
        <v>1056.5999999999999</v>
      </c>
      <c r="G4211" s="876" t="s">
        <v>139</v>
      </c>
      <c r="H4211" s="877"/>
      <c r="I4211" s="878"/>
      <c r="J4211" s="877"/>
      <c r="K4211" s="877" t="s">
        <v>16</v>
      </c>
      <c r="L4211" s="879" t="s">
        <v>140</v>
      </c>
      <c r="M4211" s="879"/>
      <c r="N4211" s="879"/>
      <c r="O4211" s="879"/>
      <c r="P4211" s="879"/>
      <c r="Q4211" s="50"/>
      <c r="T4211" s="1212" t="str">
        <f>IF(AND($R4215=0,$T4215=0),"0.00","mu: "&amp; ROUND(F4211/$C$10/($R4215+$T4215*$D$9),2))</f>
        <v>mu: 1.1</v>
      </c>
      <c r="W4211" s="507"/>
      <c r="AG4211" s="1209">
        <f>IF($E4211=0,0,ROUND($R4215*$S$10*$C$10/$A4211,2))</f>
        <v>990</v>
      </c>
      <c r="AH4211" s="1209">
        <f>$AG4211*$A4211</f>
        <v>990</v>
      </c>
      <c r="AI4211" s="1210">
        <f>$E4211-$AG4211</f>
        <v>66.599999999999909</v>
      </c>
      <c r="AJ4211" s="1210">
        <f>$A4211*$AI4211</f>
        <v>66.599999999999909</v>
      </c>
      <c r="AK4211" s="1211">
        <f>ROUND(($AG4211+$AI4211)*$A4211,2)</f>
        <v>1056.5999999999999</v>
      </c>
      <c r="AM4211" s="510">
        <f>ROUND(R4215,2)</f>
        <v>900</v>
      </c>
      <c r="AN4211" s="511">
        <f>ROUND(T4215,2)</f>
        <v>2.1</v>
      </c>
      <c r="AO4211" s="512">
        <f>ROUND(AM4211+AN4211,2)*A4211</f>
        <v>902.1</v>
      </c>
    </row>
    <row r="4212" spans="1:41" s="504" customFormat="1" ht="24">
      <c r="A4212" s="872"/>
      <c r="B4212"/>
      <c r="C4212" s="872"/>
      <c r="D4212" s="916" t="s">
        <v>499</v>
      </c>
      <c r="E4212" s="917"/>
      <c r="F4212" s="918"/>
      <c r="G4212" s="919"/>
      <c r="H4212" s="918"/>
      <c r="I4212" s="920"/>
      <c r="J4212" s="918"/>
      <c r="K4212" s="918"/>
      <c r="L4212" s="918"/>
      <c r="M4212" s="918"/>
      <c r="N4212" s="918"/>
      <c r="O4212" s="918"/>
      <c r="P4212" s="918"/>
      <c r="Q4212" s="921"/>
      <c r="R4212" s="513"/>
      <c r="S4212" s="881"/>
      <c r="T4212" s="877"/>
    </row>
    <row r="4213" spans="1:41" s="1039" customFormat="1" ht="13.2">
      <c r="A4213" s="112">
        <v>1</v>
      </c>
      <c r="B4213" s="1039" t="s">
        <v>949</v>
      </c>
      <c r="D4213" s="1039" t="s">
        <v>1411</v>
      </c>
      <c r="G4213" s="1040" t="s">
        <v>1412</v>
      </c>
      <c r="H4213" s="1041">
        <v>961</v>
      </c>
      <c r="I4213" s="1039" t="s">
        <v>984</v>
      </c>
      <c r="O4213" s="1042">
        <v>4</v>
      </c>
      <c r="P4213" s="1043">
        <v>38129</v>
      </c>
      <c r="Q4213" s="1044">
        <v>900</v>
      </c>
      <c r="R4213" s="1045">
        <f>$A4213*Q4213</f>
        <v>900</v>
      </c>
      <c r="S4213" s="1044">
        <v>2</v>
      </c>
      <c r="T4213" s="1046">
        <f>$A4213*S4213*$T$1</f>
        <v>2.1</v>
      </c>
    </row>
    <row r="4214" spans="1:41" s="504" customFormat="1" ht="12">
      <c r="A4214" s="882"/>
      <c r="B4214" s="882"/>
      <c r="C4214" s="882"/>
      <c r="D4214" s="882"/>
      <c r="E4214" s="882"/>
      <c r="F4214" s="877"/>
      <c r="G4214" s="882"/>
      <c r="H4214" s="882"/>
      <c r="I4214" s="503"/>
      <c r="J4214" s="882"/>
      <c r="K4214" s="882"/>
      <c r="L4214" s="882"/>
      <c r="M4214" s="882"/>
      <c r="N4214" s="882"/>
      <c r="O4214" s="882"/>
      <c r="P4214" s="882"/>
      <c r="Q4214" s="503"/>
      <c r="R4214" s="883">
        <f>$A4214*Q4214</f>
        <v>0</v>
      </c>
      <c r="S4214" s="503"/>
      <c r="T4214" s="884">
        <f>$A4214*S4214*$T$1</f>
        <v>0</v>
      </c>
    </row>
    <row r="4215" spans="1:41" s="504" customFormat="1" ht="12.6" thickBot="1">
      <c r="A4215" s="885" t="s">
        <v>142</v>
      </c>
      <c r="B4215" s="886">
        <f>(R4214+T4214)</f>
        <v>0</v>
      </c>
      <c r="C4215" s="887"/>
      <c r="D4215" s="887"/>
      <c r="E4215" s="887"/>
      <c r="F4215" s="888"/>
      <c r="G4215" s="887" t="s">
        <v>143</v>
      </c>
      <c r="H4215" s="887"/>
      <c r="I4215" s="889"/>
      <c r="J4215" s="887"/>
      <c r="K4215" s="887" t="s">
        <v>16</v>
      </c>
      <c r="L4215" s="890" t="s">
        <v>140</v>
      </c>
      <c r="M4215" s="890"/>
      <c r="N4215" s="890"/>
      <c r="O4215" s="890"/>
      <c r="P4215" s="890"/>
      <c r="Q4215" s="891"/>
      <c r="R4215" s="892">
        <f>SUM(R4212:R4214)</f>
        <v>900</v>
      </c>
      <c r="S4215" s="887"/>
      <c r="T4215" s="892">
        <f>SUM(T4212:T4214)</f>
        <v>2.1</v>
      </c>
      <c r="U4215" s="514"/>
      <c r="V4215" s="514"/>
      <c r="W4215" s="514"/>
      <c r="X4215" s="514"/>
      <c r="Y4215" s="514"/>
      <c r="Z4215" s="514"/>
      <c r="AA4215" s="514"/>
      <c r="AB4215" s="514"/>
      <c r="AC4215" s="514"/>
      <c r="AD4215" s="514"/>
      <c r="AE4215" s="514"/>
      <c r="AF4215" s="514"/>
      <c r="AG4215" s="514"/>
      <c r="AH4215" s="514"/>
      <c r="AI4215" s="514"/>
      <c r="AJ4215" s="514"/>
      <c r="AK4215" s="514"/>
      <c r="AL4215" s="514"/>
      <c r="AM4215" s="514"/>
      <c r="AN4215" s="514"/>
      <c r="AO4215" s="514"/>
    </row>
    <row r="4216" spans="1:41" s="504" customFormat="1" ht="12" thickTop="1">
      <c r="A4216" s="50"/>
      <c r="B4216" s="40"/>
      <c r="C4216" s="50"/>
      <c r="E4216" s="41" t="s">
        <v>136</v>
      </c>
      <c r="F4216" s="41" t="s">
        <v>137</v>
      </c>
      <c r="G4216" s="50"/>
      <c r="H4216" s="50"/>
      <c r="I4216" s="50"/>
      <c r="J4216" s="50"/>
      <c r="K4216" s="50" t="s">
        <v>138</v>
      </c>
      <c r="L4216" s="50"/>
      <c r="M4216" s="50"/>
      <c r="N4216" s="50"/>
      <c r="O4216" s="51"/>
      <c r="P4216" s="50"/>
      <c r="Q4216" s="50"/>
      <c r="R4216" s="50"/>
      <c r="S4216" s="50"/>
      <c r="T4216" s="40"/>
      <c r="AG4216" s="867" t="s">
        <v>241</v>
      </c>
      <c r="AH4216" s="867" t="s">
        <v>242</v>
      </c>
      <c r="AI4216" s="867" t="s">
        <v>243</v>
      </c>
      <c r="AJ4216" s="867" t="s">
        <v>244</v>
      </c>
      <c r="AK4216" s="867" t="s">
        <v>245</v>
      </c>
      <c r="AM4216" s="868" t="s">
        <v>254</v>
      </c>
      <c r="AN4216" s="869" t="s">
        <v>255</v>
      </c>
      <c r="AO4216" s="505" t="s">
        <v>251</v>
      </c>
    </row>
    <row r="4217" spans="1:41" s="504" customFormat="1" ht="12" customHeight="1">
      <c r="A4217" s="870">
        <v>1</v>
      </c>
      <c r="B4217" s="871" t="s">
        <v>272</v>
      </c>
      <c r="C4217" s="872"/>
      <c r="D4217" s="873" t="s">
        <v>914</v>
      </c>
      <c r="E4217" s="874">
        <f>IF(AND($A4217=0,$A$1="DIF"),0, ROUND(ROUND(($R4225*$S$2+($T4225*$T$2))/A4217,2)*$C$2,2))</f>
        <v>572.1</v>
      </c>
      <c r="F4217" s="875">
        <f>ROUND($A4217*$E4217,2)</f>
        <v>572.1</v>
      </c>
      <c r="G4217" s="876" t="s">
        <v>139</v>
      </c>
      <c r="H4217" s="877"/>
      <c r="I4217" s="878"/>
      <c r="J4217" s="877"/>
      <c r="K4217" s="877" t="s">
        <v>3</v>
      </c>
      <c r="L4217" s="879" t="s">
        <v>140</v>
      </c>
      <c r="M4217" s="879"/>
      <c r="N4217" s="879"/>
      <c r="O4217" s="879"/>
      <c r="P4217" s="879"/>
      <c r="Q4217" s="50"/>
      <c r="T4217" s="880" t="str">
        <f>IF(AND($R4225=0,$T4225=0),"0.00","mu :" &amp; ROUND($F4217/$C$2/($R4225+$T4225*$D$9),2))</f>
        <v>mu :1.22</v>
      </c>
      <c r="W4217" s="507"/>
      <c r="AG4217" s="465">
        <f>IF($E4217=0,0,ROUND($R4225*$S$2*$C$2/$A4217,2))</f>
        <v>69.78</v>
      </c>
      <c r="AH4217" s="465">
        <f>$AG4217*$A4217</f>
        <v>69.78</v>
      </c>
      <c r="AI4217" s="508">
        <f>$E4217-$AG4217</f>
        <v>502.32000000000005</v>
      </c>
      <c r="AJ4217" s="508">
        <f>$A4217*$AI4217</f>
        <v>502.32000000000005</v>
      </c>
      <c r="AK4217" s="509">
        <f>ROUND(($AG4217+$AI4217)*$A4217,2)</f>
        <v>572.1</v>
      </c>
      <c r="AM4217" s="510">
        <f>ROUND(R4225,2)</f>
        <v>57.2</v>
      </c>
      <c r="AN4217" s="511">
        <f>ROUND(T4225,2)</f>
        <v>14.28</v>
      </c>
      <c r="AO4217" s="512">
        <f>ROUND(AM4217+AN4217,2)*A4217</f>
        <v>71.48</v>
      </c>
    </row>
    <row r="4218" spans="1:41" s="504" customFormat="1" ht="13.2">
      <c r="A4218" s="872"/>
      <c r="B4218"/>
      <c r="C4218" s="872"/>
      <c r="D4218" s="916" t="s">
        <v>915</v>
      </c>
      <c r="E4218" s="917"/>
      <c r="F4218" s="918"/>
      <c r="G4218" s="919"/>
      <c r="H4218" s="918"/>
      <c r="I4218" s="920"/>
      <c r="J4218" s="918"/>
      <c r="K4218" s="918"/>
      <c r="L4218" s="918"/>
      <c r="M4218" s="918"/>
      <c r="N4218" s="918"/>
      <c r="O4218" s="918"/>
      <c r="P4218" s="918"/>
      <c r="Q4218" s="921"/>
      <c r="R4218" s="513"/>
      <c r="S4218" s="881"/>
      <c r="T4218" s="877"/>
    </row>
    <row r="4219" spans="1:41" s="1039" customFormat="1" ht="13.2">
      <c r="A4219">
        <f>2*20</f>
        <v>40</v>
      </c>
      <c r="B4219" s="1039" t="s">
        <v>326</v>
      </c>
      <c r="D4219" s="1039" t="s">
        <v>1428</v>
      </c>
      <c r="G4219" s="1040" t="s">
        <v>1426</v>
      </c>
      <c r="H4219" s="1041">
        <v>615</v>
      </c>
      <c r="I4219" s="1039" t="s">
        <v>991</v>
      </c>
      <c r="K4219" s="1039" t="s">
        <v>1427</v>
      </c>
      <c r="O4219" s="1042">
        <v>2</v>
      </c>
      <c r="P4219" s="1043">
        <v>38988</v>
      </c>
      <c r="Q4219" s="1044">
        <v>1.1399999999999999</v>
      </c>
      <c r="R4219" s="1045">
        <f t="shared" ref="R4219:R4224" si="56">$A4219*Q4219</f>
        <v>45.599999999999994</v>
      </c>
      <c r="S4219" s="1044">
        <v>0.03</v>
      </c>
      <c r="T4219" s="1046">
        <f t="shared" ref="T4219:T4224" si="57">$A4219*S4219*$T$1</f>
        <v>1.26</v>
      </c>
    </row>
    <row r="4220" spans="1:41" s="1039" customFormat="1" ht="11.4">
      <c r="A4220" s="882">
        <v>40</v>
      </c>
      <c r="B4220" s="1039" t="s">
        <v>949</v>
      </c>
      <c r="D4220" s="1039" t="s">
        <v>1034</v>
      </c>
      <c r="G4220" s="1040" t="s">
        <v>1035</v>
      </c>
      <c r="H4220" s="1041">
        <v>620</v>
      </c>
      <c r="I4220" s="1039" t="s">
        <v>999</v>
      </c>
      <c r="O4220" s="1042">
        <v>2</v>
      </c>
      <c r="P4220" s="1043">
        <v>34669</v>
      </c>
      <c r="Q4220" s="1044">
        <v>0.14000000000000001</v>
      </c>
      <c r="R4220" s="1045">
        <f t="shared" si="56"/>
        <v>5.6000000000000005</v>
      </c>
      <c r="S4220" s="1044">
        <v>0.06</v>
      </c>
      <c r="T4220" s="1046">
        <f t="shared" si="57"/>
        <v>2.52</v>
      </c>
    </row>
    <row r="4221" spans="1:41" s="1039" customFormat="1" ht="11.4">
      <c r="A4221" s="882">
        <v>40</v>
      </c>
      <c r="B4221" s="1039" t="s">
        <v>949</v>
      </c>
      <c r="D4221" s="1039" t="s">
        <v>1000</v>
      </c>
      <c r="G4221" s="1040" t="s">
        <v>1001</v>
      </c>
      <c r="H4221" s="1041">
        <v>620</v>
      </c>
      <c r="I4221" s="1039" t="s">
        <v>951</v>
      </c>
      <c r="O4221" s="1042">
        <v>2</v>
      </c>
      <c r="P4221" s="1043"/>
      <c r="Q4221" s="1044">
        <v>0.1</v>
      </c>
      <c r="R4221" s="1045">
        <f t="shared" si="56"/>
        <v>4</v>
      </c>
      <c r="S4221" s="1044"/>
      <c r="T4221" s="1046">
        <f t="shared" si="57"/>
        <v>0</v>
      </c>
    </row>
    <row r="4222" spans="1:41" s="1039" customFormat="1" ht="13.2">
      <c r="A4222" s="112">
        <v>40</v>
      </c>
      <c r="B4222" s="1039" t="s">
        <v>949</v>
      </c>
      <c r="D4222" s="1039" t="s">
        <v>1002</v>
      </c>
      <c r="G4222" s="1040" t="s">
        <v>1003</v>
      </c>
      <c r="H4222" s="1041">
        <v>875</v>
      </c>
      <c r="I4222" s="1039" t="s">
        <v>951</v>
      </c>
      <c r="K4222" s="1039" t="s">
        <v>1004</v>
      </c>
      <c r="O4222" s="1042">
        <v>1</v>
      </c>
      <c r="P4222" s="1043">
        <v>34669</v>
      </c>
      <c r="Q4222" s="1044">
        <v>0.05</v>
      </c>
      <c r="R4222" s="1045">
        <f t="shared" si="56"/>
        <v>2</v>
      </c>
      <c r="S4222" s="1044"/>
      <c r="T4222" s="1046">
        <f t="shared" si="57"/>
        <v>0</v>
      </c>
    </row>
    <row r="4223" spans="1:41" s="1039" customFormat="1" ht="13.2">
      <c r="A4223" s="112">
        <v>20</v>
      </c>
      <c r="B4223" s="1039" t="s">
        <v>949</v>
      </c>
      <c r="D4223" s="1039" t="s">
        <v>1430</v>
      </c>
      <c r="G4223" s="1040" t="s">
        <v>1429</v>
      </c>
      <c r="H4223" s="1041">
        <v>900</v>
      </c>
      <c r="I4223" s="1039" t="s">
        <v>984</v>
      </c>
      <c r="O4223" s="1042">
        <v>2</v>
      </c>
      <c r="P4223" s="1043"/>
      <c r="Q4223" s="1044">
        <v>0</v>
      </c>
      <c r="R4223" s="1045">
        <f t="shared" si="56"/>
        <v>0</v>
      </c>
      <c r="S4223" s="1044">
        <v>0.5</v>
      </c>
      <c r="T4223" s="1046">
        <f t="shared" si="57"/>
        <v>10.5</v>
      </c>
    </row>
    <row r="4224" spans="1:41" s="504" customFormat="1" ht="12">
      <c r="A4224" s="882"/>
      <c r="B4224" s="882"/>
      <c r="C4224" s="882"/>
      <c r="D4224" s="882"/>
      <c r="E4224" s="882"/>
      <c r="F4224" s="877"/>
      <c r="G4224" s="882"/>
      <c r="H4224" s="882"/>
      <c r="I4224" s="503"/>
      <c r="J4224" s="882"/>
      <c r="K4224" s="882"/>
      <c r="L4224" s="882"/>
      <c r="M4224" s="882"/>
      <c r="N4224" s="882"/>
      <c r="O4224" s="882"/>
      <c r="P4224" s="882"/>
      <c r="Q4224" s="503"/>
      <c r="R4224" s="883">
        <f t="shared" si="56"/>
        <v>0</v>
      </c>
      <c r="S4224" s="503"/>
      <c r="T4224" s="884">
        <f t="shared" si="57"/>
        <v>0</v>
      </c>
    </row>
    <row r="4225" spans="1:41" s="504" customFormat="1" ht="12.6" thickBot="1">
      <c r="A4225" s="885" t="s">
        <v>142</v>
      </c>
      <c r="B4225" s="886">
        <f>(R4224+T4224)</f>
        <v>0</v>
      </c>
      <c r="C4225" s="887"/>
      <c r="D4225" s="887"/>
      <c r="E4225" s="887"/>
      <c r="F4225" s="888"/>
      <c r="G4225" s="887" t="s">
        <v>143</v>
      </c>
      <c r="H4225" s="887"/>
      <c r="I4225" s="889"/>
      <c r="J4225" s="887"/>
      <c r="K4225" s="887" t="s">
        <v>3</v>
      </c>
      <c r="L4225" s="890" t="s">
        <v>140</v>
      </c>
      <c r="M4225" s="890"/>
      <c r="N4225" s="890"/>
      <c r="O4225" s="890"/>
      <c r="P4225" s="890"/>
      <c r="Q4225" s="891"/>
      <c r="R4225" s="892">
        <f>SUM(R4218:R4224)</f>
        <v>57.199999999999996</v>
      </c>
      <c r="S4225" s="887"/>
      <c r="T4225" s="892">
        <f>SUM(T4218:T4224)</f>
        <v>14.280000000000001</v>
      </c>
      <c r="U4225" s="514"/>
      <c r="V4225" s="514"/>
      <c r="W4225" s="514"/>
      <c r="X4225" s="514"/>
      <c r="Y4225" s="514"/>
      <c r="Z4225" s="514"/>
      <c r="AA4225" s="514"/>
      <c r="AB4225" s="514"/>
      <c r="AC4225" s="514"/>
      <c r="AD4225" s="514"/>
      <c r="AE4225" s="514"/>
      <c r="AF4225" s="514"/>
      <c r="AG4225" s="514"/>
      <c r="AH4225" s="514"/>
      <c r="AI4225" s="514"/>
      <c r="AJ4225" s="514"/>
      <c r="AK4225" s="514"/>
      <c r="AL4225" s="514"/>
      <c r="AM4225" s="514"/>
      <c r="AN4225" s="514"/>
      <c r="AO4225" s="514"/>
    </row>
    <row r="4226" spans="1:41" s="504" customFormat="1" ht="12" thickTop="1">
      <c r="A4226" s="47" t="s">
        <v>145</v>
      </c>
      <c r="D4226" s="13"/>
      <c r="E4226" s="41"/>
      <c r="O4226" s="893"/>
    </row>
    <row r="4227" spans="1:41" s="504" customFormat="1" ht="13.2">
      <c r="B4227" s="3"/>
      <c r="O4227" s="893"/>
    </row>
    <row r="4228" spans="1:41" s="504" customFormat="1" ht="12">
      <c r="B4228" s="894">
        <f>$F4228/$C$2-($R4228*$S$2+$T4228*$T$2)</f>
        <v>1487.000599250001</v>
      </c>
      <c r="D4228" s="895" t="s">
        <v>817</v>
      </c>
      <c r="E4228" s="896"/>
      <c r="F4228" s="897">
        <f>SUMIF($L4151:$L4226,"ITEM",F4151:F4226)</f>
        <v>9701.630000000001</v>
      </c>
      <c r="G4228" s="882"/>
      <c r="H4228" s="882"/>
      <c r="I4228" s="503"/>
      <c r="J4228" s="882"/>
      <c r="K4228" s="882"/>
      <c r="L4228" s="879" t="s">
        <v>154</v>
      </c>
      <c r="M4228" s="879"/>
      <c r="N4228" s="879"/>
      <c r="O4228" s="879"/>
      <c r="P4228" s="879"/>
      <c r="R4228" s="897">
        <f>SUMIF($L4151:$L4226,"ITEM",R4151:R4226)</f>
        <v>2108.85</v>
      </c>
      <c r="S4228" s="898"/>
      <c r="T4228" s="897">
        <f>SUMIF($L4151:$L4226,"ITEM",T4151:T4226)</f>
        <v>160.38749999999999</v>
      </c>
    </row>
    <row r="4229" spans="1:41" s="504" customFormat="1" ht="13.2">
      <c r="A4229" s="50"/>
      <c r="B4229" s="48" t="s">
        <v>816</v>
      </c>
      <c r="C4229" s="50"/>
      <c r="D4229" s="3"/>
      <c r="F4229" s="899" t="s">
        <v>155</v>
      </c>
      <c r="G4229" s="882"/>
      <c r="H4229" s="882"/>
      <c r="I4229" s="503"/>
      <c r="J4229" s="882"/>
      <c r="K4229" s="882"/>
      <c r="L4229" s="882"/>
      <c r="M4229" s="882"/>
      <c r="N4229" s="882"/>
      <c r="O4229" s="882"/>
      <c r="P4229" s="882"/>
      <c r="Q4229" s="900"/>
      <c r="R4229" s="899" t="s">
        <v>156</v>
      </c>
      <c r="S4229" s="38"/>
      <c r="T4229" s="899" t="s">
        <v>157</v>
      </c>
    </row>
    <row r="4230" spans="1:41" s="504" customFormat="1" ht="13.2">
      <c r="A4230" s="882"/>
      <c r="B4230" s="3"/>
      <c r="C4230" s="882"/>
      <c r="D4230" s="3"/>
      <c r="E4230" s="3"/>
      <c r="G4230" s="3"/>
      <c r="H4230" s="3"/>
      <c r="I4230" s="3"/>
      <c r="J4230" s="3"/>
      <c r="K4230" s="3"/>
      <c r="L4230" s="3"/>
      <c r="M4230" s="3"/>
      <c r="N4230" s="3"/>
      <c r="O4230" s="103"/>
      <c r="P4230" s="3"/>
      <c r="Q4230" s="3"/>
      <c r="R4230" s="3"/>
      <c r="S4230" s="3"/>
      <c r="T4230" s="3"/>
    </row>
    <row r="4231" spans="1:41" s="504" customFormat="1" ht="12" thickBot="1">
      <c r="A4231" s="514"/>
      <c r="B4231" s="887"/>
      <c r="C4231" s="887"/>
      <c r="D4231" s="514"/>
      <c r="E4231" s="39"/>
      <c r="F4231" s="901"/>
      <c r="G4231" s="887"/>
      <c r="H4231" s="887"/>
      <c r="I4231" s="889"/>
      <c r="J4231" s="887"/>
      <c r="K4231" s="887"/>
      <c r="L4231" s="890"/>
      <c r="M4231" s="890"/>
      <c r="N4231" s="890"/>
      <c r="O4231" s="890"/>
      <c r="P4231" s="890"/>
      <c r="Q4231" s="891"/>
      <c r="R4231" s="901"/>
      <c r="S4231" s="902"/>
      <c r="T4231" s="901"/>
      <c r="U4231" s="514"/>
      <c r="V4231" s="514"/>
      <c r="W4231" s="514"/>
      <c r="X4231" s="514"/>
      <c r="Y4231" s="514"/>
      <c r="Z4231" s="514"/>
      <c r="AA4231" s="514"/>
      <c r="AB4231" s="514"/>
      <c r="AC4231" s="514"/>
      <c r="AD4231" s="514"/>
      <c r="AE4231" s="514"/>
      <c r="AF4231" s="514"/>
      <c r="AG4231" s="514"/>
      <c r="AH4231" s="514"/>
      <c r="AI4231" s="514"/>
      <c r="AJ4231" s="514"/>
      <c r="AK4231" s="514"/>
    </row>
    <row r="4232" spans="1:41" s="504" customFormat="1" thickTop="1">
      <c r="A4232" s="47" t="s">
        <v>145</v>
      </c>
      <c r="B4232" s="3"/>
      <c r="C4232" s="50"/>
      <c r="D4232" s="50"/>
      <c r="E4232" s="50"/>
      <c r="F4232" s="50"/>
      <c r="G4232" s="50"/>
      <c r="H4232" s="50"/>
      <c r="I4232" s="50"/>
      <c r="J4232" s="50"/>
      <c r="K4232" s="50"/>
      <c r="L4232" s="50"/>
      <c r="M4232" s="50"/>
      <c r="N4232" s="50"/>
      <c r="O4232" s="51"/>
      <c r="P4232" s="50"/>
      <c r="Q4232" s="50"/>
      <c r="R4232" s="50"/>
      <c r="S4232" s="50"/>
      <c r="T4232" s="50"/>
    </row>
    <row r="4233" spans="1:41" s="504" customFormat="1" ht="13.2">
      <c r="A4233" s="50"/>
      <c r="B4233" s="3"/>
      <c r="C4233" s="3"/>
      <c r="E4233" s="3"/>
      <c r="F4233" s="3"/>
      <c r="G4233" s="3"/>
      <c r="H4233" s="3"/>
      <c r="I4233" s="3"/>
      <c r="J4233" s="3"/>
      <c r="K4233" s="3"/>
      <c r="L4233" s="3"/>
      <c r="M4233" s="3"/>
      <c r="N4233" s="3"/>
      <c r="O4233" s="103"/>
      <c r="P4233" s="3"/>
      <c r="Q4233" s="3"/>
      <c r="R4233" s="3"/>
      <c r="S4233" s="3"/>
      <c r="T4233" s="3"/>
    </row>
    <row r="4234" spans="1:41" s="504" customFormat="1" ht="12">
      <c r="A4234" s="50"/>
      <c r="B4234" s="894">
        <f ca="1">$F4234/$C$2-($R4234*$S$2+$T4234*$T$2)</f>
        <v>2565.9205950950563</v>
      </c>
      <c r="C4234" s="50"/>
      <c r="D4234" s="913" t="s">
        <v>924</v>
      </c>
      <c r="E4234" s="896"/>
      <c r="F4234" s="914">
        <f ca="1">SUMIF($L151:$L4232,"PAGE",F151:F4232)</f>
        <v>191052.51000000004</v>
      </c>
      <c r="G4234" s="882"/>
      <c r="H4234" s="882"/>
      <c r="I4234" s="503"/>
      <c r="J4234" s="882"/>
      <c r="K4234" s="882"/>
      <c r="L4234" s="117" t="s">
        <v>918</v>
      </c>
      <c r="M4234" s="117"/>
      <c r="N4234" s="117"/>
      <c r="O4234" s="118"/>
      <c r="P4234" s="117"/>
      <c r="Q4234" s="50"/>
      <c r="R4234" s="914">
        <f ca="1">SUMIF($L151:$L4232,"PAGE",R151:R4232)</f>
        <v>86441.687000000005</v>
      </c>
      <c r="S4234" s="50"/>
      <c r="T4234" s="914">
        <f ca="1">SUMIF($L151:$L4232,"PAGE",T151:T4232)</f>
        <v>2360.334249999999</v>
      </c>
    </row>
    <row r="4235" spans="1:41" s="504" customFormat="1" ht="12">
      <c r="A4235" s="50"/>
      <c r="B4235" s="48" t="s">
        <v>816</v>
      </c>
      <c r="C4235" s="50"/>
      <c r="D4235" s="913"/>
      <c r="F4235" s="915" t="s">
        <v>919</v>
      </c>
      <c r="G4235" s="882"/>
      <c r="H4235" s="882"/>
      <c r="I4235" s="503"/>
      <c r="J4235" s="882"/>
      <c r="K4235" s="882"/>
      <c r="L4235" s="50"/>
      <c r="M4235" s="50"/>
      <c r="N4235" s="50"/>
      <c r="O4235" s="51"/>
      <c r="P4235" s="50"/>
      <c r="Q4235" s="50"/>
      <c r="R4235" s="915" t="s">
        <v>920</v>
      </c>
      <c r="S4235" s="38"/>
      <c r="T4235" s="915" t="s">
        <v>921</v>
      </c>
    </row>
    <row r="4236" spans="1:41" s="504" customFormat="1" ht="11.4">
      <c r="O4236" s="893"/>
    </row>
    <row r="4237" spans="1:41" s="504" customFormat="1" ht="12" thickBot="1">
      <c r="A4237" s="887"/>
      <c r="B4237" s="887"/>
      <c r="C4237" s="887"/>
      <c r="D4237" s="887"/>
      <c r="E4237" s="887"/>
      <c r="F4237" s="39"/>
      <c r="G4237" s="514"/>
      <c r="H4237" s="514"/>
      <c r="I4237" s="514"/>
      <c r="J4237" s="514"/>
      <c r="K4237" s="514"/>
      <c r="L4237" s="887"/>
      <c r="M4237" s="887"/>
      <c r="N4237" s="887"/>
      <c r="O4237" s="887"/>
      <c r="P4237" s="887"/>
      <c r="Q4237" s="891"/>
      <c r="R4237" s="39"/>
      <c r="S4237" s="39"/>
      <c r="T4237" s="39"/>
      <c r="U4237" s="514"/>
      <c r="V4237" s="514"/>
      <c r="W4237" s="514"/>
      <c r="X4237" s="514"/>
      <c r="Y4237" s="514"/>
      <c r="Z4237" s="514"/>
      <c r="AA4237" s="514"/>
      <c r="AB4237" s="514"/>
      <c r="AC4237" s="514"/>
      <c r="AD4237" s="514"/>
      <c r="AE4237" s="514"/>
      <c r="AF4237" s="514"/>
      <c r="AG4237" s="514"/>
      <c r="AH4237" s="514"/>
      <c r="AI4237" s="514"/>
      <c r="AJ4237" s="514"/>
      <c r="AK4237" s="514"/>
    </row>
    <row r="4238" spans="1:41" s="504" customFormat="1" thickTop="1">
      <c r="A4238" s="906"/>
      <c r="B4238" s="906"/>
      <c r="C4238" s="907"/>
      <c r="D4238" s="907"/>
      <c r="E4238" s="906"/>
      <c r="F4238" s="906"/>
      <c r="G4238" s="906"/>
      <c r="H4238" s="906"/>
      <c r="I4238" s="906"/>
      <c r="J4238" s="906"/>
      <c r="K4238" s="906" t="s">
        <v>133</v>
      </c>
      <c r="L4238" s="906"/>
      <c r="M4238" s="906"/>
      <c r="N4238" s="906"/>
      <c r="O4238" s="908"/>
      <c r="P4238" s="906"/>
      <c r="Q4238" s="906"/>
      <c r="R4238" s="906"/>
      <c r="S4238" s="906"/>
      <c r="T4238" s="906"/>
    </row>
    <row r="4239" spans="1:41" s="504" customFormat="1" ht="12">
      <c r="A4239" s="906"/>
      <c r="B4239" s="906"/>
      <c r="C4239" s="906" t="s">
        <v>134</v>
      </c>
      <c r="D4239" s="909"/>
      <c r="E4239" s="906"/>
      <c r="F4239" s="906"/>
      <c r="G4239" s="906"/>
      <c r="H4239" s="906"/>
      <c r="I4239" s="906"/>
      <c r="J4239" s="906"/>
      <c r="K4239" s="906"/>
      <c r="L4239" s="906"/>
      <c r="M4239" s="906"/>
      <c r="N4239" s="906"/>
      <c r="O4239" s="908"/>
      <c r="P4239" s="906"/>
      <c r="Q4239" s="906"/>
      <c r="R4239" s="906"/>
      <c r="S4239" s="906"/>
      <c r="T4239" s="906"/>
    </row>
    <row r="4240" spans="1:41" s="504" customFormat="1" ht="12">
      <c r="A4240" s="906"/>
      <c r="B4240" s="906"/>
      <c r="C4240" s="906"/>
      <c r="D4240" s="909" t="s">
        <v>501</v>
      </c>
      <c r="E4240" s="906"/>
      <c r="F4240" s="906"/>
      <c r="G4240" s="906"/>
      <c r="H4240" s="906"/>
      <c r="I4240" s="906"/>
      <c r="J4240" s="906"/>
      <c r="K4240" s="906"/>
      <c r="L4240" s="906"/>
      <c r="M4240" s="906"/>
      <c r="N4240" s="906"/>
      <c r="O4240" s="908"/>
      <c r="P4240" s="906"/>
      <c r="Q4240" s="906"/>
      <c r="R4240" s="906"/>
      <c r="S4240" s="910"/>
      <c r="T4240" s="910"/>
    </row>
    <row r="4241" spans="1:41" s="3" customFormat="1" thickBot="1">
      <c r="A4241" s="911"/>
      <c r="B4241" s="907"/>
      <c r="C4241" s="907"/>
      <c r="D4241" s="907"/>
      <c r="E4241" s="907"/>
      <c r="F4241" s="907"/>
      <c r="G4241" s="907"/>
      <c r="H4241" s="907"/>
      <c r="I4241" s="907"/>
      <c r="J4241" s="907"/>
      <c r="K4241" s="907"/>
      <c r="L4241" s="907"/>
      <c r="M4241" s="907"/>
      <c r="N4241" s="907"/>
      <c r="O4241" s="912"/>
      <c r="P4241" s="907"/>
      <c r="Q4241" s="907"/>
      <c r="R4241" s="907"/>
      <c r="S4241" s="907"/>
      <c r="T4241" s="907"/>
    </row>
    <row r="4242" spans="1:41" s="504" customFormat="1" ht="12" thickTop="1">
      <c r="A4242" s="50"/>
      <c r="B4242" s="40"/>
      <c r="C4242" s="50"/>
      <c r="E4242" s="41" t="s">
        <v>136</v>
      </c>
      <c r="F4242" s="41" t="s">
        <v>137</v>
      </c>
      <c r="G4242" s="50"/>
      <c r="H4242" s="50"/>
      <c r="I4242" s="50"/>
      <c r="J4242" s="50"/>
      <c r="K4242" s="50" t="s">
        <v>138</v>
      </c>
      <c r="L4242" s="50"/>
      <c r="M4242" s="50"/>
      <c r="N4242" s="50"/>
      <c r="O4242" s="51"/>
      <c r="P4242" s="50"/>
      <c r="Q4242" s="50"/>
      <c r="R4242" s="50"/>
      <c r="S4242" s="50"/>
      <c r="T4242" s="40"/>
      <c r="AG4242" s="867" t="s">
        <v>241</v>
      </c>
      <c r="AH4242" s="867" t="s">
        <v>242</v>
      </c>
      <c r="AI4242" s="867" t="s">
        <v>243</v>
      </c>
      <c r="AJ4242" s="867" t="s">
        <v>244</v>
      </c>
      <c r="AK4242" s="867" t="s">
        <v>245</v>
      </c>
      <c r="AM4242" s="868" t="s">
        <v>254</v>
      </c>
      <c r="AN4242" s="869" t="s">
        <v>255</v>
      </c>
      <c r="AO4242" s="505" t="s">
        <v>251</v>
      </c>
    </row>
    <row r="4243" spans="1:41" s="504" customFormat="1" ht="12" customHeight="1">
      <c r="A4243" s="870">
        <v>1</v>
      </c>
      <c r="B4243" s="506" t="s">
        <v>335</v>
      </c>
      <c r="C4243" s="872"/>
      <c r="D4243" s="873" t="s">
        <v>803</v>
      </c>
      <c r="E4243" s="874">
        <f>IF(AND($A4243=0,$A$1="DIF"),0, ROUND(ROUND(($R4249*$S$2+($T4249*$T$2))/A4243,2)*$C$2,2))</f>
        <v>24912.400000000001</v>
      </c>
      <c r="F4243" s="875">
        <f>ROUND($A4243*$E4243,2)</f>
        <v>24912.400000000001</v>
      </c>
      <c r="G4243" s="876" t="s">
        <v>139</v>
      </c>
      <c r="H4243" s="877"/>
      <c r="I4243" s="878"/>
      <c r="J4243" s="877"/>
      <c r="K4243" s="877" t="s">
        <v>3</v>
      </c>
      <c r="L4243" s="879" t="s">
        <v>140</v>
      </c>
      <c r="M4243" s="879"/>
      <c r="N4243" s="879"/>
      <c r="O4243" s="879"/>
      <c r="P4243" s="879"/>
      <c r="Q4243" s="50"/>
      <c r="T4243" s="880" t="str">
        <f>IF(AND($R4249=0,$T4249=0),"0.00","mu :" &amp; ROUND($F4243/$C$2/($R4249+$T4249*$D$9),2))</f>
        <v>mu :1.22</v>
      </c>
      <c r="W4243" s="507"/>
      <c r="AG4243" s="465">
        <f>IF($E4243=0,0,ROUND($R4249*$S$2*$C$2/$A4243,2))</f>
        <v>24912.400000000001</v>
      </c>
      <c r="AH4243" s="465">
        <f>$AG4243*$A4243</f>
        <v>24912.400000000001</v>
      </c>
      <c r="AI4243" s="508">
        <f>$E4243-$AG4243</f>
        <v>0</v>
      </c>
      <c r="AJ4243" s="508">
        <f>$A4243*$AI4243</f>
        <v>0</v>
      </c>
      <c r="AK4243" s="509">
        <f>ROUND(($AG4243+$AI4243)*$A4243,2)</f>
        <v>24912.400000000001</v>
      </c>
      <c r="AM4243" s="510">
        <f>ROUND(R4249,2)</f>
        <v>20420</v>
      </c>
      <c r="AN4243" s="511">
        <f>ROUND(T4249,2)</f>
        <v>0</v>
      </c>
      <c r="AO4243" s="512">
        <f>ROUND(AM4243+AN4243,2)*A4243</f>
        <v>20420</v>
      </c>
    </row>
    <row r="4244" spans="1:41" s="504" customFormat="1" ht="24">
      <c r="A4244" s="872"/>
      <c r="B4244"/>
      <c r="C4244" s="872"/>
      <c r="D4244" s="916" t="s">
        <v>502</v>
      </c>
      <c r="E4244" s="917"/>
      <c r="F4244" s="918"/>
      <c r="G4244" s="919"/>
      <c r="H4244" s="918"/>
      <c r="I4244" s="920"/>
      <c r="J4244" s="918"/>
      <c r="K4244" s="918"/>
      <c r="L4244" s="918"/>
      <c r="M4244" s="918"/>
      <c r="N4244" s="918"/>
      <c r="O4244" s="918"/>
      <c r="P4244" s="918"/>
      <c r="Q4244" s="921"/>
      <c r="R4244" s="513"/>
      <c r="S4244" s="881"/>
      <c r="T4244" s="877"/>
    </row>
    <row r="4245" spans="1:41" s="1039" customFormat="1" ht="21">
      <c r="A4245" s="112">
        <v>1</v>
      </c>
      <c r="B4245" s="1039" t="s">
        <v>1442</v>
      </c>
      <c r="D4245" s="1047" t="s">
        <v>1447</v>
      </c>
      <c r="E4245" s="1047"/>
      <c r="F4245" s="1047"/>
      <c r="G4245" s="1040" t="s">
        <v>1443</v>
      </c>
      <c r="H4245" s="1041">
        <v>845</v>
      </c>
      <c r="I4245" s="1039" t="s">
        <v>951</v>
      </c>
      <c r="O4245" s="1042">
        <v>3</v>
      </c>
      <c r="P4245" s="1043"/>
      <c r="Q4245" s="1044">
        <v>19120</v>
      </c>
      <c r="R4245" s="1045">
        <f>$A4245*Q4245</f>
        <v>19120</v>
      </c>
      <c r="S4245" s="1044"/>
      <c r="T4245" s="1046">
        <f>$A4245*S4245*$T$1</f>
        <v>0</v>
      </c>
    </row>
    <row r="4246" spans="1:41" s="1039" customFormat="1" ht="13.2">
      <c r="A4246" s="112">
        <v>1</v>
      </c>
      <c r="B4246" s="1039" t="s">
        <v>1442</v>
      </c>
      <c r="D4246" s="1039" t="s">
        <v>1445</v>
      </c>
      <c r="G4246" s="1040" t="s">
        <v>1443</v>
      </c>
      <c r="H4246" s="1041">
        <v>845</v>
      </c>
      <c r="I4246" s="1039" t="s">
        <v>951</v>
      </c>
      <c r="O4246" s="1042">
        <v>3</v>
      </c>
      <c r="P4246" s="1043"/>
      <c r="Q4246" s="1044">
        <v>100</v>
      </c>
      <c r="R4246" s="1045">
        <f>$A4246*Q4246</f>
        <v>100</v>
      </c>
      <c r="S4246" s="1044"/>
      <c r="T4246" s="1046">
        <f>$A4246*S4246*$T$1</f>
        <v>0</v>
      </c>
    </row>
    <row r="4247" spans="1:41" s="1039" customFormat="1" ht="13.2">
      <c r="A4247" s="112">
        <v>1</v>
      </c>
      <c r="B4247" s="1039" t="s">
        <v>272</v>
      </c>
      <c r="D4247" s="1039" t="s">
        <v>1444</v>
      </c>
      <c r="F4247" s="1301" t="s">
        <v>1518</v>
      </c>
      <c r="G4247" s="1040" t="s">
        <v>983</v>
      </c>
      <c r="H4247" s="1041">
        <v>962</v>
      </c>
      <c r="I4247" s="1039" t="s">
        <v>984</v>
      </c>
      <c r="O4247" s="1042">
        <v>2</v>
      </c>
      <c r="P4247" s="1043">
        <v>38129</v>
      </c>
      <c r="Q4247" s="1044">
        <v>1200</v>
      </c>
      <c r="R4247" s="1045">
        <f>$A4247*Q4247</f>
        <v>1200</v>
      </c>
      <c r="S4247" s="1044"/>
      <c r="T4247" s="1046">
        <f>$A4247*S4247*$T$1</f>
        <v>0</v>
      </c>
    </row>
    <row r="4248" spans="1:41" s="504" customFormat="1" ht="12">
      <c r="A4248" s="882"/>
      <c r="B4248" s="882"/>
      <c r="C4248" s="882"/>
      <c r="D4248" s="882"/>
      <c r="E4248" s="882"/>
      <c r="F4248" s="877"/>
      <c r="G4248" s="882"/>
      <c r="H4248" s="882"/>
      <c r="I4248" s="503"/>
      <c r="J4248" s="882"/>
      <c r="K4248" s="882"/>
      <c r="L4248" s="882"/>
      <c r="M4248" s="882"/>
      <c r="N4248" s="882"/>
      <c r="O4248" s="882"/>
      <c r="P4248" s="882"/>
      <c r="Q4248" s="503"/>
      <c r="R4248" s="883">
        <f>$A4248*Q4248</f>
        <v>0</v>
      </c>
      <c r="S4248" s="503"/>
      <c r="T4248" s="884">
        <f>$A4248*S4248*$T$1</f>
        <v>0</v>
      </c>
    </row>
    <row r="4249" spans="1:41" s="504" customFormat="1" ht="12.6" thickBot="1">
      <c r="A4249" s="885" t="s">
        <v>142</v>
      </c>
      <c r="B4249" s="886">
        <f>(R4248+T4248)</f>
        <v>0</v>
      </c>
      <c r="C4249" s="887"/>
      <c r="D4249" s="887"/>
      <c r="E4249" s="887"/>
      <c r="F4249" s="888"/>
      <c r="G4249" s="887" t="s">
        <v>143</v>
      </c>
      <c r="H4249" s="887"/>
      <c r="I4249" s="889"/>
      <c r="J4249" s="887"/>
      <c r="K4249" s="887" t="s">
        <v>3</v>
      </c>
      <c r="L4249" s="890" t="s">
        <v>140</v>
      </c>
      <c r="M4249" s="890"/>
      <c r="N4249" s="890"/>
      <c r="O4249" s="890"/>
      <c r="P4249" s="890"/>
      <c r="Q4249" s="891"/>
      <c r="R4249" s="892">
        <f>SUM(R4244:R4248)</f>
        <v>20420</v>
      </c>
      <c r="S4249" s="887"/>
      <c r="T4249" s="892">
        <f>SUM(T4244:T4248)</f>
        <v>0</v>
      </c>
      <c r="U4249" s="514"/>
      <c r="V4249" s="514"/>
      <c r="W4249" s="514"/>
      <c r="X4249" s="514"/>
      <c r="Y4249" s="514"/>
      <c r="Z4249" s="514"/>
      <c r="AA4249" s="514"/>
      <c r="AB4249" s="514"/>
      <c r="AC4249" s="514"/>
      <c r="AD4249" s="514"/>
      <c r="AE4249" s="514"/>
      <c r="AF4249" s="514"/>
      <c r="AG4249" s="514"/>
      <c r="AH4249" s="514"/>
      <c r="AI4249" s="514"/>
      <c r="AJ4249" s="514"/>
      <c r="AK4249" s="514"/>
      <c r="AL4249" s="514"/>
      <c r="AM4249" s="514"/>
      <c r="AN4249" s="514"/>
      <c r="AO4249" s="514"/>
    </row>
    <row r="4250" spans="1:41" s="504" customFormat="1" ht="12" thickTop="1">
      <c r="A4250" s="50"/>
      <c r="B4250" s="40"/>
      <c r="C4250" s="50"/>
      <c r="E4250" s="41" t="s">
        <v>136</v>
      </c>
      <c r="F4250" s="41" t="s">
        <v>137</v>
      </c>
      <c r="G4250" s="50"/>
      <c r="H4250" s="50"/>
      <c r="I4250" s="50"/>
      <c r="J4250" s="50"/>
      <c r="K4250" s="50" t="s">
        <v>138</v>
      </c>
      <c r="L4250" s="50"/>
      <c r="M4250" s="50"/>
      <c r="N4250" s="50"/>
      <c r="O4250" s="51"/>
      <c r="P4250" s="50"/>
      <c r="Q4250" s="50"/>
      <c r="R4250" s="50"/>
      <c r="S4250" s="50"/>
      <c r="T4250" s="40"/>
      <c r="AG4250" s="867" t="s">
        <v>241</v>
      </c>
      <c r="AH4250" s="867" t="s">
        <v>242</v>
      </c>
      <c r="AI4250" s="867" t="s">
        <v>243</v>
      </c>
      <c r="AJ4250" s="867" t="s">
        <v>244</v>
      </c>
      <c r="AK4250" s="867" t="s">
        <v>245</v>
      </c>
      <c r="AM4250" s="868" t="s">
        <v>254</v>
      </c>
      <c r="AN4250" s="869" t="s">
        <v>255</v>
      </c>
      <c r="AO4250" s="505" t="s">
        <v>251</v>
      </c>
    </row>
    <row r="4251" spans="1:41" s="504" customFormat="1" ht="12" customHeight="1">
      <c r="A4251" s="870">
        <v>1</v>
      </c>
      <c r="B4251" s="506" t="s">
        <v>272</v>
      </c>
      <c r="C4251" s="872"/>
      <c r="D4251" s="873" t="s">
        <v>814</v>
      </c>
      <c r="E4251" s="874">
        <f ca="1">IF(AND($A4251=0,$A$1="DIF"),0, ROUND(ROUND(($R4260*$S$2+($T4260*$T$2))/A4251,2)*$C$2,2))</f>
        <v>1265.03</v>
      </c>
      <c r="F4251" s="875">
        <f ca="1">ROUND($A4251*$E4251,2)</f>
        <v>1265.03</v>
      </c>
      <c r="G4251" s="876" t="s">
        <v>139</v>
      </c>
      <c r="H4251" s="877"/>
      <c r="I4251" s="878"/>
      <c r="J4251" s="877"/>
      <c r="K4251" s="877" t="s">
        <v>3</v>
      </c>
      <c r="L4251" s="879" t="s">
        <v>140</v>
      </c>
      <c r="M4251" s="879"/>
      <c r="N4251" s="879"/>
      <c r="O4251" s="879"/>
      <c r="P4251" s="879"/>
      <c r="Q4251" s="50"/>
      <c r="T4251" s="880" t="str">
        <f ca="1">IF(AND($R4260=0,$T4260=0),"0.00","mu :" &amp; ROUND($F4251/$C$2/($R4260+$T4260*$D$9),2))</f>
        <v>mu :1.22</v>
      </c>
      <c r="W4251" s="507"/>
      <c r="AG4251" s="465">
        <f ca="1">IF($E4251=0,0,ROUND($R4260*$S$2*$C$2/$A4251,2))</f>
        <v>635.38</v>
      </c>
      <c r="AH4251" s="465">
        <f ca="1">$AG4251*$A4251</f>
        <v>635.38</v>
      </c>
      <c r="AI4251" s="508">
        <f ca="1">$E4251-$AG4251</f>
        <v>629.65</v>
      </c>
      <c r="AJ4251" s="508">
        <f ca="1">$A4251*$AI4251</f>
        <v>629.65</v>
      </c>
      <c r="AK4251" s="509">
        <f ca="1">ROUND(($AG4251+$AI4251)*$A4251,2)</f>
        <v>1265.03</v>
      </c>
      <c r="AM4251" s="510">
        <f ca="1">ROUND(R4260,2)</f>
        <v>520.79999999999995</v>
      </c>
      <c r="AN4251" s="511">
        <f ca="1">ROUND(T4260,2)</f>
        <v>17.899999999999999</v>
      </c>
      <c r="AO4251" s="512">
        <f ca="1">ROUND(AM4251+AN4251,2)*A4251</f>
        <v>538.70000000000005</v>
      </c>
    </row>
    <row r="4252" spans="1:41" s="504" customFormat="1" ht="36">
      <c r="A4252" s="872"/>
      <c r="B4252"/>
      <c r="C4252" s="872"/>
      <c r="D4252" s="916" t="s">
        <v>801</v>
      </c>
      <c r="E4252" s="917"/>
      <c r="F4252" s="918"/>
      <c r="G4252" s="919"/>
      <c r="H4252" s="918"/>
      <c r="I4252" s="920"/>
      <c r="J4252" s="918"/>
      <c r="K4252" s="918"/>
      <c r="L4252" s="918"/>
      <c r="M4252" s="918"/>
      <c r="N4252" s="918"/>
      <c r="O4252" s="918"/>
      <c r="P4252" s="918"/>
      <c r="Q4252" s="921"/>
      <c r="R4252" s="513"/>
      <c r="S4252" s="881"/>
      <c r="T4252" s="877"/>
    </row>
    <row r="4253" spans="1:41" s="1039" customFormat="1" ht="21">
      <c r="A4253" s="112">
        <v>1</v>
      </c>
      <c r="B4253" s="1039" t="s">
        <v>1442</v>
      </c>
      <c r="D4253" s="1047" t="s">
        <v>1446</v>
      </c>
      <c r="E4253" s="1047"/>
      <c r="F4253" s="1047"/>
      <c r="G4253" s="1040" t="s">
        <v>1443</v>
      </c>
      <c r="H4253" s="1041">
        <v>845</v>
      </c>
      <c r="I4253" s="1039" t="s">
        <v>951</v>
      </c>
      <c r="O4253" s="1042">
        <v>3</v>
      </c>
      <c r="P4253" s="1043"/>
      <c r="Q4253" s="503">
        <v>0</v>
      </c>
      <c r="R4253" s="1045">
        <f>$A4253*Q4253</f>
        <v>0</v>
      </c>
      <c r="S4253" s="1044">
        <v>8</v>
      </c>
      <c r="T4253" s="1046">
        <f>$A4253*S4253*$T$1</f>
        <v>8.4</v>
      </c>
    </row>
    <row r="4254" spans="1:41" s="1039" customFormat="1" ht="13.2">
      <c r="A4254" s="112">
        <v>100</v>
      </c>
      <c r="B4254" s="1039" t="s">
        <v>1451</v>
      </c>
      <c r="D4254" s="1039" t="s">
        <v>1449</v>
      </c>
      <c r="G4254" s="1040" t="s">
        <v>1448</v>
      </c>
      <c r="H4254" s="1041">
        <v>845</v>
      </c>
      <c r="I4254" s="1039" t="s">
        <v>951</v>
      </c>
      <c r="O4254" s="1042">
        <v>3</v>
      </c>
      <c r="P4254" s="1043">
        <v>39713</v>
      </c>
      <c r="Q4254" s="1044">
        <v>1.25</v>
      </c>
      <c r="R4254" s="1045">
        <f>$A4254*Q4254</f>
        <v>125</v>
      </c>
      <c r="S4254" s="1044"/>
      <c r="T4254" s="1046">
        <f>$A4254*S4254*$T$1</f>
        <v>0</v>
      </c>
    </row>
    <row r="4255" spans="1:41" s="1039" customFormat="1" ht="13.2">
      <c r="A4255" s="112">
        <v>300</v>
      </c>
      <c r="B4255" s="1039" t="s">
        <v>1451</v>
      </c>
      <c r="D4255" s="1039" t="s">
        <v>1450</v>
      </c>
      <c r="G4255" s="1040" t="s">
        <v>1448</v>
      </c>
      <c r="H4255" s="1041">
        <v>845</v>
      </c>
      <c r="I4255" s="1039" t="s">
        <v>951</v>
      </c>
      <c r="O4255" s="1042">
        <v>3</v>
      </c>
      <c r="P4255" s="1043">
        <v>39713</v>
      </c>
      <c r="Q4255" s="1044">
        <v>1.25</v>
      </c>
      <c r="R4255" s="1045">
        <f>$A4255*Q4255</f>
        <v>375</v>
      </c>
      <c r="S4255" s="1044"/>
      <c r="T4255" s="1046">
        <f>$A4255*S4255*$T$1</f>
        <v>0</v>
      </c>
    </row>
    <row r="4256" spans="1:41" s="997" customFormat="1" ht="13.2">
      <c r="A4256"/>
      <c r="B4256" s="1065"/>
      <c r="C4256" s="1065" t="s">
        <v>1006</v>
      </c>
      <c r="D4256" s="1065" t="str">
        <f ca="1">CELL("Address",Elec_Rates!D$75)</f>
        <v>[EL25_0662B_Brittania_Hotel_Elec_Revised_Estim_B.xlsx]Elec_Rates!$D$75</v>
      </c>
      <c r="E4256" s="1066"/>
      <c r="F4256" s="1066"/>
      <c r="G4256" s="1067" t="s">
        <v>1007</v>
      </c>
      <c r="H4256" s="1067"/>
      <c r="I4256" s="1067"/>
      <c r="J4256" s="1067"/>
      <c r="K4256" s="1068"/>
      <c r="L4256" s="1066"/>
      <c r="M4256" s="1066"/>
      <c r="N4256" s="1066"/>
      <c r="O4256" s="1069"/>
      <c r="P4256" s="1066"/>
      <c r="Q4256" s="1070"/>
      <c r="R4256" s="1071"/>
      <c r="S4256" s="1070"/>
      <c r="T4256" s="1072"/>
      <c r="U4256" s="1073"/>
    </row>
    <row r="4257" spans="1:41" s="997" customFormat="1" ht="11.4">
      <c r="A4257" s="1074">
        <v>10</v>
      </c>
      <c r="B4257" s="1075">
        <v>1</v>
      </c>
      <c r="C4257" s="1075">
        <f>$A4257*$B4257</f>
        <v>10</v>
      </c>
      <c r="D4257" s="1076" t="str">
        <f>Elec_Rates!$D$75</f>
        <v>007# 5 core x 2.5 mm2 FG16(O)M16 Cable</v>
      </c>
      <c r="E4257" s="1076"/>
      <c r="F4257" s="1076"/>
      <c r="G4257" s="1077" t="s">
        <v>1008</v>
      </c>
      <c r="H4257" s="1077"/>
      <c r="I4257" s="1077"/>
      <c r="J4257" s="1077"/>
      <c r="K4257" s="1078"/>
      <c r="L4257" s="1073"/>
      <c r="M4257" s="1073"/>
      <c r="N4257" s="1073"/>
      <c r="O4257" s="1079"/>
      <c r="P4257" s="1076"/>
      <c r="Q4257" s="1080">
        <f ca="1">$B4257*Elec_Rates!$R$75</f>
        <v>2.08</v>
      </c>
      <c r="R4257" s="1071">
        <f ca="1">$A4257*Q4257</f>
        <v>20.8</v>
      </c>
      <c r="S4257" s="1080">
        <f ca="1">$B4257*Elec_Rates!$T$75</f>
        <v>0.11</v>
      </c>
      <c r="T4257" s="1072">
        <f ca="1">$A4257*S4257</f>
        <v>1.1000000000000001</v>
      </c>
      <c r="U4257" s="1081"/>
    </row>
    <row r="4258" spans="1:41" s="1039" customFormat="1" ht="13.2">
      <c r="A4258" s="112">
        <v>1</v>
      </c>
      <c r="B4258" s="1039" t="s">
        <v>272</v>
      </c>
      <c r="D4258" s="1039" t="s">
        <v>1408</v>
      </c>
      <c r="G4258" s="1040" t="s">
        <v>1409</v>
      </c>
      <c r="H4258" s="1041">
        <v>902</v>
      </c>
      <c r="I4258" s="1039" t="s">
        <v>984</v>
      </c>
      <c r="O4258" s="1042">
        <v>3</v>
      </c>
      <c r="P4258" s="1043">
        <v>38317</v>
      </c>
      <c r="Q4258" s="1044">
        <v>0</v>
      </c>
      <c r="R4258" s="1045">
        <f>$A4258*Q4258</f>
        <v>0</v>
      </c>
      <c r="S4258" s="1044">
        <v>8</v>
      </c>
      <c r="T4258" s="1046">
        <f>$A4258*S4258*$T$1</f>
        <v>8.4</v>
      </c>
    </row>
    <row r="4259" spans="1:41" s="504" customFormat="1" ht="12">
      <c r="A4259" s="882"/>
      <c r="B4259" s="882"/>
      <c r="C4259" s="882"/>
      <c r="D4259" s="882"/>
      <c r="E4259" s="882"/>
      <c r="F4259" s="877"/>
      <c r="G4259" s="882"/>
      <c r="H4259" s="882"/>
      <c r="I4259" s="503"/>
      <c r="J4259" s="882"/>
      <c r="K4259" s="882"/>
      <c r="L4259" s="882"/>
      <c r="M4259" s="882"/>
      <c r="N4259" s="882"/>
      <c r="O4259" s="882"/>
      <c r="P4259" s="882"/>
      <c r="Q4259" s="503"/>
      <c r="R4259" s="883">
        <f>$A4259*Q4259</f>
        <v>0</v>
      </c>
      <c r="S4259" s="503"/>
      <c r="T4259" s="884">
        <f>$A4259*S4259*$T$1</f>
        <v>0</v>
      </c>
    </row>
    <row r="4260" spans="1:41" s="504" customFormat="1" ht="12.6" thickBot="1">
      <c r="A4260" s="885" t="s">
        <v>142</v>
      </c>
      <c r="B4260" s="886">
        <f>(R4259+T4259)</f>
        <v>0</v>
      </c>
      <c r="C4260" s="887"/>
      <c r="D4260" s="887"/>
      <c r="E4260" s="887"/>
      <c r="F4260" s="888"/>
      <c r="G4260" s="887" t="s">
        <v>143</v>
      </c>
      <c r="H4260" s="887"/>
      <c r="I4260" s="889"/>
      <c r="J4260" s="887"/>
      <c r="K4260" s="887" t="s">
        <v>3</v>
      </c>
      <c r="L4260" s="890" t="s">
        <v>140</v>
      </c>
      <c r="M4260" s="890"/>
      <c r="N4260" s="890"/>
      <c r="O4260" s="890"/>
      <c r="P4260" s="890"/>
      <c r="Q4260" s="891"/>
      <c r="R4260" s="892">
        <f ca="1">SUM(R4252:R4259)</f>
        <v>520.79999999999995</v>
      </c>
      <c r="S4260" s="887"/>
      <c r="T4260" s="892">
        <f ca="1">SUM(T4252:T4259)</f>
        <v>17.899999999999999</v>
      </c>
      <c r="U4260" s="514"/>
      <c r="V4260" s="514"/>
      <c r="W4260" s="514"/>
      <c r="X4260" s="514"/>
      <c r="Y4260" s="514"/>
      <c r="Z4260" s="514"/>
      <c r="AA4260" s="514"/>
      <c r="AB4260" s="514"/>
      <c r="AC4260" s="514"/>
      <c r="AD4260" s="514"/>
      <c r="AE4260" s="514"/>
      <c r="AF4260" s="514"/>
      <c r="AG4260" s="514"/>
      <c r="AH4260" s="514"/>
      <c r="AI4260" s="514"/>
      <c r="AJ4260" s="514"/>
      <c r="AK4260" s="514"/>
      <c r="AL4260" s="514"/>
      <c r="AM4260" s="514"/>
      <c r="AN4260" s="514"/>
      <c r="AO4260" s="514"/>
    </row>
    <row r="4261" spans="1:41" s="504" customFormat="1" ht="12" thickTop="1">
      <c r="A4261" s="50"/>
      <c r="B4261" s="40"/>
      <c r="C4261" s="50"/>
      <c r="E4261" s="41" t="s">
        <v>136</v>
      </c>
      <c r="F4261" s="41" t="s">
        <v>137</v>
      </c>
      <c r="G4261" s="50"/>
      <c r="H4261" s="50"/>
      <c r="I4261" s="50"/>
      <c r="J4261" s="50"/>
      <c r="K4261" s="50" t="s">
        <v>138</v>
      </c>
      <c r="L4261" s="50"/>
      <c r="M4261" s="50"/>
      <c r="N4261" s="50"/>
      <c r="O4261" s="51"/>
      <c r="P4261" s="50"/>
      <c r="Q4261" s="50"/>
      <c r="R4261" s="50"/>
      <c r="S4261" s="50"/>
      <c r="T4261" s="40"/>
      <c r="AG4261" s="867" t="s">
        <v>241</v>
      </c>
      <c r="AH4261" s="867" t="s">
        <v>242</v>
      </c>
      <c r="AI4261" s="867" t="s">
        <v>243</v>
      </c>
      <c r="AJ4261" s="867" t="s">
        <v>244</v>
      </c>
      <c r="AK4261" s="867" t="s">
        <v>245</v>
      </c>
      <c r="AM4261" s="868" t="s">
        <v>254</v>
      </c>
      <c r="AN4261" s="869" t="s">
        <v>255</v>
      </c>
      <c r="AO4261" s="505" t="s">
        <v>251</v>
      </c>
    </row>
    <row r="4262" spans="1:41" s="504" customFormat="1" ht="12" customHeight="1">
      <c r="A4262" s="870">
        <v>1</v>
      </c>
      <c r="B4262" s="506" t="s">
        <v>335</v>
      </c>
      <c r="C4262" s="872"/>
      <c r="D4262" s="873" t="s">
        <v>818</v>
      </c>
      <c r="E4262" s="874">
        <f>IF(AND($A4262=0,$A$1="DIF"),0, ROUND(ROUND(($R4266*$S$2+($T4266*$T$2))/A4262,2)*$C$2,2))</f>
        <v>1220</v>
      </c>
      <c r="F4262" s="875">
        <f>ROUND($A4262*$E4262,2)</f>
        <v>1220</v>
      </c>
      <c r="G4262" s="876" t="s">
        <v>139</v>
      </c>
      <c r="H4262" s="877"/>
      <c r="I4262" s="878"/>
      <c r="J4262" s="877"/>
      <c r="K4262" s="877" t="s">
        <v>3</v>
      </c>
      <c r="L4262" s="879" t="s">
        <v>140</v>
      </c>
      <c r="M4262" s="879"/>
      <c r="N4262" s="879"/>
      <c r="O4262" s="879"/>
      <c r="P4262" s="879"/>
      <c r="Q4262" s="50"/>
      <c r="T4262" s="880" t="str">
        <f>IF(AND($R4266=0,$T4266=0),"0.00","mu :" &amp; ROUND($F4262/$C$2/($R4266+$T4266*$D$9),2))</f>
        <v>mu :1.22</v>
      </c>
      <c r="W4262" s="507"/>
      <c r="AG4262" s="465">
        <f>IF($E4262=0,0,ROUND($R4266*$S$2*$C$2/$A4262,2))</f>
        <v>1220</v>
      </c>
      <c r="AH4262" s="465">
        <f>$AG4262*$A4262</f>
        <v>1220</v>
      </c>
      <c r="AI4262" s="508">
        <f>$E4262-$AG4262</f>
        <v>0</v>
      </c>
      <c r="AJ4262" s="508">
        <f>$A4262*$AI4262</f>
        <v>0</v>
      </c>
      <c r="AK4262" s="509">
        <f>ROUND(($AG4262+$AI4262)*$A4262,2)</f>
        <v>1220</v>
      </c>
      <c r="AM4262" s="510">
        <f>ROUND(R4266,2)</f>
        <v>1000</v>
      </c>
      <c r="AN4262" s="511">
        <f>ROUND(T4266,2)</f>
        <v>0</v>
      </c>
      <c r="AO4262" s="512">
        <f>ROUND(AM4262+AN4262,2)*A4262</f>
        <v>1000</v>
      </c>
    </row>
    <row r="4263" spans="1:41" s="504" customFormat="1" ht="13.2">
      <c r="A4263" s="872"/>
      <c r="B4263"/>
      <c r="C4263" s="872"/>
      <c r="D4263" s="873" t="s">
        <v>503</v>
      </c>
      <c r="F4263" s="877"/>
      <c r="G4263" s="3"/>
      <c r="H4263" s="877"/>
      <c r="I4263" s="878"/>
      <c r="J4263" s="877"/>
      <c r="K4263" s="877" t="s">
        <v>141</v>
      </c>
      <c r="L4263" s="877"/>
      <c r="M4263" s="877"/>
      <c r="N4263" s="877"/>
      <c r="O4263" s="877"/>
      <c r="P4263" s="877"/>
      <c r="Q4263" s="50"/>
      <c r="R4263" s="513"/>
      <c r="S4263" s="881"/>
      <c r="T4263" s="877"/>
    </row>
    <row r="4264" spans="1:41" s="1039" customFormat="1" ht="13.2">
      <c r="A4264" s="112">
        <v>1</v>
      </c>
      <c r="B4264" s="1039" t="s">
        <v>1442</v>
      </c>
      <c r="D4264" s="1039" t="s">
        <v>1452</v>
      </c>
      <c r="E4264" s="1047"/>
      <c r="F4264" s="1047"/>
      <c r="G4264" s="1040" t="s">
        <v>1443</v>
      </c>
      <c r="H4264" s="1041">
        <v>845</v>
      </c>
      <c r="I4264" s="1039" t="s">
        <v>951</v>
      </c>
      <c r="O4264" s="1042">
        <v>3</v>
      </c>
      <c r="P4264" s="1043"/>
      <c r="Q4264" s="503">
        <v>1000</v>
      </c>
      <c r="R4264" s="1045">
        <f>$A4264*Q4264</f>
        <v>1000</v>
      </c>
      <c r="S4264" s="1044"/>
      <c r="T4264" s="1046">
        <f>$A4264*S4264*$T$1</f>
        <v>0</v>
      </c>
    </row>
    <row r="4265" spans="1:41" s="504" customFormat="1" ht="12">
      <c r="A4265" s="882"/>
      <c r="B4265" s="882"/>
      <c r="C4265" s="882"/>
      <c r="D4265" s="882"/>
      <c r="E4265" s="882"/>
      <c r="F4265" s="877"/>
      <c r="G4265" s="882"/>
      <c r="H4265" s="882"/>
      <c r="I4265" s="503"/>
      <c r="J4265" s="882"/>
      <c r="K4265" s="882"/>
      <c r="L4265" s="882"/>
      <c r="M4265" s="882"/>
      <c r="N4265" s="882"/>
      <c r="O4265" s="882"/>
      <c r="P4265" s="882"/>
      <c r="Q4265" s="503"/>
      <c r="R4265" s="883">
        <f>$A4265*Q4265</f>
        <v>0</v>
      </c>
      <c r="S4265" s="503"/>
      <c r="T4265" s="884">
        <f>$A4265*S4265*$T$1</f>
        <v>0</v>
      </c>
    </row>
    <row r="4266" spans="1:41" s="504" customFormat="1" ht="12.6" thickBot="1">
      <c r="A4266" s="885" t="s">
        <v>142</v>
      </c>
      <c r="B4266" s="886">
        <f>(R4265+T4265)</f>
        <v>0</v>
      </c>
      <c r="C4266" s="887"/>
      <c r="D4266" s="887"/>
      <c r="E4266" s="887"/>
      <c r="F4266" s="888"/>
      <c r="G4266" s="887" t="s">
        <v>143</v>
      </c>
      <c r="H4266" s="887"/>
      <c r="I4266" s="889"/>
      <c r="J4266" s="887"/>
      <c r="K4266" s="887" t="s">
        <v>3</v>
      </c>
      <c r="L4266" s="890" t="s">
        <v>140</v>
      </c>
      <c r="M4266" s="890"/>
      <c r="N4266" s="890"/>
      <c r="O4266" s="890"/>
      <c r="P4266" s="890"/>
      <c r="Q4266" s="891"/>
      <c r="R4266" s="892">
        <f>SUM(R4263:R4265)</f>
        <v>1000</v>
      </c>
      <c r="S4266" s="887"/>
      <c r="T4266" s="892">
        <f>SUM(T4263:T4265)</f>
        <v>0</v>
      </c>
      <c r="U4266" s="514"/>
      <c r="V4266" s="514"/>
      <c r="W4266" s="514"/>
      <c r="X4266" s="514"/>
      <c r="Y4266" s="514"/>
      <c r="Z4266" s="514"/>
      <c r="AA4266" s="514"/>
      <c r="AB4266" s="514"/>
      <c r="AC4266" s="514"/>
      <c r="AD4266" s="514"/>
      <c r="AE4266" s="514"/>
      <c r="AF4266" s="514"/>
      <c r="AG4266" s="514"/>
      <c r="AH4266" s="514"/>
      <c r="AI4266" s="514"/>
      <c r="AJ4266" s="514"/>
      <c r="AK4266" s="514"/>
      <c r="AL4266" s="514"/>
      <c r="AM4266" s="514"/>
      <c r="AN4266" s="514"/>
      <c r="AO4266" s="514"/>
    </row>
    <row r="4267" spans="1:41" s="504" customFormat="1" ht="12" thickTop="1">
      <c r="A4267" s="50"/>
      <c r="B4267" s="40"/>
      <c r="C4267" s="50"/>
      <c r="E4267" s="41" t="s">
        <v>136</v>
      </c>
      <c r="F4267" s="41" t="s">
        <v>137</v>
      </c>
      <c r="G4267" s="50"/>
      <c r="H4267" s="50"/>
      <c r="I4267" s="50"/>
      <c r="J4267" s="50"/>
      <c r="K4267" s="50" t="s">
        <v>138</v>
      </c>
      <c r="L4267" s="50"/>
      <c r="M4267" s="50"/>
      <c r="N4267" s="50"/>
      <c r="O4267" s="51"/>
      <c r="P4267" s="50"/>
      <c r="Q4267" s="50"/>
      <c r="R4267" s="50"/>
      <c r="S4267" s="50"/>
      <c r="T4267" s="40"/>
      <c r="AG4267" s="867" t="s">
        <v>241</v>
      </c>
      <c r="AH4267" s="867" t="s">
        <v>242</v>
      </c>
      <c r="AI4267" s="867" t="s">
        <v>243</v>
      </c>
      <c r="AJ4267" s="867" t="s">
        <v>244</v>
      </c>
      <c r="AK4267" s="867" t="s">
        <v>245</v>
      </c>
      <c r="AM4267" s="868" t="s">
        <v>254</v>
      </c>
      <c r="AN4267" s="869" t="s">
        <v>255</v>
      </c>
      <c r="AO4267" s="505" t="s">
        <v>251</v>
      </c>
    </row>
    <row r="4268" spans="1:41" s="504" customFormat="1" ht="12" customHeight="1">
      <c r="A4268" s="870">
        <v>1</v>
      </c>
      <c r="B4268" s="506" t="s">
        <v>335</v>
      </c>
      <c r="C4268" s="872"/>
      <c r="D4268" s="873" t="s">
        <v>836</v>
      </c>
      <c r="E4268" s="874">
        <f>IF(AND($A4268=0,$A$1="DIF"),0, ROUND(ROUND(($R4275*$S$2+($T4275*$T$2))/A4268,2)*$C$2,2))</f>
        <v>161.74</v>
      </c>
      <c r="F4268" s="875">
        <f>ROUND($A4268*$E4268,2)</f>
        <v>161.74</v>
      </c>
      <c r="G4268" s="876" t="s">
        <v>139</v>
      </c>
      <c r="H4268" s="877"/>
      <c r="I4268" s="878"/>
      <c r="J4268" s="877"/>
      <c r="K4268" s="877" t="s">
        <v>3</v>
      </c>
      <c r="L4268" s="879" t="s">
        <v>140</v>
      </c>
      <c r="M4268" s="879"/>
      <c r="N4268" s="879"/>
      <c r="O4268" s="879"/>
      <c r="P4268" s="879"/>
      <c r="Q4268" s="50"/>
      <c r="T4268" s="880" t="str">
        <f>IF(AND($R4275=0,$T4275=0),"0.00","mu :" &amp; ROUND($F4268/$C$2/($R4275+$T4275*$D$9),2))</f>
        <v>mu :1.22</v>
      </c>
      <c r="W4268" s="507"/>
      <c r="AG4268" s="465">
        <f>IF($E4268=0,0,ROUND($R4275*$S$2*$C$2/$A4268,2))</f>
        <v>12.34</v>
      </c>
      <c r="AH4268" s="465">
        <f>$AG4268*$A4268</f>
        <v>12.34</v>
      </c>
      <c r="AI4268" s="508">
        <f>$E4268-$AG4268</f>
        <v>149.4</v>
      </c>
      <c r="AJ4268" s="508">
        <f>$A4268*$AI4268</f>
        <v>149.4</v>
      </c>
      <c r="AK4268" s="509">
        <f>ROUND(($AG4268+$AI4268)*$A4268,2)</f>
        <v>161.74</v>
      </c>
      <c r="AM4268" s="510">
        <f>ROUND(R4275,2)</f>
        <v>10.119999999999999</v>
      </c>
      <c r="AN4268" s="511">
        <f>ROUND(T4275,2)</f>
        <v>4.25</v>
      </c>
      <c r="AO4268" s="512">
        <f>ROUND(AM4268+AN4268,2)*A4268</f>
        <v>14.37</v>
      </c>
    </row>
    <row r="4269" spans="1:41" s="504" customFormat="1" ht="13.2">
      <c r="A4269" s="872"/>
      <c r="B4269"/>
      <c r="C4269" s="872"/>
      <c r="D4269" s="873" t="s">
        <v>504</v>
      </c>
      <c r="F4269" s="877"/>
      <c r="G4269" s="3"/>
      <c r="H4269" s="877"/>
      <c r="I4269" s="878"/>
      <c r="J4269" s="877"/>
      <c r="K4269" s="877" t="s">
        <v>141</v>
      </c>
      <c r="L4269" s="877"/>
      <c r="M4269" s="877"/>
      <c r="N4269" s="877"/>
      <c r="O4269" s="877"/>
      <c r="P4269" s="877"/>
      <c r="Q4269" s="50"/>
      <c r="R4269" s="513"/>
      <c r="S4269" s="881"/>
      <c r="T4269" s="877"/>
    </row>
    <row r="4270" spans="1:41" s="1039" customFormat="1" ht="13.2">
      <c r="A4270" s="112">
        <v>1</v>
      </c>
      <c r="B4270" s="1039" t="s">
        <v>1442</v>
      </c>
      <c r="D4270" s="1039" t="s">
        <v>1453</v>
      </c>
      <c r="E4270" s="1047"/>
      <c r="F4270" s="1047"/>
      <c r="G4270" s="1040" t="s">
        <v>1443</v>
      </c>
      <c r="H4270" s="1041">
        <v>845</v>
      </c>
      <c r="I4270" s="1039" t="s">
        <v>951</v>
      </c>
      <c r="O4270" s="1042">
        <v>3</v>
      </c>
      <c r="P4270" s="1043"/>
      <c r="Q4270" s="503">
        <v>0</v>
      </c>
      <c r="R4270" s="1045">
        <f>$A4270*Q4270</f>
        <v>0</v>
      </c>
      <c r="S4270" s="1044">
        <v>4</v>
      </c>
      <c r="T4270" s="1046">
        <f>$A4270*S4270*$T$1</f>
        <v>4.2</v>
      </c>
    </row>
    <row r="4271" spans="1:41" s="504" customFormat="1" ht="13.2">
      <c r="A4271" s="112">
        <v>1</v>
      </c>
      <c r="B4271" s="1039" t="s">
        <v>949</v>
      </c>
      <c r="C4271" s="1039"/>
      <c r="D4271" s="1039" t="s">
        <v>957</v>
      </c>
      <c r="E4271" s="1039"/>
      <c r="F4271" s="1039"/>
      <c r="G4271" s="1040" t="s">
        <v>958</v>
      </c>
      <c r="H4271" s="1041">
        <v>875</v>
      </c>
      <c r="I4271" s="1039" t="s">
        <v>951</v>
      </c>
      <c r="J4271" s="1039"/>
      <c r="K4271" s="882"/>
      <c r="L4271" s="1039"/>
      <c r="M4271" s="1039"/>
      <c r="N4271" s="1039"/>
      <c r="O4271" s="1042">
        <v>3</v>
      </c>
      <c r="P4271" s="1043">
        <v>34820</v>
      </c>
      <c r="Q4271" s="1044">
        <f>0.9 *(5.82)</f>
        <v>5.2380000000000004</v>
      </c>
      <c r="R4271" s="883">
        <f>$A4271*Q4271</f>
        <v>5.2380000000000004</v>
      </c>
      <c r="S4271" s="1044">
        <f>0.9 *(0.05)</f>
        <v>4.5000000000000005E-2</v>
      </c>
      <c r="T4271" s="1046">
        <f>$A4271*S4271*$T$1</f>
        <v>4.7250000000000007E-2</v>
      </c>
    </row>
    <row r="4272" spans="1:41" s="504" customFormat="1" ht="13.2">
      <c r="A4272" s="112">
        <v>1</v>
      </c>
      <c r="B4272" s="1039" t="s">
        <v>949</v>
      </c>
      <c r="C4272" s="1039"/>
      <c r="D4272" s="1039" t="s">
        <v>1239</v>
      </c>
      <c r="E4272" s="1039"/>
      <c r="F4272" s="1039"/>
      <c r="G4272" s="1040" t="s">
        <v>1240</v>
      </c>
      <c r="H4272" s="1041">
        <v>880</v>
      </c>
      <c r="I4272" s="1039" t="s">
        <v>951</v>
      </c>
      <c r="J4272" s="1039"/>
      <c r="K4272" s="882"/>
      <c r="L4272" s="1039"/>
      <c r="M4272" s="1039"/>
      <c r="N4272" s="1039"/>
      <c r="O4272" s="1042">
        <v>3</v>
      </c>
      <c r="P4272" s="1043">
        <v>35443</v>
      </c>
      <c r="Q4272" s="1044">
        <f>0.9 *(4.66)</f>
        <v>4.194</v>
      </c>
      <c r="R4272" s="883">
        <f>$A4272*Q4272</f>
        <v>4.194</v>
      </c>
      <c r="S4272" s="1044"/>
      <c r="T4272" s="1046">
        <f>$A4272*S4272*$T$1</f>
        <v>0</v>
      </c>
    </row>
    <row r="4273" spans="1:41" s="504" customFormat="1" ht="13.2">
      <c r="A4273" s="112">
        <v>4</v>
      </c>
      <c r="B4273" s="1039" t="s">
        <v>949</v>
      </c>
      <c r="C4273" s="1039"/>
      <c r="D4273" s="1039" t="s">
        <v>1241</v>
      </c>
      <c r="E4273" s="1039"/>
      <c r="F4273" s="1039"/>
      <c r="G4273" s="1040" t="s">
        <v>1242</v>
      </c>
      <c r="H4273" s="1041">
        <v>875</v>
      </c>
      <c r="I4273" s="1039" t="s">
        <v>1243</v>
      </c>
      <c r="J4273" s="1039" t="s">
        <v>1244</v>
      </c>
      <c r="K4273" s="882"/>
      <c r="L4273" s="1039"/>
      <c r="M4273" s="1039"/>
      <c r="N4273" s="1039"/>
      <c r="O4273" s="1042">
        <v>1</v>
      </c>
      <c r="P4273" s="1043">
        <v>36175</v>
      </c>
      <c r="Q4273" s="1044">
        <f>0.9 *(0.19)</f>
        <v>0.17100000000000001</v>
      </c>
      <c r="R4273" s="883">
        <f>$A4273*Q4273</f>
        <v>0.68400000000000005</v>
      </c>
      <c r="S4273" s="1044"/>
      <c r="T4273" s="1046">
        <f>$A4273*S4273*$T$1</f>
        <v>0</v>
      </c>
    </row>
    <row r="4274" spans="1:41" s="504" customFormat="1" ht="12">
      <c r="A4274" s="882"/>
      <c r="B4274" s="882"/>
      <c r="C4274" s="882"/>
      <c r="D4274" s="882"/>
      <c r="E4274" s="882"/>
      <c r="F4274" s="877"/>
      <c r="G4274" s="882"/>
      <c r="H4274" s="882"/>
      <c r="I4274" s="503"/>
      <c r="J4274" s="882"/>
      <c r="K4274" s="882"/>
      <c r="L4274" s="882"/>
      <c r="M4274" s="882"/>
      <c r="N4274" s="882"/>
      <c r="O4274" s="882"/>
      <c r="P4274" s="882"/>
      <c r="Q4274" s="503"/>
      <c r="R4274" s="883">
        <f>$A4274*Q4274</f>
        <v>0</v>
      </c>
      <c r="S4274" s="503"/>
      <c r="T4274" s="884">
        <f>$A4274*S4274*$T$1</f>
        <v>0</v>
      </c>
    </row>
    <row r="4275" spans="1:41" s="504" customFormat="1" ht="12.6" thickBot="1">
      <c r="A4275" s="885" t="s">
        <v>142</v>
      </c>
      <c r="B4275" s="886">
        <f>(R4274+T4274)</f>
        <v>0</v>
      </c>
      <c r="C4275" s="887"/>
      <c r="D4275" s="887"/>
      <c r="E4275" s="887"/>
      <c r="F4275" s="888"/>
      <c r="G4275" s="887" t="s">
        <v>143</v>
      </c>
      <c r="H4275" s="887"/>
      <c r="I4275" s="889"/>
      <c r="J4275" s="887"/>
      <c r="K4275" s="887" t="s">
        <v>3</v>
      </c>
      <c r="L4275" s="890" t="s">
        <v>140</v>
      </c>
      <c r="M4275" s="890"/>
      <c r="N4275" s="890"/>
      <c r="O4275" s="890"/>
      <c r="P4275" s="890"/>
      <c r="Q4275" s="891"/>
      <c r="R4275" s="892">
        <f>SUM(R4269:R4274)</f>
        <v>10.116</v>
      </c>
      <c r="S4275" s="887"/>
      <c r="T4275" s="892">
        <f>SUM(T4269:T4274)</f>
        <v>4.2472500000000002</v>
      </c>
      <c r="U4275" s="514"/>
      <c r="V4275" s="514"/>
      <c r="W4275" s="514"/>
      <c r="X4275" s="514"/>
      <c r="Y4275" s="514"/>
      <c r="Z4275" s="514"/>
      <c r="AA4275" s="514"/>
      <c r="AB4275" s="514"/>
      <c r="AC4275" s="514"/>
      <c r="AD4275" s="514"/>
      <c r="AE4275" s="514"/>
      <c r="AF4275" s="514"/>
      <c r="AG4275" s="514"/>
      <c r="AH4275" s="514"/>
      <c r="AI4275" s="514"/>
      <c r="AJ4275" s="514"/>
      <c r="AK4275" s="514"/>
      <c r="AL4275" s="514"/>
      <c r="AM4275" s="514"/>
      <c r="AN4275" s="514"/>
      <c r="AO4275" s="514"/>
    </row>
    <row r="4276" spans="1:41" s="504" customFormat="1" ht="12" thickTop="1">
      <c r="A4276" s="47" t="s">
        <v>145</v>
      </c>
      <c r="D4276" s="13"/>
      <c r="E4276" s="41"/>
      <c r="O4276" s="893"/>
    </row>
    <row r="4277" spans="1:41" s="504" customFormat="1" ht="13.2">
      <c r="B4277" s="3"/>
      <c r="O4277" s="893"/>
    </row>
    <row r="4278" spans="1:41" s="504" customFormat="1" ht="12">
      <c r="B4278" s="894">
        <f ca="1">$F4278/$C$2-($R4278*$S$2+$T4278*$T$2)</f>
        <v>-4.9442849995102733E-3</v>
      </c>
      <c r="D4278" s="895" t="s">
        <v>817</v>
      </c>
      <c r="E4278" s="896"/>
      <c r="F4278" s="897">
        <f ca="1">SUMIF($L4232:$L4276,"ITEM",F4232:F4276)</f>
        <v>27559.170000000002</v>
      </c>
      <c r="G4278" s="882"/>
      <c r="H4278" s="882"/>
      <c r="I4278" s="503"/>
      <c r="J4278" s="882"/>
      <c r="K4278" s="882"/>
      <c r="L4278" s="879" t="s">
        <v>154</v>
      </c>
      <c r="M4278" s="879"/>
      <c r="N4278" s="879"/>
      <c r="O4278" s="879"/>
      <c r="P4278" s="879"/>
      <c r="R4278" s="897">
        <f ca="1">SUMIF($L4232:$L4276,"ITEM",R4232:R4276)</f>
        <v>21950.916000000001</v>
      </c>
      <c r="S4278" s="898"/>
      <c r="T4278" s="897">
        <f ca="1">SUMIF($L4232:$L4276,"ITEM",T4232:T4276)</f>
        <v>22.14725</v>
      </c>
    </row>
    <row r="4279" spans="1:41" s="504" customFormat="1" ht="13.2">
      <c r="A4279" s="50"/>
      <c r="B4279" s="48" t="s">
        <v>816</v>
      </c>
      <c r="C4279" s="50"/>
      <c r="D4279" s="3"/>
      <c r="F4279" s="899" t="s">
        <v>155</v>
      </c>
      <c r="G4279" s="882"/>
      <c r="H4279" s="882"/>
      <c r="I4279" s="503"/>
      <c r="J4279" s="882"/>
      <c r="K4279" s="882"/>
      <c r="L4279" s="882"/>
      <c r="M4279" s="882"/>
      <c r="N4279" s="882"/>
      <c r="O4279" s="882"/>
      <c r="P4279" s="882"/>
      <c r="Q4279" s="900"/>
      <c r="R4279" s="899" t="s">
        <v>156</v>
      </c>
      <c r="S4279" s="38"/>
      <c r="T4279" s="899" t="s">
        <v>157</v>
      </c>
    </row>
    <row r="4280" spans="1:41" s="504" customFormat="1" ht="13.2">
      <c r="A4280" s="882"/>
      <c r="B4280" s="3"/>
      <c r="C4280" s="882"/>
      <c r="D4280" s="3"/>
      <c r="E4280" s="3"/>
      <c r="G4280" s="3"/>
      <c r="H4280" s="3"/>
      <c r="I4280" s="3"/>
      <c r="J4280" s="3"/>
      <c r="K4280" s="3"/>
      <c r="L4280" s="3"/>
      <c r="M4280" s="3"/>
      <c r="N4280" s="3"/>
      <c r="O4280" s="103"/>
      <c r="P4280" s="3"/>
      <c r="Q4280" s="3"/>
      <c r="R4280" s="3"/>
      <c r="S4280" s="3"/>
      <c r="T4280" s="3"/>
    </row>
    <row r="4281" spans="1:41" s="504" customFormat="1" ht="12" thickBot="1">
      <c r="A4281" s="514"/>
      <c r="B4281" s="887"/>
      <c r="C4281" s="887"/>
      <c r="D4281" s="514"/>
      <c r="E4281" s="39"/>
      <c r="F4281" s="901"/>
      <c r="G4281" s="887"/>
      <c r="H4281" s="887"/>
      <c r="I4281" s="889"/>
      <c r="J4281" s="887"/>
      <c r="K4281" s="887"/>
      <c r="L4281" s="890"/>
      <c r="M4281" s="890"/>
      <c r="N4281" s="890"/>
      <c r="O4281" s="890"/>
      <c r="P4281" s="890"/>
      <c r="Q4281" s="891"/>
      <c r="R4281" s="901"/>
      <c r="S4281" s="902"/>
      <c r="T4281" s="901"/>
      <c r="U4281" s="514"/>
      <c r="V4281" s="514"/>
      <c r="W4281" s="514"/>
      <c r="X4281" s="514"/>
      <c r="Y4281" s="514"/>
      <c r="Z4281" s="514"/>
      <c r="AA4281" s="514"/>
      <c r="AB4281" s="514"/>
      <c r="AC4281" s="514"/>
      <c r="AD4281" s="514"/>
      <c r="AE4281" s="514"/>
      <c r="AF4281" s="514"/>
      <c r="AG4281" s="514"/>
      <c r="AH4281" s="514"/>
      <c r="AI4281" s="514"/>
      <c r="AJ4281" s="514"/>
      <c r="AK4281" s="514"/>
    </row>
    <row r="4282" spans="1:41" s="504" customFormat="1" thickTop="1">
      <c r="A4282" s="47" t="s">
        <v>145</v>
      </c>
      <c r="B4282" s="3"/>
      <c r="C4282" s="50"/>
      <c r="D4282" s="50"/>
      <c r="E4282" s="50"/>
      <c r="F4282" s="50"/>
      <c r="G4282" s="50"/>
      <c r="H4282" s="50"/>
      <c r="I4282" s="50"/>
      <c r="J4282" s="50"/>
      <c r="K4282" s="50"/>
      <c r="L4282" s="50"/>
      <c r="M4282" s="50"/>
      <c r="N4282" s="50"/>
      <c r="O4282" s="51"/>
      <c r="P4282" s="50"/>
      <c r="Q4282" s="50"/>
      <c r="R4282" s="50"/>
      <c r="S4282" s="50"/>
      <c r="T4282" s="50"/>
    </row>
    <row r="4283" spans="1:41" s="504" customFormat="1" ht="13.2">
      <c r="A4283" s="50"/>
      <c r="B4283" s="3"/>
      <c r="C4283" s="3"/>
      <c r="E4283" s="3"/>
      <c r="F4283" s="3"/>
      <c r="G4283" s="3"/>
      <c r="H4283" s="3"/>
      <c r="I4283" s="3"/>
      <c r="J4283" s="3"/>
      <c r="K4283" s="3"/>
      <c r="L4283" s="3"/>
      <c r="M4283" s="3"/>
      <c r="N4283" s="3"/>
      <c r="O4283" s="103"/>
      <c r="P4283" s="3"/>
      <c r="Q4283" s="3"/>
      <c r="R4283" s="3"/>
      <c r="S4283" s="3"/>
      <c r="T4283" s="3"/>
    </row>
    <row r="4284" spans="1:41" s="504" customFormat="1" ht="12">
      <c r="A4284" s="50"/>
      <c r="B4284" s="894">
        <f ca="1">$F4284/$C$2-($R4284*$S$2+$T4284*$T$2)</f>
        <v>-4.9442849995102733E-3</v>
      </c>
      <c r="C4284" s="50"/>
      <c r="D4284" s="913" t="s">
        <v>922</v>
      </c>
      <c r="E4284" s="896"/>
      <c r="F4284" s="914">
        <f ca="1">SUMIF($L4238:$L4282,"PAGE",F4238:F4282)</f>
        <v>27559.170000000002</v>
      </c>
      <c r="G4284" s="882"/>
      <c r="H4284" s="882"/>
      <c r="I4284" s="503"/>
      <c r="J4284" s="882"/>
      <c r="K4284" s="882"/>
      <c r="L4284" s="117" t="s">
        <v>918</v>
      </c>
      <c r="M4284" s="117"/>
      <c r="N4284" s="117"/>
      <c r="O4284" s="118"/>
      <c r="P4284" s="117"/>
      <c r="Q4284" s="50"/>
      <c r="R4284" s="914">
        <f ca="1">SUMIF($L4238:$L4282,"PAGE",R4238:R4282)</f>
        <v>21950.916000000001</v>
      </c>
      <c r="S4284" s="50"/>
      <c r="T4284" s="914">
        <f ca="1">SUMIF($L4238:$L4282,"PAGE",T4238:T4282)</f>
        <v>22.14725</v>
      </c>
    </row>
    <row r="4285" spans="1:41" s="504" customFormat="1" ht="12">
      <c r="A4285" s="50"/>
      <c r="B4285" s="48" t="s">
        <v>816</v>
      </c>
      <c r="C4285" s="50"/>
      <c r="D4285" s="913"/>
      <c r="F4285" s="915" t="s">
        <v>919</v>
      </c>
      <c r="G4285" s="882"/>
      <c r="H4285" s="882"/>
      <c r="I4285" s="503"/>
      <c r="J4285" s="882"/>
      <c r="K4285" s="882"/>
      <c r="L4285" s="50"/>
      <c r="M4285" s="50"/>
      <c r="N4285" s="50"/>
      <c r="O4285" s="51"/>
      <c r="P4285" s="50"/>
      <c r="Q4285" s="50"/>
      <c r="R4285" s="915" t="s">
        <v>920</v>
      </c>
      <c r="S4285" s="38"/>
      <c r="T4285" s="915" t="s">
        <v>921</v>
      </c>
    </row>
    <row r="4286" spans="1:41" s="504" customFormat="1" ht="11.4">
      <c r="O4286" s="893"/>
    </row>
    <row r="4287" spans="1:41" s="504" customFormat="1" ht="12" thickBot="1">
      <c r="A4287" s="887"/>
      <c r="B4287" s="887"/>
      <c r="C4287" s="887"/>
      <c r="D4287" s="887"/>
      <c r="E4287" s="887"/>
      <c r="F4287" s="39"/>
      <c r="G4287" s="514"/>
      <c r="H4287" s="514"/>
      <c r="I4287" s="514"/>
      <c r="J4287" s="514"/>
      <c r="K4287" s="514"/>
      <c r="L4287" s="887"/>
      <c r="M4287" s="887"/>
      <c r="N4287" s="887"/>
      <c r="O4287" s="887"/>
      <c r="P4287" s="887"/>
      <c r="Q4287" s="891"/>
      <c r="R4287" s="39"/>
      <c r="S4287" s="39"/>
      <c r="T4287" s="39"/>
      <c r="U4287" s="514"/>
      <c r="V4287" s="514"/>
      <c r="W4287" s="514"/>
      <c r="X4287" s="514"/>
      <c r="Y4287" s="514"/>
      <c r="Z4287" s="514"/>
      <c r="AA4287" s="514"/>
      <c r="AB4287" s="514"/>
      <c r="AC4287" s="514"/>
      <c r="AD4287" s="514"/>
      <c r="AE4287" s="514"/>
      <c r="AF4287" s="514"/>
      <c r="AG4287" s="514"/>
      <c r="AH4287" s="514"/>
      <c r="AI4287" s="514"/>
      <c r="AJ4287" s="514"/>
      <c r="AK4287" s="514"/>
    </row>
    <row r="4288" spans="1:41" s="504" customFormat="1" thickTop="1">
      <c r="A4288" s="906"/>
      <c r="B4288" s="906"/>
      <c r="C4288" s="907"/>
      <c r="D4288" s="907"/>
      <c r="E4288" s="906"/>
      <c r="F4288" s="906"/>
      <c r="G4288" s="906"/>
      <c r="H4288" s="906"/>
      <c r="I4288" s="906"/>
      <c r="J4288" s="906"/>
      <c r="K4288" s="906" t="s">
        <v>133</v>
      </c>
      <c r="L4288" s="906"/>
      <c r="M4288" s="906"/>
      <c r="N4288" s="906"/>
      <c r="O4288" s="908"/>
      <c r="P4288" s="906"/>
      <c r="Q4288" s="906"/>
      <c r="R4288" s="906"/>
      <c r="S4288" s="906"/>
      <c r="T4288" s="906"/>
    </row>
    <row r="4289" spans="1:41" s="504" customFormat="1" ht="12">
      <c r="A4289" s="906"/>
      <c r="B4289" s="906"/>
      <c r="C4289" s="906" t="s">
        <v>134</v>
      </c>
      <c r="D4289" s="909"/>
      <c r="E4289" s="906"/>
      <c r="F4289" s="906"/>
      <c r="G4289" s="906"/>
      <c r="H4289" s="906"/>
      <c r="I4289" s="906"/>
      <c r="J4289" s="906"/>
      <c r="K4289" s="906"/>
      <c r="L4289" s="906"/>
      <c r="M4289" s="906"/>
      <c r="N4289" s="906"/>
      <c r="O4289" s="908"/>
      <c r="P4289" s="906"/>
      <c r="Q4289" s="906"/>
      <c r="R4289" s="906"/>
      <c r="S4289" s="906"/>
      <c r="T4289" s="906"/>
    </row>
    <row r="4290" spans="1:41" s="504" customFormat="1" ht="12">
      <c r="A4290" s="906"/>
      <c r="B4290" s="906"/>
      <c r="C4290" s="906"/>
      <c r="D4290" s="909" t="s">
        <v>505</v>
      </c>
      <c r="E4290" s="906"/>
      <c r="F4290" s="906"/>
      <c r="G4290" s="906"/>
      <c r="H4290" s="906"/>
      <c r="I4290" s="906"/>
      <c r="J4290" s="906"/>
      <c r="K4290" s="906"/>
      <c r="L4290" s="906"/>
      <c r="M4290" s="906"/>
      <c r="N4290" s="906"/>
      <c r="O4290" s="908"/>
      <c r="P4290" s="906"/>
      <c r="Q4290" s="906"/>
      <c r="R4290" s="906"/>
      <c r="S4290" s="910"/>
      <c r="T4290" s="910"/>
    </row>
    <row r="4291" spans="1:41" s="3" customFormat="1" thickBot="1">
      <c r="A4291" s="911"/>
      <c r="B4291" s="907"/>
      <c r="C4291" s="907"/>
      <c r="D4291" s="907"/>
      <c r="E4291" s="907"/>
      <c r="F4291" s="907"/>
      <c r="G4291" s="907"/>
      <c r="H4291" s="907"/>
      <c r="I4291" s="907"/>
      <c r="J4291" s="907"/>
      <c r="K4291" s="907"/>
      <c r="L4291" s="907"/>
      <c r="M4291" s="907"/>
      <c r="N4291" s="907"/>
      <c r="O4291" s="912"/>
      <c r="P4291" s="907"/>
      <c r="Q4291" s="907"/>
      <c r="R4291" s="907"/>
      <c r="S4291" s="907"/>
      <c r="T4291" s="907"/>
    </row>
    <row r="4292" spans="1:41" s="504" customFormat="1" ht="12" thickTop="1">
      <c r="A4292" s="50"/>
      <c r="B4292" s="40"/>
      <c r="C4292" s="50"/>
      <c r="E4292" s="41" t="s">
        <v>136</v>
      </c>
      <c r="F4292" s="41" t="s">
        <v>137</v>
      </c>
      <c r="G4292" s="50"/>
      <c r="H4292" s="50"/>
      <c r="I4292" s="50"/>
      <c r="J4292" s="50"/>
      <c r="K4292" s="50" t="s">
        <v>138</v>
      </c>
      <c r="L4292" s="50"/>
      <c r="M4292" s="50"/>
      <c r="N4292" s="50"/>
      <c r="O4292" s="51"/>
      <c r="P4292" s="50"/>
      <c r="Q4292" s="50"/>
      <c r="R4292" s="50"/>
      <c r="S4292" s="50"/>
      <c r="T4292" s="40"/>
      <c r="AG4292" s="867" t="s">
        <v>241</v>
      </c>
      <c r="AH4292" s="867" t="s">
        <v>242</v>
      </c>
      <c r="AI4292" s="867" t="s">
        <v>243</v>
      </c>
      <c r="AJ4292" s="867" t="s">
        <v>244</v>
      </c>
      <c r="AK4292" s="867" t="s">
        <v>245</v>
      </c>
      <c r="AM4292" s="868" t="s">
        <v>254</v>
      </c>
      <c r="AN4292" s="869" t="s">
        <v>255</v>
      </c>
      <c r="AO4292" s="505" t="s">
        <v>251</v>
      </c>
    </row>
    <row r="4293" spans="1:41" s="504" customFormat="1" ht="12" customHeight="1">
      <c r="A4293" s="870">
        <v>1</v>
      </c>
      <c r="B4293" s="506" t="s">
        <v>272</v>
      </c>
      <c r="C4293" s="872"/>
      <c r="D4293" s="873" t="s">
        <v>803</v>
      </c>
      <c r="E4293" s="874">
        <f>IF(AND($A4293=0,$A$1="DIF"),0, ROUND(ROUND(($R4304*$S$2+($T4304*$T$2))/A4293,2)*$C$2,2))</f>
        <v>2293.1799999999998</v>
      </c>
      <c r="F4293" s="875">
        <f>ROUND($A4293*$E4293,2)</f>
        <v>2293.1799999999998</v>
      </c>
      <c r="G4293" s="876" t="s">
        <v>139</v>
      </c>
      <c r="H4293" s="877"/>
      <c r="I4293" s="878"/>
      <c r="J4293" s="877"/>
      <c r="K4293" s="877" t="s">
        <v>3</v>
      </c>
      <c r="L4293" s="879" t="s">
        <v>140</v>
      </c>
      <c r="M4293" s="879"/>
      <c r="N4293" s="879"/>
      <c r="O4293" s="879"/>
      <c r="P4293" s="879"/>
      <c r="Q4293" s="50"/>
      <c r="T4293" s="880" t="str">
        <f>IF(AND($R4304=0,$T4304=0),"0.00","mu :" &amp; ROUND($F4293/$C$2/($R4304+$T4304*$D$9),2))</f>
        <v>mu :1.22</v>
      </c>
      <c r="W4293" s="507"/>
      <c r="AG4293" s="465">
        <f>IF($E4293=0,0,ROUND($R4304*$S$2*$C$2/$A4293,2))</f>
        <v>1033.69</v>
      </c>
      <c r="AH4293" s="465">
        <f>$AG4293*$A4293</f>
        <v>1033.69</v>
      </c>
      <c r="AI4293" s="508">
        <f>$E4293-$AG4293</f>
        <v>1259.4899999999998</v>
      </c>
      <c r="AJ4293" s="508">
        <f>$A4293*$AI4293</f>
        <v>1259.4899999999998</v>
      </c>
      <c r="AK4293" s="509">
        <f>ROUND(($AG4293+$AI4293)*$A4293,2)</f>
        <v>2293.1799999999998</v>
      </c>
      <c r="AM4293" s="510">
        <f>ROUND(R4304,2)</f>
        <v>847.29</v>
      </c>
      <c r="AN4293" s="511">
        <f>ROUND(T4304,2)</f>
        <v>35.81</v>
      </c>
      <c r="AO4293" s="512">
        <f>ROUND(AM4293+AN4293,2)*A4293</f>
        <v>883.1</v>
      </c>
    </row>
    <row r="4294" spans="1:41" s="504" customFormat="1" ht="24">
      <c r="A4294" s="872"/>
      <c r="B4294"/>
      <c r="C4294" s="872"/>
      <c r="D4294" s="916" t="s">
        <v>506</v>
      </c>
      <c r="E4294" s="917"/>
      <c r="F4294" s="918"/>
      <c r="G4294" s="919"/>
      <c r="H4294" s="918"/>
      <c r="I4294" s="920"/>
      <c r="J4294" s="918"/>
      <c r="K4294" s="918" t="s">
        <v>141</v>
      </c>
      <c r="L4294" s="918"/>
      <c r="M4294" s="918"/>
      <c r="N4294" s="918"/>
      <c r="O4294" s="918"/>
      <c r="P4294" s="918"/>
      <c r="Q4294" s="921"/>
      <c r="R4294" s="513"/>
      <c r="S4294" s="881"/>
      <c r="T4294" s="877"/>
    </row>
    <row r="4295" spans="1:41" s="504" customFormat="1" ht="12">
      <c r="A4295" s="50"/>
      <c r="B4295" s="882"/>
      <c r="C4295" s="882"/>
      <c r="D4295" s="1218" t="s">
        <v>1525</v>
      </c>
      <c r="E4295" s="882"/>
      <c r="F4295" s="877"/>
      <c r="G4295" s="882"/>
      <c r="H4295" s="882"/>
      <c r="I4295" s="503"/>
      <c r="J4295" s="882"/>
      <c r="K4295" s="882"/>
      <c r="L4295" s="882"/>
      <c r="M4295" s="882"/>
      <c r="N4295" s="882"/>
      <c r="O4295" s="882"/>
      <c r="P4295" s="882"/>
      <c r="Q4295" s="503"/>
      <c r="R4295" s="883">
        <f t="shared" ref="R4295:R4303" si="58">$A4295*Q4295</f>
        <v>0</v>
      </c>
      <c r="S4295" s="503"/>
      <c r="T4295" s="884">
        <f t="shared" ref="T4295:T4303" si="59">$A4295*S4295*$T$1</f>
        <v>0</v>
      </c>
    </row>
    <row r="4296" spans="1:41" s="1039" customFormat="1" ht="13.2">
      <c r="A4296" s="112">
        <v>31</v>
      </c>
      <c r="B4296" s="1039" t="s">
        <v>949</v>
      </c>
      <c r="D4296" s="1039" t="s">
        <v>1465</v>
      </c>
      <c r="G4296" s="1040" t="s">
        <v>1464</v>
      </c>
      <c r="H4296" s="1041">
        <v>726</v>
      </c>
      <c r="I4296" s="1039" t="s">
        <v>951</v>
      </c>
      <c r="O4296" s="1042">
        <v>3</v>
      </c>
      <c r="P4296" s="1043">
        <v>38848</v>
      </c>
      <c r="Q4296" s="1044">
        <f>288.61/31</f>
        <v>9.31</v>
      </c>
      <c r="R4296" s="1045">
        <f t="shared" si="58"/>
        <v>288.61</v>
      </c>
      <c r="S4296" s="1044"/>
      <c r="T4296" s="1046">
        <f t="shared" si="59"/>
        <v>0</v>
      </c>
    </row>
    <row r="4297" spans="1:41" s="1039" customFormat="1" ht="13.2">
      <c r="A4297" s="112">
        <v>4</v>
      </c>
      <c r="B4297" s="1039" t="s">
        <v>949</v>
      </c>
      <c r="D4297" s="1039" t="s">
        <v>1466</v>
      </c>
      <c r="G4297" s="1040" t="s">
        <v>1464</v>
      </c>
      <c r="H4297" s="1041">
        <v>726</v>
      </c>
      <c r="I4297" s="1039" t="s">
        <v>951</v>
      </c>
      <c r="O4297" s="1042">
        <v>3</v>
      </c>
      <c r="P4297" s="1043">
        <v>38848</v>
      </c>
      <c r="Q4297" s="1044">
        <f>319.96/4</f>
        <v>79.989999999999995</v>
      </c>
      <c r="R4297" s="1045">
        <f t="shared" si="58"/>
        <v>319.95999999999998</v>
      </c>
      <c r="S4297" s="1044"/>
      <c r="T4297" s="1046">
        <f t="shared" si="59"/>
        <v>0</v>
      </c>
    </row>
    <row r="4298" spans="1:41" s="1039" customFormat="1" ht="13.2">
      <c r="A4298" s="112">
        <v>2</v>
      </c>
      <c r="B4298" s="1039" t="s">
        <v>949</v>
      </c>
      <c r="D4298" s="1039" t="s">
        <v>1467</v>
      </c>
      <c r="G4298" s="1040" t="s">
        <v>1464</v>
      </c>
      <c r="H4298" s="1041">
        <v>726</v>
      </c>
      <c r="I4298" s="1039" t="s">
        <v>951</v>
      </c>
      <c r="O4298" s="1042">
        <v>3</v>
      </c>
      <c r="P4298" s="1043">
        <v>38848</v>
      </c>
      <c r="Q4298" s="1044">
        <f>100.58/2</f>
        <v>50.29</v>
      </c>
      <c r="R4298" s="1045">
        <f t="shared" si="58"/>
        <v>100.58</v>
      </c>
      <c r="S4298" s="1044"/>
      <c r="T4298" s="1046">
        <f t="shared" si="59"/>
        <v>0</v>
      </c>
    </row>
    <row r="4299" spans="1:41" s="1039" customFormat="1" ht="13.2">
      <c r="A4299" s="112">
        <v>14</v>
      </c>
      <c r="B4299" s="1039" t="s">
        <v>949</v>
      </c>
      <c r="D4299" s="1039" t="s">
        <v>1468</v>
      </c>
      <c r="G4299" s="1040" t="s">
        <v>1464</v>
      </c>
      <c r="H4299" s="1041">
        <v>726</v>
      </c>
      <c r="I4299" s="1039" t="s">
        <v>951</v>
      </c>
      <c r="O4299" s="1042">
        <v>3</v>
      </c>
      <c r="P4299" s="1043">
        <v>38848</v>
      </c>
      <c r="Q4299" s="1044">
        <f>56.84/14</f>
        <v>4.0600000000000005</v>
      </c>
      <c r="R4299" s="1045">
        <f t="shared" si="58"/>
        <v>56.84</v>
      </c>
      <c r="S4299" s="1044"/>
      <c r="T4299" s="1046">
        <f t="shared" si="59"/>
        <v>0</v>
      </c>
    </row>
    <row r="4300" spans="1:41" s="1039" customFormat="1" ht="13.2">
      <c r="A4300" s="112">
        <v>14</v>
      </c>
      <c r="B4300" s="1039" t="s">
        <v>949</v>
      </c>
      <c r="D4300" s="1039" t="s">
        <v>1469</v>
      </c>
      <c r="G4300" s="1040" t="s">
        <v>1464</v>
      </c>
      <c r="H4300" s="1041">
        <v>726</v>
      </c>
      <c r="I4300" s="1039" t="s">
        <v>951</v>
      </c>
      <c r="O4300" s="1042">
        <v>3</v>
      </c>
      <c r="P4300" s="1043">
        <v>38848</v>
      </c>
      <c r="Q4300" s="1044">
        <f>75.46/14</f>
        <v>5.39</v>
      </c>
      <c r="R4300" s="1045">
        <f t="shared" si="58"/>
        <v>75.459999999999994</v>
      </c>
      <c r="S4300" s="1044"/>
      <c r="T4300" s="1046">
        <f t="shared" si="59"/>
        <v>0</v>
      </c>
    </row>
    <row r="4301" spans="1:41" s="1039" customFormat="1" ht="13.2">
      <c r="A4301" s="112">
        <v>1</v>
      </c>
      <c r="B4301" s="1039" t="s">
        <v>949</v>
      </c>
      <c r="D4301" s="1039" t="s">
        <v>1470</v>
      </c>
      <c r="G4301" s="1040" t="s">
        <v>1464</v>
      </c>
      <c r="H4301" s="1041">
        <v>726</v>
      </c>
      <c r="I4301" s="1039" t="s">
        <v>951</v>
      </c>
      <c r="O4301" s="1042">
        <v>3</v>
      </c>
      <c r="P4301" s="1043">
        <v>38848</v>
      </c>
      <c r="Q4301" s="1044">
        <v>5.84</v>
      </c>
      <c r="R4301" s="1045">
        <f t="shared" si="58"/>
        <v>5.84</v>
      </c>
      <c r="S4301" s="1044"/>
      <c r="T4301" s="1046">
        <f t="shared" si="59"/>
        <v>0</v>
      </c>
    </row>
    <row r="4302" spans="1:41" s="1039" customFormat="1" ht="13.2">
      <c r="A4302" s="112">
        <v>1</v>
      </c>
      <c r="B4302" s="1039" t="s">
        <v>272</v>
      </c>
      <c r="D4302" s="1039" t="s">
        <v>1471</v>
      </c>
      <c r="G4302" s="1040" t="s">
        <v>1464</v>
      </c>
      <c r="H4302" s="1041">
        <v>726</v>
      </c>
      <c r="I4302" s="1039" t="s">
        <v>951</v>
      </c>
      <c r="O4302" s="1042">
        <v>3</v>
      </c>
      <c r="P4302" s="1043">
        <v>38848</v>
      </c>
      <c r="Q4302" s="503">
        <v>0</v>
      </c>
      <c r="R4302" s="1045">
        <f t="shared" si="58"/>
        <v>0</v>
      </c>
      <c r="S4302" s="1044">
        <v>34.1</v>
      </c>
      <c r="T4302" s="1046">
        <f t="shared" si="59"/>
        <v>35.805</v>
      </c>
    </row>
    <row r="4303" spans="1:41" s="504" customFormat="1" ht="12">
      <c r="A4303" s="882"/>
      <c r="B4303" s="882"/>
      <c r="C4303" s="882"/>
      <c r="D4303" s="882"/>
      <c r="E4303" s="882"/>
      <c r="F4303" s="877"/>
      <c r="G4303" s="882"/>
      <c r="H4303" s="882"/>
      <c r="I4303" s="503"/>
      <c r="J4303" s="882"/>
      <c r="K4303" s="882"/>
      <c r="L4303" s="882"/>
      <c r="M4303" s="882"/>
      <c r="N4303" s="882"/>
      <c r="O4303" s="882"/>
      <c r="P4303" s="882"/>
      <c r="Q4303" s="503"/>
      <c r="R4303" s="883">
        <f t="shared" si="58"/>
        <v>0</v>
      </c>
      <c r="S4303" s="503"/>
      <c r="T4303" s="884">
        <f t="shared" si="59"/>
        <v>0</v>
      </c>
    </row>
    <row r="4304" spans="1:41" s="504" customFormat="1" ht="12.6" thickBot="1">
      <c r="A4304" s="885" t="s">
        <v>142</v>
      </c>
      <c r="B4304" s="886">
        <f>(R4303+T4303)</f>
        <v>0</v>
      </c>
      <c r="C4304" s="887"/>
      <c r="D4304" s="887"/>
      <c r="E4304" s="887"/>
      <c r="F4304" s="888"/>
      <c r="G4304" s="887" t="s">
        <v>143</v>
      </c>
      <c r="H4304" s="887"/>
      <c r="I4304" s="889"/>
      <c r="J4304" s="887"/>
      <c r="K4304" s="887" t="s">
        <v>3</v>
      </c>
      <c r="L4304" s="890" t="s">
        <v>140</v>
      </c>
      <c r="M4304" s="890"/>
      <c r="N4304" s="890"/>
      <c r="O4304" s="890"/>
      <c r="P4304" s="890"/>
      <c r="Q4304" s="891"/>
      <c r="R4304" s="892">
        <f>SUM(R4294:R4303)</f>
        <v>847.29000000000008</v>
      </c>
      <c r="S4304" s="887"/>
      <c r="T4304" s="892">
        <f>SUM(T4294:T4303)</f>
        <v>35.805</v>
      </c>
      <c r="U4304" s="514"/>
      <c r="V4304" s="514"/>
      <c r="W4304" s="514"/>
      <c r="X4304" s="514"/>
      <c r="Y4304" s="514"/>
      <c r="Z4304" s="514"/>
      <c r="AA4304" s="514"/>
      <c r="AB4304" s="514"/>
      <c r="AC4304" s="514"/>
      <c r="AD4304" s="514"/>
      <c r="AE4304" s="514"/>
      <c r="AF4304" s="514"/>
      <c r="AG4304" s="514"/>
      <c r="AH4304" s="514"/>
      <c r="AI4304" s="514"/>
      <c r="AJ4304" s="514"/>
      <c r="AK4304" s="514"/>
      <c r="AL4304" s="514"/>
      <c r="AM4304" s="514"/>
      <c r="AN4304" s="514"/>
      <c r="AO4304" s="514"/>
    </row>
    <row r="4305" spans="1:37" s="504" customFormat="1" ht="12" thickTop="1">
      <c r="A4305" s="47" t="s">
        <v>145</v>
      </c>
      <c r="D4305" s="13"/>
      <c r="E4305" s="41"/>
      <c r="O4305" s="893"/>
    </row>
    <row r="4306" spans="1:37" s="504" customFormat="1" ht="13.2">
      <c r="B4306" s="3"/>
      <c r="O4306" s="893"/>
    </row>
    <row r="4307" spans="1:37" s="504" customFormat="1" ht="12">
      <c r="B4307" s="894">
        <f>$F4307/$C$2-($R4307*$S$2+$T4307*$T$2)</f>
        <v>2.1069999957035179E-4</v>
      </c>
      <c r="D4307" s="895" t="s">
        <v>817</v>
      </c>
      <c r="E4307" s="896"/>
      <c r="F4307" s="897">
        <f>SUMIF($L4282:$L4305,"ITEM",F4282:F4305)</f>
        <v>2293.1799999999998</v>
      </c>
      <c r="G4307" s="882"/>
      <c r="H4307" s="882"/>
      <c r="I4307" s="503"/>
      <c r="J4307" s="882"/>
      <c r="K4307" s="882"/>
      <c r="L4307" s="879" t="s">
        <v>154</v>
      </c>
      <c r="M4307" s="879"/>
      <c r="N4307" s="879"/>
      <c r="O4307" s="879"/>
      <c r="P4307" s="879"/>
      <c r="R4307" s="897">
        <f>SUMIF($L4282:$L4305,"ITEM",R4282:R4305)</f>
        <v>847.29000000000008</v>
      </c>
      <c r="S4307" s="898"/>
      <c r="T4307" s="897">
        <f>SUMIF($L4282:$L4305,"ITEM",T4282:T4305)</f>
        <v>35.805</v>
      </c>
    </row>
    <row r="4308" spans="1:37" s="504" customFormat="1" ht="13.2">
      <c r="A4308" s="50"/>
      <c r="B4308" s="48" t="s">
        <v>816</v>
      </c>
      <c r="C4308" s="50"/>
      <c r="D4308" s="3"/>
      <c r="F4308" s="899" t="s">
        <v>155</v>
      </c>
      <c r="G4308" s="882"/>
      <c r="H4308" s="882"/>
      <c r="I4308" s="503"/>
      <c r="J4308" s="882"/>
      <c r="K4308" s="882"/>
      <c r="L4308" s="882"/>
      <c r="M4308" s="882"/>
      <c r="N4308" s="882"/>
      <c r="O4308" s="882"/>
      <c r="P4308" s="882"/>
      <c r="Q4308" s="900"/>
      <c r="R4308" s="899" t="s">
        <v>156</v>
      </c>
      <c r="S4308" s="38"/>
      <c r="T4308" s="899" t="s">
        <v>157</v>
      </c>
    </row>
    <row r="4309" spans="1:37" s="504" customFormat="1" ht="13.2">
      <c r="A4309" s="882"/>
      <c r="B4309" s="3"/>
      <c r="C4309" s="882"/>
      <c r="D4309" s="3"/>
      <c r="E4309" s="3"/>
      <c r="G4309" s="3"/>
      <c r="H4309" s="3"/>
      <c r="I4309" s="3"/>
      <c r="J4309" s="3"/>
      <c r="K4309" s="3"/>
      <c r="L4309" s="3"/>
      <c r="M4309" s="3"/>
      <c r="N4309" s="3"/>
      <c r="O4309" s="103"/>
      <c r="P4309" s="3"/>
      <c r="Q4309" s="3"/>
      <c r="R4309" s="3"/>
      <c r="S4309" s="3"/>
      <c r="T4309" s="3"/>
    </row>
    <row r="4310" spans="1:37" s="504" customFormat="1" ht="12" thickBot="1">
      <c r="A4310" s="514"/>
      <c r="B4310" s="887"/>
      <c r="C4310" s="887"/>
      <c r="D4310" s="514"/>
      <c r="E4310" s="39"/>
      <c r="F4310" s="901"/>
      <c r="G4310" s="887"/>
      <c r="H4310" s="887"/>
      <c r="I4310" s="889"/>
      <c r="J4310" s="887"/>
      <c r="K4310" s="887"/>
      <c r="L4310" s="890"/>
      <c r="M4310" s="890"/>
      <c r="N4310" s="890"/>
      <c r="O4310" s="890"/>
      <c r="P4310" s="890"/>
      <c r="Q4310" s="891"/>
      <c r="R4310" s="901"/>
      <c r="S4310" s="902"/>
      <c r="T4310" s="901"/>
      <c r="U4310" s="514"/>
      <c r="V4310" s="514"/>
      <c r="W4310" s="514"/>
      <c r="X4310" s="514"/>
      <c r="Y4310" s="514"/>
      <c r="Z4310" s="514"/>
      <c r="AA4310" s="514"/>
      <c r="AB4310" s="514"/>
      <c r="AC4310" s="514"/>
      <c r="AD4310" s="514"/>
      <c r="AE4310" s="514"/>
      <c r="AF4310" s="514"/>
      <c r="AG4310" s="514"/>
      <c r="AH4310" s="514"/>
      <c r="AI4310" s="514"/>
      <c r="AJ4310" s="514"/>
      <c r="AK4310" s="514"/>
    </row>
    <row r="4311" spans="1:37" s="504" customFormat="1" thickTop="1">
      <c r="A4311" s="47" t="s">
        <v>145</v>
      </c>
      <c r="B4311" s="3"/>
      <c r="C4311" s="50"/>
      <c r="D4311" s="50"/>
      <c r="E4311" s="50"/>
      <c r="F4311" s="50"/>
      <c r="G4311" s="50"/>
      <c r="H4311" s="50"/>
      <c r="I4311" s="50"/>
      <c r="J4311" s="50"/>
      <c r="K4311" s="50"/>
      <c r="L4311" s="50"/>
      <c r="M4311" s="50"/>
      <c r="N4311" s="50"/>
      <c r="O4311" s="51"/>
      <c r="P4311" s="50"/>
      <c r="Q4311" s="50"/>
      <c r="R4311" s="50"/>
      <c r="S4311" s="50"/>
      <c r="T4311" s="50"/>
    </row>
    <row r="4312" spans="1:37" s="504" customFormat="1" ht="13.2">
      <c r="A4312" s="50"/>
      <c r="B4312" s="3"/>
      <c r="C4312" s="3"/>
      <c r="E4312" s="3"/>
      <c r="F4312" s="3"/>
      <c r="G4312" s="3"/>
      <c r="H4312" s="3"/>
      <c r="I4312" s="3"/>
      <c r="J4312" s="3"/>
      <c r="K4312" s="3"/>
      <c r="L4312" s="3"/>
      <c r="M4312" s="3"/>
      <c r="N4312" s="3"/>
      <c r="O4312" s="103"/>
      <c r="P4312" s="3"/>
      <c r="Q4312" s="3"/>
      <c r="R4312" s="3"/>
      <c r="S4312" s="3"/>
      <c r="T4312" s="3"/>
    </row>
    <row r="4313" spans="1:37" s="504" customFormat="1" ht="12">
      <c r="A4313" s="50"/>
      <c r="B4313" s="894">
        <f>$F4313/$C$2-($R4313*$S$2+$T4313*$T$2)</f>
        <v>2.1069999957035179E-4</v>
      </c>
      <c r="C4313" s="50"/>
      <c r="D4313" s="913" t="s">
        <v>923</v>
      </c>
      <c r="E4313" s="896"/>
      <c r="F4313" s="914">
        <f>SUMIF($L4288:$L4311,"PAGE",F4288:F4311)</f>
        <v>2293.1799999999998</v>
      </c>
      <c r="G4313" s="882"/>
      <c r="H4313" s="882"/>
      <c r="I4313" s="503"/>
      <c r="J4313" s="882"/>
      <c r="K4313" s="882"/>
      <c r="L4313" s="117" t="s">
        <v>918</v>
      </c>
      <c r="M4313" s="117"/>
      <c r="N4313" s="117"/>
      <c r="O4313" s="118"/>
      <c r="P4313" s="117"/>
      <c r="Q4313" s="50"/>
      <c r="R4313" s="914">
        <f>SUMIF($L4288:$L4311,"PAGE",R4288:R4311)</f>
        <v>847.29000000000008</v>
      </c>
      <c r="S4313" s="50"/>
      <c r="T4313" s="914">
        <f>SUMIF($L4288:$L4311,"PAGE",T4288:T4311)</f>
        <v>35.805</v>
      </c>
    </row>
    <row r="4314" spans="1:37" s="504" customFormat="1" ht="12">
      <c r="A4314" s="50"/>
      <c r="B4314" s="48" t="s">
        <v>816</v>
      </c>
      <c r="C4314" s="50"/>
      <c r="D4314" s="913"/>
      <c r="F4314" s="915" t="s">
        <v>919</v>
      </c>
      <c r="G4314" s="882"/>
      <c r="H4314" s="882"/>
      <c r="I4314" s="503"/>
      <c r="J4314" s="882"/>
      <c r="K4314" s="882"/>
      <c r="L4314" s="50"/>
      <c r="M4314" s="50"/>
      <c r="N4314" s="50"/>
      <c r="O4314" s="51"/>
      <c r="P4314" s="50"/>
      <c r="Q4314" s="50"/>
      <c r="R4314" s="915" t="s">
        <v>920</v>
      </c>
      <c r="S4314" s="38"/>
      <c r="T4314" s="915" t="s">
        <v>921</v>
      </c>
    </row>
    <row r="4315" spans="1:37" s="504" customFormat="1" ht="11.4">
      <c r="O4315" s="893"/>
    </row>
    <row r="4316" spans="1:37" s="504" customFormat="1" ht="12" thickBot="1">
      <c r="A4316" s="887"/>
      <c r="B4316" s="887"/>
      <c r="C4316" s="887"/>
      <c r="D4316" s="887"/>
      <c r="E4316" s="887"/>
      <c r="F4316" s="39"/>
      <c r="G4316" s="514"/>
      <c r="H4316" s="514"/>
      <c r="I4316" s="514"/>
      <c r="J4316" s="514"/>
      <c r="K4316" s="514"/>
      <c r="L4316" s="887"/>
      <c r="M4316" s="887"/>
      <c r="N4316" s="887"/>
      <c r="O4316" s="887"/>
      <c r="P4316" s="887"/>
      <c r="Q4316" s="891"/>
      <c r="R4316" s="39"/>
      <c r="S4316" s="39"/>
      <c r="T4316" s="39"/>
      <c r="U4316" s="514"/>
      <c r="V4316" s="514"/>
      <c r="W4316" s="514"/>
      <c r="X4316" s="514"/>
      <c r="Y4316" s="514"/>
      <c r="Z4316" s="514"/>
      <c r="AA4316" s="514"/>
      <c r="AB4316" s="514"/>
      <c r="AC4316" s="514"/>
      <c r="AD4316" s="514"/>
      <c r="AE4316" s="514"/>
      <c r="AF4316" s="514"/>
      <c r="AG4316" s="514"/>
      <c r="AH4316" s="514"/>
      <c r="AI4316" s="514"/>
      <c r="AJ4316" s="514"/>
      <c r="AK4316" s="514"/>
    </row>
    <row r="4317" spans="1:37" s="504" customFormat="1" thickTop="1">
      <c r="A4317" s="906"/>
      <c r="B4317" s="906"/>
      <c r="C4317" s="907"/>
      <c r="D4317" s="907"/>
      <c r="E4317" s="906"/>
      <c r="F4317" s="906"/>
      <c r="G4317" s="906"/>
      <c r="H4317" s="906"/>
      <c r="I4317" s="906"/>
      <c r="J4317" s="906"/>
      <c r="K4317" s="906" t="s">
        <v>133</v>
      </c>
      <c r="L4317" s="906"/>
      <c r="M4317" s="906"/>
      <c r="N4317" s="906"/>
      <c r="O4317" s="908"/>
      <c r="P4317" s="906"/>
      <c r="Q4317" s="906"/>
      <c r="R4317" s="906"/>
      <c r="S4317" s="906"/>
      <c r="T4317" s="906"/>
    </row>
    <row r="4318" spans="1:37" s="504" customFormat="1" ht="12">
      <c r="A4318" s="906"/>
      <c r="B4318" s="906"/>
      <c r="C4318" s="906" t="s">
        <v>134</v>
      </c>
      <c r="D4318" s="909"/>
      <c r="E4318" s="906"/>
      <c r="F4318" s="906"/>
      <c r="G4318" s="906"/>
      <c r="H4318" s="906"/>
      <c r="I4318" s="906"/>
      <c r="J4318" s="906"/>
      <c r="K4318" s="906"/>
      <c r="L4318" s="906"/>
      <c r="M4318" s="906"/>
      <c r="N4318" s="906"/>
      <c r="O4318" s="908"/>
      <c r="P4318" s="906"/>
      <c r="Q4318" s="906"/>
      <c r="R4318" s="906"/>
      <c r="S4318" s="906"/>
      <c r="T4318" s="906"/>
    </row>
    <row r="4319" spans="1:37" s="504" customFormat="1" ht="12">
      <c r="A4319" s="906"/>
      <c r="B4319" s="906"/>
      <c r="C4319" s="906"/>
      <c r="D4319" s="909" t="s">
        <v>508</v>
      </c>
      <c r="E4319" s="906"/>
      <c r="F4319" s="906"/>
      <c r="G4319" s="906"/>
      <c r="H4319" s="906"/>
      <c r="I4319" s="906"/>
      <c r="J4319" s="906"/>
      <c r="K4319" s="906"/>
      <c r="L4319" s="906"/>
      <c r="M4319" s="906"/>
      <c r="N4319" s="906"/>
      <c r="O4319" s="908"/>
      <c r="P4319" s="906"/>
      <c r="Q4319" s="906"/>
      <c r="R4319" s="906"/>
      <c r="S4319" s="910"/>
      <c r="T4319" s="910"/>
    </row>
    <row r="4320" spans="1:37" s="3" customFormat="1" thickBot="1">
      <c r="A4320" s="911"/>
      <c r="B4320" s="907"/>
      <c r="C4320" s="907"/>
      <c r="D4320" s="907"/>
      <c r="E4320" s="907"/>
      <c r="F4320" s="907"/>
      <c r="G4320" s="907"/>
      <c r="H4320" s="907"/>
      <c r="I4320" s="907"/>
      <c r="J4320" s="907"/>
      <c r="K4320" s="907"/>
      <c r="L4320" s="907"/>
      <c r="M4320" s="907"/>
      <c r="N4320" s="907"/>
      <c r="O4320" s="912"/>
      <c r="P4320" s="907"/>
      <c r="Q4320" s="907"/>
      <c r="R4320" s="907"/>
      <c r="S4320" s="907"/>
      <c r="T4320" s="907"/>
    </row>
    <row r="4321" spans="1:41" s="504" customFormat="1" thickTop="1">
      <c r="A4321" s="50"/>
      <c r="B4321" s="50"/>
      <c r="C4321" s="3"/>
      <c r="D4321" s="3"/>
      <c r="E4321" s="50"/>
      <c r="F4321" s="50"/>
      <c r="G4321" s="50"/>
      <c r="H4321" s="50"/>
      <c r="I4321" s="50"/>
      <c r="J4321" s="50"/>
      <c r="K4321" s="50" t="s">
        <v>133</v>
      </c>
      <c r="L4321" s="50"/>
      <c r="M4321" s="50"/>
      <c r="N4321" s="50"/>
      <c r="O4321" s="51"/>
      <c r="P4321" s="50"/>
      <c r="Q4321" s="50"/>
      <c r="R4321" s="50"/>
      <c r="S4321" s="50"/>
      <c r="T4321" s="50"/>
    </row>
    <row r="4322" spans="1:41" s="504" customFormat="1" ht="12">
      <c r="A4322" s="50"/>
      <c r="B4322" s="50"/>
      <c r="C4322" s="50" t="s">
        <v>134</v>
      </c>
      <c r="D4322" s="37"/>
      <c r="E4322" s="50"/>
      <c r="F4322" s="50"/>
      <c r="G4322" s="50"/>
      <c r="H4322" s="50"/>
      <c r="I4322" s="50"/>
      <c r="J4322" s="50"/>
      <c r="K4322" s="50"/>
      <c r="L4322" s="50"/>
      <c r="M4322" s="50"/>
      <c r="N4322" s="50"/>
      <c r="O4322" s="51"/>
      <c r="P4322" s="50"/>
      <c r="Q4322" s="50"/>
      <c r="R4322" s="50"/>
      <c r="S4322" s="50"/>
      <c r="T4322" s="50"/>
    </row>
    <row r="4323" spans="1:41" s="504" customFormat="1" ht="12">
      <c r="A4323" s="50"/>
      <c r="B4323" s="50"/>
      <c r="C4323" s="50"/>
      <c r="D4323" s="37" t="s">
        <v>509</v>
      </c>
      <c r="E4323" s="50"/>
      <c r="F4323" s="50"/>
      <c r="G4323" s="50"/>
      <c r="H4323" s="50"/>
      <c r="I4323" s="50"/>
      <c r="J4323" s="50"/>
      <c r="K4323" s="50"/>
      <c r="L4323" s="50"/>
      <c r="M4323" s="50"/>
      <c r="N4323" s="50"/>
      <c r="O4323" s="51"/>
      <c r="P4323" s="50"/>
      <c r="Q4323" s="50"/>
      <c r="R4323" s="50"/>
      <c r="S4323" s="38"/>
      <c r="T4323" s="38"/>
    </row>
    <row r="4324" spans="1:41" s="3" customFormat="1" thickBot="1">
      <c r="A4324" s="514"/>
      <c r="O4324" s="103"/>
    </row>
    <row r="4325" spans="1:41" s="504" customFormat="1" thickTop="1">
      <c r="A4325" s="50"/>
      <c r="B4325" s="50"/>
      <c r="C4325" s="3"/>
      <c r="D4325" s="3"/>
      <c r="E4325" s="50"/>
      <c r="F4325" s="50"/>
      <c r="G4325" s="50"/>
      <c r="H4325" s="50"/>
      <c r="I4325" s="50"/>
      <c r="J4325" s="50"/>
      <c r="K4325" s="50" t="s">
        <v>133</v>
      </c>
      <c r="L4325" s="50"/>
      <c r="M4325" s="50"/>
      <c r="N4325" s="50"/>
      <c r="O4325" s="51"/>
      <c r="P4325" s="50"/>
      <c r="Q4325" s="50"/>
      <c r="R4325" s="50"/>
      <c r="S4325" s="50"/>
      <c r="T4325" s="50"/>
    </row>
    <row r="4326" spans="1:41" s="504" customFormat="1" ht="12">
      <c r="A4326" s="50"/>
      <c r="B4326" s="50"/>
      <c r="C4326" s="50" t="s">
        <v>134</v>
      </c>
      <c r="D4326" s="37"/>
      <c r="E4326" s="50"/>
      <c r="F4326" s="50"/>
      <c r="G4326" s="50"/>
      <c r="H4326" s="50"/>
      <c r="I4326" s="50"/>
      <c r="J4326" s="50"/>
      <c r="K4326" s="50"/>
      <c r="L4326" s="50"/>
      <c r="M4326" s="50"/>
      <c r="N4326" s="50"/>
      <c r="O4326" s="51"/>
      <c r="P4326" s="50"/>
      <c r="Q4326" s="50"/>
      <c r="R4326" s="50"/>
      <c r="S4326" s="50"/>
      <c r="T4326" s="50"/>
    </row>
    <row r="4327" spans="1:41" s="504" customFormat="1" ht="12">
      <c r="A4327" s="50"/>
      <c r="B4327" s="50"/>
      <c r="C4327" s="50"/>
      <c r="D4327" s="37" t="s">
        <v>510</v>
      </c>
      <c r="E4327" s="50"/>
      <c r="F4327" s="50"/>
      <c r="G4327" s="50"/>
      <c r="H4327" s="50"/>
      <c r="I4327" s="50"/>
      <c r="J4327" s="50"/>
      <c r="K4327" s="50"/>
      <c r="L4327" s="50"/>
      <c r="M4327" s="50"/>
      <c r="N4327" s="50"/>
      <c r="O4327" s="51"/>
      <c r="P4327" s="50"/>
      <c r="Q4327" s="50"/>
      <c r="R4327" s="50"/>
      <c r="S4327" s="38"/>
      <c r="T4327" s="38"/>
    </row>
    <row r="4328" spans="1:41" s="3" customFormat="1" thickBot="1">
      <c r="A4328" s="514"/>
      <c r="O4328" s="103"/>
    </row>
    <row r="4329" spans="1:41" s="504" customFormat="1" ht="12" thickTop="1">
      <c r="A4329" s="50"/>
      <c r="B4329" s="40"/>
      <c r="C4329" s="50"/>
      <c r="E4329" s="41" t="s">
        <v>136</v>
      </c>
      <c r="F4329" s="41" t="s">
        <v>137</v>
      </c>
      <c r="G4329" s="50"/>
      <c r="H4329" s="50"/>
      <c r="I4329" s="50"/>
      <c r="J4329" s="50"/>
      <c r="K4329" s="50" t="s">
        <v>138</v>
      </c>
      <c r="L4329" s="50"/>
      <c r="M4329" s="50"/>
      <c r="N4329" s="50"/>
      <c r="O4329" s="51"/>
      <c r="P4329" s="50"/>
      <c r="Q4329" s="50"/>
      <c r="R4329" s="50"/>
      <c r="S4329" s="50"/>
      <c r="T4329" s="40"/>
      <c r="AG4329" s="867" t="s">
        <v>241</v>
      </c>
      <c r="AH4329" s="867" t="s">
        <v>242</v>
      </c>
      <c r="AI4329" s="867" t="s">
        <v>243</v>
      </c>
      <c r="AJ4329" s="867" t="s">
        <v>244</v>
      </c>
      <c r="AK4329" s="867" t="s">
        <v>245</v>
      </c>
      <c r="AM4329" s="868" t="s">
        <v>254</v>
      </c>
      <c r="AN4329" s="869" t="s">
        <v>255</v>
      </c>
      <c r="AO4329" s="505" t="s">
        <v>251</v>
      </c>
    </row>
    <row r="4330" spans="1:41" s="504" customFormat="1" ht="12" customHeight="1">
      <c r="A4330" s="870">
        <v>24</v>
      </c>
      <c r="B4330" s="506" t="s">
        <v>335</v>
      </c>
      <c r="C4330" s="872"/>
      <c r="D4330" s="873" t="s">
        <v>803</v>
      </c>
      <c r="E4330" s="1027">
        <f>IF(AND($A4330=0,$A$1="DIF"),0, ROUND(ROUND(($R4334*$S$5+($T4334*$T$5))/$A4330,2)*$C$5,2))</f>
        <v>62.88</v>
      </c>
      <c r="F4330" s="1028">
        <f>ROUND($A4330*$E4330,2)</f>
        <v>1509.12</v>
      </c>
      <c r="G4330" s="876" t="s">
        <v>139</v>
      </c>
      <c r="H4330" s="877"/>
      <c r="I4330" s="878"/>
      <c r="J4330" s="877"/>
      <c r="K4330" s="877" t="s">
        <v>9</v>
      </c>
      <c r="L4330" s="879" t="s">
        <v>140</v>
      </c>
      <c r="M4330" s="879"/>
      <c r="N4330" s="879"/>
      <c r="O4330" s="879"/>
      <c r="P4330" s="879"/>
      <c r="Q4330" s="50"/>
      <c r="T4330" s="1032" t="str">
        <f>IF(AND($R4334=0,$T4334=0),"0.00","mu: "&amp; ROUND(F4330/$C$5/($R4334+$T4334*$D$9),2))</f>
        <v>mu: 1.08</v>
      </c>
      <c r="W4330" s="507"/>
      <c r="AG4330" s="1029">
        <f>IF($E4330=0,0,ROUND($R4334*$S$5*$C$5/$A4330,2))</f>
        <v>62.88</v>
      </c>
      <c r="AH4330" s="1029">
        <f>$AG4330*$A4330</f>
        <v>1509.1200000000001</v>
      </c>
      <c r="AI4330" s="1030">
        <f>$E4330-$AG4330</f>
        <v>0</v>
      </c>
      <c r="AJ4330" s="1030">
        <f>$A4330*$AI4330</f>
        <v>0</v>
      </c>
      <c r="AK4330" s="1031">
        <f>ROUND(($AG4330+$AI4330)*$A4330,2)</f>
        <v>1509.12</v>
      </c>
      <c r="AM4330" s="510">
        <f>ROUND(R4334,2)</f>
        <v>1403.76</v>
      </c>
      <c r="AN4330" s="511">
        <f>ROUND(T4334,2)</f>
        <v>0</v>
      </c>
      <c r="AO4330" s="512">
        <f>ROUND(AM4330+AN4330,2)*A4330</f>
        <v>33690.239999999998</v>
      </c>
    </row>
    <row r="4331" spans="1:41" s="504" customFormat="1" ht="13.2">
      <c r="A4331" s="872"/>
      <c r="B4331"/>
      <c r="C4331" s="872"/>
      <c r="D4331" s="873" t="s">
        <v>511</v>
      </c>
      <c r="F4331" s="877"/>
      <c r="G4331" s="3"/>
      <c r="H4331" s="877"/>
      <c r="I4331" s="878"/>
      <c r="J4331" s="877"/>
      <c r="K4331" s="877" t="s">
        <v>141</v>
      </c>
      <c r="L4331" s="877"/>
      <c r="M4331" s="877"/>
      <c r="N4331" s="877"/>
      <c r="O4331" s="877"/>
      <c r="P4331" s="877"/>
      <c r="Q4331" s="50"/>
      <c r="R4331" s="513"/>
      <c r="S4331" s="881"/>
      <c r="T4331" s="877"/>
    </row>
    <row r="4332" spans="1:41" s="1039" customFormat="1" ht="13.2">
      <c r="A4332" s="112">
        <v>24</v>
      </c>
      <c r="B4332" s="1039" t="s">
        <v>949</v>
      </c>
      <c r="D4332" s="1039" t="s">
        <v>511</v>
      </c>
      <c r="G4332" s="1040" t="s">
        <v>1456</v>
      </c>
      <c r="H4332" s="1041">
        <v>725</v>
      </c>
      <c r="I4332" s="1039" t="s">
        <v>951</v>
      </c>
      <c r="O4332" s="1042">
        <v>3</v>
      </c>
      <c r="P4332" s="1043"/>
      <c r="Q4332" s="1044">
        <v>58.49</v>
      </c>
      <c r="R4332" s="1045">
        <f>$A4332*Q4332</f>
        <v>1403.76</v>
      </c>
      <c r="S4332" s="1044"/>
      <c r="T4332" s="1046">
        <f>$A4332*S4332*$T$1</f>
        <v>0</v>
      </c>
    </row>
    <row r="4333" spans="1:41" s="504" customFormat="1" ht="12">
      <c r="A4333" s="882"/>
      <c r="B4333" s="882"/>
      <c r="C4333" s="882"/>
      <c r="D4333" s="882"/>
      <c r="E4333" s="882"/>
      <c r="F4333" s="877"/>
      <c r="G4333" s="882"/>
      <c r="H4333" s="882"/>
      <c r="I4333" s="503"/>
      <c r="J4333" s="882"/>
      <c r="K4333" s="882"/>
      <c r="L4333" s="882"/>
      <c r="M4333" s="882"/>
      <c r="N4333" s="882"/>
      <c r="O4333" s="882"/>
      <c r="P4333" s="882"/>
      <c r="Q4333" s="503"/>
      <c r="R4333" s="883">
        <f>$A4333*Q4333</f>
        <v>0</v>
      </c>
      <c r="S4333" s="503"/>
      <c r="T4333" s="884">
        <f>$A4333*S4333*$T$1</f>
        <v>0</v>
      </c>
    </row>
    <row r="4334" spans="1:41" s="504" customFormat="1" ht="12.6" thickBot="1">
      <c r="A4334" s="885" t="s">
        <v>142</v>
      </c>
      <c r="B4334" s="886">
        <f>(R4333+T4333)</f>
        <v>0</v>
      </c>
      <c r="C4334" s="887"/>
      <c r="D4334" s="887"/>
      <c r="E4334" s="887"/>
      <c r="F4334" s="888"/>
      <c r="G4334" s="887" t="s">
        <v>143</v>
      </c>
      <c r="H4334" s="887"/>
      <c r="I4334" s="889"/>
      <c r="J4334" s="887"/>
      <c r="K4334" s="887" t="s">
        <v>9</v>
      </c>
      <c r="L4334" s="890" t="s">
        <v>140</v>
      </c>
      <c r="M4334" s="890"/>
      <c r="N4334" s="890"/>
      <c r="O4334" s="890"/>
      <c r="P4334" s="890"/>
      <c r="Q4334" s="891"/>
      <c r="R4334" s="892">
        <f>SUM(R4331:R4333)</f>
        <v>1403.76</v>
      </c>
      <c r="S4334" s="887"/>
      <c r="T4334" s="892">
        <f>SUM(T4331:T4333)</f>
        <v>0</v>
      </c>
      <c r="U4334" s="514"/>
      <c r="V4334" s="514"/>
      <c r="W4334" s="514"/>
      <c r="X4334" s="514"/>
      <c r="Y4334" s="514"/>
      <c r="Z4334" s="514"/>
      <c r="AA4334" s="514"/>
      <c r="AB4334" s="514"/>
      <c r="AC4334" s="514"/>
      <c r="AD4334" s="514"/>
      <c r="AE4334" s="514"/>
      <c r="AF4334" s="514"/>
      <c r="AG4334" s="514"/>
      <c r="AH4334" s="514"/>
      <c r="AI4334" s="514"/>
      <c r="AJ4334" s="514"/>
      <c r="AK4334" s="514"/>
      <c r="AL4334" s="514"/>
      <c r="AM4334" s="514"/>
      <c r="AN4334" s="514"/>
      <c r="AO4334" s="514"/>
    </row>
    <row r="4335" spans="1:41" s="504" customFormat="1" ht="12" thickTop="1">
      <c r="A4335" s="50"/>
      <c r="B4335" s="40"/>
      <c r="C4335" s="50"/>
      <c r="E4335" s="41" t="s">
        <v>136</v>
      </c>
      <c r="F4335" s="41" t="s">
        <v>137</v>
      </c>
      <c r="G4335" s="50"/>
      <c r="H4335" s="50"/>
      <c r="I4335" s="50"/>
      <c r="J4335" s="50"/>
      <c r="K4335" s="50" t="s">
        <v>138</v>
      </c>
      <c r="L4335" s="50"/>
      <c r="M4335" s="50"/>
      <c r="N4335" s="50"/>
      <c r="O4335" s="51"/>
      <c r="P4335" s="50"/>
      <c r="Q4335" s="50"/>
      <c r="R4335" s="50"/>
      <c r="S4335" s="50"/>
      <c r="T4335" s="40"/>
      <c r="AG4335" s="867" t="s">
        <v>241</v>
      </c>
      <c r="AH4335" s="867" t="s">
        <v>242</v>
      </c>
      <c r="AI4335" s="867" t="s">
        <v>243</v>
      </c>
      <c r="AJ4335" s="867" t="s">
        <v>244</v>
      </c>
      <c r="AK4335" s="867" t="s">
        <v>245</v>
      </c>
      <c r="AM4335" s="868" t="s">
        <v>254</v>
      </c>
      <c r="AN4335" s="869" t="s">
        <v>255</v>
      </c>
      <c r="AO4335" s="505" t="s">
        <v>251</v>
      </c>
    </row>
    <row r="4336" spans="1:41" s="504" customFormat="1" ht="12" customHeight="1">
      <c r="A4336" s="870">
        <v>1</v>
      </c>
      <c r="B4336" s="506" t="s">
        <v>335</v>
      </c>
      <c r="C4336" s="872"/>
      <c r="D4336" s="873" t="s">
        <v>814</v>
      </c>
      <c r="E4336" s="1027">
        <f>IF(AND($A4336=0,$A$1="DIF"),0, ROUND(ROUND(($R4340*$S$5+($T4340*$T$5))/$A4336,2)*$C$5,2))</f>
        <v>100.53</v>
      </c>
      <c r="F4336" s="1028">
        <f>ROUND($A4336*$E4336,2)</f>
        <v>100.53</v>
      </c>
      <c r="G4336" s="876" t="s">
        <v>139</v>
      </c>
      <c r="H4336" s="877"/>
      <c r="I4336" s="878"/>
      <c r="J4336" s="877"/>
      <c r="K4336" s="877" t="s">
        <v>9</v>
      </c>
      <c r="L4336" s="879" t="s">
        <v>140</v>
      </c>
      <c r="M4336" s="879"/>
      <c r="N4336" s="879"/>
      <c r="O4336" s="879"/>
      <c r="P4336" s="879"/>
      <c r="Q4336" s="50"/>
      <c r="T4336" s="1032" t="str">
        <f>IF(AND($R4340=0,$T4340=0),"0.00","mu: "&amp; ROUND(F4336/$C$5/($R4340+$T4340*$D$9),2))</f>
        <v>mu: 1.07</v>
      </c>
      <c r="W4336" s="507"/>
      <c r="AG4336" s="1029">
        <f>IF($E4336=0,0,ROUND($R4340*$S$5*$C$5/$A4336,2))</f>
        <v>100.53</v>
      </c>
      <c r="AH4336" s="1029">
        <f>$AG4336*$A4336</f>
        <v>100.53</v>
      </c>
      <c r="AI4336" s="1030">
        <f>$E4336-$AG4336</f>
        <v>0</v>
      </c>
      <c r="AJ4336" s="1030">
        <f>$A4336*$AI4336</f>
        <v>0</v>
      </c>
      <c r="AK4336" s="1031">
        <f>ROUND(($AG4336+$AI4336)*$A4336,2)</f>
        <v>100.53</v>
      </c>
      <c r="AM4336" s="510">
        <f>ROUND(R4340,2)</f>
        <v>93.52</v>
      </c>
      <c r="AN4336" s="511">
        <f>ROUND(T4340,2)</f>
        <v>0</v>
      </c>
      <c r="AO4336" s="512">
        <f>ROUND(AM4336+AN4336,2)*A4336</f>
        <v>93.52</v>
      </c>
    </row>
    <row r="4337" spans="1:41" s="504" customFormat="1" ht="13.2">
      <c r="A4337" s="872"/>
      <c r="B4337"/>
      <c r="C4337" s="872"/>
      <c r="D4337" s="873" t="s">
        <v>512</v>
      </c>
      <c r="F4337" s="877"/>
      <c r="G4337" s="3"/>
      <c r="H4337" s="877"/>
      <c r="I4337" s="878"/>
      <c r="J4337" s="877"/>
      <c r="K4337" s="877" t="s">
        <v>141</v>
      </c>
      <c r="L4337" s="877"/>
      <c r="M4337" s="877"/>
      <c r="N4337" s="877"/>
      <c r="O4337" s="877"/>
      <c r="P4337" s="877"/>
      <c r="Q4337" s="50"/>
      <c r="R4337" s="513"/>
      <c r="S4337" s="881"/>
      <c r="T4337" s="877"/>
    </row>
    <row r="4338" spans="1:41" s="1039" customFormat="1" ht="13.2">
      <c r="A4338" s="112">
        <v>1</v>
      </c>
      <c r="B4338" s="1039" t="s">
        <v>949</v>
      </c>
      <c r="D4338" s="1039" t="s">
        <v>512</v>
      </c>
      <c r="G4338" s="1040" t="s">
        <v>1456</v>
      </c>
      <c r="H4338" s="1041">
        <v>725</v>
      </c>
      <c r="I4338" s="1039" t="s">
        <v>951</v>
      </c>
      <c r="O4338" s="1042">
        <v>3</v>
      </c>
      <c r="P4338" s="1043"/>
      <c r="Q4338" s="1044">
        <v>93.52</v>
      </c>
      <c r="R4338" s="1045">
        <f>$A4338*Q4338</f>
        <v>93.52</v>
      </c>
      <c r="S4338" s="1044"/>
      <c r="T4338" s="1046">
        <f>$A4338*S4338*$T$1</f>
        <v>0</v>
      </c>
    </row>
    <row r="4339" spans="1:41" s="504" customFormat="1" ht="12">
      <c r="A4339" s="882"/>
      <c r="B4339" s="882"/>
      <c r="C4339" s="882"/>
      <c r="D4339" s="882"/>
      <c r="E4339" s="882"/>
      <c r="F4339" s="877"/>
      <c r="G4339" s="882"/>
      <c r="H4339" s="882"/>
      <c r="I4339" s="503"/>
      <c r="J4339" s="882"/>
      <c r="K4339" s="882"/>
      <c r="L4339" s="882"/>
      <c r="M4339" s="882"/>
      <c r="N4339" s="882"/>
      <c r="O4339" s="882"/>
      <c r="P4339" s="882"/>
      <c r="Q4339" s="503"/>
      <c r="R4339" s="883">
        <f>$A4339*Q4339</f>
        <v>0</v>
      </c>
      <c r="S4339" s="503"/>
      <c r="T4339" s="884">
        <f>$A4339*S4339*$T$1</f>
        <v>0</v>
      </c>
    </row>
    <row r="4340" spans="1:41" s="504" customFormat="1" ht="12.6" thickBot="1">
      <c r="A4340" s="885" t="s">
        <v>142</v>
      </c>
      <c r="B4340" s="886">
        <f>(R4339+T4339)</f>
        <v>0</v>
      </c>
      <c r="C4340" s="887"/>
      <c r="D4340" s="887"/>
      <c r="E4340" s="887"/>
      <c r="F4340" s="888"/>
      <c r="G4340" s="887" t="s">
        <v>143</v>
      </c>
      <c r="H4340" s="887"/>
      <c r="I4340" s="889"/>
      <c r="J4340" s="887"/>
      <c r="K4340" s="887" t="s">
        <v>9</v>
      </c>
      <c r="L4340" s="890" t="s">
        <v>140</v>
      </c>
      <c r="M4340" s="890"/>
      <c r="N4340" s="890"/>
      <c r="O4340" s="890"/>
      <c r="P4340" s="890"/>
      <c r="Q4340" s="891"/>
      <c r="R4340" s="892">
        <f>SUM(R4337:R4339)</f>
        <v>93.52</v>
      </c>
      <c r="S4340" s="887"/>
      <c r="T4340" s="892">
        <f>SUM(T4337:T4339)</f>
        <v>0</v>
      </c>
      <c r="U4340" s="514"/>
      <c r="V4340" s="514"/>
      <c r="W4340" s="514"/>
      <c r="X4340" s="514"/>
      <c r="Y4340" s="514"/>
      <c r="Z4340" s="514"/>
      <c r="AA4340" s="514"/>
      <c r="AB4340" s="514"/>
      <c r="AC4340" s="514"/>
      <c r="AD4340" s="514"/>
      <c r="AE4340" s="514"/>
      <c r="AF4340" s="514"/>
      <c r="AG4340" s="514"/>
      <c r="AH4340" s="514"/>
      <c r="AI4340" s="514"/>
      <c r="AJ4340" s="514"/>
      <c r="AK4340" s="514"/>
      <c r="AL4340" s="514"/>
      <c r="AM4340" s="514"/>
      <c r="AN4340" s="514"/>
      <c r="AO4340" s="514"/>
    </row>
    <row r="4341" spans="1:41" s="504" customFormat="1" ht="12" thickTop="1">
      <c r="A4341" s="50"/>
      <c r="B4341" s="40"/>
      <c r="C4341" s="50"/>
      <c r="E4341" s="41" t="s">
        <v>136</v>
      </c>
      <c r="F4341" s="41" t="s">
        <v>137</v>
      </c>
      <c r="G4341" s="50"/>
      <c r="H4341" s="50"/>
      <c r="I4341" s="50"/>
      <c r="J4341" s="50"/>
      <c r="K4341" s="50" t="s">
        <v>138</v>
      </c>
      <c r="L4341" s="50"/>
      <c r="M4341" s="50"/>
      <c r="N4341" s="50"/>
      <c r="O4341" s="51"/>
      <c r="P4341" s="50"/>
      <c r="Q4341" s="50"/>
      <c r="R4341" s="50"/>
      <c r="S4341" s="50"/>
      <c r="T4341" s="40"/>
      <c r="AG4341" s="867" t="s">
        <v>241</v>
      </c>
      <c r="AH4341" s="867" t="s">
        <v>242</v>
      </c>
      <c r="AI4341" s="867" t="s">
        <v>243</v>
      </c>
      <c r="AJ4341" s="867" t="s">
        <v>244</v>
      </c>
      <c r="AK4341" s="867" t="s">
        <v>245</v>
      </c>
      <c r="AM4341" s="868" t="s">
        <v>254</v>
      </c>
      <c r="AN4341" s="869" t="s">
        <v>255</v>
      </c>
      <c r="AO4341" s="505" t="s">
        <v>251</v>
      </c>
    </row>
    <row r="4342" spans="1:41" s="504" customFormat="1" ht="12" customHeight="1">
      <c r="A4342" s="870">
        <v>3</v>
      </c>
      <c r="B4342" s="506" t="s">
        <v>335</v>
      </c>
      <c r="C4342" s="872"/>
      <c r="D4342" s="873" t="s">
        <v>818</v>
      </c>
      <c r="E4342" s="1027">
        <f>IF(AND($A4342=0,$A$1="DIF"),0, ROUND(ROUND(($R4346*$S$5+($T4346*$T$5))/$A4342,2)*$C$5,2))</f>
        <v>62.82</v>
      </c>
      <c r="F4342" s="1028">
        <f>ROUND($A4342*$E4342,2)</f>
        <v>188.46</v>
      </c>
      <c r="G4342" s="876" t="s">
        <v>139</v>
      </c>
      <c r="H4342" s="877"/>
      <c r="I4342" s="878"/>
      <c r="J4342" s="877"/>
      <c r="K4342" s="877" t="s">
        <v>9</v>
      </c>
      <c r="L4342" s="879" t="s">
        <v>140</v>
      </c>
      <c r="M4342" s="879"/>
      <c r="N4342" s="879"/>
      <c r="O4342" s="879"/>
      <c r="P4342" s="879"/>
      <c r="Q4342" s="50"/>
      <c r="T4342" s="1032" t="str">
        <f>IF(AND($R4346=0,$T4346=0),"0.00","mu: "&amp; ROUND(F4342/$C$5/($R4346+$T4346*$D$9),2))</f>
        <v>mu: 1.07</v>
      </c>
      <c r="W4342" s="507"/>
      <c r="AG4342" s="1029">
        <f>IF($E4342=0,0,ROUND($R4346*$S$5*$C$5/$A4342,2))</f>
        <v>62.82</v>
      </c>
      <c r="AH4342" s="1029">
        <f>$AG4342*$A4342</f>
        <v>188.46</v>
      </c>
      <c r="AI4342" s="1030">
        <f>$E4342-$AG4342</f>
        <v>0</v>
      </c>
      <c r="AJ4342" s="1030">
        <f>$A4342*$AI4342</f>
        <v>0</v>
      </c>
      <c r="AK4342" s="1031">
        <f>ROUND(($AG4342+$AI4342)*$A4342,2)</f>
        <v>188.46</v>
      </c>
      <c r="AM4342" s="510">
        <f>ROUND(R4346,2)</f>
        <v>175.32</v>
      </c>
      <c r="AN4342" s="511">
        <f>ROUND(T4346,2)</f>
        <v>0</v>
      </c>
      <c r="AO4342" s="512">
        <f>ROUND(AM4342+AN4342,2)*A4342</f>
        <v>525.96</v>
      </c>
    </row>
    <row r="4343" spans="1:41" s="504" customFormat="1" ht="13.2">
      <c r="A4343" s="872"/>
      <c r="B4343"/>
      <c r="C4343" s="872"/>
      <c r="D4343" s="873" t="s">
        <v>513</v>
      </c>
      <c r="F4343" s="877"/>
      <c r="G4343" s="3"/>
      <c r="H4343" s="877"/>
      <c r="I4343" s="878"/>
      <c r="J4343" s="877"/>
      <c r="K4343" s="877" t="s">
        <v>141</v>
      </c>
      <c r="L4343" s="877"/>
      <c r="M4343" s="877"/>
      <c r="N4343" s="877"/>
      <c r="O4343" s="877"/>
      <c r="P4343" s="877"/>
      <c r="Q4343" s="50"/>
      <c r="R4343" s="513"/>
      <c r="S4343" s="881"/>
      <c r="T4343" s="877"/>
    </row>
    <row r="4344" spans="1:41" s="1039" customFormat="1" ht="13.2">
      <c r="A4344" s="112">
        <v>3</v>
      </c>
      <c r="B4344" s="1039" t="s">
        <v>949</v>
      </c>
      <c r="D4344" s="1039" t="s">
        <v>513</v>
      </c>
      <c r="G4344" s="1040" t="s">
        <v>1456</v>
      </c>
      <c r="H4344" s="1041">
        <v>725</v>
      </c>
      <c r="I4344" s="1039" t="s">
        <v>951</v>
      </c>
      <c r="O4344" s="1042">
        <v>3</v>
      </c>
      <c r="P4344" s="1043"/>
      <c r="Q4344" s="1044">
        <v>58.44</v>
      </c>
      <c r="R4344" s="1045">
        <f>$A4344*Q4344</f>
        <v>175.32</v>
      </c>
      <c r="S4344" s="1044"/>
      <c r="T4344" s="1046">
        <f>$A4344*S4344*$T$1</f>
        <v>0</v>
      </c>
    </row>
    <row r="4345" spans="1:41" s="504" customFormat="1" ht="12">
      <c r="A4345" s="882"/>
      <c r="B4345" s="882"/>
      <c r="C4345" s="882"/>
      <c r="D4345" s="882"/>
      <c r="E4345" s="882"/>
      <c r="F4345" s="877"/>
      <c r="G4345" s="882"/>
      <c r="H4345" s="882"/>
      <c r="I4345" s="503"/>
      <c r="J4345" s="882"/>
      <c r="K4345" s="882"/>
      <c r="L4345" s="882"/>
      <c r="M4345" s="882"/>
      <c r="N4345" s="882"/>
      <c r="O4345" s="882"/>
      <c r="P4345" s="882"/>
      <c r="Q4345" s="503"/>
      <c r="R4345" s="883">
        <f>$A4345*Q4345</f>
        <v>0</v>
      </c>
      <c r="S4345" s="503"/>
      <c r="T4345" s="884">
        <f>$A4345*S4345*$T$1</f>
        <v>0</v>
      </c>
    </row>
    <row r="4346" spans="1:41" s="504" customFormat="1" ht="12.6" thickBot="1">
      <c r="A4346" s="885" t="s">
        <v>142</v>
      </c>
      <c r="B4346" s="886">
        <f>(R4345+T4345)</f>
        <v>0</v>
      </c>
      <c r="C4346" s="887"/>
      <c r="D4346" s="887"/>
      <c r="E4346" s="887"/>
      <c r="F4346" s="888"/>
      <c r="G4346" s="887" t="s">
        <v>143</v>
      </c>
      <c r="H4346" s="887"/>
      <c r="I4346" s="889"/>
      <c r="J4346" s="887"/>
      <c r="K4346" s="887" t="s">
        <v>9</v>
      </c>
      <c r="L4346" s="890" t="s">
        <v>140</v>
      </c>
      <c r="M4346" s="890"/>
      <c r="N4346" s="890"/>
      <c r="O4346" s="890"/>
      <c r="P4346" s="890"/>
      <c r="Q4346" s="891"/>
      <c r="R4346" s="892">
        <f>SUM(R4343:R4345)</f>
        <v>175.32</v>
      </c>
      <c r="S4346" s="887"/>
      <c r="T4346" s="892">
        <f>SUM(T4343:T4345)</f>
        <v>0</v>
      </c>
      <c r="U4346" s="514"/>
      <c r="V4346" s="514"/>
      <c r="W4346" s="514"/>
      <c r="X4346" s="514"/>
      <c r="Y4346" s="514"/>
      <c r="Z4346" s="514"/>
      <c r="AA4346" s="514"/>
      <c r="AB4346" s="514"/>
      <c r="AC4346" s="514"/>
      <c r="AD4346" s="514"/>
      <c r="AE4346" s="514"/>
      <c r="AF4346" s="514"/>
      <c r="AG4346" s="514"/>
      <c r="AH4346" s="514"/>
      <c r="AI4346" s="514"/>
      <c r="AJ4346" s="514"/>
      <c r="AK4346" s="514"/>
      <c r="AL4346" s="514"/>
      <c r="AM4346" s="514"/>
      <c r="AN4346" s="514"/>
      <c r="AO4346" s="514"/>
    </row>
    <row r="4347" spans="1:41" s="504" customFormat="1" ht="12" thickTop="1">
      <c r="A4347" s="50"/>
      <c r="B4347" s="40"/>
      <c r="C4347" s="50"/>
      <c r="E4347" s="41" t="s">
        <v>136</v>
      </c>
      <c r="F4347" s="41" t="s">
        <v>137</v>
      </c>
      <c r="G4347" s="50"/>
      <c r="H4347" s="50"/>
      <c r="I4347" s="50"/>
      <c r="J4347" s="50"/>
      <c r="K4347" s="50" t="s">
        <v>138</v>
      </c>
      <c r="L4347" s="50"/>
      <c r="M4347" s="50"/>
      <c r="N4347" s="50"/>
      <c r="O4347" s="51"/>
      <c r="P4347" s="50"/>
      <c r="Q4347" s="50"/>
      <c r="R4347" s="50"/>
      <c r="S4347" s="50"/>
      <c r="T4347" s="40"/>
      <c r="AG4347" s="867" t="s">
        <v>241</v>
      </c>
      <c r="AH4347" s="867" t="s">
        <v>242</v>
      </c>
      <c r="AI4347" s="867" t="s">
        <v>243</v>
      </c>
      <c r="AJ4347" s="867" t="s">
        <v>244</v>
      </c>
      <c r="AK4347" s="867" t="s">
        <v>245</v>
      </c>
      <c r="AM4347" s="868" t="s">
        <v>254</v>
      </c>
      <c r="AN4347" s="869" t="s">
        <v>255</v>
      </c>
      <c r="AO4347" s="505" t="s">
        <v>251</v>
      </c>
    </row>
    <row r="4348" spans="1:41" s="504" customFormat="1" ht="12" customHeight="1">
      <c r="A4348" s="870">
        <v>1</v>
      </c>
      <c r="B4348" s="506" t="s">
        <v>335</v>
      </c>
      <c r="C4348" s="872"/>
      <c r="D4348" s="873" t="s">
        <v>836</v>
      </c>
      <c r="E4348" s="1027">
        <f>IF(AND($A4348=0,$A$1="DIF"),0, ROUND(ROUND(($R4352*$S$5+($T4352*$T$5))/$A4348,2)*$C$5,2))</f>
        <v>162.55000000000001</v>
      </c>
      <c r="F4348" s="1028">
        <f>ROUND($A4348*$E4348,2)</f>
        <v>162.55000000000001</v>
      </c>
      <c r="G4348" s="876" t="s">
        <v>139</v>
      </c>
      <c r="H4348" s="877"/>
      <c r="I4348" s="878"/>
      <c r="J4348" s="877"/>
      <c r="K4348" s="877" t="s">
        <v>9</v>
      </c>
      <c r="L4348" s="879" t="s">
        <v>140</v>
      </c>
      <c r="M4348" s="879"/>
      <c r="N4348" s="879"/>
      <c r="O4348" s="879"/>
      <c r="P4348" s="879"/>
      <c r="Q4348" s="50"/>
      <c r="T4348" s="1032" t="str">
        <f>IF(AND($R4352=0,$T4352=0),"0.00","mu: "&amp; ROUND(F4348/$C$5/($R4352+$T4352*$D$9),2))</f>
        <v>mu: 1.07</v>
      </c>
      <c r="W4348" s="507"/>
      <c r="AG4348" s="1029">
        <f>IF($E4348=0,0,ROUND($R4352*$S$5*$C$5/$A4348,2))</f>
        <v>162.55000000000001</v>
      </c>
      <c r="AH4348" s="1029">
        <f>$AG4348*$A4348</f>
        <v>162.55000000000001</v>
      </c>
      <c r="AI4348" s="1030">
        <f>$E4348-$AG4348</f>
        <v>0</v>
      </c>
      <c r="AJ4348" s="1030">
        <f>$A4348*$AI4348</f>
        <v>0</v>
      </c>
      <c r="AK4348" s="1031">
        <f>ROUND(($AG4348+$AI4348)*$A4348,2)</f>
        <v>162.55000000000001</v>
      </c>
      <c r="AM4348" s="510">
        <f>ROUND(R4352,2)</f>
        <v>151.21</v>
      </c>
      <c r="AN4348" s="511">
        <f>ROUND(T4352,2)</f>
        <v>0</v>
      </c>
      <c r="AO4348" s="512">
        <f>ROUND(AM4348+AN4348,2)*A4348</f>
        <v>151.21</v>
      </c>
    </row>
    <row r="4349" spans="1:41" s="504" customFormat="1" ht="13.2">
      <c r="A4349" s="872"/>
      <c r="B4349"/>
      <c r="C4349" s="872"/>
      <c r="D4349" s="873" t="s">
        <v>514</v>
      </c>
      <c r="F4349" s="877"/>
      <c r="G4349" s="3"/>
      <c r="H4349" s="877"/>
      <c r="I4349" s="878"/>
      <c r="J4349" s="877"/>
      <c r="K4349" s="877" t="s">
        <v>141</v>
      </c>
      <c r="L4349" s="877"/>
      <c r="M4349" s="877"/>
      <c r="N4349" s="877"/>
      <c r="O4349" s="877"/>
      <c r="P4349" s="877"/>
      <c r="Q4349" s="50"/>
      <c r="R4349" s="513"/>
      <c r="S4349" s="881"/>
      <c r="T4349" s="877"/>
    </row>
    <row r="4350" spans="1:41" s="1039" customFormat="1" ht="13.2">
      <c r="A4350" s="112">
        <v>1</v>
      </c>
      <c r="B4350" s="1039" t="s">
        <v>949</v>
      </c>
      <c r="D4350" s="1039" t="s">
        <v>514</v>
      </c>
      <c r="G4350" s="1040" t="s">
        <v>1456</v>
      </c>
      <c r="H4350" s="1041">
        <v>725</v>
      </c>
      <c r="I4350" s="1039" t="s">
        <v>951</v>
      </c>
      <c r="O4350" s="1042">
        <v>3</v>
      </c>
      <c r="P4350" s="1043"/>
      <c r="Q4350" s="1044">
        <v>151.21</v>
      </c>
      <c r="R4350" s="1045">
        <f>$A4350*Q4350</f>
        <v>151.21</v>
      </c>
      <c r="S4350" s="1044"/>
      <c r="T4350" s="1046">
        <f>$A4350*S4350*$T$1</f>
        <v>0</v>
      </c>
    </row>
    <row r="4351" spans="1:41" s="504" customFormat="1" ht="12">
      <c r="A4351" s="882"/>
      <c r="B4351" s="882"/>
      <c r="C4351" s="882"/>
      <c r="D4351" s="882"/>
      <c r="E4351" s="882"/>
      <c r="F4351" s="877"/>
      <c r="G4351" s="882"/>
      <c r="H4351" s="882"/>
      <c r="I4351" s="503"/>
      <c r="J4351" s="882"/>
      <c r="K4351" s="882"/>
      <c r="L4351" s="882"/>
      <c r="M4351" s="882"/>
      <c r="N4351" s="882"/>
      <c r="O4351" s="882"/>
      <c r="P4351" s="882"/>
      <c r="Q4351" s="503"/>
      <c r="R4351" s="883">
        <f>$A4351*Q4351</f>
        <v>0</v>
      </c>
      <c r="S4351" s="503"/>
      <c r="T4351" s="884">
        <f>$A4351*S4351*$T$1</f>
        <v>0</v>
      </c>
    </row>
    <row r="4352" spans="1:41" s="504" customFormat="1" ht="12.6" thickBot="1">
      <c r="A4352" s="885" t="s">
        <v>142</v>
      </c>
      <c r="B4352" s="886">
        <f>(R4351+T4351)</f>
        <v>0</v>
      </c>
      <c r="C4352" s="887"/>
      <c r="D4352" s="887"/>
      <c r="E4352" s="887"/>
      <c r="F4352" s="888"/>
      <c r="G4352" s="887" t="s">
        <v>143</v>
      </c>
      <c r="H4352" s="887"/>
      <c r="I4352" s="889"/>
      <c r="J4352" s="887"/>
      <c r="K4352" s="887" t="s">
        <v>9</v>
      </c>
      <c r="L4352" s="890" t="s">
        <v>140</v>
      </c>
      <c r="M4352" s="890"/>
      <c r="N4352" s="890"/>
      <c r="O4352" s="890"/>
      <c r="P4352" s="890"/>
      <c r="Q4352" s="891"/>
      <c r="R4352" s="892">
        <f>SUM(R4349:R4351)</f>
        <v>151.21</v>
      </c>
      <c r="S4352" s="887"/>
      <c r="T4352" s="892">
        <f>SUM(T4349:T4351)</f>
        <v>0</v>
      </c>
      <c r="U4352" s="514"/>
      <c r="V4352" s="514"/>
      <c r="W4352" s="514"/>
      <c r="X4352" s="514"/>
      <c r="Y4352" s="514"/>
      <c r="Z4352" s="514"/>
      <c r="AA4352" s="514"/>
      <c r="AB4352" s="514"/>
      <c r="AC4352" s="514"/>
      <c r="AD4352" s="514"/>
      <c r="AE4352" s="514"/>
      <c r="AF4352" s="514"/>
      <c r="AG4352" s="514"/>
      <c r="AH4352" s="514"/>
      <c r="AI4352" s="514"/>
      <c r="AJ4352" s="514"/>
      <c r="AK4352" s="514"/>
      <c r="AL4352" s="514"/>
      <c r="AM4352" s="514"/>
      <c r="AN4352" s="514"/>
      <c r="AO4352" s="514"/>
    </row>
    <row r="4353" spans="1:41" s="504" customFormat="1" ht="12" thickTop="1">
      <c r="A4353" s="50"/>
      <c r="B4353" s="40"/>
      <c r="C4353" s="50"/>
      <c r="E4353" s="41" t="s">
        <v>136</v>
      </c>
      <c r="F4353" s="41" t="s">
        <v>137</v>
      </c>
      <c r="G4353" s="50"/>
      <c r="H4353" s="50"/>
      <c r="I4353" s="50"/>
      <c r="J4353" s="50"/>
      <c r="K4353" s="50" t="s">
        <v>138</v>
      </c>
      <c r="L4353" s="50"/>
      <c r="M4353" s="50"/>
      <c r="N4353" s="50"/>
      <c r="O4353" s="51"/>
      <c r="P4353" s="50"/>
      <c r="Q4353" s="50"/>
      <c r="R4353" s="50"/>
      <c r="S4353" s="50"/>
      <c r="T4353" s="40"/>
      <c r="AG4353" s="867" t="s">
        <v>241</v>
      </c>
      <c r="AH4353" s="867" t="s">
        <v>242</v>
      </c>
      <c r="AI4353" s="867" t="s">
        <v>243</v>
      </c>
      <c r="AJ4353" s="867" t="s">
        <v>244</v>
      </c>
      <c r="AK4353" s="867" t="s">
        <v>245</v>
      </c>
      <c r="AM4353" s="868" t="s">
        <v>254</v>
      </c>
      <c r="AN4353" s="869" t="s">
        <v>255</v>
      </c>
      <c r="AO4353" s="505" t="s">
        <v>251</v>
      </c>
    </row>
    <row r="4354" spans="1:41" s="504" customFormat="1" ht="12" customHeight="1">
      <c r="A4354" s="870">
        <v>21</v>
      </c>
      <c r="B4354" s="506" t="s">
        <v>335</v>
      </c>
      <c r="C4354" s="872"/>
      <c r="D4354" s="873" t="s">
        <v>838</v>
      </c>
      <c r="E4354" s="1027">
        <f>IF(AND($A4354=0,$A$1="DIF"),0, ROUND(ROUND(($R4358*$S$5+($T4358*$T$5))/$A4354,2)*$C$5,2))</f>
        <v>32.67</v>
      </c>
      <c r="F4354" s="1028">
        <f>ROUND($A4354*$E4354,2)</f>
        <v>686.07</v>
      </c>
      <c r="G4354" s="876" t="s">
        <v>139</v>
      </c>
      <c r="H4354" s="877"/>
      <c r="I4354" s="878"/>
      <c r="J4354" s="877"/>
      <c r="K4354" s="877" t="s">
        <v>9</v>
      </c>
      <c r="L4354" s="879" t="s">
        <v>140</v>
      </c>
      <c r="M4354" s="879"/>
      <c r="N4354" s="879"/>
      <c r="O4354" s="879"/>
      <c r="P4354" s="879"/>
      <c r="Q4354" s="50"/>
      <c r="T4354" s="1032" t="str">
        <f>IF(AND($R4358=0,$T4358=0),"0.00","mu: "&amp; ROUND(F4354/$C$5/($R4358+$T4358*$D$9),2))</f>
        <v>mu: 1.08</v>
      </c>
      <c r="W4354" s="507"/>
      <c r="AG4354" s="1029">
        <f>IF($E4354=0,0,ROUND($R4358*$S$5*$C$5/$A4354,2))</f>
        <v>32.67</v>
      </c>
      <c r="AH4354" s="1029">
        <f>$AG4354*$A4354</f>
        <v>686.07</v>
      </c>
      <c r="AI4354" s="1030">
        <f>$E4354-$AG4354</f>
        <v>0</v>
      </c>
      <c r="AJ4354" s="1030">
        <f>$A4354*$AI4354</f>
        <v>0</v>
      </c>
      <c r="AK4354" s="1031">
        <f>ROUND(($AG4354+$AI4354)*$A4354,2)</f>
        <v>686.07</v>
      </c>
      <c r="AM4354" s="510">
        <f>ROUND(R4358,2)</f>
        <v>638.19000000000005</v>
      </c>
      <c r="AN4354" s="511">
        <f>ROUND(T4358,2)</f>
        <v>0</v>
      </c>
      <c r="AO4354" s="512">
        <f>ROUND(AM4354+AN4354,2)*A4354</f>
        <v>13401.990000000002</v>
      </c>
    </row>
    <row r="4355" spans="1:41" s="504" customFormat="1" ht="13.2">
      <c r="A4355" s="872"/>
      <c r="B4355"/>
      <c r="C4355" s="872"/>
      <c r="D4355" s="873" t="s">
        <v>515</v>
      </c>
      <c r="F4355" s="877"/>
      <c r="G4355" s="3"/>
      <c r="H4355" s="877"/>
      <c r="I4355" s="878"/>
      <c r="J4355" s="877"/>
      <c r="K4355" s="877" t="s">
        <v>141</v>
      </c>
      <c r="L4355" s="877"/>
      <c r="M4355" s="877"/>
      <c r="N4355" s="877"/>
      <c r="O4355" s="877"/>
      <c r="P4355" s="877"/>
      <c r="Q4355" s="50"/>
      <c r="R4355" s="513"/>
      <c r="S4355" s="881"/>
      <c r="T4355" s="877"/>
    </row>
    <row r="4356" spans="1:41" s="1039" customFormat="1" ht="13.2">
      <c r="A4356" s="112">
        <v>21</v>
      </c>
      <c r="B4356" s="1039" t="s">
        <v>949</v>
      </c>
      <c r="D4356" s="1039" t="s">
        <v>515</v>
      </c>
      <c r="G4356" s="1040" t="s">
        <v>1456</v>
      </c>
      <c r="H4356" s="1041">
        <v>725</v>
      </c>
      <c r="I4356" s="1039" t="s">
        <v>951</v>
      </c>
      <c r="O4356" s="1042">
        <v>3</v>
      </c>
      <c r="P4356" s="1043"/>
      <c r="Q4356" s="1044">
        <v>30.39</v>
      </c>
      <c r="R4356" s="1045">
        <f>$A4356*Q4356</f>
        <v>638.19000000000005</v>
      </c>
      <c r="S4356" s="1044"/>
      <c r="T4356" s="1046">
        <f>$A4356*S4356*$T$1</f>
        <v>0</v>
      </c>
    </row>
    <row r="4357" spans="1:41" s="504" customFormat="1" ht="12">
      <c r="A4357" s="882"/>
      <c r="B4357" s="882"/>
      <c r="C4357" s="882"/>
      <c r="D4357" s="882"/>
      <c r="E4357" s="882"/>
      <c r="F4357" s="877"/>
      <c r="G4357" s="882"/>
      <c r="H4357" s="882"/>
      <c r="I4357" s="503"/>
      <c r="J4357" s="882"/>
      <c r="K4357" s="882"/>
      <c r="L4357" s="882"/>
      <c r="M4357" s="882"/>
      <c r="N4357" s="882"/>
      <c r="O4357" s="882"/>
      <c r="P4357" s="882"/>
      <c r="Q4357" s="503"/>
      <c r="R4357" s="883">
        <f>$A4357*Q4357</f>
        <v>0</v>
      </c>
      <c r="S4357" s="503"/>
      <c r="T4357" s="884">
        <f>$A4357*S4357*$T$1</f>
        <v>0</v>
      </c>
    </row>
    <row r="4358" spans="1:41" s="504" customFormat="1" ht="12.6" thickBot="1">
      <c r="A4358" s="885" t="s">
        <v>142</v>
      </c>
      <c r="B4358" s="886">
        <f>(R4357+T4357)</f>
        <v>0</v>
      </c>
      <c r="C4358" s="887"/>
      <c r="D4358" s="887"/>
      <c r="E4358" s="887"/>
      <c r="F4358" s="888"/>
      <c r="G4358" s="887" t="s">
        <v>143</v>
      </c>
      <c r="H4358" s="887"/>
      <c r="I4358" s="889"/>
      <c r="J4358" s="887"/>
      <c r="K4358" s="887" t="s">
        <v>9</v>
      </c>
      <c r="L4358" s="890" t="s">
        <v>140</v>
      </c>
      <c r="M4358" s="890"/>
      <c r="N4358" s="890"/>
      <c r="O4358" s="890"/>
      <c r="P4358" s="890"/>
      <c r="Q4358" s="891"/>
      <c r="R4358" s="892">
        <f>SUM(R4355:R4357)</f>
        <v>638.19000000000005</v>
      </c>
      <c r="S4358" s="887"/>
      <c r="T4358" s="892">
        <f>SUM(T4355:T4357)</f>
        <v>0</v>
      </c>
      <c r="U4358" s="514"/>
      <c r="V4358" s="514"/>
      <c r="W4358" s="514"/>
      <c r="X4358" s="514"/>
      <c r="Y4358" s="514"/>
      <c r="Z4358" s="514"/>
      <c r="AA4358" s="514"/>
      <c r="AB4358" s="514"/>
      <c r="AC4358" s="514"/>
      <c r="AD4358" s="514"/>
      <c r="AE4358" s="514"/>
      <c r="AF4358" s="514"/>
      <c r="AG4358" s="514"/>
      <c r="AH4358" s="514"/>
      <c r="AI4358" s="514"/>
      <c r="AJ4358" s="514"/>
      <c r="AK4358" s="514"/>
      <c r="AL4358" s="514"/>
      <c r="AM4358" s="514"/>
      <c r="AN4358" s="514"/>
      <c r="AO4358" s="514"/>
    </row>
    <row r="4359" spans="1:41" s="504" customFormat="1" thickTop="1">
      <c r="A4359" s="50"/>
      <c r="B4359" s="40"/>
      <c r="C4359" s="50"/>
      <c r="E4359" s="41" t="s">
        <v>136</v>
      </c>
      <c r="F4359" s="41" t="s">
        <v>137</v>
      </c>
      <c r="G4359" s="50"/>
      <c r="H4359" s="50"/>
      <c r="I4359" s="50"/>
      <c r="J4359" s="50"/>
      <c r="K4359" s="50" t="s">
        <v>138</v>
      </c>
      <c r="L4359" s="1219"/>
      <c r="M4359" s="50"/>
      <c r="N4359" s="50"/>
      <c r="O4359" s="51"/>
      <c r="P4359" s="50"/>
      <c r="Q4359"/>
      <c r="R4359"/>
      <c r="S4359"/>
      <c r="T4359" s="40"/>
      <c r="AG4359" s="867" t="s">
        <v>241</v>
      </c>
      <c r="AH4359" s="867" t="s">
        <v>242</v>
      </c>
      <c r="AI4359" s="867" t="s">
        <v>243</v>
      </c>
      <c r="AJ4359" s="867" t="s">
        <v>244</v>
      </c>
      <c r="AK4359" s="867" t="s">
        <v>245</v>
      </c>
      <c r="AM4359" s="868" t="s">
        <v>254</v>
      </c>
      <c r="AN4359" s="869" t="s">
        <v>255</v>
      </c>
      <c r="AO4359" s="505" t="s">
        <v>251</v>
      </c>
    </row>
    <row r="4360" spans="1:41" s="504" customFormat="1" ht="13.2">
      <c r="A4360" s="870">
        <v>2</v>
      </c>
      <c r="B4360" s="506" t="s">
        <v>335</v>
      </c>
      <c r="C4360" s="872"/>
      <c r="D4360" s="873" t="s">
        <v>840</v>
      </c>
      <c r="E4360" s="1220">
        <f>IF(AND($A4360=0,$A$1="DIF"),0, ROUND(ROUND(SUMIF($L4362:$L4368,"SUBI",$E4362:$E4368)/$A4360,2)*$C$12,2))</f>
        <v>90.3</v>
      </c>
      <c r="F4360" s="1221">
        <f>ROUND($A4360*$E4360,2)</f>
        <v>180.6</v>
      </c>
      <c r="G4360" s="876" t="s">
        <v>139</v>
      </c>
      <c r="H4360" s="877"/>
      <c r="I4360" s="878"/>
      <c r="J4360" s="877"/>
      <c r="K4360" s="1222"/>
      <c r="L4360" s="1223" t="s">
        <v>140</v>
      </c>
      <c r="M4360" s="879"/>
      <c r="N4360" s="879"/>
      <c r="O4360" s="879"/>
      <c r="P4360" s="879"/>
      <c r="Q4360"/>
      <c r="R4360"/>
      <c r="S4360"/>
      <c r="T4360" s="1224" t="str">
        <f>IF(AND($R4374=0,$T4374=0),"0.00","mu :" &amp; ROUND($F4360/$C$12/($R4374+$T4374*$D$9),2))</f>
        <v>mu :1.11</v>
      </c>
      <c r="W4360" s="507"/>
      <c r="AG4360" s="1225">
        <f>IF(A4360=0,0,ROUND(SUM(AG4362:AG4374)/A4360,2))</f>
        <v>70.349999999999994</v>
      </c>
      <c r="AH4360" s="1225">
        <f>$AG4360*$A4360</f>
        <v>140.69999999999999</v>
      </c>
      <c r="AI4360" s="1225">
        <f>$E4360-$AG4360</f>
        <v>19.950000000000003</v>
      </c>
      <c r="AJ4360" s="1225">
        <f>$A4360*$AI4360</f>
        <v>39.900000000000006</v>
      </c>
      <c r="AK4360" s="1226">
        <f>ROUND(($AG4360+$AI4360)*$A4360,2)</f>
        <v>180.6</v>
      </c>
      <c r="AM4360" s="510">
        <f>ROUND(R4374,2)</f>
        <v>129.74</v>
      </c>
      <c r="AN4360" s="511">
        <f>ROUND(T4374,2)</f>
        <v>1.1299999999999999</v>
      </c>
      <c r="AO4360" s="512">
        <f>ROUND(AM4360+AN4360,2)*A4360</f>
        <v>261.74</v>
      </c>
    </row>
    <row r="4361" spans="1:41" s="504" customFormat="1" ht="13.2">
      <c r="A4361" s="872"/>
      <c r="B4361"/>
      <c r="C4361" s="872"/>
      <c r="D4361" s="873" t="s">
        <v>516</v>
      </c>
      <c r="F4361" s="877"/>
      <c r="G4361" s="877"/>
      <c r="H4361" s="877"/>
      <c r="I4361" s="878"/>
      <c r="J4361" s="877"/>
      <c r="K4361" s="877" t="s">
        <v>141</v>
      </c>
      <c r="L4361" s="1227"/>
      <c r="M4361" s="877"/>
      <c r="N4361" s="877"/>
      <c r="O4361" s="877"/>
      <c r="P4361" s="877"/>
      <c r="Q4361" s="50"/>
      <c r="R4361" s="513"/>
      <c r="S4361" s="881"/>
      <c r="T4361" s="877"/>
    </row>
    <row r="4362" spans="1:41" s="504" customFormat="1" ht="12">
      <c r="A4362" s="1228"/>
      <c r="B4362" s="1229"/>
      <c r="C4362" s="882"/>
      <c r="D4362" s="877"/>
      <c r="E4362" s="1230">
        <f>F4360/$C$12-SUMIF($L4359:$L4374,"SUBI",$E4359:$E4374)</f>
        <v>9.9999999999909051E-3</v>
      </c>
      <c r="F4362" s="1231" t="s">
        <v>1472</v>
      </c>
      <c r="G4362" s="1232"/>
      <c r="H4362" s="1232"/>
      <c r="I4362" s="1233"/>
      <c r="J4362" s="1232"/>
      <c r="K4362" s="1232"/>
      <c r="L4362" s="1234"/>
      <c r="M4362" s="1235"/>
      <c r="N4362" s="1235"/>
      <c r="O4362" s="1235"/>
      <c r="P4362" s="1235"/>
      <c r="Q4362" s="1236"/>
      <c r="R4362" s="1237"/>
      <c r="S4362" s="1236"/>
      <c r="T4362" s="1238"/>
    </row>
    <row r="4363" spans="1:41" s="504" customFormat="1" ht="12" customHeight="1">
      <c r="A4363" s="1239"/>
      <c r="B4363" s="1285"/>
      <c r="C4363" s="1286"/>
      <c r="D4363" s="1286" t="str">
        <f>$F$5</f>
        <v>ELV Sub-Contractor - APCO</v>
      </c>
      <c r="E4363" s="1286">
        <f>ROUND(($R4367*$S$5 + ($T4367*$T$5)),2)</f>
        <v>130.38</v>
      </c>
      <c r="F4363" s="1287">
        <f>$E4363*$C$12</f>
        <v>130.38</v>
      </c>
      <c r="G4363" s="513"/>
      <c r="H4363" s="1241"/>
      <c r="I4363" s="513"/>
      <c r="J4363" s="51"/>
      <c r="K4363" s="1242" t="s">
        <v>9</v>
      </c>
      <c r="L4363" s="1243" t="s">
        <v>1473</v>
      </c>
      <c r="M4363" s="513"/>
      <c r="N4363" s="513"/>
      <c r="O4363" s="51"/>
      <c r="P4363" s="513"/>
      <c r="Q4363" s="513"/>
      <c r="R4363"/>
      <c r="S4363"/>
      <c r="T4363"/>
    </row>
    <row r="4364" spans="1:41" s="504" customFormat="1" ht="13.95" customHeight="1">
      <c r="A4364" s="930"/>
      <c r="B4364" s="1244" t="s">
        <v>1474</v>
      </c>
      <c r="C4364" s="513"/>
      <c r="D4364" s="513"/>
      <c r="E4364" s="513"/>
      <c r="F4364" s="513"/>
      <c r="G4364" s="513"/>
      <c r="H4364" s="1241"/>
      <c r="I4364" s="513"/>
      <c r="J4364" s="51"/>
      <c r="K4364" s="1245"/>
      <c r="L4364" s="1246"/>
      <c r="M4364" s="513"/>
      <c r="N4364" s="513"/>
      <c r="O4364" s="51"/>
      <c r="P4364" s="513"/>
      <c r="Q4364" s="513"/>
      <c r="R4364" s="1247">
        <f>$A4364*Q4364</f>
        <v>0</v>
      </c>
      <c r="S4364" s="513"/>
      <c r="T4364" s="884">
        <f>$A4364*S4364*$T$1</f>
        <v>0</v>
      </c>
    </row>
    <row r="4365" spans="1:41" s="1039" customFormat="1" ht="13.2">
      <c r="A4365" s="112">
        <v>2</v>
      </c>
      <c r="B4365" s="1039" t="s">
        <v>949</v>
      </c>
      <c r="D4365" s="1039" t="s">
        <v>516</v>
      </c>
      <c r="G4365" s="1040" t="s">
        <v>1456</v>
      </c>
      <c r="H4365" s="1041">
        <v>725</v>
      </c>
      <c r="I4365" s="1039" t="s">
        <v>951</v>
      </c>
      <c r="O4365" s="1042">
        <v>3</v>
      </c>
      <c r="P4365" s="1043"/>
      <c r="Q4365" s="1044">
        <v>60.64</v>
      </c>
      <c r="R4365" s="1045">
        <f>$A4365*Q4365</f>
        <v>121.28</v>
      </c>
      <c r="S4365" s="1044"/>
      <c r="T4365" s="1046">
        <f>$A4365*S4365*$T$1</f>
        <v>0</v>
      </c>
    </row>
    <row r="4366" spans="1:41" s="504" customFormat="1" ht="13.95" customHeight="1">
      <c r="A4366" s="930"/>
      <c r="B4366" s="513"/>
      <c r="C4366" s="513"/>
      <c r="D4366" s="513"/>
      <c r="E4366" s="513"/>
      <c r="F4366" s="513"/>
      <c r="G4366" s="513"/>
      <c r="H4366" s="1241"/>
      <c r="I4366" s="513"/>
      <c r="J4366" s="51"/>
      <c r="K4366" s="1245"/>
      <c r="L4366" s="1246"/>
      <c r="M4366" s="513"/>
      <c r="N4366" s="513"/>
      <c r="O4366" s="51"/>
      <c r="P4366" s="513"/>
      <c r="Q4366" s="513"/>
      <c r="R4366" s="1247">
        <f>$A4366*Q4366</f>
        <v>0</v>
      </c>
      <c r="S4366" s="513"/>
      <c r="T4366" s="884">
        <f>$A4366*S4366*$T$1</f>
        <v>0</v>
      </c>
    </row>
    <row r="4367" spans="1:41" s="504" customFormat="1" ht="12">
      <c r="A4367" s="1248" t="s">
        <v>142</v>
      </c>
      <c r="B4367" s="1249">
        <f>(R4366+T4366)</f>
        <v>0</v>
      </c>
      <c r="C4367" s="882"/>
      <c r="G4367" s="1250"/>
      <c r="H4367" s="1250"/>
      <c r="I4367" s="1250"/>
      <c r="J4367" s="1250"/>
      <c r="K4367" s="1251" t="s">
        <v>9</v>
      </c>
      <c r="L4367" s="1252" t="s">
        <v>1473</v>
      </c>
      <c r="M4367" s="1250"/>
      <c r="N4367" s="1250"/>
      <c r="O4367" s="1250"/>
      <c r="P4367" s="1250"/>
      <c r="Q4367" s="1253"/>
      <c r="R4367" s="1254">
        <f>SUM(R4363:R4366)</f>
        <v>121.28</v>
      </c>
      <c r="S4367" s="1255"/>
      <c r="T4367" s="1254">
        <f>SUM(T4363:T4366)</f>
        <v>0</v>
      </c>
      <c r="AG4367" s="1288">
        <f>ROUND($R4367*$S$5,2)</f>
        <v>130.38</v>
      </c>
    </row>
    <row r="4368" spans="1:41" s="504" customFormat="1" ht="12" customHeight="1">
      <c r="A4368" s="1257"/>
      <c r="B4368" s="1289"/>
      <c r="C4368" s="1240"/>
      <c r="D4368" s="1240" t="str">
        <f>$F$2</f>
        <v>Electrical</v>
      </c>
      <c r="E4368" s="1240">
        <f>ROUND(($R4372*$S$2 + ($T4372*$T$2)),2)</f>
        <v>50.21</v>
      </c>
      <c r="F4368" s="1290">
        <f ca="1">$F4360-SUMIF($L4362:$P4365,"SUBI",$F4362:$F4365)</f>
        <v>50.22</v>
      </c>
      <c r="G4368" s="503"/>
      <c r="H4368" s="503"/>
      <c r="I4368" s="503"/>
      <c r="J4368" s="503"/>
      <c r="K4368" s="1242" t="s">
        <v>3</v>
      </c>
      <c r="L4368" s="1243" t="s">
        <v>1473</v>
      </c>
      <c r="M4368" s="503"/>
      <c r="N4368" s="503"/>
      <c r="O4368" s="503"/>
      <c r="P4368" s="503"/>
      <c r="Q4368" s="503"/>
      <c r="R4368" s="1258"/>
      <c r="S4368" s="503"/>
      <c r="T4368" s="1258"/>
    </row>
    <row r="4369" spans="1:41" s="1271" customFormat="1" ht="14.4" customHeight="1">
      <c r="A4369" s="1259"/>
      <c r="B4369" s="1244" t="s">
        <v>1475</v>
      </c>
      <c r="C4369" s="1260"/>
      <c r="D4369" s="1261"/>
      <c r="E4369" s="1261"/>
      <c r="F4369" s="1261"/>
      <c r="G4369" s="1262"/>
      <c r="H4369" s="1263"/>
      <c r="I4369" s="1263"/>
      <c r="J4369" s="1264"/>
      <c r="K4369" s="1265"/>
      <c r="L4369" s="1260"/>
      <c r="M4369" s="1266"/>
      <c r="N4369" s="1267"/>
      <c r="O4369" s="1268"/>
      <c r="P4369" s="1269"/>
      <c r="Q4369" s="1270"/>
      <c r="R4369" s="1247">
        <f>$A4369*Q4369</f>
        <v>0</v>
      </c>
      <c r="S4369" s="513"/>
      <c r="T4369" s="884">
        <f>$A4369*S4369*$T$1</f>
        <v>0</v>
      </c>
    </row>
    <row r="4370" spans="1:41" s="1039" customFormat="1" ht="13.2">
      <c r="A4370" s="112">
        <f>2*3</f>
        <v>6</v>
      </c>
      <c r="B4370" s="1039" t="s">
        <v>326</v>
      </c>
      <c r="D4370" s="1039" t="s">
        <v>1224</v>
      </c>
      <c r="G4370" s="1040" t="s">
        <v>1221</v>
      </c>
      <c r="H4370" s="1041">
        <v>700</v>
      </c>
      <c r="I4370" s="1039" t="s">
        <v>1132</v>
      </c>
      <c r="J4370" s="1039" t="s">
        <v>1222</v>
      </c>
      <c r="O4370" s="1042">
        <v>1</v>
      </c>
      <c r="P4370" s="1043">
        <v>42213</v>
      </c>
      <c r="Q4370" s="1044">
        <v>1.41</v>
      </c>
      <c r="R4370" s="1045">
        <f>$A4370*Q4370</f>
        <v>8.4599999999999991</v>
      </c>
      <c r="S4370" s="1044">
        <v>0.18</v>
      </c>
      <c r="T4370" s="1046">
        <f>$A4370*S4370*$T$1</f>
        <v>1.1340000000000001</v>
      </c>
    </row>
    <row r="4371" spans="1:41" s="504" customFormat="1" ht="13.2">
      <c r="A4371" s="930"/>
      <c r="B4371" s="513"/>
      <c r="C4371" s="513"/>
      <c r="D4371" s="3"/>
      <c r="E4371" s="513"/>
      <c r="F4371" s="513"/>
      <c r="G4371" s="513"/>
      <c r="H4371" s="513"/>
      <c r="I4371" s="513"/>
      <c r="J4371" s="513"/>
      <c r="K4371" s="513"/>
      <c r="L4371" s="1246"/>
      <c r="M4371" s="513"/>
      <c r="N4371" s="513"/>
      <c r="O4371" s="513"/>
      <c r="P4371" s="513"/>
      <c r="Q4371" s="513"/>
      <c r="R4371" s="1247">
        <f>$A4371*Q4371</f>
        <v>0</v>
      </c>
      <c r="S4371" s="513"/>
      <c r="T4371" s="884">
        <f>$A4371*S4371*$T$1</f>
        <v>0</v>
      </c>
    </row>
    <row r="4372" spans="1:41" s="504" customFormat="1" ht="12" customHeight="1">
      <c r="A4372" s="1272" t="s">
        <v>142</v>
      </c>
      <c r="B4372" s="1273">
        <f>(R4371+T4371)</f>
        <v>0</v>
      </c>
      <c r="C4372" s="1274"/>
      <c r="D4372" s="1274"/>
      <c r="E4372" s="1274"/>
      <c r="F4372" s="1274"/>
      <c r="G4372" s="1253"/>
      <c r="H4372" s="1253"/>
      <c r="I4372" s="1253"/>
      <c r="J4372" s="1253"/>
      <c r="K4372" s="1275" t="s">
        <v>3</v>
      </c>
      <c r="L4372" s="1276" t="s">
        <v>1473</v>
      </c>
      <c r="M4372" s="1253"/>
      <c r="N4372" s="1253"/>
      <c r="O4372" s="1253"/>
      <c r="P4372" s="1253"/>
      <c r="Q4372" s="1253"/>
      <c r="R4372" s="1254">
        <f>SUM(R4368:R4371)</f>
        <v>8.4599999999999991</v>
      </c>
      <c r="S4372" s="1255"/>
      <c r="T4372" s="1254">
        <f>SUM(T4368:T4371)</f>
        <v>1.1340000000000001</v>
      </c>
      <c r="AG4372" s="1256">
        <f>ROUND($R4372*$S$2,2)</f>
        <v>10.32</v>
      </c>
    </row>
    <row r="4373" spans="1:41" s="504" customFormat="1" ht="12.75" customHeight="1">
      <c r="A4373" s="1277"/>
      <c r="B4373" s="1278"/>
      <c r="E4373" s="882"/>
      <c r="F4373" s="1279"/>
      <c r="G4373" s="882"/>
      <c r="H4373" s="882"/>
      <c r="I4373" s="503"/>
      <c r="J4373" s="882"/>
      <c r="K4373" s="882"/>
      <c r="L4373" s="1280"/>
      <c r="M4373" s="933"/>
      <c r="N4373" s="933"/>
      <c r="O4373" s="933"/>
      <c r="P4373" s="933"/>
      <c r="Q4373" s="900"/>
      <c r="R4373" s="1258"/>
      <c r="S4373" s="882"/>
      <c r="T4373" s="1258"/>
    </row>
    <row r="4374" spans="1:41" s="504" customFormat="1" ht="13.5" customHeight="1" thickBot="1">
      <c r="A4374" s="1281"/>
      <c r="B4374" s="1282"/>
      <c r="C4374" s="514"/>
      <c r="D4374" s="514"/>
      <c r="E4374" s="887"/>
      <c r="F4374" s="888"/>
      <c r="G4374" s="887" t="s">
        <v>143</v>
      </c>
      <c r="H4374" s="887"/>
      <c r="I4374" s="889"/>
      <c r="J4374" s="887"/>
      <c r="K4374" s="887"/>
      <c r="L4374" s="1283" t="s">
        <v>140</v>
      </c>
      <c r="M4374" s="890"/>
      <c r="N4374" s="890"/>
      <c r="O4374" s="890"/>
      <c r="P4374" s="890"/>
      <c r="Q4374" s="891"/>
      <c r="R4374" s="1284">
        <f>SUMIF($L4361:$L4373,"SUBI",R4361:R4373)</f>
        <v>129.74</v>
      </c>
      <c r="S4374" s="887"/>
      <c r="T4374" s="1284">
        <f>SUMIF($L4361:$L4373,"SUBI",T4361:T4373)</f>
        <v>1.1340000000000001</v>
      </c>
      <c r="U4374" s="514"/>
      <c r="V4374" s="514"/>
      <c r="W4374" s="514"/>
      <c r="X4374" s="514"/>
      <c r="Y4374" s="514"/>
      <c r="Z4374" s="514"/>
      <c r="AA4374" s="514"/>
      <c r="AB4374" s="514"/>
      <c r="AC4374" s="514"/>
      <c r="AD4374" s="514"/>
      <c r="AE4374" s="514"/>
      <c r="AF4374" s="514"/>
      <c r="AG4374" s="514"/>
      <c r="AH4374" s="514"/>
      <c r="AI4374" s="514"/>
      <c r="AJ4374" s="514"/>
      <c r="AK4374" s="514"/>
      <c r="AL4374" s="514"/>
      <c r="AM4374" s="514"/>
      <c r="AN4374" s="514"/>
      <c r="AO4374" s="514"/>
    </row>
    <row r="4375" spans="1:41" s="504" customFormat="1" thickTop="1">
      <c r="A4375" s="50"/>
      <c r="B4375" s="40"/>
      <c r="C4375" s="50"/>
      <c r="E4375" s="41" t="s">
        <v>136</v>
      </c>
      <c r="F4375" s="41" t="s">
        <v>137</v>
      </c>
      <c r="G4375" s="50"/>
      <c r="H4375" s="50"/>
      <c r="I4375" s="50"/>
      <c r="J4375" s="50"/>
      <c r="K4375" s="50" t="s">
        <v>138</v>
      </c>
      <c r="L4375" s="1219"/>
      <c r="M4375" s="50"/>
      <c r="N4375" s="50"/>
      <c r="O4375" s="51"/>
      <c r="P4375" s="50"/>
      <c r="Q4375"/>
      <c r="R4375"/>
      <c r="S4375"/>
      <c r="T4375" s="40"/>
      <c r="AG4375" s="867" t="s">
        <v>241</v>
      </c>
      <c r="AH4375" s="867" t="s">
        <v>242</v>
      </c>
      <c r="AI4375" s="867" t="s">
        <v>243</v>
      </c>
      <c r="AJ4375" s="867" t="s">
        <v>244</v>
      </c>
      <c r="AK4375" s="867" t="s">
        <v>245</v>
      </c>
      <c r="AM4375" s="868" t="s">
        <v>254</v>
      </c>
      <c r="AN4375" s="869" t="s">
        <v>255</v>
      </c>
      <c r="AO4375" s="505" t="s">
        <v>251</v>
      </c>
    </row>
    <row r="4376" spans="1:41" s="504" customFormat="1" ht="13.2">
      <c r="A4376" s="870">
        <v>3</v>
      </c>
      <c r="B4376" s="506" t="s">
        <v>335</v>
      </c>
      <c r="C4376" s="872"/>
      <c r="D4376" s="873" t="s">
        <v>842</v>
      </c>
      <c r="E4376" s="1220">
        <f>IF(AND($A4376=0,$A$1="DIF"),0, ROUND(ROUND(SUMIF($L4378:$L4384,"SUBI",$E4378:$E4384)/$A4376,2)*$C$12,2))</f>
        <v>341.21</v>
      </c>
      <c r="F4376" s="1221">
        <f>ROUND($A4376*$E4376,2)</f>
        <v>1023.63</v>
      </c>
      <c r="G4376" s="876" t="s">
        <v>139</v>
      </c>
      <c r="H4376" s="877"/>
      <c r="I4376" s="878"/>
      <c r="J4376" s="877"/>
      <c r="K4376" s="1222"/>
      <c r="L4376" s="1223" t="s">
        <v>140</v>
      </c>
      <c r="M4376" s="879"/>
      <c r="N4376" s="879"/>
      <c r="O4376" s="879"/>
      <c r="P4376" s="879"/>
      <c r="Q4376"/>
      <c r="R4376"/>
      <c r="S4376"/>
      <c r="T4376" s="1224" t="str">
        <f>IF(AND($R4390=0,$T4390=0),"0.00","mu :" &amp; ROUND($F4376/$C$12/($R4390+$T4390*$D$9),2))</f>
        <v>mu :1.08</v>
      </c>
      <c r="W4376" s="507"/>
      <c r="AG4376" s="1225">
        <f>IF(A4376=0,0,ROUND(SUM(AG4378:AG4390)/A4376,2))</f>
        <v>327.92</v>
      </c>
      <c r="AH4376" s="1225">
        <f>$AG4376*$A4376</f>
        <v>983.76</v>
      </c>
      <c r="AI4376" s="1225">
        <f>$E4376-$AG4376</f>
        <v>13.289999999999964</v>
      </c>
      <c r="AJ4376" s="1225">
        <f>$A4376*$AI4376</f>
        <v>39.869999999999891</v>
      </c>
      <c r="AK4376" s="1226">
        <f>ROUND(($AG4376+$AI4376)*$A4376,2)</f>
        <v>1023.63</v>
      </c>
      <c r="AM4376" s="510">
        <f>ROUND(R4390,2)</f>
        <v>913.98</v>
      </c>
      <c r="AN4376" s="511">
        <f>ROUND(T4390,2)</f>
        <v>1.1299999999999999</v>
      </c>
      <c r="AO4376" s="512">
        <f>ROUND(AM4376+AN4376,2)*A4376</f>
        <v>2745.33</v>
      </c>
    </row>
    <row r="4377" spans="1:41" s="504" customFormat="1" ht="13.2">
      <c r="A4377" s="872"/>
      <c r="B4377"/>
      <c r="C4377" s="872"/>
      <c r="D4377" s="873" t="s">
        <v>517</v>
      </c>
      <c r="F4377" s="877"/>
      <c r="G4377" s="877"/>
      <c r="H4377" s="877"/>
      <c r="I4377" s="878"/>
      <c r="J4377" s="877"/>
      <c r="K4377" s="877" t="s">
        <v>141</v>
      </c>
      <c r="L4377" s="1227"/>
      <c r="M4377" s="877"/>
      <c r="N4377" s="877"/>
      <c r="O4377" s="877"/>
      <c r="P4377" s="877"/>
      <c r="Q4377" s="50"/>
      <c r="R4377" s="513"/>
      <c r="S4377" s="881"/>
      <c r="T4377" s="877"/>
    </row>
    <row r="4378" spans="1:41" s="504" customFormat="1" ht="12">
      <c r="A4378" s="1228"/>
      <c r="B4378" s="1229"/>
      <c r="C4378" s="882"/>
      <c r="D4378" s="877"/>
      <c r="E4378" s="1230">
        <f>F4376/$C$12-SUMIF($L4375:$L4390,"SUBI",$E4375:$E4390)</f>
        <v>-9.9999999999909051E-3</v>
      </c>
      <c r="F4378" s="1231" t="s">
        <v>1472</v>
      </c>
      <c r="G4378" s="1232"/>
      <c r="H4378" s="1232"/>
      <c r="I4378" s="1233"/>
      <c r="J4378" s="1232"/>
      <c r="K4378" s="1232"/>
      <c r="L4378" s="1234"/>
      <c r="M4378" s="1235"/>
      <c r="N4378" s="1235"/>
      <c r="O4378" s="1235"/>
      <c r="P4378" s="1235"/>
      <c r="Q4378" s="1236"/>
      <c r="R4378" s="1237"/>
      <c r="S4378" s="1236"/>
      <c r="T4378" s="1238"/>
    </row>
    <row r="4379" spans="1:41" s="504" customFormat="1" ht="12" customHeight="1">
      <c r="A4379" s="1239"/>
      <c r="B4379" s="1285"/>
      <c r="C4379" s="1286"/>
      <c r="D4379" s="1286" t="str">
        <f>$F$5</f>
        <v>ELV Sub-Contractor - APCO</v>
      </c>
      <c r="E4379" s="1286">
        <f>ROUND(($R4383*$S$5 + ($T4383*$T$5)),2)</f>
        <v>973.43</v>
      </c>
      <c r="F4379" s="1287">
        <f>$E4379*$C$12</f>
        <v>973.43</v>
      </c>
      <c r="G4379" s="513"/>
      <c r="H4379" s="1241"/>
      <c r="I4379" s="513"/>
      <c r="J4379" s="51"/>
      <c r="K4379" s="1242" t="s">
        <v>9</v>
      </c>
      <c r="L4379" s="1243" t="s">
        <v>1473</v>
      </c>
      <c r="M4379" s="513"/>
      <c r="N4379" s="513"/>
      <c r="O4379" s="51"/>
      <c r="P4379" s="513"/>
      <c r="Q4379" s="513"/>
      <c r="R4379"/>
      <c r="S4379"/>
      <c r="T4379"/>
    </row>
    <row r="4380" spans="1:41" s="504" customFormat="1" ht="13.95" customHeight="1">
      <c r="A4380" s="930"/>
      <c r="B4380" s="1244" t="s">
        <v>1474</v>
      </c>
      <c r="C4380" s="513"/>
      <c r="D4380" s="513"/>
      <c r="E4380" s="513"/>
      <c r="F4380" s="513"/>
      <c r="G4380" s="513"/>
      <c r="H4380" s="1241"/>
      <c r="I4380" s="513"/>
      <c r="J4380" s="51"/>
      <c r="K4380" s="1245"/>
      <c r="L4380" s="1246"/>
      <c r="M4380" s="513"/>
      <c r="N4380" s="513"/>
      <c r="O4380" s="51"/>
      <c r="P4380" s="513"/>
      <c r="Q4380" s="513"/>
      <c r="R4380" s="1247">
        <f>$A4380*Q4380</f>
        <v>0</v>
      </c>
      <c r="S4380" s="513"/>
      <c r="T4380" s="884">
        <f>$A4380*S4380*$T$1</f>
        <v>0</v>
      </c>
    </row>
    <row r="4381" spans="1:41" s="1039" customFormat="1" ht="13.2">
      <c r="A4381" s="112">
        <v>3</v>
      </c>
      <c r="B4381" s="1039" t="s">
        <v>949</v>
      </c>
      <c r="D4381" s="1039" t="s">
        <v>517</v>
      </c>
      <c r="G4381" s="1040" t="s">
        <v>1456</v>
      </c>
      <c r="H4381" s="1041">
        <v>725</v>
      </c>
      <c r="I4381" s="1039" t="s">
        <v>951</v>
      </c>
      <c r="O4381" s="1042">
        <v>3</v>
      </c>
      <c r="P4381" s="1043"/>
      <c r="Q4381" s="1044">
        <v>301.83999999999997</v>
      </c>
      <c r="R4381" s="1045">
        <f>$A4381*Q4381</f>
        <v>905.52</v>
      </c>
      <c r="S4381" s="1044"/>
      <c r="T4381" s="1046">
        <f>$A4381*S4381*$T$1</f>
        <v>0</v>
      </c>
    </row>
    <row r="4382" spans="1:41" s="504" customFormat="1" ht="13.95" customHeight="1">
      <c r="A4382" s="930"/>
      <c r="B4382" s="513"/>
      <c r="C4382" s="513"/>
      <c r="D4382" s="513"/>
      <c r="E4382" s="513"/>
      <c r="F4382" s="513"/>
      <c r="G4382" s="513"/>
      <c r="H4382" s="1241"/>
      <c r="I4382" s="513"/>
      <c r="J4382" s="51"/>
      <c r="K4382" s="1245"/>
      <c r="L4382" s="1246"/>
      <c r="M4382" s="513"/>
      <c r="N4382" s="513"/>
      <c r="O4382" s="51"/>
      <c r="P4382" s="513"/>
      <c r="Q4382" s="513"/>
      <c r="R4382" s="1247">
        <f>$A4382*Q4382</f>
        <v>0</v>
      </c>
      <c r="S4382" s="513"/>
      <c r="T4382" s="884">
        <f>$A4382*S4382*$T$1</f>
        <v>0</v>
      </c>
    </row>
    <row r="4383" spans="1:41" s="504" customFormat="1" ht="12">
      <c r="A4383" s="1248" t="s">
        <v>142</v>
      </c>
      <c r="B4383" s="1249">
        <f>(R4382+T4382)</f>
        <v>0</v>
      </c>
      <c r="C4383" s="882"/>
      <c r="G4383" s="1250"/>
      <c r="H4383" s="1250"/>
      <c r="I4383" s="1250"/>
      <c r="J4383" s="1250"/>
      <c r="K4383" s="1251" t="s">
        <v>9</v>
      </c>
      <c r="L4383" s="1252" t="s">
        <v>1473</v>
      </c>
      <c r="M4383" s="1250"/>
      <c r="N4383" s="1250"/>
      <c r="O4383" s="1250"/>
      <c r="P4383" s="1250"/>
      <c r="Q4383" s="1253"/>
      <c r="R4383" s="1254">
        <f>SUM(R4379:R4382)</f>
        <v>905.52</v>
      </c>
      <c r="S4383" s="1255"/>
      <c r="T4383" s="1254">
        <f>SUM(T4379:T4382)</f>
        <v>0</v>
      </c>
      <c r="AG4383" s="1288">
        <f>ROUND($R4383*$S$5,2)</f>
        <v>973.43</v>
      </c>
    </row>
    <row r="4384" spans="1:41" s="504" customFormat="1" ht="12" customHeight="1">
      <c r="A4384" s="1257"/>
      <c r="B4384" s="1289"/>
      <c r="C4384" s="1240"/>
      <c r="D4384" s="1240" t="str">
        <f>$F$2</f>
        <v>Electrical</v>
      </c>
      <c r="E4384" s="1240">
        <f>ROUND(($R4388*$S$2 + ($T4388*$T$2)),2)</f>
        <v>50.21</v>
      </c>
      <c r="F4384" s="1290">
        <f ca="1">$F4376-SUMIF($L4378:$P4381,"SUBI",$F4378:$F4381)</f>
        <v>50.200000000000045</v>
      </c>
      <c r="G4384" s="503"/>
      <c r="H4384" s="503"/>
      <c r="I4384" s="503"/>
      <c r="J4384" s="503"/>
      <c r="K4384" s="1242" t="s">
        <v>3</v>
      </c>
      <c r="L4384" s="1243" t="s">
        <v>1473</v>
      </c>
      <c r="M4384" s="503"/>
      <c r="N4384" s="503"/>
      <c r="O4384" s="503"/>
      <c r="P4384" s="503"/>
      <c r="Q4384" s="503"/>
      <c r="R4384" s="1258"/>
      <c r="S4384" s="503"/>
      <c r="T4384" s="1258"/>
    </row>
    <row r="4385" spans="1:41" s="1271" customFormat="1" ht="14.4" customHeight="1">
      <c r="A4385" s="1259"/>
      <c r="B4385" s="1244" t="s">
        <v>1475</v>
      </c>
      <c r="C4385" s="1260"/>
      <c r="D4385" s="1261"/>
      <c r="E4385" s="1261"/>
      <c r="F4385" s="1261"/>
      <c r="G4385" s="1262"/>
      <c r="H4385" s="1263"/>
      <c r="I4385" s="1263"/>
      <c r="J4385" s="1264"/>
      <c r="K4385" s="1265"/>
      <c r="L4385" s="1260"/>
      <c r="M4385" s="1266"/>
      <c r="N4385" s="1267"/>
      <c r="O4385" s="1268"/>
      <c r="P4385" s="1269"/>
      <c r="Q4385" s="1270"/>
      <c r="R4385" s="1247">
        <f>$A4385*Q4385</f>
        <v>0</v>
      </c>
      <c r="S4385" s="513"/>
      <c r="T4385" s="884">
        <f>$A4385*S4385*$T$1</f>
        <v>0</v>
      </c>
    </row>
    <row r="4386" spans="1:41" s="1039" customFormat="1" ht="13.2">
      <c r="A4386" s="112">
        <f>3*2</f>
        <v>6</v>
      </c>
      <c r="B4386" s="1039" t="s">
        <v>326</v>
      </c>
      <c r="D4386" s="1039" t="s">
        <v>1224</v>
      </c>
      <c r="G4386" s="1040" t="s">
        <v>1221</v>
      </c>
      <c r="H4386" s="1041">
        <v>700</v>
      </c>
      <c r="I4386" s="1039" t="s">
        <v>1132</v>
      </c>
      <c r="J4386" s="1039" t="s">
        <v>1222</v>
      </c>
      <c r="O4386" s="1042">
        <v>1</v>
      </c>
      <c r="P4386" s="1043">
        <v>42213</v>
      </c>
      <c r="Q4386" s="1044">
        <v>1.41</v>
      </c>
      <c r="R4386" s="1045">
        <f>$A4386*Q4386</f>
        <v>8.4599999999999991</v>
      </c>
      <c r="S4386" s="1044">
        <v>0.18</v>
      </c>
      <c r="T4386" s="1046">
        <f>$A4386*S4386*$T$1</f>
        <v>1.1340000000000001</v>
      </c>
    </row>
    <row r="4387" spans="1:41" s="504" customFormat="1" ht="13.2">
      <c r="A4387" s="930"/>
      <c r="B4387" s="513"/>
      <c r="C4387" s="513"/>
      <c r="D4387" s="3"/>
      <c r="E4387" s="513"/>
      <c r="F4387" s="513"/>
      <c r="G4387" s="513"/>
      <c r="H4387" s="513"/>
      <c r="I4387" s="513"/>
      <c r="J4387" s="513"/>
      <c r="K4387" s="513"/>
      <c r="L4387" s="1246"/>
      <c r="M4387" s="513"/>
      <c r="N4387" s="513"/>
      <c r="O4387" s="513"/>
      <c r="P4387" s="513"/>
      <c r="Q4387" s="513"/>
      <c r="R4387" s="1247">
        <f>$A4387*Q4387</f>
        <v>0</v>
      </c>
      <c r="S4387" s="513"/>
      <c r="T4387" s="884">
        <f>$A4387*S4387*$T$1</f>
        <v>0</v>
      </c>
    </row>
    <row r="4388" spans="1:41" s="504" customFormat="1" ht="12" customHeight="1">
      <c r="A4388" s="1272" t="s">
        <v>142</v>
      </c>
      <c r="B4388" s="1273">
        <f>(R4387+T4387)</f>
        <v>0</v>
      </c>
      <c r="C4388" s="1274"/>
      <c r="D4388" s="1274"/>
      <c r="E4388" s="1274"/>
      <c r="F4388" s="1274"/>
      <c r="G4388" s="1253"/>
      <c r="H4388" s="1253"/>
      <c r="I4388" s="1253"/>
      <c r="J4388" s="1253"/>
      <c r="K4388" s="1275" t="s">
        <v>3</v>
      </c>
      <c r="L4388" s="1276" t="s">
        <v>1473</v>
      </c>
      <c r="M4388" s="1253"/>
      <c r="N4388" s="1253"/>
      <c r="O4388" s="1253"/>
      <c r="P4388" s="1253"/>
      <c r="Q4388" s="1253"/>
      <c r="R4388" s="1254">
        <f>SUM(R4384:R4387)</f>
        <v>8.4599999999999991</v>
      </c>
      <c r="S4388" s="1255"/>
      <c r="T4388" s="1254">
        <f>SUM(T4384:T4387)</f>
        <v>1.1340000000000001</v>
      </c>
      <c r="AG4388" s="1256">
        <f>ROUND($R4388*$S$2,2)</f>
        <v>10.32</v>
      </c>
    </row>
    <row r="4389" spans="1:41" s="504" customFormat="1" ht="12.75" customHeight="1">
      <c r="A4389" s="1277"/>
      <c r="B4389" s="1278"/>
      <c r="E4389" s="882"/>
      <c r="F4389" s="1279"/>
      <c r="G4389" s="882"/>
      <c r="H4389" s="882"/>
      <c r="I4389" s="503"/>
      <c r="J4389" s="882"/>
      <c r="K4389" s="882"/>
      <c r="L4389" s="1280"/>
      <c r="M4389" s="933"/>
      <c r="N4389" s="933"/>
      <c r="O4389" s="933"/>
      <c r="P4389" s="933"/>
      <c r="Q4389" s="900"/>
      <c r="R4389" s="1258"/>
      <c r="S4389" s="882"/>
      <c r="T4389" s="1258"/>
    </row>
    <row r="4390" spans="1:41" s="504" customFormat="1" ht="13.5" customHeight="1" thickBot="1">
      <c r="A4390" s="1281"/>
      <c r="B4390" s="1282"/>
      <c r="C4390" s="514"/>
      <c r="D4390" s="514"/>
      <c r="E4390" s="887"/>
      <c r="F4390" s="888"/>
      <c r="G4390" s="887" t="s">
        <v>143</v>
      </c>
      <c r="H4390" s="887"/>
      <c r="I4390" s="889"/>
      <c r="J4390" s="887"/>
      <c r="K4390" s="887"/>
      <c r="L4390" s="1283" t="s">
        <v>140</v>
      </c>
      <c r="M4390" s="890"/>
      <c r="N4390" s="890"/>
      <c r="O4390" s="890"/>
      <c r="P4390" s="890"/>
      <c r="Q4390" s="891"/>
      <c r="R4390" s="1284">
        <f>SUMIF($L4377:$L4389,"SUBI",R4377:R4389)</f>
        <v>913.98</v>
      </c>
      <c r="S4390" s="887"/>
      <c r="T4390" s="1284">
        <f>SUMIF($L4377:$L4389,"SUBI",T4377:T4389)</f>
        <v>1.1340000000000001</v>
      </c>
      <c r="U4390" s="514"/>
      <c r="V4390" s="514"/>
      <c r="W4390" s="514"/>
      <c r="X4390" s="514"/>
      <c r="Y4390" s="514"/>
      <c r="Z4390" s="514"/>
      <c r="AA4390" s="514"/>
      <c r="AB4390" s="514"/>
      <c r="AC4390" s="514"/>
      <c r="AD4390" s="514"/>
      <c r="AE4390" s="514"/>
      <c r="AF4390" s="514"/>
      <c r="AG4390" s="514"/>
      <c r="AH4390" s="514"/>
      <c r="AI4390" s="514"/>
      <c r="AJ4390" s="514"/>
      <c r="AK4390" s="514"/>
      <c r="AL4390" s="514"/>
      <c r="AM4390" s="514"/>
      <c r="AN4390" s="514"/>
      <c r="AO4390" s="514"/>
    </row>
    <row r="4391" spans="1:41" s="504" customFormat="1" ht="12" thickTop="1">
      <c r="A4391" s="50"/>
      <c r="B4391" s="40"/>
      <c r="C4391" s="50"/>
      <c r="E4391" s="41" t="s">
        <v>136</v>
      </c>
      <c r="F4391" s="41" t="s">
        <v>137</v>
      </c>
      <c r="G4391" s="50"/>
      <c r="H4391" s="50"/>
      <c r="I4391" s="50"/>
      <c r="J4391" s="50"/>
      <c r="K4391" s="50" t="s">
        <v>138</v>
      </c>
      <c r="L4391" s="50"/>
      <c r="M4391" s="50"/>
      <c r="N4391" s="50"/>
      <c r="O4391" s="51"/>
      <c r="P4391" s="50"/>
      <c r="Q4391" s="50"/>
      <c r="R4391" s="50"/>
      <c r="S4391" s="50"/>
      <c r="T4391" s="40"/>
      <c r="AG4391" s="867" t="s">
        <v>241</v>
      </c>
      <c r="AH4391" s="867" t="s">
        <v>242</v>
      </c>
      <c r="AI4391" s="867" t="s">
        <v>243</v>
      </c>
      <c r="AJ4391" s="867" t="s">
        <v>244</v>
      </c>
      <c r="AK4391" s="867" t="s">
        <v>245</v>
      </c>
      <c r="AM4391" s="868" t="s">
        <v>254</v>
      </c>
      <c r="AN4391" s="869" t="s">
        <v>255</v>
      </c>
      <c r="AO4391" s="505" t="s">
        <v>251</v>
      </c>
    </row>
    <row r="4392" spans="1:41" s="504" customFormat="1" ht="12" customHeight="1">
      <c r="A4392" s="870">
        <v>120</v>
      </c>
      <c r="B4392" s="506" t="s">
        <v>326</v>
      </c>
      <c r="C4392" s="872"/>
      <c r="D4392" s="873" t="s">
        <v>843</v>
      </c>
      <c r="E4392" s="1027">
        <f>IF(AND($A4392=0,$A$1="DIF"),0, ROUND(ROUND(($R4396*$S$5+($T4396*$T$5))/$A4392,2)*$C$5,2))</f>
        <v>10.78</v>
      </c>
      <c r="F4392" s="1028">
        <f>ROUND($A4392*$E4392,2)</f>
        <v>1293.5999999999999</v>
      </c>
      <c r="G4392" s="876" t="s">
        <v>139</v>
      </c>
      <c r="H4392" s="877"/>
      <c r="I4392" s="878"/>
      <c r="J4392" s="877"/>
      <c r="K4392" s="877" t="s">
        <v>9</v>
      </c>
      <c r="L4392" s="879" t="s">
        <v>140</v>
      </c>
      <c r="M4392" s="879"/>
      <c r="N4392" s="879"/>
      <c r="O4392" s="879"/>
      <c r="P4392" s="879"/>
      <c r="Q4392" s="50"/>
      <c r="T4392" s="1032" t="str">
        <f>IF(AND($R4396=0,$T4396=0),"0.00","mu: "&amp; ROUND(F4392/$C$5/($R4396+$T4396*$D$9),2))</f>
        <v>mu: 1.07</v>
      </c>
      <c r="W4392" s="507"/>
      <c r="AG4392" s="1029">
        <f>IF($E4392=0,0,ROUND($R4396*$S$5*$C$5/$A4392,2))</f>
        <v>10.78</v>
      </c>
      <c r="AH4392" s="1029">
        <f>$AG4392*$A4392</f>
        <v>1293.5999999999999</v>
      </c>
      <c r="AI4392" s="1030">
        <f>$E4392-$AG4392</f>
        <v>0</v>
      </c>
      <c r="AJ4392" s="1030">
        <f>$A4392*$AI4392</f>
        <v>0</v>
      </c>
      <c r="AK4392" s="1031">
        <f>ROUND(($AG4392+$AI4392)*$A4392,2)</f>
        <v>1293.5999999999999</v>
      </c>
      <c r="AM4392" s="510">
        <f>ROUND(R4396,2)</f>
        <v>1203.5999999999999</v>
      </c>
      <c r="AN4392" s="511">
        <f>ROUND(T4396,2)</f>
        <v>0</v>
      </c>
      <c r="AO4392" s="512">
        <f>ROUND(AM4392+AN4392,2)*A4392</f>
        <v>144432</v>
      </c>
    </row>
    <row r="4393" spans="1:41" s="504" customFormat="1" ht="13.2">
      <c r="A4393" s="872"/>
      <c r="B4393"/>
      <c r="C4393" s="872"/>
      <c r="D4393" s="873" t="s">
        <v>518</v>
      </c>
      <c r="F4393" s="877"/>
      <c r="G4393" s="3"/>
      <c r="H4393" s="877"/>
      <c r="I4393" s="878"/>
      <c r="J4393" s="877"/>
      <c r="K4393" s="877" t="s">
        <v>141</v>
      </c>
      <c r="L4393" s="877"/>
      <c r="M4393" s="877"/>
      <c r="N4393" s="877"/>
      <c r="O4393" s="877"/>
      <c r="P4393" s="877"/>
      <c r="Q4393" s="50"/>
      <c r="R4393" s="513"/>
      <c r="S4393" s="881"/>
      <c r="T4393" s="877"/>
    </row>
    <row r="4394" spans="1:41" s="1039" customFormat="1" ht="13.2">
      <c r="A4394" s="112">
        <v>120</v>
      </c>
      <c r="B4394" s="1039" t="s">
        <v>326</v>
      </c>
      <c r="D4394" s="1039" t="s">
        <v>518</v>
      </c>
      <c r="G4394" s="1040" t="s">
        <v>1456</v>
      </c>
      <c r="H4394" s="1041">
        <v>725</v>
      </c>
      <c r="I4394" s="1039" t="s">
        <v>951</v>
      </c>
      <c r="O4394" s="1042">
        <v>3</v>
      </c>
      <c r="P4394" s="1043"/>
      <c r="Q4394" s="1044">
        <v>10.029999999999999</v>
      </c>
      <c r="R4394" s="1045">
        <f>$A4394*Q4394</f>
        <v>1203.5999999999999</v>
      </c>
      <c r="S4394" s="1044"/>
      <c r="T4394" s="1046">
        <f>$A4394*S4394*$T$1</f>
        <v>0</v>
      </c>
    </row>
    <row r="4395" spans="1:41" s="504" customFormat="1" ht="12">
      <c r="A4395" s="882"/>
      <c r="B4395" s="882"/>
      <c r="C4395" s="882"/>
      <c r="D4395" s="882"/>
      <c r="E4395" s="882"/>
      <c r="F4395" s="877"/>
      <c r="G4395" s="882"/>
      <c r="H4395" s="882"/>
      <c r="I4395" s="503"/>
      <c r="J4395" s="882"/>
      <c r="K4395" s="882"/>
      <c r="L4395" s="882"/>
      <c r="M4395" s="882"/>
      <c r="N4395" s="882"/>
      <c r="O4395" s="882"/>
      <c r="P4395" s="882"/>
      <c r="Q4395" s="503"/>
      <c r="R4395" s="883">
        <f>$A4395*Q4395</f>
        <v>0</v>
      </c>
      <c r="S4395" s="503"/>
      <c r="T4395" s="884">
        <f>$A4395*S4395*$T$1</f>
        <v>0</v>
      </c>
    </row>
    <row r="4396" spans="1:41" s="504" customFormat="1" ht="12.6" thickBot="1">
      <c r="A4396" s="885" t="s">
        <v>142</v>
      </c>
      <c r="B4396" s="886">
        <f>(R4395+T4395)</f>
        <v>0</v>
      </c>
      <c r="C4396" s="887"/>
      <c r="D4396" s="887"/>
      <c r="E4396" s="887"/>
      <c r="F4396" s="888"/>
      <c r="G4396" s="887" t="s">
        <v>143</v>
      </c>
      <c r="H4396" s="887"/>
      <c r="I4396" s="889"/>
      <c r="J4396" s="887"/>
      <c r="K4396" s="887" t="s">
        <v>9</v>
      </c>
      <c r="L4396" s="890" t="s">
        <v>140</v>
      </c>
      <c r="M4396" s="890"/>
      <c r="N4396" s="890"/>
      <c r="O4396" s="890"/>
      <c r="P4396" s="890"/>
      <c r="Q4396" s="891"/>
      <c r="R4396" s="892">
        <f>SUM(R4393:R4395)</f>
        <v>1203.5999999999999</v>
      </c>
      <c r="S4396" s="887"/>
      <c r="T4396" s="892">
        <f>SUM(T4393:T4395)</f>
        <v>0</v>
      </c>
      <c r="U4396" s="514"/>
      <c r="V4396" s="514"/>
      <c r="W4396" s="514"/>
      <c r="X4396" s="514"/>
      <c r="Y4396" s="514"/>
      <c r="Z4396" s="514"/>
      <c r="AA4396" s="514"/>
      <c r="AB4396" s="514"/>
      <c r="AC4396" s="514"/>
      <c r="AD4396" s="514"/>
      <c r="AE4396" s="514"/>
      <c r="AF4396" s="514"/>
      <c r="AG4396" s="514"/>
      <c r="AH4396" s="514"/>
      <c r="AI4396" s="514"/>
      <c r="AJ4396" s="514"/>
      <c r="AK4396" s="514"/>
      <c r="AL4396" s="514"/>
      <c r="AM4396" s="514"/>
      <c r="AN4396" s="514"/>
      <c r="AO4396" s="514"/>
    </row>
    <row r="4397" spans="1:41" s="504" customFormat="1" ht="12" thickTop="1">
      <c r="A4397" s="50"/>
      <c r="B4397" s="40"/>
      <c r="C4397" s="50"/>
      <c r="E4397" s="41" t="s">
        <v>136</v>
      </c>
      <c r="F4397" s="41" t="s">
        <v>137</v>
      </c>
      <c r="G4397" s="50"/>
      <c r="H4397" s="50"/>
      <c r="I4397" s="50"/>
      <c r="J4397" s="50"/>
      <c r="K4397" s="50" t="s">
        <v>138</v>
      </c>
      <c r="L4397" s="50"/>
      <c r="M4397" s="50"/>
      <c r="N4397" s="50"/>
      <c r="O4397" s="51"/>
      <c r="P4397" s="50"/>
      <c r="Q4397" s="50"/>
      <c r="R4397" s="50"/>
      <c r="S4397" s="50"/>
      <c r="T4397" s="40"/>
      <c r="AG4397" s="867" t="s">
        <v>241</v>
      </c>
      <c r="AH4397" s="867" t="s">
        <v>242</v>
      </c>
      <c r="AI4397" s="867" t="s">
        <v>243</v>
      </c>
      <c r="AJ4397" s="867" t="s">
        <v>244</v>
      </c>
      <c r="AK4397" s="867" t="s">
        <v>245</v>
      </c>
      <c r="AM4397" s="868" t="s">
        <v>254</v>
      </c>
      <c r="AN4397" s="869" t="s">
        <v>255</v>
      </c>
      <c r="AO4397" s="505" t="s">
        <v>251</v>
      </c>
    </row>
    <row r="4398" spans="1:41" s="504" customFormat="1" ht="12" customHeight="1">
      <c r="A4398" s="870">
        <v>3</v>
      </c>
      <c r="B4398" s="506" t="s">
        <v>335</v>
      </c>
      <c r="C4398" s="872"/>
      <c r="D4398" s="873" t="s">
        <v>844</v>
      </c>
      <c r="E4398" s="1027">
        <f>IF(AND($A4398=0,$A$1="DIF"),0, ROUND(ROUND(($R4402*$S$5+($T4402*$T$5))/$A4398,2)*$C$5,2))</f>
        <v>23.5</v>
      </c>
      <c r="F4398" s="1028">
        <f>ROUND($A4398*$E4398,2)</f>
        <v>70.5</v>
      </c>
      <c r="G4398" s="876" t="s">
        <v>139</v>
      </c>
      <c r="H4398" s="877"/>
      <c r="I4398" s="878"/>
      <c r="J4398" s="877"/>
      <c r="K4398" s="877" t="s">
        <v>9</v>
      </c>
      <c r="L4398" s="879" t="s">
        <v>140</v>
      </c>
      <c r="M4398" s="879"/>
      <c r="N4398" s="879"/>
      <c r="O4398" s="879"/>
      <c r="P4398" s="879"/>
      <c r="Q4398" s="50"/>
      <c r="T4398" s="1032" t="str">
        <f>IF(AND($R4402=0,$T4402=0),"0.00","mu: "&amp; ROUND(F4398/$C$5/($R4402+$T4402*$D$9),2))</f>
        <v>mu: 1.08</v>
      </c>
      <c r="W4398" s="507"/>
      <c r="AG4398" s="1029">
        <f>IF($E4398=0,0,ROUND($R4402*$S$5*$C$5/$A4398,2))</f>
        <v>23.5</v>
      </c>
      <c r="AH4398" s="1029">
        <f>$AG4398*$A4398</f>
        <v>70.5</v>
      </c>
      <c r="AI4398" s="1030">
        <f>$E4398-$AG4398</f>
        <v>0</v>
      </c>
      <c r="AJ4398" s="1030">
        <f>$A4398*$AI4398</f>
        <v>0</v>
      </c>
      <c r="AK4398" s="1031">
        <f>ROUND(($AG4398+$AI4398)*$A4398,2)</f>
        <v>70.5</v>
      </c>
      <c r="AM4398" s="510">
        <f>ROUND(R4402,2)</f>
        <v>65.58</v>
      </c>
      <c r="AN4398" s="511">
        <f>ROUND(T4402,2)</f>
        <v>0</v>
      </c>
      <c r="AO4398" s="512">
        <f>ROUND(AM4398+AN4398,2)*A4398</f>
        <v>196.74</v>
      </c>
    </row>
    <row r="4399" spans="1:41" s="504" customFormat="1" ht="13.2">
      <c r="A4399" s="872"/>
      <c r="B4399"/>
      <c r="C4399" s="872"/>
      <c r="D4399" s="873" t="s">
        <v>519</v>
      </c>
      <c r="F4399" s="877"/>
      <c r="G4399" s="3"/>
      <c r="H4399" s="877"/>
      <c r="I4399" s="878"/>
      <c r="J4399" s="877"/>
      <c r="K4399" s="877" t="s">
        <v>141</v>
      </c>
      <c r="L4399" s="877"/>
      <c r="M4399" s="877"/>
      <c r="N4399" s="877"/>
      <c r="O4399" s="877"/>
      <c r="P4399" s="877"/>
      <c r="Q4399" s="50"/>
      <c r="R4399" s="513"/>
      <c r="S4399" s="881"/>
      <c r="T4399" s="877"/>
    </row>
    <row r="4400" spans="1:41" s="1039" customFormat="1" ht="13.2">
      <c r="A4400" s="112">
        <v>3</v>
      </c>
      <c r="B4400" s="1039" t="s">
        <v>949</v>
      </c>
      <c r="D4400" s="1039" t="s">
        <v>519</v>
      </c>
      <c r="G4400" s="1040" t="s">
        <v>1456</v>
      </c>
      <c r="H4400" s="1041">
        <v>725</v>
      </c>
      <c r="I4400" s="1039" t="s">
        <v>951</v>
      </c>
      <c r="O4400" s="1042">
        <v>3</v>
      </c>
      <c r="P4400" s="1043"/>
      <c r="Q4400" s="1044">
        <v>21.86</v>
      </c>
      <c r="R4400" s="1045">
        <f>$A4400*Q4400</f>
        <v>65.58</v>
      </c>
      <c r="S4400" s="1044"/>
      <c r="T4400" s="1046">
        <f>$A4400*S4400*$T$1</f>
        <v>0</v>
      </c>
    </row>
    <row r="4401" spans="1:41" s="504" customFormat="1" ht="12">
      <c r="A4401" s="882"/>
      <c r="B4401" s="882"/>
      <c r="C4401" s="882"/>
      <c r="D4401" s="882"/>
      <c r="E4401" s="882"/>
      <c r="F4401" s="877"/>
      <c r="G4401" s="882"/>
      <c r="H4401" s="882"/>
      <c r="I4401" s="503"/>
      <c r="J4401" s="882"/>
      <c r="K4401" s="882"/>
      <c r="L4401" s="882"/>
      <c r="M4401" s="882"/>
      <c r="N4401" s="882"/>
      <c r="O4401" s="882"/>
      <c r="P4401" s="882"/>
      <c r="Q4401" s="503"/>
      <c r="R4401" s="883">
        <f>$A4401*Q4401</f>
        <v>0</v>
      </c>
      <c r="S4401" s="503"/>
      <c r="T4401" s="884">
        <f>$A4401*S4401*$T$1</f>
        <v>0</v>
      </c>
    </row>
    <row r="4402" spans="1:41" s="504" customFormat="1" ht="12.6" thickBot="1">
      <c r="A4402" s="885" t="s">
        <v>142</v>
      </c>
      <c r="B4402" s="886">
        <f>(R4401+T4401)</f>
        <v>0</v>
      </c>
      <c r="C4402" s="887"/>
      <c r="D4402" s="887"/>
      <c r="E4402" s="887"/>
      <c r="F4402" s="888"/>
      <c r="G4402" s="887" t="s">
        <v>143</v>
      </c>
      <c r="H4402" s="887"/>
      <c r="I4402" s="889"/>
      <c r="J4402" s="887"/>
      <c r="K4402" s="887" t="s">
        <v>9</v>
      </c>
      <c r="L4402" s="890" t="s">
        <v>140</v>
      </c>
      <c r="M4402" s="890"/>
      <c r="N4402" s="890"/>
      <c r="O4402" s="890"/>
      <c r="P4402" s="890"/>
      <c r="Q4402" s="891"/>
      <c r="R4402" s="892">
        <f>SUM(R4399:R4401)</f>
        <v>65.58</v>
      </c>
      <c r="S4402" s="887"/>
      <c r="T4402" s="892">
        <f>SUM(T4399:T4401)</f>
        <v>0</v>
      </c>
      <c r="U4402" s="514"/>
      <c r="V4402" s="514"/>
      <c r="W4402" s="514"/>
      <c r="X4402" s="514"/>
      <c r="Y4402" s="514"/>
      <c r="Z4402" s="514"/>
      <c r="AA4402" s="514"/>
      <c r="AB4402" s="514"/>
      <c r="AC4402" s="514"/>
      <c r="AD4402" s="514"/>
      <c r="AE4402" s="514"/>
      <c r="AF4402" s="514"/>
      <c r="AG4402" s="514"/>
      <c r="AH4402" s="514"/>
      <c r="AI4402" s="514"/>
      <c r="AJ4402" s="514"/>
      <c r="AK4402" s="514"/>
      <c r="AL4402" s="514"/>
      <c r="AM4402" s="514"/>
      <c r="AN4402" s="514"/>
      <c r="AO4402" s="514"/>
    </row>
    <row r="4403" spans="1:41" s="504" customFormat="1" thickTop="1">
      <c r="A4403" s="50"/>
      <c r="B4403" s="50"/>
      <c r="C4403" s="3"/>
      <c r="D4403" s="3"/>
      <c r="E4403" s="50"/>
      <c r="F4403" s="50"/>
      <c r="G4403" s="50"/>
      <c r="H4403" s="50"/>
      <c r="I4403" s="50"/>
      <c r="J4403" s="50"/>
      <c r="K4403" s="50" t="s">
        <v>133</v>
      </c>
      <c r="L4403" s="50"/>
      <c r="M4403" s="50"/>
      <c r="N4403" s="50"/>
      <c r="O4403" s="51"/>
      <c r="P4403" s="50"/>
      <c r="Q4403" s="50"/>
      <c r="R4403" s="50"/>
      <c r="S4403" s="50"/>
      <c r="T4403" s="50"/>
    </row>
    <row r="4404" spans="1:41" s="504" customFormat="1" ht="12">
      <c r="A4404" s="50"/>
      <c r="B4404" s="50"/>
      <c r="C4404" s="50" t="s">
        <v>134</v>
      </c>
      <c r="D4404" s="37"/>
      <c r="E4404" s="50"/>
      <c r="F4404" s="50"/>
      <c r="G4404" s="50"/>
      <c r="H4404" s="50"/>
      <c r="I4404" s="50"/>
      <c r="J4404" s="50"/>
      <c r="K4404" s="50"/>
      <c r="L4404" s="50"/>
      <c r="M4404" s="50"/>
      <c r="N4404" s="50"/>
      <c r="O4404" s="51"/>
      <c r="P4404" s="50"/>
      <c r="Q4404" s="50"/>
      <c r="R4404" s="50"/>
      <c r="S4404" s="50"/>
      <c r="T4404" s="50"/>
    </row>
    <row r="4405" spans="1:41" s="504" customFormat="1" ht="12">
      <c r="A4405" s="50"/>
      <c r="B4405" s="50"/>
      <c r="C4405" s="50"/>
      <c r="D4405" s="37" t="s">
        <v>375</v>
      </c>
      <c r="E4405" s="50"/>
      <c r="F4405" s="50"/>
      <c r="G4405" s="50"/>
      <c r="H4405" s="50"/>
      <c r="I4405" s="50"/>
      <c r="J4405" s="50"/>
      <c r="K4405" s="50"/>
      <c r="L4405" s="50"/>
      <c r="M4405" s="50"/>
      <c r="N4405" s="50"/>
      <c r="O4405" s="51"/>
      <c r="P4405" s="50"/>
      <c r="Q4405" s="50"/>
      <c r="R4405" s="50"/>
      <c r="S4405" s="38"/>
      <c r="T4405" s="38"/>
    </row>
    <row r="4406" spans="1:41" s="3" customFormat="1" thickBot="1">
      <c r="A4406" s="514"/>
      <c r="O4406" s="103"/>
    </row>
    <row r="4407" spans="1:41" s="504" customFormat="1" thickTop="1">
      <c r="A4407" s="50"/>
      <c r="B4407" s="40"/>
      <c r="C4407" s="50"/>
      <c r="E4407" s="41" t="s">
        <v>136</v>
      </c>
      <c r="F4407" s="41" t="s">
        <v>137</v>
      </c>
      <c r="G4407" s="50"/>
      <c r="H4407" s="50"/>
      <c r="I4407" s="50"/>
      <c r="J4407" s="50"/>
      <c r="K4407" s="50" t="s">
        <v>138</v>
      </c>
      <c r="L4407" s="1219"/>
      <c r="M4407" s="50"/>
      <c r="N4407" s="50"/>
      <c r="O4407" s="51"/>
      <c r="P4407" s="50"/>
      <c r="Q4407"/>
      <c r="R4407"/>
      <c r="S4407"/>
      <c r="T4407" s="40"/>
      <c r="AG4407" s="867" t="s">
        <v>241</v>
      </c>
      <c r="AH4407" s="867" t="s">
        <v>242</v>
      </c>
      <c r="AI4407" s="867" t="s">
        <v>243</v>
      </c>
      <c r="AJ4407" s="867" t="s">
        <v>244</v>
      </c>
      <c r="AK4407" s="867" t="s">
        <v>245</v>
      </c>
      <c r="AM4407" s="868" t="s">
        <v>254</v>
      </c>
      <c r="AN4407" s="869" t="s">
        <v>255</v>
      </c>
      <c r="AO4407" s="505" t="s">
        <v>251</v>
      </c>
    </row>
    <row r="4408" spans="1:41" s="504" customFormat="1" ht="13.2">
      <c r="A4408" s="870">
        <v>1</v>
      </c>
      <c r="B4408" s="506" t="s">
        <v>335</v>
      </c>
      <c r="C4408" s="872"/>
      <c r="D4408" s="873" t="s">
        <v>845</v>
      </c>
      <c r="E4408" s="1220">
        <f>IF(AND($A4408=0,$A$1="DIF"),0, ROUND(ROUND(SUMIF($L4410:$L4416,"SUBI",$E4410:$E4416)/$A4408,2)*$C$12,2))</f>
        <v>4117.53</v>
      </c>
      <c r="F4408" s="1221">
        <f>ROUND($A4408*$E4408,2)</f>
        <v>4117.53</v>
      </c>
      <c r="G4408" s="876" t="s">
        <v>139</v>
      </c>
      <c r="H4408" s="877"/>
      <c r="I4408" s="878"/>
      <c r="J4408" s="877"/>
      <c r="K4408" s="1222"/>
      <c r="L4408" s="1223" t="s">
        <v>140</v>
      </c>
      <c r="M4408" s="879"/>
      <c r="N4408" s="879"/>
      <c r="O4408" s="879"/>
      <c r="P4408" s="879"/>
      <c r="Q4408"/>
      <c r="R4408"/>
      <c r="S4408"/>
      <c r="T4408" s="1224" t="str">
        <f>IF(AND($R4422=0,$T4422=0),"0.00","mu :" &amp; ROUND($F4408/$C$12/($R4422+$T4422*$D$9),2))</f>
        <v>mu :1.08</v>
      </c>
      <c r="W4408" s="507"/>
      <c r="AG4408" s="1225">
        <f>IF(A4408=0,0,ROUND(SUM(AG4410:AG4422)/A4408,2))</f>
        <v>4037.75</v>
      </c>
      <c r="AH4408" s="1225">
        <f>$AG4408*$A4408</f>
        <v>4037.75</v>
      </c>
      <c r="AI4408" s="1225">
        <f>$E4408-$AG4408</f>
        <v>79.779999999999745</v>
      </c>
      <c r="AJ4408" s="1225">
        <f>$A4408*$AI4408</f>
        <v>79.779999999999745</v>
      </c>
      <c r="AK4408" s="1226">
        <f>ROUND(($AG4408+$AI4408)*$A4408,2)</f>
        <v>4117.53</v>
      </c>
      <c r="AM4408" s="510">
        <f>ROUND(R4422,2)</f>
        <v>3753.77</v>
      </c>
      <c r="AN4408" s="511">
        <f>ROUND(T4422,2)</f>
        <v>2.27</v>
      </c>
      <c r="AO4408" s="512">
        <f>ROUND(AM4408+AN4408,2)*A4408</f>
        <v>3756.04</v>
      </c>
    </row>
    <row r="4409" spans="1:41" s="504" customFormat="1" ht="13.2">
      <c r="A4409" s="872"/>
      <c r="B4409"/>
      <c r="C4409" s="872"/>
      <c r="D4409" s="916" t="s">
        <v>520</v>
      </c>
      <c r="E4409" s="917"/>
      <c r="F4409" s="918"/>
      <c r="G4409" s="919"/>
      <c r="H4409" s="918"/>
      <c r="I4409" s="920"/>
      <c r="J4409" s="918"/>
      <c r="K4409" s="918"/>
      <c r="L4409" s="918"/>
      <c r="M4409" s="918"/>
      <c r="N4409" s="918"/>
      <c r="O4409" s="918"/>
      <c r="P4409" s="918"/>
      <c r="Q4409" s="921"/>
      <c r="R4409" s="513"/>
      <c r="S4409" s="881"/>
      <c r="T4409" s="877"/>
    </row>
    <row r="4410" spans="1:41" s="504" customFormat="1" ht="12">
      <c r="A4410" s="1228"/>
      <c r="B4410" s="1229"/>
      <c r="C4410" s="882"/>
      <c r="D4410" s="877"/>
      <c r="E4410" s="1230">
        <f>F4408/$C$12-SUMIF($L4407:$L4422,"SUBI",$E4407:$E4422)</f>
        <v>0</v>
      </c>
      <c r="F4410" s="1231" t="s">
        <v>1472</v>
      </c>
      <c r="G4410" s="1232"/>
      <c r="H4410" s="1232"/>
      <c r="I4410" s="1233"/>
      <c r="J4410" s="1232"/>
      <c r="K4410" s="1232"/>
      <c r="L4410" s="1234"/>
      <c r="M4410" s="1235"/>
      <c r="N4410" s="1235"/>
      <c r="O4410" s="1235"/>
      <c r="P4410" s="1235"/>
      <c r="Q4410" s="1236"/>
      <c r="R4410" s="1237"/>
      <c r="S4410" s="1236"/>
      <c r="T4410" s="1238"/>
    </row>
    <row r="4411" spans="1:41" s="504" customFormat="1" ht="12" customHeight="1">
      <c r="A4411" s="1239"/>
      <c r="B4411" s="1285"/>
      <c r="C4411" s="1286"/>
      <c r="D4411" s="1286" t="str">
        <f>$F$5</f>
        <v>ELV Sub-Contractor - APCO</v>
      </c>
      <c r="E4411" s="1286">
        <f>ROUND(($R4415*$S$5 + ($T4415*$T$5)),2)</f>
        <v>4017.11</v>
      </c>
      <c r="F4411" s="1287">
        <f>$E4411*$C$12</f>
        <v>4017.11</v>
      </c>
      <c r="G4411" s="513"/>
      <c r="H4411" s="1241"/>
      <c r="I4411" s="513"/>
      <c r="J4411" s="51"/>
      <c r="K4411" s="1242" t="s">
        <v>9</v>
      </c>
      <c r="L4411" s="1243" t="s">
        <v>1473</v>
      </c>
      <c r="M4411" s="513"/>
      <c r="N4411" s="513"/>
      <c r="O4411" s="51"/>
      <c r="P4411" s="513"/>
      <c r="Q4411" s="513"/>
      <c r="R4411"/>
      <c r="S4411"/>
      <c r="T4411"/>
    </row>
    <row r="4412" spans="1:41" s="504" customFormat="1" ht="13.95" customHeight="1">
      <c r="A4412" s="930"/>
      <c r="B4412" s="1244" t="s">
        <v>1474</v>
      </c>
      <c r="C4412" s="513"/>
      <c r="D4412" s="513"/>
      <c r="E4412" s="513"/>
      <c r="F4412" s="513"/>
      <c r="G4412" s="513"/>
      <c r="H4412" s="1241"/>
      <c r="I4412" s="513"/>
      <c r="J4412" s="51"/>
      <c r="K4412" s="1245"/>
      <c r="L4412" s="1246"/>
      <c r="M4412" s="513"/>
      <c r="N4412" s="513"/>
      <c r="O4412" s="51"/>
      <c r="P4412" s="513"/>
      <c r="Q4412" s="513"/>
      <c r="R4412" s="1247">
        <f>$A4412*Q4412</f>
        <v>0</v>
      </c>
      <c r="S4412" s="513"/>
      <c r="T4412" s="884">
        <f>$A4412*S4412*$T$1</f>
        <v>0</v>
      </c>
    </row>
    <row r="4413" spans="1:41" s="1039" customFormat="1" ht="21">
      <c r="A4413" s="112">
        <v>1</v>
      </c>
      <c r="B4413" s="1039" t="s">
        <v>949</v>
      </c>
      <c r="D4413" s="1047" t="s">
        <v>520</v>
      </c>
      <c r="E4413" s="1047"/>
      <c r="F4413" s="1047"/>
      <c r="G4413" s="1040" t="s">
        <v>1456</v>
      </c>
      <c r="H4413" s="1041">
        <v>725</v>
      </c>
      <c r="I4413" s="1039" t="s">
        <v>951</v>
      </c>
      <c r="O4413" s="1042">
        <v>3</v>
      </c>
      <c r="P4413" s="1043"/>
      <c r="Q4413" s="1044">
        <v>3736.85</v>
      </c>
      <c r="R4413" s="1045">
        <f>$A4413*Q4413</f>
        <v>3736.85</v>
      </c>
      <c r="S4413" s="1044"/>
      <c r="T4413" s="1046">
        <f>$A4413*S4413*$T$1</f>
        <v>0</v>
      </c>
    </row>
    <row r="4414" spans="1:41" s="504" customFormat="1" ht="13.95" customHeight="1">
      <c r="A4414" s="930"/>
      <c r="B4414" s="513"/>
      <c r="C4414" s="513"/>
      <c r="D4414" s="513"/>
      <c r="E4414" s="513"/>
      <c r="F4414" s="513"/>
      <c r="G4414" s="513"/>
      <c r="H4414" s="1241"/>
      <c r="I4414" s="513"/>
      <c r="J4414" s="51"/>
      <c r="K4414" s="1245"/>
      <c r="L4414" s="1246"/>
      <c r="M4414" s="513"/>
      <c r="N4414" s="513"/>
      <c r="O4414" s="51"/>
      <c r="P4414" s="513"/>
      <c r="Q4414" s="513"/>
      <c r="R4414" s="1247">
        <f>$A4414*Q4414</f>
        <v>0</v>
      </c>
      <c r="S4414" s="513"/>
      <c r="T4414" s="884">
        <f>$A4414*S4414*$T$1</f>
        <v>0</v>
      </c>
    </row>
    <row r="4415" spans="1:41" s="504" customFormat="1" ht="12">
      <c r="A4415" s="1248" t="s">
        <v>142</v>
      </c>
      <c r="B4415" s="1249">
        <f>(R4414+T4414)</f>
        <v>0</v>
      </c>
      <c r="C4415" s="882"/>
      <c r="G4415" s="1250"/>
      <c r="H4415" s="1250"/>
      <c r="I4415" s="1250"/>
      <c r="J4415" s="1250"/>
      <c r="K4415" s="1251" t="s">
        <v>9</v>
      </c>
      <c r="L4415" s="1252" t="s">
        <v>1473</v>
      </c>
      <c r="M4415" s="1250"/>
      <c r="N4415" s="1250"/>
      <c r="O4415" s="1250"/>
      <c r="P4415" s="1250"/>
      <c r="Q4415" s="1253"/>
      <c r="R4415" s="1254">
        <f>SUM(R4411:R4414)</f>
        <v>3736.85</v>
      </c>
      <c r="S4415" s="1255"/>
      <c r="T4415" s="1254">
        <f>SUM(T4411:T4414)</f>
        <v>0</v>
      </c>
      <c r="AG4415" s="1288">
        <f>ROUND($R4415*$S$5,2)</f>
        <v>4017.11</v>
      </c>
    </row>
    <row r="4416" spans="1:41" s="504" customFormat="1" ht="12" customHeight="1">
      <c r="A4416" s="1257"/>
      <c r="B4416" s="1289"/>
      <c r="C4416" s="1240"/>
      <c r="D4416" s="1240" t="str">
        <f>$F$2</f>
        <v>Electrical</v>
      </c>
      <c r="E4416" s="1240">
        <f>ROUND(($R4420*$S$2 + ($T4420*$T$2)),2)</f>
        <v>100.42</v>
      </c>
      <c r="F4416" s="1290">
        <f ca="1">$F4408-SUMIF($L4410:$P4413,"SUBI",$F4410:$F4413)</f>
        <v>100.41999999999962</v>
      </c>
      <c r="G4416" s="503"/>
      <c r="H4416" s="503"/>
      <c r="I4416" s="503"/>
      <c r="J4416" s="503"/>
      <c r="K4416" s="1242" t="s">
        <v>3</v>
      </c>
      <c r="L4416" s="1243" t="s">
        <v>1473</v>
      </c>
      <c r="M4416" s="503"/>
      <c r="N4416" s="503"/>
      <c r="O4416" s="503"/>
      <c r="P4416" s="503"/>
      <c r="Q4416" s="503"/>
      <c r="R4416" s="1258"/>
      <c r="S4416" s="503"/>
      <c r="T4416" s="1258"/>
    </row>
    <row r="4417" spans="1:41" s="1271" customFormat="1" ht="14.4" customHeight="1">
      <c r="A4417" s="1259"/>
      <c r="B4417" s="1244" t="s">
        <v>1475</v>
      </c>
      <c r="C4417" s="1260"/>
      <c r="D4417" s="1261"/>
      <c r="E4417" s="1261"/>
      <c r="F4417" s="1261"/>
      <c r="G4417" s="1262"/>
      <c r="H4417" s="1263"/>
      <c r="I4417" s="1263"/>
      <c r="J4417" s="1264"/>
      <c r="K4417" s="1265"/>
      <c r="L4417" s="1260"/>
      <c r="M4417" s="1266"/>
      <c r="N4417" s="1267"/>
      <c r="O4417" s="1268"/>
      <c r="P4417" s="1269"/>
      <c r="Q4417" s="1270"/>
      <c r="R4417" s="1247">
        <f>$A4417*Q4417</f>
        <v>0</v>
      </c>
      <c r="S4417" s="513"/>
      <c r="T4417" s="884">
        <f>$A4417*S4417*$T$1</f>
        <v>0</v>
      </c>
    </row>
    <row r="4418" spans="1:41" s="1039" customFormat="1" ht="13.2">
      <c r="A4418" s="112">
        <f>4*3</f>
        <v>12</v>
      </c>
      <c r="B4418" s="1039" t="s">
        <v>326</v>
      </c>
      <c r="D4418" s="1039" t="s">
        <v>1224</v>
      </c>
      <c r="G4418" s="1040" t="s">
        <v>1221</v>
      </c>
      <c r="H4418" s="1041">
        <v>700</v>
      </c>
      <c r="I4418" s="1039" t="s">
        <v>1132</v>
      </c>
      <c r="J4418" s="1039" t="s">
        <v>1222</v>
      </c>
      <c r="O4418" s="1042">
        <v>1</v>
      </c>
      <c r="P4418" s="1043">
        <v>42213</v>
      </c>
      <c r="Q4418" s="1044">
        <v>1.41</v>
      </c>
      <c r="R4418" s="1045">
        <f>$A4418*Q4418</f>
        <v>16.919999999999998</v>
      </c>
      <c r="S4418" s="1044">
        <v>0.18</v>
      </c>
      <c r="T4418" s="1046">
        <f>$A4418*S4418*$T$1</f>
        <v>2.2680000000000002</v>
      </c>
    </row>
    <row r="4419" spans="1:41" s="504" customFormat="1" ht="13.2">
      <c r="A4419" s="930"/>
      <c r="B4419" s="513"/>
      <c r="C4419" s="513"/>
      <c r="D4419" s="3"/>
      <c r="E4419" s="513"/>
      <c r="F4419" s="513"/>
      <c r="G4419" s="513"/>
      <c r="H4419" s="513"/>
      <c r="I4419" s="513"/>
      <c r="J4419" s="513"/>
      <c r="K4419" s="513"/>
      <c r="L4419" s="1246"/>
      <c r="M4419" s="513"/>
      <c r="N4419" s="513"/>
      <c r="O4419" s="513"/>
      <c r="P4419" s="513"/>
      <c r="Q4419" s="513"/>
      <c r="R4419" s="1247">
        <f>$A4419*Q4419</f>
        <v>0</v>
      </c>
      <c r="S4419" s="513"/>
      <c r="T4419" s="884">
        <f>$A4419*S4419*$T$1</f>
        <v>0</v>
      </c>
    </row>
    <row r="4420" spans="1:41" s="504" customFormat="1" ht="12" customHeight="1">
      <c r="A4420" s="1272" t="s">
        <v>142</v>
      </c>
      <c r="B4420" s="1273">
        <f>(R4419+T4419)</f>
        <v>0</v>
      </c>
      <c r="C4420" s="1274"/>
      <c r="D4420" s="1274"/>
      <c r="E4420" s="1274"/>
      <c r="F4420" s="1274"/>
      <c r="G4420" s="1253"/>
      <c r="H4420" s="1253"/>
      <c r="I4420" s="1253"/>
      <c r="J4420" s="1253"/>
      <c r="K4420" s="1275" t="s">
        <v>3</v>
      </c>
      <c r="L4420" s="1276" t="s">
        <v>1473</v>
      </c>
      <c r="M4420" s="1253"/>
      <c r="N4420" s="1253"/>
      <c r="O4420" s="1253"/>
      <c r="P4420" s="1253"/>
      <c r="Q4420" s="1253"/>
      <c r="R4420" s="1254">
        <f>SUM(R4416:R4419)</f>
        <v>16.919999999999998</v>
      </c>
      <c r="S4420" s="1255"/>
      <c r="T4420" s="1254">
        <f>SUM(T4416:T4419)</f>
        <v>2.2680000000000002</v>
      </c>
      <c r="AG4420" s="1256">
        <f>ROUND($R4420*$S$2,2)</f>
        <v>20.64</v>
      </c>
    </row>
    <row r="4421" spans="1:41" s="504" customFormat="1" ht="12.75" customHeight="1">
      <c r="A4421" s="1277"/>
      <c r="B4421" s="1278"/>
      <c r="E4421" s="882"/>
      <c r="F4421" s="1279"/>
      <c r="G4421" s="882"/>
      <c r="H4421" s="882"/>
      <c r="I4421" s="503"/>
      <c r="J4421" s="882"/>
      <c r="K4421" s="882"/>
      <c r="L4421" s="1280"/>
      <c r="M4421" s="933"/>
      <c r="N4421" s="933"/>
      <c r="O4421" s="933"/>
      <c r="P4421" s="933"/>
      <c r="Q4421" s="900"/>
      <c r="R4421" s="1258"/>
      <c r="S4421" s="882"/>
      <c r="T4421" s="1258"/>
    </row>
    <row r="4422" spans="1:41" s="504" customFormat="1" ht="13.5" customHeight="1" thickBot="1">
      <c r="A4422" s="1281"/>
      <c r="B4422" s="1282"/>
      <c r="C4422" s="514"/>
      <c r="D4422" s="514"/>
      <c r="E4422" s="887"/>
      <c r="F4422" s="888"/>
      <c r="G4422" s="887" t="s">
        <v>143</v>
      </c>
      <c r="H4422" s="887"/>
      <c r="I4422" s="889"/>
      <c r="J4422" s="887"/>
      <c r="K4422" s="887"/>
      <c r="L4422" s="1283" t="s">
        <v>140</v>
      </c>
      <c r="M4422" s="890"/>
      <c r="N4422" s="890"/>
      <c r="O4422" s="890"/>
      <c r="P4422" s="890"/>
      <c r="Q4422" s="891"/>
      <c r="R4422" s="1284">
        <f>SUMIF($L4409:$L4421,"SUBI",R4409:R4421)</f>
        <v>3753.77</v>
      </c>
      <c r="S4422" s="887"/>
      <c r="T4422" s="1284">
        <f>SUMIF($L4409:$L4421,"SUBI",T4409:T4421)</f>
        <v>2.2680000000000002</v>
      </c>
      <c r="U4422" s="514"/>
      <c r="V4422" s="514"/>
      <c r="W4422" s="514"/>
      <c r="X4422" s="514"/>
      <c r="Y4422" s="514"/>
      <c r="Z4422" s="514"/>
      <c r="AA4422" s="514"/>
      <c r="AB4422" s="514"/>
      <c r="AC4422" s="514"/>
      <c r="AD4422" s="514"/>
      <c r="AE4422" s="514"/>
      <c r="AF4422" s="514"/>
      <c r="AG4422" s="514"/>
      <c r="AH4422" s="514"/>
      <c r="AI4422" s="514"/>
      <c r="AJ4422" s="514"/>
      <c r="AK4422" s="514"/>
      <c r="AL4422" s="514"/>
      <c r="AM4422" s="514"/>
      <c r="AN4422" s="514"/>
      <c r="AO4422" s="514"/>
    </row>
    <row r="4423" spans="1:41" s="504" customFormat="1" ht="12" thickTop="1">
      <c r="A4423" s="50"/>
      <c r="B4423" s="40"/>
      <c r="C4423" s="50"/>
      <c r="E4423" s="41" t="s">
        <v>136</v>
      </c>
      <c r="F4423" s="41" t="s">
        <v>137</v>
      </c>
      <c r="G4423" s="50"/>
      <c r="H4423" s="50"/>
      <c r="I4423" s="50"/>
      <c r="J4423" s="50"/>
      <c r="K4423" s="50" t="s">
        <v>138</v>
      </c>
      <c r="L4423" s="50"/>
      <c r="M4423" s="50"/>
      <c r="N4423" s="50"/>
      <c r="O4423" s="51"/>
      <c r="P4423" s="50"/>
      <c r="Q4423" s="50"/>
      <c r="R4423" s="50"/>
      <c r="S4423" s="50"/>
      <c r="T4423" s="40"/>
      <c r="AG4423" s="867" t="s">
        <v>241</v>
      </c>
      <c r="AH4423" s="867" t="s">
        <v>242</v>
      </c>
      <c r="AI4423" s="867" t="s">
        <v>243</v>
      </c>
      <c r="AJ4423" s="867" t="s">
        <v>244</v>
      </c>
      <c r="AK4423" s="867" t="s">
        <v>245</v>
      </c>
      <c r="AM4423" s="868" t="s">
        <v>254</v>
      </c>
      <c r="AN4423" s="869" t="s">
        <v>255</v>
      </c>
      <c r="AO4423" s="505" t="s">
        <v>251</v>
      </c>
    </row>
    <row r="4424" spans="1:41" s="504" customFormat="1" ht="12" customHeight="1">
      <c r="A4424" s="870">
        <v>17</v>
      </c>
      <c r="B4424" s="506" t="s">
        <v>335</v>
      </c>
      <c r="C4424" s="872"/>
      <c r="D4424" s="873" t="s">
        <v>846</v>
      </c>
      <c r="E4424" s="1027">
        <f>IF(AND($A4424=0,$A$1="DIF"),0, ROUND(ROUND(($R4428*$S$5+($T4428*$T$5))/$A4424,2)*$C$5,2))</f>
        <v>62.88</v>
      </c>
      <c r="F4424" s="1028">
        <f>ROUND($A4424*$E4424,2)</f>
        <v>1068.96</v>
      </c>
      <c r="G4424" s="876" t="s">
        <v>139</v>
      </c>
      <c r="H4424" s="877"/>
      <c r="I4424" s="878"/>
      <c r="J4424" s="877"/>
      <c r="K4424" s="877" t="s">
        <v>9</v>
      </c>
      <c r="L4424" s="879" t="s">
        <v>140</v>
      </c>
      <c r="M4424" s="879"/>
      <c r="N4424" s="879"/>
      <c r="O4424" s="879"/>
      <c r="P4424" s="879"/>
      <c r="Q4424" s="50"/>
      <c r="T4424" s="1032" t="str">
        <f>IF(AND($R4428=0,$T4428=0),"0.00","mu: "&amp; ROUND(F4424/$C$5/($R4428+$T4428*$D$9),2))</f>
        <v>mu: 1.08</v>
      </c>
      <c r="W4424" s="507"/>
      <c r="AG4424" s="1029">
        <f>IF($E4424=0,0,ROUND($R4428*$S$5*$C$5/$A4424,2))</f>
        <v>62.88</v>
      </c>
      <c r="AH4424" s="1029">
        <f>$AG4424*$A4424</f>
        <v>1068.96</v>
      </c>
      <c r="AI4424" s="1030">
        <f>$E4424-$AG4424</f>
        <v>0</v>
      </c>
      <c r="AJ4424" s="1030">
        <f>$A4424*$AI4424</f>
        <v>0</v>
      </c>
      <c r="AK4424" s="1031">
        <f>ROUND(($AG4424+$AI4424)*$A4424,2)</f>
        <v>1068.96</v>
      </c>
      <c r="AM4424" s="510">
        <f>ROUND(R4428,2)</f>
        <v>994.33</v>
      </c>
      <c r="AN4424" s="511">
        <f>ROUND(T4428,2)</f>
        <v>0</v>
      </c>
      <c r="AO4424" s="512">
        <f>ROUND(AM4424+AN4424,2)*A4424</f>
        <v>16903.61</v>
      </c>
    </row>
    <row r="4425" spans="1:41" s="504" customFormat="1" ht="13.2">
      <c r="A4425" s="872"/>
      <c r="B4425"/>
      <c r="C4425" s="872"/>
      <c r="D4425" s="873" t="s">
        <v>511</v>
      </c>
      <c r="F4425" s="877"/>
      <c r="G4425" s="3"/>
      <c r="H4425" s="877"/>
      <c r="I4425" s="878"/>
      <c r="J4425" s="877"/>
      <c r="K4425" s="877" t="s">
        <v>141</v>
      </c>
      <c r="L4425" s="877"/>
      <c r="M4425" s="877"/>
      <c r="N4425" s="877"/>
      <c r="O4425" s="877"/>
      <c r="P4425" s="877"/>
      <c r="Q4425" s="50"/>
      <c r="R4425" s="513"/>
      <c r="S4425" s="881"/>
      <c r="T4425" s="877"/>
    </row>
    <row r="4426" spans="1:41" s="1039" customFormat="1" ht="13.2">
      <c r="A4426" s="112">
        <v>17</v>
      </c>
      <c r="B4426" s="1039" t="s">
        <v>949</v>
      </c>
      <c r="D4426" s="1039" t="s">
        <v>511</v>
      </c>
      <c r="G4426" s="1040" t="s">
        <v>1456</v>
      </c>
      <c r="H4426" s="1041">
        <v>725</v>
      </c>
      <c r="I4426" s="1039" t="s">
        <v>951</v>
      </c>
      <c r="O4426" s="1042">
        <v>3</v>
      </c>
      <c r="P4426" s="1043"/>
      <c r="Q4426" s="1044">
        <v>58.49</v>
      </c>
      <c r="R4426" s="1045">
        <f>$A4426*Q4426</f>
        <v>994.33</v>
      </c>
      <c r="S4426" s="1044"/>
      <c r="T4426" s="1046">
        <f>$A4426*S4426*$T$1</f>
        <v>0</v>
      </c>
    </row>
    <row r="4427" spans="1:41" s="504" customFormat="1" ht="12">
      <c r="A4427" s="882"/>
      <c r="B4427" s="882"/>
      <c r="C4427" s="882"/>
      <c r="D4427" s="882"/>
      <c r="E4427" s="882"/>
      <c r="F4427" s="877"/>
      <c r="G4427" s="882"/>
      <c r="H4427" s="882"/>
      <c r="I4427" s="503"/>
      <c r="J4427" s="882"/>
      <c r="K4427" s="882"/>
      <c r="L4427" s="882"/>
      <c r="M4427" s="882"/>
      <c r="N4427" s="882"/>
      <c r="O4427" s="882"/>
      <c r="P4427" s="882"/>
      <c r="Q4427" s="503"/>
      <c r="R4427" s="883">
        <f>$A4427*Q4427</f>
        <v>0</v>
      </c>
      <c r="S4427" s="503"/>
      <c r="T4427" s="884">
        <f>$A4427*S4427*$T$1</f>
        <v>0</v>
      </c>
    </row>
    <row r="4428" spans="1:41" s="504" customFormat="1" ht="12.6" thickBot="1">
      <c r="A4428" s="885" t="s">
        <v>142</v>
      </c>
      <c r="B4428" s="886">
        <f>(R4427+T4427)</f>
        <v>0</v>
      </c>
      <c r="C4428" s="887"/>
      <c r="D4428" s="887"/>
      <c r="E4428" s="887"/>
      <c r="F4428" s="888"/>
      <c r="G4428" s="887" t="s">
        <v>143</v>
      </c>
      <c r="H4428" s="887"/>
      <c r="I4428" s="889"/>
      <c r="J4428" s="887"/>
      <c r="K4428" s="887" t="s">
        <v>9</v>
      </c>
      <c r="L4428" s="890" t="s">
        <v>140</v>
      </c>
      <c r="M4428" s="890"/>
      <c r="N4428" s="890"/>
      <c r="O4428" s="890"/>
      <c r="P4428" s="890"/>
      <c r="Q4428" s="891"/>
      <c r="R4428" s="892">
        <f>SUM(R4425:R4427)</f>
        <v>994.33</v>
      </c>
      <c r="S4428" s="887"/>
      <c r="T4428" s="892">
        <f>SUM(T4425:T4427)</f>
        <v>0</v>
      </c>
      <c r="U4428" s="514"/>
      <c r="V4428" s="514"/>
      <c r="W4428" s="514"/>
      <c r="X4428" s="514"/>
      <c r="Y4428" s="514"/>
      <c r="Z4428" s="514"/>
      <c r="AA4428" s="514"/>
      <c r="AB4428" s="514"/>
      <c r="AC4428" s="514"/>
      <c r="AD4428" s="514"/>
      <c r="AE4428" s="514"/>
      <c r="AF4428" s="514"/>
      <c r="AG4428" s="514"/>
      <c r="AH4428" s="514"/>
      <c r="AI4428" s="514"/>
      <c r="AJ4428" s="514"/>
      <c r="AK4428" s="514"/>
      <c r="AL4428" s="514"/>
      <c r="AM4428" s="514"/>
      <c r="AN4428" s="514"/>
      <c r="AO4428" s="514"/>
    </row>
    <row r="4429" spans="1:41" s="504" customFormat="1" ht="12" thickTop="1">
      <c r="A4429" s="47" t="s">
        <v>145</v>
      </c>
      <c r="D4429" s="13"/>
      <c r="E4429" s="41"/>
      <c r="O4429" s="893"/>
    </row>
    <row r="4430" spans="1:41" s="504" customFormat="1" ht="13.2">
      <c r="B4430" s="3"/>
      <c r="O4430" s="893"/>
    </row>
    <row r="4431" spans="1:41" s="504" customFormat="1" ht="12">
      <c r="B4431" s="894">
        <f>$F4431/$C$2-($R4431*$S$2+$T4431*$T$2)</f>
        <v>-1376.0695153600009</v>
      </c>
      <c r="D4431" s="895" t="s">
        <v>817</v>
      </c>
      <c r="E4431" s="896"/>
      <c r="F4431" s="897">
        <f>SUMIF($L4311:$L4429,"ITEM",F4311:F4429)</f>
        <v>10401.549999999999</v>
      </c>
      <c r="G4431" s="882"/>
      <c r="H4431" s="882"/>
      <c r="I4431" s="503"/>
      <c r="J4431" s="882"/>
      <c r="K4431" s="882"/>
      <c r="L4431" s="879" t="s">
        <v>154</v>
      </c>
      <c r="M4431" s="879"/>
      <c r="N4431" s="879"/>
      <c r="O4431" s="879"/>
      <c r="P4431" s="879"/>
      <c r="R4431" s="897">
        <f>SUMIF($L4311:$L4429,"ITEM",R4311:R4429)</f>
        <v>9523</v>
      </c>
      <c r="S4431" s="898"/>
      <c r="T4431" s="897">
        <f>SUMIF($L4311:$L4429,"ITEM",T4311:T4429)</f>
        <v>4.5360000000000005</v>
      </c>
    </row>
    <row r="4432" spans="1:41" s="504" customFormat="1" ht="13.2">
      <c r="A4432" s="50"/>
      <c r="B4432" s="48" t="s">
        <v>816</v>
      </c>
      <c r="C4432" s="50"/>
      <c r="D4432" s="3"/>
      <c r="F4432" s="899" t="s">
        <v>155</v>
      </c>
      <c r="G4432" s="882"/>
      <c r="H4432" s="882"/>
      <c r="I4432" s="503"/>
      <c r="J4432" s="882"/>
      <c r="K4432" s="882"/>
      <c r="L4432" s="882"/>
      <c r="M4432" s="882"/>
      <c r="N4432" s="882"/>
      <c r="O4432" s="882"/>
      <c r="P4432" s="882"/>
      <c r="Q4432" s="900"/>
      <c r="R4432" s="899" t="s">
        <v>156</v>
      </c>
      <c r="S4432" s="38"/>
      <c r="T4432" s="899" t="s">
        <v>157</v>
      </c>
    </row>
    <row r="4433" spans="1:41" s="504" customFormat="1" ht="13.2">
      <c r="A4433" s="882"/>
      <c r="B4433" s="3"/>
      <c r="C4433" s="882"/>
      <c r="D4433" s="3"/>
      <c r="E4433" s="3"/>
      <c r="G4433" s="3"/>
      <c r="H4433" s="3"/>
      <c r="I4433" s="3"/>
      <c r="J4433" s="3"/>
      <c r="K4433" s="3"/>
      <c r="L4433" s="3"/>
      <c r="M4433" s="3"/>
      <c r="N4433" s="3"/>
      <c r="O4433" s="103"/>
      <c r="P4433" s="3"/>
      <c r="Q4433" s="3"/>
      <c r="R4433" s="3"/>
      <c r="S4433" s="3"/>
      <c r="T4433" s="3"/>
    </row>
    <row r="4434" spans="1:41" s="504" customFormat="1" ht="12" thickBot="1">
      <c r="A4434" s="514"/>
      <c r="B4434" s="887"/>
      <c r="C4434" s="887"/>
      <c r="D4434" s="514"/>
      <c r="E4434" s="39"/>
      <c r="F4434" s="901"/>
      <c r="G4434" s="887"/>
      <c r="H4434" s="887"/>
      <c r="I4434" s="889"/>
      <c r="J4434" s="887"/>
      <c r="K4434" s="887"/>
      <c r="L4434" s="890"/>
      <c r="M4434" s="890"/>
      <c r="N4434" s="890"/>
      <c r="O4434" s="890"/>
      <c r="P4434" s="890"/>
      <c r="Q4434" s="891"/>
      <c r="R4434" s="901"/>
      <c r="S4434" s="902"/>
      <c r="T4434" s="901"/>
      <c r="U4434" s="514"/>
      <c r="V4434" s="514"/>
      <c r="W4434" s="514"/>
      <c r="X4434" s="514"/>
      <c r="Y4434" s="514"/>
      <c r="Z4434" s="514"/>
      <c r="AA4434" s="514"/>
      <c r="AB4434" s="514"/>
      <c r="AC4434" s="514"/>
      <c r="AD4434" s="514"/>
      <c r="AE4434" s="514"/>
      <c r="AF4434" s="514"/>
      <c r="AG4434" s="514"/>
      <c r="AH4434" s="514"/>
      <c r="AI4434" s="514"/>
      <c r="AJ4434" s="514"/>
      <c r="AK4434" s="514"/>
    </row>
    <row r="4435" spans="1:41" s="504" customFormat="1" ht="12" thickTop="1">
      <c r="A4435" s="50"/>
      <c r="B4435" s="40"/>
      <c r="C4435" s="50"/>
      <c r="E4435" s="41" t="s">
        <v>136</v>
      </c>
      <c r="F4435" s="41" t="s">
        <v>137</v>
      </c>
      <c r="G4435" s="50"/>
      <c r="H4435" s="50"/>
      <c r="I4435" s="50"/>
      <c r="J4435" s="50"/>
      <c r="K4435" s="50" t="s">
        <v>138</v>
      </c>
      <c r="L4435" s="50"/>
      <c r="M4435" s="50"/>
      <c r="N4435" s="50"/>
      <c r="O4435" s="51"/>
      <c r="P4435" s="50"/>
      <c r="Q4435" s="50"/>
      <c r="R4435" s="50"/>
      <c r="S4435" s="50"/>
      <c r="T4435" s="40"/>
      <c r="AG4435" s="867" t="s">
        <v>241</v>
      </c>
      <c r="AH4435" s="867" t="s">
        <v>242</v>
      </c>
      <c r="AI4435" s="867" t="s">
        <v>243</v>
      </c>
      <c r="AJ4435" s="867" t="s">
        <v>244</v>
      </c>
      <c r="AK4435" s="867" t="s">
        <v>245</v>
      </c>
      <c r="AM4435" s="868" t="s">
        <v>254</v>
      </c>
      <c r="AN4435" s="869" t="s">
        <v>255</v>
      </c>
      <c r="AO4435" s="505" t="s">
        <v>251</v>
      </c>
    </row>
    <row r="4436" spans="1:41" s="504" customFormat="1" ht="12" customHeight="1">
      <c r="A4436" s="870">
        <v>4</v>
      </c>
      <c r="B4436" s="506" t="s">
        <v>335</v>
      </c>
      <c r="C4436" s="872"/>
      <c r="D4436" s="873" t="s">
        <v>847</v>
      </c>
      <c r="E4436" s="1027">
        <f>IF(AND($A4436=0,$A$1="DIF"),0, ROUND(ROUND(($R4440*$S$5+($T4440*$T$5))/$A4436,2)*$C$5,2))</f>
        <v>100.53</v>
      </c>
      <c r="F4436" s="1028">
        <f>ROUND($A4436*$E4436,2)</f>
        <v>402.12</v>
      </c>
      <c r="G4436" s="876" t="s">
        <v>139</v>
      </c>
      <c r="H4436" s="877"/>
      <c r="I4436" s="878"/>
      <c r="J4436" s="877"/>
      <c r="K4436" s="877" t="s">
        <v>9</v>
      </c>
      <c r="L4436" s="879" t="s">
        <v>140</v>
      </c>
      <c r="M4436" s="879"/>
      <c r="N4436" s="879"/>
      <c r="O4436" s="879"/>
      <c r="P4436" s="879"/>
      <c r="Q4436" s="50"/>
      <c r="T4436" s="1032" t="str">
        <f>IF(AND($R4440=0,$T4440=0),"0.00","mu: "&amp; ROUND(F4436/$C$5/($R4440+$T4440*$D$9),2))</f>
        <v>mu: 1.07</v>
      </c>
      <c r="W4436" s="507"/>
      <c r="AG4436" s="1029">
        <f>IF($E4436=0,0,ROUND($R4440*$S$5*$C$5/$A4436,2))</f>
        <v>100.53</v>
      </c>
      <c r="AH4436" s="1029">
        <f>$AG4436*$A4436</f>
        <v>402.12</v>
      </c>
      <c r="AI4436" s="1030">
        <f>$E4436-$AG4436</f>
        <v>0</v>
      </c>
      <c r="AJ4436" s="1030">
        <f>$A4436*$AI4436</f>
        <v>0</v>
      </c>
      <c r="AK4436" s="1031">
        <f>ROUND(($AG4436+$AI4436)*$A4436,2)</f>
        <v>402.12</v>
      </c>
      <c r="AM4436" s="510">
        <f>ROUND(R4440,2)</f>
        <v>374.08</v>
      </c>
      <c r="AN4436" s="511">
        <f>ROUND(T4440,2)</f>
        <v>0</v>
      </c>
      <c r="AO4436" s="512">
        <f>ROUND(AM4436+AN4436,2)*A4436</f>
        <v>1496.32</v>
      </c>
    </row>
    <row r="4437" spans="1:41" s="504" customFormat="1" ht="13.2">
      <c r="A4437" s="872"/>
      <c r="B4437"/>
      <c r="C4437" s="872"/>
      <c r="D4437" s="873" t="s">
        <v>512</v>
      </c>
      <c r="F4437" s="877"/>
      <c r="G4437" s="3"/>
      <c r="H4437" s="877"/>
      <c r="I4437" s="878"/>
      <c r="J4437" s="877"/>
      <c r="K4437" s="877" t="s">
        <v>141</v>
      </c>
      <c r="L4437" s="877"/>
      <c r="M4437" s="877"/>
      <c r="N4437" s="877"/>
      <c r="O4437" s="877"/>
      <c r="P4437" s="877"/>
      <c r="Q4437" s="50"/>
      <c r="R4437" s="513"/>
      <c r="S4437" s="881"/>
      <c r="T4437" s="877"/>
    </row>
    <row r="4438" spans="1:41" s="1039" customFormat="1" ht="13.2">
      <c r="A4438" s="112">
        <v>4</v>
      </c>
      <c r="B4438" s="1039" t="s">
        <v>949</v>
      </c>
      <c r="D4438" s="1039" t="s">
        <v>512</v>
      </c>
      <c r="G4438" s="1040" t="s">
        <v>1456</v>
      </c>
      <c r="H4438" s="1041">
        <v>725</v>
      </c>
      <c r="I4438" s="1039" t="s">
        <v>951</v>
      </c>
      <c r="O4438" s="1042">
        <v>3</v>
      </c>
      <c r="P4438" s="1043"/>
      <c r="Q4438" s="1044">
        <v>93.52</v>
      </c>
      <c r="R4438" s="1045">
        <f>$A4438*Q4438</f>
        <v>374.08</v>
      </c>
      <c r="S4438" s="1044"/>
      <c r="T4438" s="1046">
        <f>$A4438*S4438*$T$1</f>
        <v>0</v>
      </c>
    </row>
    <row r="4439" spans="1:41" s="504" customFormat="1" ht="12">
      <c r="A4439" s="882"/>
      <c r="B4439" s="882"/>
      <c r="C4439" s="882"/>
      <c r="D4439" s="882"/>
      <c r="E4439" s="882"/>
      <c r="F4439" s="877"/>
      <c r="G4439" s="882"/>
      <c r="H4439" s="882"/>
      <c r="I4439" s="503"/>
      <c r="J4439" s="882"/>
      <c r="K4439" s="882"/>
      <c r="L4439" s="882"/>
      <c r="M4439" s="882"/>
      <c r="N4439" s="882"/>
      <c r="O4439" s="882"/>
      <c r="P4439" s="882"/>
      <c r="Q4439" s="503"/>
      <c r="R4439" s="883">
        <f>$A4439*Q4439</f>
        <v>0</v>
      </c>
      <c r="S4439" s="503"/>
      <c r="T4439" s="884">
        <f>$A4439*S4439*$T$1</f>
        <v>0</v>
      </c>
    </row>
    <row r="4440" spans="1:41" s="504" customFormat="1" ht="12.6" thickBot="1">
      <c r="A4440" s="885" t="s">
        <v>142</v>
      </c>
      <c r="B4440" s="886">
        <f>(R4439+T4439)</f>
        <v>0</v>
      </c>
      <c r="C4440" s="887"/>
      <c r="D4440" s="887"/>
      <c r="E4440" s="887"/>
      <c r="F4440" s="888"/>
      <c r="G4440" s="887" t="s">
        <v>143</v>
      </c>
      <c r="H4440" s="887"/>
      <c r="I4440" s="889"/>
      <c r="J4440" s="887"/>
      <c r="K4440" s="887" t="s">
        <v>9</v>
      </c>
      <c r="L4440" s="890" t="s">
        <v>140</v>
      </c>
      <c r="M4440" s="890"/>
      <c r="N4440" s="890"/>
      <c r="O4440" s="890"/>
      <c r="P4440" s="890"/>
      <c r="Q4440" s="891"/>
      <c r="R4440" s="892">
        <f>SUM(R4437:R4439)</f>
        <v>374.08</v>
      </c>
      <c r="S4440" s="887"/>
      <c r="T4440" s="892">
        <f>SUM(T4437:T4439)</f>
        <v>0</v>
      </c>
      <c r="U4440" s="514"/>
      <c r="V4440" s="514"/>
      <c r="W4440" s="514"/>
      <c r="X4440" s="514"/>
      <c r="Y4440" s="514"/>
      <c r="Z4440" s="514"/>
      <c r="AA4440" s="514"/>
      <c r="AB4440" s="514"/>
      <c r="AC4440" s="514"/>
      <c r="AD4440" s="514"/>
      <c r="AE4440" s="514"/>
      <c r="AF4440" s="514"/>
      <c r="AG4440" s="514"/>
      <c r="AH4440" s="514"/>
      <c r="AI4440" s="514"/>
      <c r="AJ4440" s="514"/>
      <c r="AK4440" s="514"/>
      <c r="AL4440" s="514"/>
      <c r="AM4440" s="514"/>
      <c r="AN4440" s="514"/>
      <c r="AO4440" s="514"/>
    </row>
    <row r="4441" spans="1:41" s="504" customFormat="1" ht="12" thickTop="1">
      <c r="A4441" s="50"/>
      <c r="B4441" s="40"/>
      <c r="C4441" s="50"/>
      <c r="E4441" s="41" t="s">
        <v>136</v>
      </c>
      <c r="F4441" s="41" t="s">
        <v>137</v>
      </c>
      <c r="G4441" s="50"/>
      <c r="H4441" s="50"/>
      <c r="I4441" s="50"/>
      <c r="J4441" s="50"/>
      <c r="K4441" s="50" t="s">
        <v>138</v>
      </c>
      <c r="L4441" s="50"/>
      <c r="M4441" s="50"/>
      <c r="N4441" s="50"/>
      <c r="O4441" s="51"/>
      <c r="P4441" s="50"/>
      <c r="Q4441" s="50"/>
      <c r="R4441" s="50"/>
      <c r="S4441" s="50"/>
      <c r="T4441" s="40"/>
      <c r="AG4441" s="867" t="s">
        <v>241</v>
      </c>
      <c r="AH4441" s="867" t="s">
        <v>242</v>
      </c>
      <c r="AI4441" s="867" t="s">
        <v>243</v>
      </c>
      <c r="AJ4441" s="867" t="s">
        <v>244</v>
      </c>
      <c r="AK4441" s="867" t="s">
        <v>245</v>
      </c>
      <c r="AM4441" s="868" t="s">
        <v>254</v>
      </c>
      <c r="AN4441" s="869" t="s">
        <v>255</v>
      </c>
      <c r="AO4441" s="505" t="s">
        <v>251</v>
      </c>
    </row>
    <row r="4442" spans="1:41" s="504" customFormat="1" ht="12" customHeight="1">
      <c r="A4442" s="870">
        <v>9</v>
      </c>
      <c r="B4442" s="506" t="s">
        <v>335</v>
      </c>
      <c r="C4442" s="872"/>
      <c r="D4442" s="873" t="s">
        <v>848</v>
      </c>
      <c r="E4442" s="1027">
        <f>IF(AND($A4442=0,$A$1="DIF"),0, ROUND(ROUND(($R4446*$S$5+($T4446*$T$5))/$A4442,2)*$C$5,2))</f>
        <v>32.67</v>
      </c>
      <c r="F4442" s="1028">
        <f>ROUND($A4442*$E4442,2)</f>
        <v>294.02999999999997</v>
      </c>
      <c r="G4442" s="876" t="s">
        <v>139</v>
      </c>
      <c r="H4442" s="877"/>
      <c r="I4442" s="878"/>
      <c r="J4442" s="877"/>
      <c r="K4442" s="877" t="s">
        <v>9</v>
      </c>
      <c r="L4442" s="879" t="s">
        <v>140</v>
      </c>
      <c r="M4442" s="879"/>
      <c r="N4442" s="879"/>
      <c r="O4442" s="879"/>
      <c r="P4442" s="879"/>
      <c r="Q4442" s="50"/>
      <c r="T4442" s="1032" t="str">
        <f>IF(AND($R4446=0,$T4446=0),"0.00","mu: "&amp; ROUND(F4442/$C$5/($R4446+$T4446*$D$9),2))</f>
        <v>mu: 1.08</v>
      </c>
      <c r="W4442" s="507"/>
      <c r="AG4442" s="1029">
        <f>IF($E4442=0,0,ROUND($R4446*$S$5*$C$5/$A4442,2))</f>
        <v>32.67</v>
      </c>
      <c r="AH4442" s="1029">
        <f>$AG4442*$A4442</f>
        <v>294.03000000000003</v>
      </c>
      <c r="AI4442" s="1030">
        <f>$E4442-$AG4442</f>
        <v>0</v>
      </c>
      <c r="AJ4442" s="1030">
        <f>$A4442*$AI4442</f>
        <v>0</v>
      </c>
      <c r="AK4442" s="1031">
        <f>ROUND(($AG4442+$AI4442)*$A4442,2)</f>
        <v>294.02999999999997</v>
      </c>
      <c r="AM4442" s="510">
        <f>ROUND(R4446,2)</f>
        <v>273.51</v>
      </c>
      <c r="AN4442" s="511">
        <f>ROUND(T4446,2)</f>
        <v>0</v>
      </c>
      <c r="AO4442" s="512">
        <f>ROUND(AM4442+AN4442,2)*A4442</f>
        <v>2461.59</v>
      </c>
    </row>
    <row r="4443" spans="1:41" s="504" customFormat="1" ht="13.2">
      <c r="A4443" s="872"/>
      <c r="B4443"/>
      <c r="C4443" s="872"/>
      <c r="D4443" s="873" t="s">
        <v>515</v>
      </c>
      <c r="F4443" s="877"/>
      <c r="G4443" s="3"/>
      <c r="H4443" s="877"/>
      <c r="I4443" s="878"/>
      <c r="J4443" s="877"/>
      <c r="K4443" s="877" t="s">
        <v>141</v>
      </c>
      <c r="L4443" s="877"/>
      <c r="M4443" s="877"/>
      <c r="N4443" s="877"/>
      <c r="O4443" s="877"/>
      <c r="P4443" s="877"/>
      <c r="Q4443" s="50"/>
      <c r="R4443" s="513"/>
      <c r="S4443" s="881"/>
      <c r="T4443" s="877"/>
    </row>
    <row r="4444" spans="1:41" s="1039" customFormat="1" ht="13.2">
      <c r="A4444" s="112">
        <v>9</v>
      </c>
      <c r="B4444" s="1039" t="s">
        <v>949</v>
      </c>
      <c r="D4444" s="1039" t="s">
        <v>515</v>
      </c>
      <c r="G4444" s="1040" t="s">
        <v>1456</v>
      </c>
      <c r="H4444" s="1041">
        <v>725</v>
      </c>
      <c r="I4444" s="1039" t="s">
        <v>951</v>
      </c>
      <c r="O4444" s="1042">
        <v>3</v>
      </c>
      <c r="P4444" s="1043"/>
      <c r="Q4444" s="1044">
        <v>30.39</v>
      </c>
      <c r="R4444" s="1045">
        <f>$A4444*Q4444</f>
        <v>273.51</v>
      </c>
      <c r="S4444" s="1044"/>
      <c r="T4444" s="1046">
        <f>$A4444*S4444*$T$1</f>
        <v>0</v>
      </c>
    </row>
    <row r="4445" spans="1:41" s="504" customFormat="1" ht="12">
      <c r="A4445" s="882"/>
      <c r="B4445" s="882"/>
      <c r="C4445" s="882"/>
      <c r="D4445" s="882"/>
      <c r="E4445" s="882"/>
      <c r="F4445" s="877"/>
      <c r="G4445" s="882"/>
      <c r="H4445" s="882"/>
      <c r="I4445" s="503"/>
      <c r="J4445" s="882"/>
      <c r="K4445" s="882"/>
      <c r="L4445" s="882"/>
      <c r="M4445" s="882"/>
      <c r="N4445" s="882"/>
      <c r="O4445" s="882"/>
      <c r="P4445" s="882"/>
      <c r="Q4445" s="503"/>
      <c r="R4445" s="883">
        <f>$A4445*Q4445</f>
        <v>0</v>
      </c>
      <c r="S4445" s="503"/>
      <c r="T4445" s="884">
        <f>$A4445*S4445*$T$1</f>
        <v>0</v>
      </c>
    </row>
    <row r="4446" spans="1:41" s="504" customFormat="1" ht="12.6" thickBot="1">
      <c r="A4446" s="885" t="s">
        <v>142</v>
      </c>
      <c r="B4446" s="886">
        <f>(R4445+T4445)</f>
        <v>0</v>
      </c>
      <c r="C4446" s="887"/>
      <c r="D4446" s="887"/>
      <c r="E4446" s="887"/>
      <c r="F4446" s="888"/>
      <c r="G4446" s="887" t="s">
        <v>143</v>
      </c>
      <c r="H4446" s="887"/>
      <c r="I4446" s="889"/>
      <c r="J4446" s="887"/>
      <c r="K4446" s="887" t="s">
        <v>9</v>
      </c>
      <c r="L4446" s="890" t="s">
        <v>140</v>
      </c>
      <c r="M4446" s="890"/>
      <c r="N4446" s="890"/>
      <c r="O4446" s="890"/>
      <c r="P4446" s="890"/>
      <c r="Q4446" s="891"/>
      <c r="R4446" s="892">
        <f>SUM(R4443:R4445)</f>
        <v>273.51</v>
      </c>
      <c r="S4446" s="887"/>
      <c r="T4446" s="892">
        <f>SUM(T4443:T4445)</f>
        <v>0</v>
      </c>
      <c r="U4446" s="514"/>
      <c r="V4446" s="514"/>
      <c r="W4446" s="514"/>
      <c r="X4446" s="514"/>
      <c r="Y4446" s="514"/>
      <c r="Z4446" s="514"/>
      <c r="AA4446" s="514"/>
      <c r="AB4446" s="514"/>
      <c r="AC4446" s="514"/>
      <c r="AD4446" s="514"/>
      <c r="AE4446" s="514"/>
      <c r="AF4446" s="514"/>
      <c r="AG4446" s="514"/>
      <c r="AH4446" s="514"/>
      <c r="AI4446" s="514"/>
      <c r="AJ4446" s="514"/>
      <c r="AK4446" s="514"/>
      <c r="AL4446" s="514"/>
      <c r="AM4446" s="514"/>
      <c r="AN4446" s="514"/>
      <c r="AO4446" s="514"/>
    </row>
    <row r="4447" spans="1:41" s="504" customFormat="1" thickTop="1">
      <c r="A4447" s="50"/>
      <c r="B4447" s="40"/>
      <c r="C4447" s="50"/>
      <c r="E4447" s="41" t="s">
        <v>136</v>
      </c>
      <c r="F4447" s="41" t="s">
        <v>137</v>
      </c>
      <c r="G4447" s="50"/>
      <c r="H4447" s="50"/>
      <c r="I4447" s="50"/>
      <c r="J4447" s="50"/>
      <c r="K4447" s="50" t="s">
        <v>138</v>
      </c>
      <c r="L4447" s="1219"/>
      <c r="M4447" s="50"/>
      <c r="N4447" s="50"/>
      <c r="O4447" s="51"/>
      <c r="P4447" s="50"/>
      <c r="Q4447"/>
      <c r="R4447"/>
      <c r="S4447"/>
      <c r="T4447" s="40"/>
      <c r="AG4447" s="867" t="s">
        <v>241</v>
      </c>
      <c r="AH4447" s="867" t="s">
        <v>242</v>
      </c>
      <c r="AI4447" s="867" t="s">
        <v>243</v>
      </c>
      <c r="AJ4447" s="867" t="s">
        <v>244</v>
      </c>
      <c r="AK4447" s="867" t="s">
        <v>245</v>
      </c>
      <c r="AM4447" s="868" t="s">
        <v>254</v>
      </c>
      <c r="AN4447" s="869" t="s">
        <v>255</v>
      </c>
      <c r="AO4447" s="505" t="s">
        <v>251</v>
      </c>
    </row>
    <row r="4448" spans="1:41" s="504" customFormat="1" ht="13.2">
      <c r="A4448" s="870">
        <v>3</v>
      </c>
      <c r="B4448" s="506" t="s">
        <v>335</v>
      </c>
      <c r="C4448" s="872"/>
      <c r="D4448" s="873" t="s">
        <v>849</v>
      </c>
      <c r="E4448" s="1220">
        <f>IF(AND($A4448=0,$A$1="DIF"),0, ROUND(ROUND(SUMIF($L4450:$L4456,"SUBI",$E4450:$E4456)/$A4448,2)*$C$12,2))</f>
        <v>90.29</v>
      </c>
      <c r="F4448" s="1221">
        <f>ROUND($A4448*$E4448,2)</f>
        <v>270.87</v>
      </c>
      <c r="G4448" s="876" t="s">
        <v>139</v>
      </c>
      <c r="H4448" s="877"/>
      <c r="I4448" s="878"/>
      <c r="J4448" s="877"/>
      <c r="K4448" s="1222"/>
      <c r="L4448" s="1223" t="s">
        <v>140</v>
      </c>
      <c r="M4448" s="879"/>
      <c r="N4448" s="879"/>
      <c r="O4448" s="879"/>
      <c r="P4448" s="879"/>
      <c r="Q4448"/>
      <c r="R4448"/>
      <c r="S4448"/>
      <c r="T4448" s="1224" t="str">
        <f>IF(AND($R4462=0,$T4462=0),"0.00","mu :" &amp; ROUND($F4448/$C$12/($R4462+$T4462*$D$9),2))</f>
        <v>mu :1.11</v>
      </c>
      <c r="W4448" s="507"/>
      <c r="AG4448" s="1225">
        <f>IF(A4448=0,0,ROUND(SUM(AG4450:AG4462)/A4448,2))</f>
        <v>70.349999999999994</v>
      </c>
      <c r="AH4448" s="1225">
        <f>$AG4448*$A4448</f>
        <v>211.04999999999998</v>
      </c>
      <c r="AI4448" s="1225">
        <f>$E4448-$AG4448</f>
        <v>19.940000000000012</v>
      </c>
      <c r="AJ4448" s="1225">
        <f>$A4448*$AI4448</f>
        <v>59.820000000000036</v>
      </c>
      <c r="AK4448" s="1226">
        <f>ROUND(($AG4448+$AI4448)*$A4448,2)</f>
        <v>270.87</v>
      </c>
      <c r="AM4448" s="510">
        <f>ROUND(R4462,2)</f>
        <v>194.61</v>
      </c>
      <c r="AN4448" s="511">
        <f>ROUND(T4462,2)</f>
        <v>1.7</v>
      </c>
      <c r="AO4448" s="512">
        <f>ROUND(AM4448+AN4448,2)*A4448</f>
        <v>588.93000000000006</v>
      </c>
    </row>
    <row r="4449" spans="1:41" s="504" customFormat="1" ht="13.2">
      <c r="A4449" s="872"/>
      <c r="B4449"/>
      <c r="C4449" s="872"/>
      <c r="D4449" s="873" t="s">
        <v>516</v>
      </c>
      <c r="F4449" s="877"/>
      <c r="G4449" s="877"/>
      <c r="H4449" s="877"/>
      <c r="I4449" s="878"/>
      <c r="J4449" s="877"/>
      <c r="K4449" s="877" t="s">
        <v>141</v>
      </c>
      <c r="L4449" s="1227"/>
      <c r="M4449" s="877"/>
      <c r="N4449" s="877"/>
      <c r="O4449" s="877"/>
      <c r="P4449" s="877"/>
      <c r="Q4449" s="50"/>
      <c r="R4449" s="513"/>
      <c r="S4449" s="881"/>
      <c r="T4449" s="877"/>
    </row>
    <row r="4450" spans="1:41" s="504" customFormat="1" ht="12">
      <c r="A4450" s="1228"/>
      <c r="B4450" s="1229"/>
      <c r="C4450" s="882"/>
      <c r="D4450" s="877"/>
      <c r="E4450" s="1230">
        <f>F4448/$C$12-SUMIF($L4447:$L4462,"SUBI",$E4447:$E4462)</f>
        <v>-9.9999999999909051E-3</v>
      </c>
      <c r="F4450" s="1231" t="s">
        <v>1472</v>
      </c>
      <c r="G4450" s="1232"/>
      <c r="H4450" s="1232"/>
      <c r="I4450" s="1233"/>
      <c r="J4450" s="1232"/>
      <c r="K4450" s="1232"/>
      <c r="L4450" s="1234"/>
      <c r="M4450" s="1235"/>
      <c r="N4450" s="1235"/>
      <c r="O4450" s="1235"/>
      <c r="P4450" s="1235"/>
      <c r="Q4450" s="1236"/>
      <c r="R4450" s="1237"/>
      <c r="S4450" s="1236"/>
      <c r="T4450" s="1238"/>
    </row>
    <row r="4451" spans="1:41" s="504" customFormat="1" ht="12" customHeight="1">
      <c r="A4451" s="1239"/>
      <c r="B4451" s="1285"/>
      <c r="C4451" s="1286"/>
      <c r="D4451" s="1286" t="str">
        <f>$F$5</f>
        <v>ELV Sub-Contractor - APCO</v>
      </c>
      <c r="E4451" s="1286">
        <f>ROUND(($R4455*$S$5 + ($T4455*$T$5)),2)</f>
        <v>195.56</v>
      </c>
      <c r="F4451" s="1287">
        <f>$E4451*$C$12</f>
        <v>195.56</v>
      </c>
      <c r="G4451" s="513"/>
      <c r="H4451" s="1241"/>
      <c r="I4451" s="513"/>
      <c r="J4451" s="51"/>
      <c r="K4451" s="1242" t="s">
        <v>9</v>
      </c>
      <c r="L4451" s="1243" t="s">
        <v>1473</v>
      </c>
      <c r="M4451" s="513"/>
      <c r="N4451" s="513"/>
      <c r="O4451" s="51"/>
      <c r="P4451" s="513"/>
      <c r="Q4451" s="513"/>
      <c r="R4451"/>
      <c r="S4451"/>
      <c r="T4451"/>
    </row>
    <row r="4452" spans="1:41" s="504" customFormat="1" ht="13.95" customHeight="1">
      <c r="A4452" s="930"/>
      <c r="B4452" s="1244" t="s">
        <v>1474</v>
      </c>
      <c r="C4452" s="513"/>
      <c r="D4452" s="513"/>
      <c r="E4452" s="513"/>
      <c r="F4452" s="513"/>
      <c r="G4452" s="513"/>
      <c r="H4452" s="1241"/>
      <c r="I4452" s="513"/>
      <c r="J4452" s="51"/>
      <c r="K4452" s="1245"/>
      <c r="L4452" s="1246"/>
      <c r="M4452" s="513"/>
      <c r="N4452" s="513"/>
      <c r="O4452" s="51"/>
      <c r="P4452" s="513"/>
      <c r="Q4452" s="513"/>
      <c r="R4452" s="1247">
        <f>$A4452*Q4452</f>
        <v>0</v>
      </c>
      <c r="S4452" s="513"/>
      <c r="T4452" s="884">
        <f>$A4452*S4452*$T$1</f>
        <v>0</v>
      </c>
    </row>
    <row r="4453" spans="1:41" s="1039" customFormat="1" ht="13.2">
      <c r="A4453" s="112">
        <v>3</v>
      </c>
      <c r="B4453" s="1039" t="s">
        <v>949</v>
      </c>
      <c r="D4453" s="1039" t="s">
        <v>516</v>
      </c>
      <c r="G4453" s="1040" t="s">
        <v>1456</v>
      </c>
      <c r="H4453" s="1041">
        <v>725</v>
      </c>
      <c r="I4453" s="1039" t="s">
        <v>951</v>
      </c>
      <c r="O4453" s="1042">
        <v>3</v>
      </c>
      <c r="P4453" s="1043"/>
      <c r="Q4453" s="1044">
        <v>60.64</v>
      </c>
      <c r="R4453" s="1045">
        <f>$A4453*Q4453</f>
        <v>181.92000000000002</v>
      </c>
      <c r="S4453" s="1044"/>
      <c r="T4453" s="1046">
        <f>$A4453*S4453*$T$1</f>
        <v>0</v>
      </c>
    </row>
    <row r="4454" spans="1:41" s="504" customFormat="1" ht="13.95" customHeight="1">
      <c r="A4454" s="930"/>
      <c r="B4454" s="513"/>
      <c r="C4454" s="513"/>
      <c r="D4454" s="513"/>
      <c r="E4454" s="513"/>
      <c r="F4454" s="513"/>
      <c r="G4454" s="513"/>
      <c r="H4454" s="1241"/>
      <c r="I4454" s="513"/>
      <c r="J4454" s="51"/>
      <c r="K4454" s="1245"/>
      <c r="L4454" s="1246"/>
      <c r="M4454" s="513"/>
      <c r="N4454" s="513"/>
      <c r="O4454" s="51"/>
      <c r="P4454" s="513"/>
      <c r="Q4454" s="513"/>
      <c r="R4454" s="1247">
        <f>$A4454*Q4454</f>
        <v>0</v>
      </c>
      <c r="S4454" s="513"/>
      <c r="T4454" s="884">
        <f>$A4454*S4454*$T$1</f>
        <v>0</v>
      </c>
    </row>
    <row r="4455" spans="1:41" s="504" customFormat="1" ht="12">
      <c r="A4455" s="1248" t="s">
        <v>142</v>
      </c>
      <c r="B4455" s="1249">
        <f>(R4454+T4454)</f>
        <v>0</v>
      </c>
      <c r="C4455" s="882"/>
      <c r="G4455" s="1250"/>
      <c r="H4455" s="1250"/>
      <c r="I4455" s="1250"/>
      <c r="J4455" s="1250"/>
      <c r="K4455" s="1251" t="s">
        <v>9</v>
      </c>
      <c r="L4455" s="1252" t="s">
        <v>1473</v>
      </c>
      <c r="M4455" s="1250"/>
      <c r="N4455" s="1250"/>
      <c r="O4455" s="1250"/>
      <c r="P4455" s="1250"/>
      <c r="Q4455" s="1253"/>
      <c r="R4455" s="1254">
        <f>SUM(R4451:R4454)</f>
        <v>181.92000000000002</v>
      </c>
      <c r="S4455" s="1255"/>
      <c r="T4455" s="1254">
        <f>SUM(T4451:T4454)</f>
        <v>0</v>
      </c>
      <c r="AG4455" s="1288">
        <f>ROUND($R4455*$S$5,2)</f>
        <v>195.56</v>
      </c>
    </row>
    <row r="4456" spans="1:41" s="504" customFormat="1" ht="12" customHeight="1">
      <c r="A4456" s="1257"/>
      <c r="B4456" s="1289"/>
      <c r="C4456" s="1240"/>
      <c r="D4456" s="1240" t="str">
        <f>$F$2</f>
        <v>Electrical</v>
      </c>
      <c r="E4456" s="1240">
        <f>ROUND(($R4460*$S$2 + ($T4460*$T$2)),2)</f>
        <v>75.319999999999993</v>
      </c>
      <c r="F4456" s="1290">
        <f ca="1">$F4448-SUMIF($L4450:$P4453,"SUBI",$F4450:$F4453)</f>
        <v>75.31</v>
      </c>
      <c r="G4456" s="503"/>
      <c r="H4456" s="503"/>
      <c r="I4456" s="503"/>
      <c r="J4456" s="503"/>
      <c r="K4456" s="1242" t="s">
        <v>3</v>
      </c>
      <c r="L4456" s="1243" t="s">
        <v>1473</v>
      </c>
      <c r="M4456" s="503"/>
      <c r="N4456" s="503"/>
      <c r="O4456" s="503"/>
      <c r="P4456" s="503"/>
      <c r="Q4456" s="503"/>
      <c r="R4456" s="1258"/>
      <c r="S4456" s="503"/>
      <c r="T4456" s="1258"/>
    </row>
    <row r="4457" spans="1:41" s="1271" customFormat="1" ht="14.4" customHeight="1">
      <c r="A4457" s="1259"/>
      <c r="B4457" s="1244" t="s">
        <v>1475</v>
      </c>
      <c r="C4457" s="1260"/>
      <c r="D4457" s="1261"/>
      <c r="E4457" s="1261"/>
      <c r="F4457" s="1261"/>
      <c r="G4457" s="1262"/>
      <c r="H4457" s="1263"/>
      <c r="I4457" s="1263"/>
      <c r="J4457" s="1264"/>
      <c r="K4457" s="1265"/>
      <c r="L4457" s="1260"/>
      <c r="M4457" s="1266"/>
      <c r="N4457" s="1267"/>
      <c r="O4457" s="1268"/>
      <c r="P4457" s="1269"/>
      <c r="Q4457" s="1270"/>
      <c r="R4457" s="1247">
        <f>$A4457*Q4457</f>
        <v>0</v>
      </c>
      <c r="S4457" s="513"/>
      <c r="T4457" s="884">
        <f>$A4457*S4457*$T$1</f>
        <v>0</v>
      </c>
    </row>
    <row r="4458" spans="1:41" s="1039" customFormat="1" ht="13.2">
      <c r="A4458" s="112">
        <f>3*3</f>
        <v>9</v>
      </c>
      <c r="B4458" s="1039" t="s">
        <v>326</v>
      </c>
      <c r="D4458" s="1039" t="s">
        <v>1224</v>
      </c>
      <c r="G4458" s="1040" t="s">
        <v>1221</v>
      </c>
      <c r="H4458" s="1041">
        <v>700</v>
      </c>
      <c r="I4458" s="1039" t="s">
        <v>1132</v>
      </c>
      <c r="J4458" s="1039" t="s">
        <v>1222</v>
      </c>
      <c r="O4458" s="1042">
        <v>1</v>
      </c>
      <c r="P4458" s="1043">
        <v>42213</v>
      </c>
      <c r="Q4458" s="1044">
        <v>1.41</v>
      </c>
      <c r="R4458" s="1045">
        <f>$A4458*Q4458</f>
        <v>12.69</v>
      </c>
      <c r="S4458" s="1044">
        <v>0.18</v>
      </c>
      <c r="T4458" s="1046">
        <f>$A4458*S4458*$T$1</f>
        <v>1.7009999999999998</v>
      </c>
    </row>
    <row r="4459" spans="1:41" s="504" customFormat="1" ht="13.2">
      <c r="A4459" s="930"/>
      <c r="B4459" s="513"/>
      <c r="C4459" s="513"/>
      <c r="D4459" s="3"/>
      <c r="E4459" s="513"/>
      <c r="F4459" s="513"/>
      <c r="G4459" s="513"/>
      <c r="H4459" s="513"/>
      <c r="I4459" s="513"/>
      <c r="J4459" s="513"/>
      <c r="K4459" s="513"/>
      <c r="L4459" s="1246"/>
      <c r="M4459" s="513"/>
      <c r="N4459" s="513"/>
      <c r="O4459" s="513"/>
      <c r="P4459" s="513"/>
      <c r="Q4459" s="513"/>
      <c r="R4459" s="1247">
        <f>$A4459*Q4459</f>
        <v>0</v>
      </c>
      <c r="S4459" s="513"/>
      <c r="T4459" s="884">
        <f>$A4459*S4459*$T$1</f>
        <v>0</v>
      </c>
    </row>
    <row r="4460" spans="1:41" s="504" customFormat="1" ht="12" customHeight="1">
      <c r="A4460" s="1272" t="s">
        <v>142</v>
      </c>
      <c r="B4460" s="1273">
        <f>(R4459+T4459)</f>
        <v>0</v>
      </c>
      <c r="C4460" s="1274"/>
      <c r="D4460" s="1274"/>
      <c r="E4460" s="1274"/>
      <c r="F4460" s="1274"/>
      <c r="G4460" s="1253"/>
      <c r="H4460" s="1253"/>
      <c r="I4460" s="1253"/>
      <c r="J4460" s="1253"/>
      <c r="K4460" s="1275" t="s">
        <v>3</v>
      </c>
      <c r="L4460" s="1276" t="s">
        <v>1473</v>
      </c>
      <c r="M4460" s="1253"/>
      <c r="N4460" s="1253"/>
      <c r="O4460" s="1253"/>
      <c r="P4460" s="1253"/>
      <c r="Q4460" s="1253"/>
      <c r="R4460" s="1254">
        <f>SUM(R4456:R4459)</f>
        <v>12.69</v>
      </c>
      <c r="S4460" s="1255"/>
      <c r="T4460" s="1254">
        <f>SUM(T4456:T4459)</f>
        <v>1.7009999999999998</v>
      </c>
      <c r="AG4460" s="1256">
        <f>ROUND($R4460*$S$2,2)</f>
        <v>15.48</v>
      </c>
    </row>
    <row r="4461" spans="1:41" s="504" customFormat="1" ht="12.75" customHeight="1">
      <c r="A4461" s="1277"/>
      <c r="B4461" s="1278"/>
      <c r="E4461" s="882"/>
      <c r="F4461" s="1279"/>
      <c r="G4461" s="882"/>
      <c r="H4461" s="882"/>
      <c r="I4461" s="503"/>
      <c r="J4461" s="882"/>
      <c r="K4461" s="882"/>
      <c r="L4461" s="1280"/>
      <c r="M4461" s="933"/>
      <c r="N4461" s="933"/>
      <c r="O4461" s="933"/>
      <c r="P4461" s="933"/>
      <c r="Q4461" s="900"/>
      <c r="R4461" s="1258"/>
      <c r="S4461" s="882"/>
      <c r="T4461" s="1258"/>
    </row>
    <row r="4462" spans="1:41" s="504" customFormat="1" ht="13.5" customHeight="1" thickBot="1">
      <c r="A4462" s="1281"/>
      <c r="B4462" s="1282"/>
      <c r="C4462" s="514"/>
      <c r="D4462" s="514"/>
      <c r="E4462" s="887"/>
      <c r="F4462" s="888"/>
      <c r="G4462" s="887" t="s">
        <v>143</v>
      </c>
      <c r="H4462" s="887"/>
      <c r="I4462" s="889"/>
      <c r="J4462" s="887"/>
      <c r="K4462" s="887"/>
      <c r="L4462" s="1283" t="s">
        <v>140</v>
      </c>
      <c r="M4462" s="890"/>
      <c r="N4462" s="890"/>
      <c r="O4462" s="890"/>
      <c r="P4462" s="890"/>
      <c r="Q4462" s="891"/>
      <c r="R4462" s="1284">
        <f>SUMIF($L4449:$L4461,"SUBI",R4449:R4461)</f>
        <v>194.61</v>
      </c>
      <c r="S4462" s="887"/>
      <c r="T4462" s="1284">
        <f>SUMIF($L4449:$L4461,"SUBI",T4449:T4461)</f>
        <v>1.7009999999999998</v>
      </c>
      <c r="U4462" s="514"/>
      <c r="V4462" s="514"/>
      <c r="W4462" s="514"/>
      <c r="X4462" s="514"/>
      <c r="Y4462" s="514"/>
      <c r="Z4462" s="514"/>
      <c r="AA4462" s="514"/>
      <c r="AB4462" s="514"/>
      <c r="AC4462" s="514"/>
      <c r="AD4462" s="514"/>
      <c r="AE4462" s="514"/>
      <c r="AF4462" s="514"/>
      <c r="AG4462" s="514"/>
      <c r="AH4462" s="514"/>
      <c r="AI4462" s="514"/>
      <c r="AJ4462" s="514"/>
      <c r="AK4462" s="514"/>
      <c r="AL4462" s="514"/>
      <c r="AM4462" s="514"/>
      <c r="AN4462" s="514"/>
      <c r="AO4462" s="514"/>
    </row>
    <row r="4463" spans="1:41" s="504" customFormat="1" thickTop="1">
      <c r="A4463" s="50"/>
      <c r="B4463" s="40"/>
      <c r="C4463" s="50"/>
      <c r="E4463" s="41" t="s">
        <v>136</v>
      </c>
      <c r="F4463" s="41" t="s">
        <v>137</v>
      </c>
      <c r="G4463" s="50"/>
      <c r="H4463" s="50"/>
      <c r="I4463" s="50"/>
      <c r="J4463" s="50"/>
      <c r="K4463" s="50" t="s">
        <v>138</v>
      </c>
      <c r="L4463" s="1219"/>
      <c r="M4463" s="50"/>
      <c r="N4463" s="50"/>
      <c r="O4463" s="51"/>
      <c r="P4463" s="50"/>
      <c r="Q4463"/>
      <c r="R4463"/>
      <c r="S4463"/>
      <c r="T4463" s="40"/>
      <c r="AG4463" s="867" t="s">
        <v>241</v>
      </c>
      <c r="AH4463" s="867" t="s">
        <v>242</v>
      </c>
      <c r="AI4463" s="867" t="s">
        <v>243</v>
      </c>
      <c r="AJ4463" s="867" t="s">
        <v>244</v>
      </c>
      <c r="AK4463" s="867" t="s">
        <v>245</v>
      </c>
      <c r="AM4463" s="868" t="s">
        <v>254</v>
      </c>
      <c r="AN4463" s="869" t="s">
        <v>255</v>
      </c>
      <c r="AO4463" s="505" t="s">
        <v>251</v>
      </c>
    </row>
    <row r="4464" spans="1:41" s="504" customFormat="1" ht="13.2">
      <c r="A4464" s="870">
        <v>4</v>
      </c>
      <c r="B4464" s="506" t="s">
        <v>335</v>
      </c>
      <c r="C4464" s="872"/>
      <c r="D4464" s="873" t="s">
        <v>851</v>
      </c>
      <c r="E4464" s="1220">
        <f>IF(AND($A4464=0,$A$1="DIF"),0, ROUND(ROUND(SUMIF($L4466:$L4472,"SUBI",$E4466:$E4472)/$A4464,2)*$C$12,2))</f>
        <v>341.22</v>
      </c>
      <c r="F4464" s="1221">
        <f>ROUND($A4464*$E4464,2)</f>
        <v>1364.88</v>
      </c>
      <c r="G4464" s="876" t="s">
        <v>139</v>
      </c>
      <c r="H4464" s="877"/>
      <c r="I4464" s="878"/>
      <c r="J4464" s="877"/>
      <c r="K4464" s="1222"/>
      <c r="L4464" s="1223" t="s">
        <v>140</v>
      </c>
      <c r="M4464" s="879"/>
      <c r="N4464" s="879"/>
      <c r="O4464" s="879"/>
      <c r="P4464" s="879"/>
      <c r="Q4464"/>
      <c r="R4464"/>
      <c r="S4464"/>
      <c r="T4464" s="1224" t="str">
        <f>IF(AND($R4478=0,$T4478=0),"0.00","mu :" &amp; ROUND($F4464/$C$12/($R4478+$T4478*$D$9),2))</f>
        <v>mu :1.08</v>
      </c>
      <c r="W4464" s="507"/>
      <c r="AG4464" s="1225">
        <f>IF(A4464=0,0,ROUND(SUM(AG4466:AG4478)/A4464,2))</f>
        <v>327.92</v>
      </c>
      <c r="AH4464" s="1225">
        <f>$AG4464*$A4464</f>
        <v>1311.68</v>
      </c>
      <c r="AI4464" s="1225">
        <f>$E4464-$AG4464</f>
        <v>13.300000000000011</v>
      </c>
      <c r="AJ4464" s="1225">
        <f>$A4464*$AI4464</f>
        <v>53.200000000000045</v>
      </c>
      <c r="AK4464" s="1226">
        <f>ROUND(($AG4464+$AI4464)*$A4464,2)</f>
        <v>1364.88</v>
      </c>
      <c r="AM4464" s="510">
        <f>ROUND(R4478,2)</f>
        <v>1218.6400000000001</v>
      </c>
      <c r="AN4464" s="511">
        <f>ROUND(T4478,2)</f>
        <v>1.51</v>
      </c>
      <c r="AO4464" s="512">
        <f>ROUND(AM4464+AN4464,2)*A4464</f>
        <v>4880.6000000000004</v>
      </c>
    </row>
    <row r="4465" spans="1:41" s="504" customFormat="1" ht="13.2">
      <c r="A4465" s="872"/>
      <c r="B4465"/>
      <c r="C4465" s="872"/>
      <c r="D4465" s="873" t="s">
        <v>517</v>
      </c>
      <c r="F4465" s="877"/>
      <c r="G4465" s="877"/>
      <c r="H4465" s="877"/>
      <c r="I4465" s="878"/>
      <c r="J4465" s="877"/>
      <c r="K4465" s="877" t="s">
        <v>141</v>
      </c>
      <c r="L4465" s="1227"/>
      <c r="M4465" s="877"/>
      <c r="N4465" s="877"/>
      <c r="O4465" s="877"/>
      <c r="P4465" s="877"/>
      <c r="Q4465" s="50"/>
      <c r="R4465" s="513"/>
      <c r="S4465" s="881"/>
      <c r="T4465" s="877"/>
    </row>
    <row r="4466" spans="1:41" s="504" customFormat="1" ht="12">
      <c r="A4466" s="1228"/>
      <c r="B4466" s="1229"/>
      <c r="C4466" s="882"/>
      <c r="D4466" s="877"/>
      <c r="E4466" s="1230">
        <f>F4464/$C$12-SUMIF($L4463:$L4478,"SUBI",$E4463:$E4478)</f>
        <v>1.999999999998181E-2</v>
      </c>
      <c r="F4466" s="1231" t="s">
        <v>1472</v>
      </c>
      <c r="G4466" s="1232"/>
      <c r="H4466" s="1232"/>
      <c r="I4466" s="1233"/>
      <c r="J4466" s="1232"/>
      <c r="K4466" s="1232"/>
      <c r="L4466" s="1234"/>
      <c r="M4466" s="1235"/>
      <c r="N4466" s="1235"/>
      <c r="O4466" s="1235"/>
      <c r="P4466" s="1235"/>
      <c r="Q4466" s="1236"/>
      <c r="R4466" s="1237"/>
      <c r="S4466" s="1236"/>
      <c r="T4466" s="1238"/>
    </row>
    <row r="4467" spans="1:41" s="504" customFormat="1" ht="12" customHeight="1">
      <c r="A4467" s="1239"/>
      <c r="B4467" s="1285"/>
      <c r="C4467" s="1286"/>
      <c r="D4467" s="1286" t="str">
        <f>$F$5</f>
        <v>ELV Sub-Contractor - APCO</v>
      </c>
      <c r="E4467" s="1286">
        <f>ROUND(($R4471*$S$5 + ($T4471*$T$5)),2)</f>
        <v>1297.9100000000001</v>
      </c>
      <c r="F4467" s="1287">
        <f>$E4467*$C$12</f>
        <v>1297.9100000000001</v>
      </c>
      <c r="G4467" s="513"/>
      <c r="H4467" s="1241"/>
      <c r="I4467" s="513"/>
      <c r="J4467" s="51"/>
      <c r="K4467" s="1242" t="s">
        <v>9</v>
      </c>
      <c r="L4467" s="1243" t="s">
        <v>1473</v>
      </c>
      <c r="M4467" s="513"/>
      <c r="N4467" s="513"/>
      <c r="O4467" s="51"/>
      <c r="P4467" s="513"/>
      <c r="Q4467" s="513"/>
      <c r="R4467"/>
      <c r="S4467"/>
      <c r="T4467"/>
    </row>
    <row r="4468" spans="1:41" s="504" customFormat="1" ht="13.95" customHeight="1">
      <c r="A4468" s="930"/>
      <c r="B4468" s="1244" t="s">
        <v>1474</v>
      </c>
      <c r="C4468" s="513"/>
      <c r="D4468" s="513"/>
      <c r="E4468" s="513"/>
      <c r="F4468" s="513"/>
      <c r="G4468" s="513"/>
      <c r="H4468" s="1241"/>
      <c r="I4468" s="513"/>
      <c r="J4468" s="51"/>
      <c r="K4468" s="1245"/>
      <c r="L4468" s="1246"/>
      <c r="M4468" s="513"/>
      <c r="N4468" s="513"/>
      <c r="O4468" s="51"/>
      <c r="P4468" s="513"/>
      <c r="Q4468" s="513"/>
      <c r="R4468" s="1247">
        <f>$A4468*Q4468</f>
        <v>0</v>
      </c>
      <c r="S4468" s="513"/>
      <c r="T4468" s="884">
        <f>$A4468*S4468*$T$1</f>
        <v>0</v>
      </c>
    </row>
    <row r="4469" spans="1:41" s="1039" customFormat="1" ht="13.2">
      <c r="A4469" s="112">
        <v>4</v>
      </c>
      <c r="B4469" s="1039" t="s">
        <v>949</v>
      </c>
      <c r="D4469" s="1039" t="s">
        <v>517</v>
      </c>
      <c r="G4469" s="1040" t="s">
        <v>1456</v>
      </c>
      <c r="H4469" s="1041">
        <v>725</v>
      </c>
      <c r="I4469" s="1039" t="s">
        <v>951</v>
      </c>
      <c r="O4469" s="1042">
        <v>3</v>
      </c>
      <c r="P4469" s="1043"/>
      <c r="Q4469" s="1044">
        <v>301.83999999999997</v>
      </c>
      <c r="R4469" s="1045">
        <f>$A4469*Q4469</f>
        <v>1207.3599999999999</v>
      </c>
      <c r="S4469" s="1044"/>
      <c r="T4469" s="1046">
        <f>$A4469*S4469*$T$1</f>
        <v>0</v>
      </c>
    </row>
    <row r="4470" spans="1:41" s="504" customFormat="1" ht="13.95" customHeight="1">
      <c r="A4470" s="930"/>
      <c r="B4470" s="513"/>
      <c r="C4470" s="513"/>
      <c r="D4470" s="513"/>
      <c r="E4470" s="513"/>
      <c r="F4470" s="513"/>
      <c r="G4470" s="513"/>
      <c r="H4470" s="1241"/>
      <c r="I4470" s="513"/>
      <c r="J4470" s="51"/>
      <c r="K4470" s="1245"/>
      <c r="L4470" s="1246"/>
      <c r="M4470" s="513"/>
      <c r="N4470" s="513"/>
      <c r="O4470" s="51"/>
      <c r="P4470" s="513"/>
      <c r="Q4470" s="513"/>
      <c r="R4470" s="1247">
        <f>$A4470*Q4470</f>
        <v>0</v>
      </c>
      <c r="S4470" s="513"/>
      <c r="T4470" s="884">
        <f>$A4470*S4470*$T$1</f>
        <v>0</v>
      </c>
    </row>
    <row r="4471" spans="1:41" s="504" customFormat="1" ht="12">
      <c r="A4471" s="1248" t="s">
        <v>142</v>
      </c>
      <c r="B4471" s="1249">
        <f>(R4470+T4470)</f>
        <v>0</v>
      </c>
      <c r="C4471" s="882"/>
      <c r="G4471" s="1250"/>
      <c r="H4471" s="1250"/>
      <c r="I4471" s="1250"/>
      <c r="J4471" s="1250"/>
      <c r="K4471" s="1251" t="s">
        <v>9</v>
      </c>
      <c r="L4471" s="1252" t="s">
        <v>1473</v>
      </c>
      <c r="M4471" s="1250"/>
      <c r="N4471" s="1250"/>
      <c r="O4471" s="1250"/>
      <c r="P4471" s="1250"/>
      <c r="Q4471" s="1253"/>
      <c r="R4471" s="1254">
        <f>SUM(R4467:R4470)</f>
        <v>1207.3599999999999</v>
      </c>
      <c r="S4471" s="1255"/>
      <c r="T4471" s="1254">
        <f>SUM(T4467:T4470)</f>
        <v>0</v>
      </c>
      <c r="AG4471" s="1288">
        <f>ROUND($R4471*$S$5,2)</f>
        <v>1297.9100000000001</v>
      </c>
    </row>
    <row r="4472" spans="1:41" s="504" customFormat="1" ht="12" customHeight="1">
      <c r="A4472" s="1257"/>
      <c r="B4472" s="1289"/>
      <c r="C4472" s="1240"/>
      <c r="D4472" s="1240" t="str">
        <f>$F$2</f>
        <v>Electrical</v>
      </c>
      <c r="E4472" s="1240">
        <f>ROUND(($R4476*$S$2 + ($T4476*$T$2)),2)</f>
        <v>66.95</v>
      </c>
      <c r="F4472" s="1290">
        <f ca="1">$F4464-SUMIF($L4466:$P4469,"SUBI",$F4466:$F4469)</f>
        <v>66.970000000000027</v>
      </c>
      <c r="G4472" s="503"/>
      <c r="H4472" s="503"/>
      <c r="I4472" s="503"/>
      <c r="J4472" s="503"/>
      <c r="K4472" s="1242" t="s">
        <v>3</v>
      </c>
      <c r="L4472" s="1243" t="s">
        <v>1473</v>
      </c>
      <c r="M4472" s="503"/>
      <c r="N4472" s="503"/>
      <c r="O4472" s="503"/>
      <c r="P4472" s="503"/>
      <c r="Q4472" s="503"/>
      <c r="R4472" s="1258"/>
      <c r="S4472" s="503"/>
      <c r="T4472" s="1258"/>
    </row>
    <row r="4473" spans="1:41" s="1271" customFormat="1" ht="14.4" customHeight="1">
      <c r="A4473" s="1259"/>
      <c r="B4473" s="1244" t="s">
        <v>1475</v>
      </c>
      <c r="C4473" s="1260"/>
      <c r="D4473" s="1261"/>
      <c r="E4473" s="1261"/>
      <c r="F4473" s="1261"/>
      <c r="G4473" s="1262"/>
      <c r="H4473" s="1263"/>
      <c r="I4473" s="1263"/>
      <c r="J4473" s="1264"/>
      <c r="K4473" s="1265"/>
      <c r="L4473" s="1260"/>
      <c r="M4473" s="1266"/>
      <c r="N4473" s="1267"/>
      <c r="O4473" s="1268"/>
      <c r="P4473" s="1269"/>
      <c r="Q4473" s="1270"/>
      <c r="R4473" s="1247">
        <f>$A4473*Q4473</f>
        <v>0</v>
      </c>
      <c r="S4473" s="513"/>
      <c r="T4473" s="884">
        <f>$A4473*S4473*$T$1</f>
        <v>0</v>
      </c>
    </row>
    <row r="4474" spans="1:41" s="1039" customFormat="1" ht="13.2">
      <c r="A4474" s="112">
        <f>4*2</f>
        <v>8</v>
      </c>
      <c r="B4474" s="1039" t="s">
        <v>326</v>
      </c>
      <c r="D4474" s="1039" t="s">
        <v>1224</v>
      </c>
      <c r="G4474" s="1040" t="s">
        <v>1221</v>
      </c>
      <c r="H4474" s="1041">
        <v>700</v>
      </c>
      <c r="I4474" s="1039" t="s">
        <v>1132</v>
      </c>
      <c r="J4474" s="1039" t="s">
        <v>1222</v>
      </c>
      <c r="O4474" s="1042">
        <v>1</v>
      </c>
      <c r="P4474" s="1043">
        <v>42213</v>
      </c>
      <c r="Q4474" s="1044">
        <v>1.41</v>
      </c>
      <c r="R4474" s="1045">
        <f>$A4474*Q4474</f>
        <v>11.28</v>
      </c>
      <c r="S4474" s="1044">
        <v>0.18</v>
      </c>
      <c r="T4474" s="1046">
        <f>$A4474*S4474*$T$1</f>
        <v>1.512</v>
      </c>
    </row>
    <row r="4475" spans="1:41" s="504" customFormat="1" ht="13.2">
      <c r="A4475" s="930"/>
      <c r="B4475" s="513"/>
      <c r="C4475" s="513"/>
      <c r="D4475" s="3"/>
      <c r="E4475" s="513"/>
      <c r="F4475" s="513"/>
      <c r="G4475" s="513"/>
      <c r="H4475" s="513"/>
      <c r="I4475" s="513"/>
      <c r="J4475" s="513"/>
      <c r="K4475" s="513"/>
      <c r="L4475" s="1246"/>
      <c r="M4475" s="513"/>
      <c r="N4475" s="513"/>
      <c r="O4475" s="513"/>
      <c r="P4475" s="513"/>
      <c r="Q4475" s="513"/>
      <c r="R4475" s="1247">
        <f>$A4475*Q4475</f>
        <v>0</v>
      </c>
      <c r="S4475" s="513"/>
      <c r="T4475" s="884">
        <f>$A4475*S4475*$T$1</f>
        <v>0</v>
      </c>
    </row>
    <row r="4476" spans="1:41" s="504" customFormat="1" ht="12" customHeight="1">
      <c r="A4476" s="1272" t="s">
        <v>142</v>
      </c>
      <c r="B4476" s="1273">
        <f>(R4475+T4475)</f>
        <v>0</v>
      </c>
      <c r="C4476" s="1274"/>
      <c r="D4476" s="1274"/>
      <c r="E4476" s="1274"/>
      <c r="F4476" s="1274"/>
      <c r="G4476" s="1253"/>
      <c r="H4476" s="1253"/>
      <c r="I4476" s="1253"/>
      <c r="J4476" s="1253"/>
      <c r="K4476" s="1275" t="s">
        <v>3</v>
      </c>
      <c r="L4476" s="1276" t="s">
        <v>1473</v>
      </c>
      <c r="M4476" s="1253"/>
      <c r="N4476" s="1253"/>
      <c r="O4476" s="1253"/>
      <c r="P4476" s="1253"/>
      <c r="Q4476" s="1253"/>
      <c r="R4476" s="1254">
        <f>SUM(R4472:R4475)</f>
        <v>11.28</v>
      </c>
      <c r="S4476" s="1255"/>
      <c r="T4476" s="1254">
        <f>SUM(T4472:T4475)</f>
        <v>1.512</v>
      </c>
      <c r="AG4476" s="1256">
        <f>ROUND($R4476*$S$2,2)</f>
        <v>13.76</v>
      </c>
    </row>
    <row r="4477" spans="1:41" s="504" customFormat="1" ht="12.75" customHeight="1">
      <c r="A4477" s="1277"/>
      <c r="B4477" s="1278"/>
      <c r="E4477" s="882"/>
      <c r="F4477" s="1279"/>
      <c r="G4477" s="882"/>
      <c r="H4477" s="882"/>
      <c r="I4477" s="503"/>
      <c r="J4477" s="882"/>
      <c r="K4477" s="882"/>
      <c r="L4477" s="1280"/>
      <c r="M4477" s="933"/>
      <c r="N4477" s="933"/>
      <c r="O4477" s="933"/>
      <c r="P4477" s="933"/>
      <c r="Q4477" s="900"/>
      <c r="R4477" s="1258"/>
      <c r="S4477" s="882"/>
      <c r="T4477" s="1258"/>
    </row>
    <row r="4478" spans="1:41" s="504" customFormat="1" ht="13.5" customHeight="1" thickBot="1">
      <c r="A4478" s="1281"/>
      <c r="B4478" s="1282"/>
      <c r="C4478" s="514"/>
      <c r="D4478" s="514"/>
      <c r="E4478" s="887"/>
      <c r="F4478" s="888"/>
      <c r="G4478" s="887" t="s">
        <v>143</v>
      </c>
      <c r="H4478" s="887"/>
      <c r="I4478" s="889"/>
      <c r="J4478" s="887"/>
      <c r="K4478" s="887"/>
      <c r="L4478" s="1283" t="s">
        <v>140</v>
      </c>
      <c r="M4478" s="890"/>
      <c r="N4478" s="890"/>
      <c r="O4478" s="890"/>
      <c r="P4478" s="890"/>
      <c r="Q4478" s="891"/>
      <c r="R4478" s="1284">
        <f>SUMIF($L4465:$L4477,"SUBI",R4465:R4477)</f>
        <v>1218.6399999999999</v>
      </c>
      <c r="S4478" s="887"/>
      <c r="T4478" s="1284">
        <f>SUMIF($L4465:$L4477,"SUBI",T4465:T4477)</f>
        <v>1.512</v>
      </c>
      <c r="U4478" s="514"/>
      <c r="V4478" s="514"/>
      <c r="W4478" s="514"/>
      <c r="X4478" s="514"/>
      <c r="Y4478" s="514"/>
      <c r="Z4478" s="514"/>
      <c r="AA4478" s="514"/>
      <c r="AB4478" s="514"/>
      <c r="AC4478" s="514"/>
      <c r="AD4478" s="514"/>
      <c r="AE4478" s="514"/>
      <c r="AF4478" s="514"/>
      <c r="AG4478" s="514"/>
      <c r="AH4478" s="514"/>
      <c r="AI4478" s="514"/>
      <c r="AJ4478" s="514"/>
      <c r="AK4478" s="514"/>
      <c r="AL4478" s="514"/>
      <c r="AM4478" s="514"/>
      <c r="AN4478" s="514"/>
      <c r="AO4478" s="514"/>
    </row>
    <row r="4479" spans="1:41" s="504" customFormat="1" ht="12" thickTop="1">
      <c r="A4479" s="50"/>
      <c r="B4479" s="40"/>
      <c r="C4479" s="50"/>
      <c r="E4479" s="41" t="s">
        <v>136</v>
      </c>
      <c r="F4479" s="41" t="s">
        <v>137</v>
      </c>
      <c r="G4479" s="50"/>
      <c r="H4479" s="50"/>
      <c r="I4479" s="50"/>
      <c r="J4479" s="50"/>
      <c r="K4479" s="50" t="s">
        <v>138</v>
      </c>
      <c r="L4479" s="50"/>
      <c r="M4479" s="50"/>
      <c r="N4479" s="50"/>
      <c r="O4479" s="51"/>
      <c r="P4479" s="50"/>
      <c r="Q4479" s="50"/>
      <c r="R4479" s="50"/>
      <c r="S4479" s="50"/>
      <c r="T4479" s="40"/>
      <c r="AG4479" s="867" t="s">
        <v>241</v>
      </c>
      <c r="AH4479" s="867" t="s">
        <v>242</v>
      </c>
      <c r="AI4479" s="867" t="s">
        <v>243</v>
      </c>
      <c r="AJ4479" s="867" t="s">
        <v>244</v>
      </c>
      <c r="AK4479" s="867" t="s">
        <v>245</v>
      </c>
      <c r="AM4479" s="868" t="s">
        <v>254</v>
      </c>
      <c r="AN4479" s="869" t="s">
        <v>255</v>
      </c>
      <c r="AO4479" s="505" t="s">
        <v>251</v>
      </c>
    </row>
    <row r="4480" spans="1:41" s="504" customFormat="1" ht="12" customHeight="1">
      <c r="A4480" s="870">
        <v>160</v>
      </c>
      <c r="B4480" s="506" t="s">
        <v>326</v>
      </c>
      <c r="C4480" s="872"/>
      <c r="D4480" s="873" t="s">
        <v>853</v>
      </c>
      <c r="E4480" s="1027">
        <f>IF(AND($A4480=0,$A$1="DIF"),0, ROUND(ROUND(($R4484*$S$5+($T4484*$T$5))/$A4480,2)*$C$5,2))</f>
        <v>10.78</v>
      </c>
      <c r="F4480" s="1028">
        <f>ROUND($A4480*$E4480,2)</f>
        <v>1724.8</v>
      </c>
      <c r="G4480" s="876" t="s">
        <v>139</v>
      </c>
      <c r="H4480" s="877"/>
      <c r="I4480" s="878"/>
      <c r="J4480" s="877"/>
      <c r="K4480" s="877" t="s">
        <v>9</v>
      </c>
      <c r="L4480" s="879" t="s">
        <v>140</v>
      </c>
      <c r="M4480" s="879"/>
      <c r="N4480" s="879"/>
      <c r="O4480" s="879"/>
      <c r="P4480" s="879"/>
      <c r="Q4480" s="50"/>
      <c r="T4480" s="1032" t="str">
        <f>IF(AND($R4484=0,$T4484=0),"0.00","mu: "&amp; ROUND(F4480/$C$5/($R4484+$T4484*$D$9),2))</f>
        <v>mu: 1.07</v>
      </c>
      <c r="W4480" s="507"/>
      <c r="AG4480" s="1029">
        <f>IF($E4480=0,0,ROUND($R4484*$S$5*$C$5/$A4480,2))</f>
        <v>10.78</v>
      </c>
      <c r="AH4480" s="1029">
        <f>$AG4480*$A4480</f>
        <v>1724.8</v>
      </c>
      <c r="AI4480" s="1030">
        <f>$E4480-$AG4480</f>
        <v>0</v>
      </c>
      <c r="AJ4480" s="1030">
        <f>$A4480*$AI4480</f>
        <v>0</v>
      </c>
      <c r="AK4480" s="1031">
        <f>ROUND(($AG4480+$AI4480)*$A4480,2)</f>
        <v>1724.8</v>
      </c>
      <c r="AM4480" s="510">
        <f>ROUND(R4484,2)</f>
        <v>1604.8</v>
      </c>
      <c r="AN4480" s="511">
        <f>ROUND(T4484,2)</f>
        <v>0</v>
      </c>
      <c r="AO4480" s="512">
        <f>ROUND(AM4480+AN4480,2)*A4480</f>
        <v>256768</v>
      </c>
    </row>
    <row r="4481" spans="1:41" s="504" customFormat="1" ht="13.2">
      <c r="A4481" s="872"/>
      <c r="B4481"/>
      <c r="C4481" s="872"/>
      <c r="D4481" s="873" t="s">
        <v>518</v>
      </c>
      <c r="F4481" s="877"/>
      <c r="G4481" s="3"/>
      <c r="H4481" s="877"/>
      <c r="I4481" s="878"/>
      <c r="J4481" s="877"/>
      <c r="K4481" s="877" t="s">
        <v>141</v>
      </c>
      <c r="L4481" s="877"/>
      <c r="M4481" s="877"/>
      <c r="N4481" s="877"/>
      <c r="O4481" s="877"/>
      <c r="P4481" s="877"/>
      <c r="Q4481" s="50"/>
      <c r="R4481" s="513"/>
      <c r="S4481" s="881"/>
      <c r="T4481" s="877"/>
    </row>
    <row r="4482" spans="1:41" s="1039" customFormat="1" ht="13.2">
      <c r="A4482" s="112">
        <v>160</v>
      </c>
      <c r="B4482" s="1039" t="s">
        <v>326</v>
      </c>
      <c r="D4482" s="1039" t="s">
        <v>518</v>
      </c>
      <c r="G4482" s="1040" t="s">
        <v>1456</v>
      </c>
      <c r="H4482" s="1041">
        <v>725</v>
      </c>
      <c r="I4482" s="1039" t="s">
        <v>951</v>
      </c>
      <c r="O4482" s="1042">
        <v>3</v>
      </c>
      <c r="P4482" s="1043"/>
      <c r="Q4482" s="1044">
        <v>10.029999999999999</v>
      </c>
      <c r="R4482" s="1045">
        <f>$A4482*Q4482</f>
        <v>1604.8</v>
      </c>
      <c r="S4482" s="1044"/>
      <c r="T4482" s="1046">
        <f>$A4482*S4482*$T$1</f>
        <v>0</v>
      </c>
    </row>
    <row r="4483" spans="1:41" s="504" customFormat="1" ht="12">
      <c r="A4483" s="882"/>
      <c r="B4483" s="882"/>
      <c r="C4483" s="882"/>
      <c r="D4483" s="882"/>
      <c r="E4483" s="882"/>
      <c r="F4483" s="877"/>
      <c r="G4483" s="882"/>
      <c r="H4483" s="882"/>
      <c r="I4483" s="503"/>
      <c r="J4483" s="882"/>
      <c r="K4483" s="882"/>
      <c r="L4483" s="882"/>
      <c r="M4483" s="882"/>
      <c r="N4483" s="882"/>
      <c r="O4483" s="882"/>
      <c r="P4483" s="882"/>
      <c r="Q4483" s="503"/>
      <c r="R4483" s="883">
        <f>$A4483*Q4483</f>
        <v>0</v>
      </c>
      <c r="S4483" s="503"/>
      <c r="T4483" s="884">
        <f>$A4483*S4483*$T$1</f>
        <v>0</v>
      </c>
    </row>
    <row r="4484" spans="1:41" s="504" customFormat="1" ht="12.6" thickBot="1">
      <c r="A4484" s="885" t="s">
        <v>142</v>
      </c>
      <c r="B4484" s="886">
        <f>(R4483+T4483)</f>
        <v>0</v>
      </c>
      <c r="C4484" s="887"/>
      <c r="D4484" s="887"/>
      <c r="E4484" s="887"/>
      <c r="F4484" s="888"/>
      <c r="G4484" s="887" t="s">
        <v>143</v>
      </c>
      <c r="H4484" s="887"/>
      <c r="I4484" s="889"/>
      <c r="J4484" s="887"/>
      <c r="K4484" s="887" t="s">
        <v>9</v>
      </c>
      <c r="L4484" s="890" t="s">
        <v>140</v>
      </c>
      <c r="M4484" s="890"/>
      <c r="N4484" s="890"/>
      <c r="O4484" s="890"/>
      <c r="P4484" s="890"/>
      <c r="Q4484" s="891"/>
      <c r="R4484" s="892">
        <f>SUM(R4481:R4483)</f>
        <v>1604.8</v>
      </c>
      <c r="S4484" s="887"/>
      <c r="T4484" s="892">
        <f>SUM(T4481:T4483)</f>
        <v>0</v>
      </c>
      <c r="U4484" s="514"/>
      <c r="V4484" s="514"/>
      <c r="W4484" s="514"/>
      <c r="X4484" s="514"/>
      <c r="Y4484" s="514"/>
      <c r="Z4484" s="514"/>
      <c r="AA4484" s="514"/>
      <c r="AB4484" s="514"/>
      <c r="AC4484" s="514"/>
      <c r="AD4484" s="514"/>
      <c r="AE4484" s="514"/>
      <c r="AF4484" s="514"/>
      <c r="AG4484" s="514"/>
      <c r="AH4484" s="514"/>
      <c r="AI4484" s="514"/>
      <c r="AJ4484" s="514"/>
      <c r="AK4484" s="514"/>
      <c r="AL4484" s="514"/>
      <c r="AM4484" s="514"/>
      <c r="AN4484" s="514"/>
      <c r="AO4484" s="514"/>
    </row>
    <row r="4485" spans="1:41" s="504" customFormat="1" thickTop="1">
      <c r="A4485" s="50"/>
      <c r="B4485" s="40"/>
      <c r="C4485" s="50"/>
      <c r="E4485" s="41" t="s">
        <v>136</v>
      </c>
      <c r="F4485" s="41" t="s">
        <v>137</v>
      </c>
      <c r="G4485" s="50"/>
      <c r="H4485" s="50"/>
      <c r="I4485" s="50"/>
      <c r="J4485" s="50"/>
      <c r="K4485" s="50" t="s">
        <v>138</v>
      </c>
      <c r="L4485" s="1219"/>
      <c r="M4485" s="50"/>
      <c r="N4485" s="50"/>
      <c r="O4485" s="51"/>
      <c r="P4485" s="50"/>
      <c r="Q4485"/>
      <c r="R4485"/>
      <c r="S4485"/>
      <c r="T4485" s="40"/>
      <c r="AG4485" s="867" t="s">
        <v>241</v>
      </c>
      <c r="AH4485" s="867" t="s">
        <v>242</v>
      </c>
      <c r="AI4485" s="867" t="s">
        <v>243</v>
      </c>
      <c r="AJ4485" s="867" t="s">
        <v>244</v>
      </c>
      <c r="AK4485" s="867" t="s">
        <v>245</v>
      </c>
      <c r="AM4485" s="868" t="s">
        <v>254</v>
      </c>
      <c r="AN4485" s="869" t="s">
        <v>255</v>
      </c>
      <c r="AO4485" s="505" t="s">
        <v>251</v>
      </c>
    </row>
    <row r="4486" spans="1:41" s="504" customFormat="1" ht="13.2">
      <c r="A4486" s="870">
        <v>4</v>
      </c>
      <c r="B4486" s="506" t="s">
        <v>335</v>
      </c>
      <c r="C4486" s="872"/>
      <c r="D4486" s="873" t="s">
        <v>854</v>
      </c>
      <c r="E4486" s="1220">
        <f>IF(AND($A4486=0,$A$1="DIF"),0, ROUND(ROUND(SUMIF($L4488:$L4494,"SUBI",$E4488:$E4494)/$A4486,2)*$C$12,2))</f>
        <v>143.13999999999999</v>
      </c>
      <c r="F4486" s="1221">
        <f>ROUND($A4486*$E4486,2)</f>
        <v>572.55999999999995</v>
      </c>
      <c r="G4486" s="876" t="s">
        <v>139</v>
      </c>
      <c r="H4486" s="877"/>
      <c r="I4486" s="878"/>
      <c r="J4486" s="877"/>
      <c r="K4486" s="1222"/>
      <c r="L4486" s="1223" t="s">
        <v>140</v>
      </c>
      <c r="M4486" s="879"/>
      <c r="N4486" s="879"/>
      <c r="O4486" s="879"/>
      <c r="P4486" s="879"/>
      <c r="Q4486"/>
      <c r="R4486"/>
      <c r="S4486"/>
      <c r="T4486" s="1224" t="str">
        <f>IF(AND($R4500=0,$T4500=0),"0.00","mu :" &amp; ROUND($F4486/$C$12/($R4500+$T4500*$D$9),2))</f>
        <v>mu :1.1</v>
      </c>
      <c r="W4486" s="507"/>
      <c r="AG4486" s="1225">
        <f>IF(A4486=0,0,ROUND(SUM(AG4488:AG4500)/A4486,2))</f>
        <v>123.2</v>
      </c>
      <c r="AH4486" s="1225">
        <f>$AG4486*$A4486</f>
        <v>492.8</v>
      </c>
      <c r="AI4486" s="1225">
        <f>$E4486-$AG4486</f>
        <v>19.939999999999984</v>
      </c>
      <c r="AJ4486" s="1225">
        <f>$A4486*$AI4486</f>
        <v>79.759999999999934</v>
      </c>
      <c r="AK4486" s="1226">
        <f>ROUND(($AG4486+$AI4486)*$A4486,2)</f>
        <v>572.55999999999995</v>
      </c>
      <c r="AM4486" s="510">
        <f>ROUND(R4500,2)</f>
        <v>456.12</v>
      </c>
      <c r="AN4486" s="511">
        <f>ROUND(T4500,2)</f>
        <v>2.27</v>
      </c>
      <c r="AO4486" s="512">
        <f>ROUND(AM4486+AN4486,2)*A4486</f>
        <v>1833.56</v>
      </c>
    </row>
    <row r="4487" spans="1:41" s="504" customFormat="1" ht="13.2">
      <c r="A4487" s="872"/>
      <c r="B4487"/>
      <c r="C4487" s="872"/>
      <c r="D4487" s="873" t="s">
        <v>521</v>
      </c>
      <c r="F4487" s="877"/>
      <c r="G4487" s="877"/>
      <c r="H4487" s="877"/>
      <c r="I4487" s="878"/>
      <c r="J4487" s="877"/>
      <c r="K4487" s="877" t="s">
        <v>141</v>
      </c>
      <c r="L4487" s="1227"/>
      <c r="M4487" s="877"/>
      <c r="N4487" s="877"/>
      <c r="O4487" s="877"/>
      <c r="P4487" s="877"/>
      <c r="Q4487" s="50"/>
      <c r="R4487" s="513"/>
      <c r="S4487" s="881"/>
      <c r="T4487" s="877"/>
    </row>
    <row r="4488" spans="1:41" s="504" customFormat="1" ht="12">
      <c r="A4488" s="1228"/>
      <c r="B4488" s="1229"/>
      <c r="C4488" s="882"/>
      <c r="D4488" s="877"/>
      <c r="E4488" s="1230">
        <f>F4486/$C$12-SUMIF($L4485:$L4500,"SUBI",$E4485:$E4500)</f>
        <v>0</v>
      </c>
      <c r="F4488" s="1231" t="s">
        <v>1472</v>
      </c>
      <c r="G4488" s="1232"/>
      <c r="H4488" s="1232"/>
      <c r="I4488" s="1233"/>
      <c r="J4488" s="1232"/>
      <c r="K4488" s="1232"/>
      <c r="L4488" s="1234"/>
      <c r="M4488" s="1235"/>
      <c r="N4488" s="1235"/>
      <c r="O4488" s="1235"/>
      <c r="P4488" s="1235"/>
      <c r="Q4488" s="1236"/>
      <c r="R4488" s="1237"/>
      <c r="S4488" s="1236"/>
      <c r="T4488" s="1238"/>
    </row>
    <row r="4489" spans="1:41" s="504" customFormat="1" ht="12" customHeight="1">
      <c r="A4489" s="1239"/>
      <c r="B4489" s="1285"/>
      <c r="C4489" s="1286"/>
      <c r="D4489" s="1286" t="str">
        <f>$F$5</f>
        <v>ELV Sub-Contractor - APCO</v>
      </c>
      <c r="E4489" s="1286">
        <f>ROUND(($R4493*$S$5 + ($T4493*$T$5)),2)</f>
        <v>472.14</v>
      </c>
      <c r="F4489" s="1287">
        <f>$E4489*$C$12</f>
        <v>472.14</v>
      </c>
      <c r="G4489" s="513"/>
      <c r="H4489" s="1241"/>
      <c r="I4489" s="513"/>
      <c r="J4489" s="51"/>
      <c r="K4489" s="1242" t="s">
        <v>9</v>
      </c>
      <c r="L4489" s="1243" t="s">
        <v>1473</v>
      </c>
      <c r="M4489" s="513"/>
      <c r="N4489" s="513"/>
      <c r="O4489" s="51"/>
      <c r="P4489" s="513"/>
      <c r="Q4489" s="513"/>
      <c r="R4489"/>
      <c r="S4489"/>
      <c r="T4489"/>
    </row>
    <row r="4490" spans="1:41" s="504" customFormat="1" ht="13.95" customHeight="1">
      <c r="A4490" s="930"/>
      <c r="B4490" s="1244" t="s">
        <v>1474</v>
      </c>
      <c r="C4490" s="513"/>
      <c r="D4490" s="513"/>
      <c r="E4490" s="513"/>
      <c r="F4490" s="513"/>
      <c r="G4490" s="513"/>
      <c r="H4490" s="1241"/>
      <c r="I4490" s="513"/>
      <c r="J4490" s="51"/>
      <c r="K4490" s="1245"/>
      <c r="L4490" s="1246"/>
      <c r="M4490" s="513"/>
      <c r="N4490" s="513"/>
      <c r="O4490" s="51"/>
      <c r="P4490" s="513"/>
      <c r="Q4490" s="513"/>
      <c r="R4490" s="1247">
        <f>$A4490*Q4490</f>
        <v>0</v>
      </c>
      <c r="S4490" s="513"/>
      <c r="T4490" s="884">
        <f>$A4490*S4490*$T$1</f>
        <v>0</v>
      </c>
    </row>
    <row r="4491" spans="1:41" s="1039" customFormat="1" ht="13.2">
      <c r="A4491" s="112">
        <v>4</v>
      </c>
      <c r="B4491" s="1039" t="s">
        <v>949</v>
      </c>
      <c r="D4491" s="1039" t="s">
        <v>521</v>
      </c>
      <c r="G4491" s="1040" t="s">
        <v>1456</v>
      </c>
      <c r="H4491" s="1041">
        <v>725</v>
      </c>
      <c r="I4491" s="1039" t="s">
        <v>951</v>
      </c>
      <c r="O4491" s="1042">
        <v>3</v>
      </c>
      <c r="P4491" s="1043"/>
      <c r="Q4491" s="1044">
        <v>109.8</v>
      </c>
      <c r="R4491" s="1045">
        <f>$A4491*Q4491</f>
        <v>439.2</v>
      </c>
      <c r="S4491" s="1044"/>
      <c r="T4491" s="1046">
        <f>$A4491*S4491*$T$1</f>
        <v>0</v>
      </c>
    </row>
    <row r="4492" spans="1:41" s="504" customFormat="1" ht="13.95" customHeight="1">
      <c r="A4492" s="930"/>
      <c r="B4492" s="513"/>
      <c r="C4492" s="513"/>
      <c r="D4492" s="513"/>
      <c r="E4492" s="513"/>
      <c r="F4492" s="513"/>
      <c r="G4492" s="513"/>
      <c r="H4492" s="1241"/>
      <c r="I4492" s="513"/>
      <c r="J4492" s="51"/>
      <c r="K4492" s="1245"/>
      <c r="L4492" s="1246"/>
      <c r="M4492" s="513"/>
      <c r="N4492" s="513"/>
      <c r="O4492" s="51"/>
      <c r="P4492" s="513"/>
      <c r="Q4492" s="513"/>
      <c r="R4492" s="1247">
        <f>$A4492*Q4492</f>
        <v>0</v>
      </c>
      <c r="S4492" s="513"/>
      <c r="T4492" s="884">
        <f>$A4492*S4492*$T$1</f>
        <v>0</v>
      </c>
    </row>
    <row r="4493" spans="1:41" s="504" customFormat="1" ht="12">
      <c r="A4493" s="1248" t="s">
        <v>142</v>
      </c>
      <c r="B4493" s="1249">
        <f>(R4492+T4492)</f>
        <v>0</v>
      </c>
      <c r="C4493" s="882"/>
      <c r="G4493" s="1250"/>
      <c r="H4493" s="1250"/>
      <c r="I4493" s="1250"/>
      <c r="J4493" s="1250"/>
      <c r="K4493" s="1251" t="s">
        <v>9</v>
      </c>
      <c r="L4493" s="1252" t="s">
        <v>1473</v>
      </c>
      <c r="M4493" s="1250"/>
      <c r="N4493" s="1250"/>
      <c r="O4493" s="1250"/>
      <c r="P4493" s="1250"/>
      <c r="Q4493" s="1253"/>
      <c r="R4493" s="1254">
        <f>SUM(R4489:R4492)</f>
        <v>439.2</v>
      </c>
      <c r="S4493" s="1255"/>
      <c r="T4493" s="1254">
        <f>SUM(T4489:T4492)</f>
        <v>0</v>
      </c>
      <c r="AG4493" s="1288">
        <f>ROUND($R4493*$S$5,2)</f>
        <v>472.14</v>
      </c>
    </row>
    <row r="4494" spans="1:41" s="504" customFormat="1" ht="12" customHeight="1">
      <c r="A4494" s="1257"/>
      <c r="B4494" s="1289"/>
      <c r="C4494" s="1240"/>
      <c r="D4494" s="1240" t="str">
        <f>$F$2</f>
        <v>Electrical</v>
      </c>
      <c r="E4494" s="1240">
        <f>ROUND(($R4498*$S$2 + ($T4498*$T$2)),2)</f>
        <v>100.42</v>
      </c>
      <c r="F4494" s="1290">
        <f ca="1">$F4486-SUMIF($L4488:$P4491,"SUBI",$F4488:$F4491)</f>
        <v>100.41999999999996</v>
      </c>
      <c r="G4494" s="503"/>
      <c r="H4494" s="503"/>
      <c r="I4494" s="503"/>
      <c r="J4494" s="503"/>
      <c r="K4494" s="1242" t="s">
        <v>3</v>
      </c>
      <c r="L4494" s="1243" t="s">
        <v>1473</v>
      </c>
      <c r="M4494" s="503"/>
      <c r="N4494" s="503"/>
      <c r="O4494" s="503"/>
      <c r="P4494" s="503"/>
      <c r="Q4494" s="503"/>
      <c r="R4494" s="1258"/>
      <c r="S4494" s="503"/>
      <c r="T4494" s="1258"/>
    </row>
    <row r="4495" spans="1:41" s="1271" customFormat="1" ht="14.4" customHeight="1">
      <c r="A4495" s="1259"/>
      <c r="B4495" s="1244" t="s">
        <v>1475</v>
      </c>
      <c r="C4495" s="1260"/>
      <c r="D4495" s="1261"/>
      <c r="E4495" s="1261"/>
      <c r="F4495" s="1261"/>
      <c r="G4495" s="1262"/>
      <c r="H4495" s="1263"/>
      <c r="I4495" s="1263"/>
      <c r="J4495" s="1264"/>
      <c r="K4495" s="1265"/>
      <c r="L4495" s="1260"/>
      <c r="M4495" s="1266"/>
      <c r="N4495" s="1267"/>
      <c r="O4495" s="1268"/>
      <c r="P4495" s="1269"/>
      <c r="Q4495" s="1270"/>
      <c r="R4495" s="1247">
        <f>$A4495*Q4495</f>
        <v>0</v>
      </c>
      <c r="S4495" s="513"/>
      <c r="T4495" s="884">
        <f>$A4495*S4495*$T$1</f>
        <v>0</v>
      </c>
    </row>
    <row r="4496" spans="1:41" s="1039" customFormat="1" ht="13.2">
      <c r="A4496" s="112">
        <f>4*3</f>
        <v>12</v>
      </c>
      <c r="B4496" s="1039" t="s">
        <v>326</v>
      </c>
      <c r="D4496" s="1039" t="s">
        <v>1224</v>
      </c>
      <c r="G4496" s="1040" t="s">
        <v>1221</v>
      </c>
      <c r="H4496" s="1041">
        <v>700</v>
      </c>
      <c r="I4496" s="1039" t="s">
        <v>1132</v>
      </c>
      <c r="J4496" s="1039" t="s">
        <v>1222</v>
      </c>
      <c r="O4496" s="1042">
        <v>1</v>
      </c>
      <c r="P4496" s="1043">
        <v>42213</v>
      </c>
      <c r="Q4496" s="1044">
        <v>1.41</v>
      </c>
      <c r="R4496" s="1045">
        <f>$A4496*Q4496</f>
        <v>16.919999999999998</v>
      </c>
      <c r="S4496" s="1044">
        <v>0.18</v>
      </c>
      <c r="T4496" s="1046">
        <f>$A4496*S4496*$T$1</f>
        <v>2.2680000000000002</v>
      </c>
    </row>
    <row r="4497" spans="1:41" s="504" customFormat="1" ht="13.2">
      <c r="A4497" s="930"/>
      <c r="B4497" s="513"/>
      <c r="C4497" s="513"/>
      <c r="D4497" s="3"/>
      <c r="E4497" s="513"/>
      <c r="F4497" s="513"/>
      <c r="G4497" s="513"/>
      <c r="H4497" s="513"/>
      <c r="I4497" s="513"/>
      <c r="J4497" s="513"/>
      <c r="K4497" s="513"/>
      <c r="L4497" s="1246"/>
      <c r="M4497" s="513"/>
      <c r="N4497" s="513"/>
      <c r="O4497" s="513"/>
      <c r="P4497" s="513"/>
      <c r="Q4497" s="513"/>
      <c r="R4497" s="1247">
        <f>$A4497*Q4497</f>
        <v>0</v>
      </c>
      <c r="S4497" s="513"/>
      <c r="T4497" s="884">
        <f>$A4497*S4497*$T$1</f>
        <v>0</v>
      </c>
    </row>
    <row r="4498" spans="1:41" s="504" customFormat="1" ht="12" customHeight="1">
      <c r="A4498" s="1272" t="s">
        <v>142</v>
      </c>
      <c r="B4498" s="1273">
        <f>(R4497+T4497)</f>
        <v>0</v>
      </c>
      <c r="C4498" s="1274"/>
      <c r="D4498" s="1274"/>
      <c r="E4498" s="1274"/>
      <c r="F4498" s="1274"/>
      <c r="G4498" s="1253"/>
      <c r="H4498" s="1253"/>
      <c r="I4498" s="1253"/>
      <c r="J4498" s="1253"/>
      <c r="K4498" s="1275" t="s">
        <v>3</v>
      </c>
      <c r="L4498" s="1276" t="s">
        <v>1473</v>
      </c>
      <c r="M4498" s="1253"/>
      <c r="N4498" s="1253"/>
      <c r="O4498" s="1253"/>
      <c r="P4498" s="1253"/>
      <c r="Q4498" s="1253"/>
      <c r="R4498" s="1254">
        <f>SUM(R4494:R4497)</f>
        <v>16.919999999999998</v>
      </c>
      <c r="S4498" s="1255"/>
      <c r="T4498" s="1254">
        <f>SUM(T4494:T4497)</f>
        <v>2.2680000000000002</v>
      </c>
      <c r="AG4498" s="1256">
        <f>ROUND($R4498*$S$2,2)</f>
        <v>20.64</v>
      </c>
    </row>
    <row r="4499" spans="1:41" s="504" customFormat="1" ht="12.75" customHeight="1">
      <c r="A4499" s="1277"/>
      <c r="B4499" s="1278"/>
      <c r="E4499" s="882"/>
      <c r="F4499" s="1279"/>
      <c r="G4499" s="882"/>
      <c r="H4499" s="882"/>
      <c r="I4499" s="503"/>
      <c r="J4499" s="882"/>
      <c r="K4499" s="882"/>
      <c r="L4499" s="1280"/>
      <c r="M4499" s="933"/>
      <c r="N4499" s="933"/>
      <c r="O4499" s="933"/>
      <c r="P4499" s="933"/>
      <c r="Q4499" s="900"/>
      <c r="R4499" s="1258"/>
      <c r="S4499" s="882"/>
      <c r="T4499" s="1258"/>
    </row>
    <row r="4500" spans="1:41" s="504" customFormat="1" ht="13.5" customHeight="1" thickBot="1">
      <c r="A4500" s="1281"/>
      <c r="B4500" s="1282"/>
      <c r="C4500" s="514"/>
      <c r="D4500" s="514"/>
      <c r="E4500" s="887"/>
      <c r="F4500" s="888"/>
      <c r="G4500" s="887" t="s">
        <v>143</v>
      </c>
      <c r="H4500" s="887"/>
      <c r="I4500" s="889"/>
      <c r="J4500" s="887"/>
      <c r="K4500" s="887"/>
      <c r="L4500" s="1283" t="s">
        <v>140</v>
      </c>
      <c r="M4500" s="890"/>
      <c r="N4500" s="890"/>
      <c r="O4500" s="890"/>
      <c r="P4500" s="890"/>
      <c r="Q4500" s="891"/>
      <c r="R4500" s="1284">
        <f>SUMIF($L4487:$L4499,"SUBI",R4487:R4499)</f>
        <v>456.12</v>
      </c>
      <c r="S4500" s="887"/>
      <c r="T4500" s="1284">
        <f>SUMIF($L4487:$L4499,"SUBI",T4487:T4499)</f>
        <v>2.2680000000000002</v>
      </c>
      <c r="U4500" s="514"/>
      <c r="V4500" s="514"/>
      <c r="W4500" s="514"/>
      <c r="X4500" s="514"/>
      <c r="Y4500" s="514"/>
      <c r="Z4500" s="514"/>
      <c r="AA4500" s="514"/>
      <c r="AB4500" s="514"/>
      <c r="AC4500" s="514"/>
      <c r="AD4500" s="514"/>
      <c r="AE4500" s="514"/>
      <c r="AF4500" s="514"/>
      <c r="AG4500" s="514"/>
      <c r="AH4500" s="514"/>
      <c r="AI4500" s="514"/>
      <c r="AJ4500" s="514"/>
      <c r="AK4500" s="514"/>
      <c r="AL4500" s="514"/>
      <c r="AM4500" s="514"/>
      <c r="AN4500" s="514"/>
      <c r="AO4500" s="514"/>
    </row>
    <row r="4501" spans="1:41" s="504" customFormat="1" thickTop="1">
      <c r="A4501" s="50"/>
      <c r="B4501" s="50"/>
      <c r="C4501" s="3"/>
      <c r="D4501" s="3"/>
      <c r="E4501" s="50"/>
      <c r="F4501" s="50"/>
      <c r="G4501" s="50"/>
      <c r="H4501" s="50"/>
      <c r="I4501" s="50"/>
      <c r="J4501" s="50"/>
      <c r="K4501" s="50" t="s">
        <v>133</v>
      </c>
      <c r="L4501" s="50"/>
      <c r="M4501" s="50"/>
      <c r="N4501" s="50"/>
      <c r="O4501" s="51"/>
      <c r="P4501" s="50"/>
      <c r="Q4501" s="50"/>
      <c r="R4501" s="50"/>
      <c r="S4501" s="50"/>
      <c r="T4501" s="50"/>
    </row>
    <row r="4502" spans="1:41" s="504" customFormat="1" ht="12">
      <c r="A4502" s="50"/>
      <c r="B4502" s="50"/>
      <c r="C4502" s="50" t="s">
        <v>134</v>
      </c>
      <c r="D4502" s="37"/>
      <c r="E4502" s="50"/>
      <c r="F4502" s="50"/>
      <c r="G4502" s="50"/>
      <c r="H4502" s="50"/>
      <c r="I4502" s="50"/>
      <c r="J4502" s="50"/>
      <c r="K4502" s="50"/>
      <c r="L4502" s="50"/>
      <c r="M4502" s="50"/>
      <c r="N4502" s="50"/>
      <c r="O4502" s="51"/>
      <c r="P4502" s="50"/>
      <c r="Q4502" s="50"/>
      <c r="R4502" s="50"/>
      <c r="S4502" s="50"/>
      <c r="T4502" s="50"/>
    </row>
    <row r="4503" spans="1:41" s="504" customFormat="1" ht="12">
      <c r="A4503" s="50"/>
      <c r="B4503" s="50"/>
      <c r="C4503" s="50"/>
      <c r="D4503" s="37" t="s">
        <v>400</v>
      </c>
      <c r="E4503" s="50"/>
      <c r="F4503" s="50"/>
      <c r="G4503" s="50"/>
      <c r="H4503" s="50"/>
      <c r="I4503" s="50"/>
      <c r="J4503" s="50"/>
      <c r="K4503" s="50"/>
      <c r="L4503" s="50"/>
      <c r="M4503" s="50"/>
      <c r="N4503" s="50"/>
      <c r="O4503" s="51"/>
      <c r="P4503" s="50"/>
      <c r="Q4503" s="50"/>
      <c r="R4503" s="50"/>
      <c r="S4503" s="38"/>
      <c r="T4503" s="38"/>
    </row>
    <row r="4504" spans="1:41" s="3" customFormat="1" thickBot="1">
      <c r="A4504" s="514"/>
      <c r="O4504" s="103"/>
    </row>
    <row r="4505" spans="1:41" s="504" customFormat="1" ht="12" thickTop="1">
      <c r="A4505" s="50"/>
      <c r="B4505" s="40"/>
      <c r="C4505" s="50"/>
      <c r="E4505" s="41" t="s">
        <v>136</v>
      </c>
      <c r="F4505" s="41" t="s">
        <v>137</v>
      </c>
      <c r="G4505" s="50"/>
      <c r="H4505" s="50"/>
      <c r="I4505" s="50"/>
      <c r="J4505" s="50"/>
      <c r="K4505" s="50" t="s">
        <v>138</v>
      </c>
      <c r="L4505" s="50"/>
      <c r="M4505" s="50"/>
      <c r="N4505" s="50"/>
      <c r="O4505" s="51"/>
      <c r="P4505" s="50"/>
      <c r="Q4505" s="50"/>
      <c r="R4505" s="50"/>
      <c r="S4505" s="50"/>
      <c r="T4505" s="40"/>
      <c r="AG4505" s="867" t="s">
        <v>241</v>
      </c>
      <c r="AH4505" s="867" t="s">
        <v>242</v>
      </c>
      <c r="AI4505" s="867" t="s">
        <v>243</v>
      </c>
      <c r="AJ4505" s="867" t="s">
        <v>244</v>
      </c>
      <c r="AK4505" s="867" t="s">
        <v>245</v>
      </c>
      <c r="AM4505" s="868" t="s">
        <v>254</v>
      </c>
      <c r="AN4505" s="869" t="s">
        <v>255</v>
      </c>
      <c r="AO4505" s="505" t="s">
        <v>251</v>
      </c>
    </row>
    <row r="4506" spans="1:41" s="504" customFormat="1" ht="12" customHeight="1">
      <c r="A4506" s="870">
        <v>11</v>
      </c>
      <c r="B4506" s="506" t="s">
        <v>335</v>
      </c>
      <c r="C4506" s="872"/>
      <c r="D4506" s="873" t="s">
        <v>855</v>
      </c>
      <c r="E4506" s="1027">
        <f>IF(AND($A4506=0,$A$1="DIF"),0, ROUND(ROUND(($R4510*$S$5+($T4510*$T$5))/$A4506,2)*$C$5,2))</f>
        <v>62.88</v>
      </c>
      <c r="F4506" s="1028">
        <f>ROUND($A4506*$E4506,2)</f>
        <v>691.68</v>
      </c>
      <c r="G4506" s="876" t="s">
        <v>139</v>
      </c>
      <c r="H4506" s="877"/>
      <c r="I4506" s="878"/>
      <c r="J4506" s="877"/>
      <c r="K4506" s="877" t="s">
        <v>9</v>
      </c>
      <c r="L4506" s="879" t="s">
        <v>140</v>
      </c>
      <c r="M4506" s="879"/>
      <c r="N4506" s="879"/>
      <c r="O4506" s="879"/>
      <c r="P4506" s="879"/>
      <c r="Q4506" s="50"/>
      <c r="T4506" s="1032" t="str">
        <f>IF(AND($R4510=0,$T4510=0),"0.00","mu: "&amp; ROUND(F4506/$C$5/($R4510+$T4510*$D$9),2))</f>
        <v>mu: 1.08</v>
      </c>
      <c r="W4506" s="507"/>
      <c r="AG4506" s="1029">
        <f>IF($E4506=0,0,ROUND($R4510*$S$5*$C$5/$A4506,2))</f>
        <v>62.88</v>
      </c>
      <c r="AH4506" s="1029">
        <f>$AG4506*$A4506</f>
        <v>691.68000000000006</v>
      </c>
      <c r="AI4506" s="1030">
        <f>$E4506-$AG4506</f>
        <v>0</v>
      </c>
      <c r="AJ4506" s="1030">
        <f>$A4506*$AI4506</f>
        <v>0</v>
      </c>
      <c r="AK4506" s="1031">
        <f>ROUND(($AG4506+$AI4506)*$A4506,2)</f>
        <v>691.68</v>
      </c>
      <c r="AM4506" s="510">
        <f>ROUND(R4510,2)</f>
        <v>643.39</v>
      </c>
      <c r="AN4506" s="511">
        <f>ROUND(T4510,2)</f>
        <v>0</v>
      </c>
      <c r="AO4506" s="512">
        <f>ROUND(AM4506+AN4506,2)*A4506</f>
        <v>7077.29</v>
      </c>
    </row>
    <row r="4507" spans="1:41" s="504" customFormat="1" ht="13.2">
      <c r="A4507" s="872"/>
      <c r="B4507"/>
      <c r="C4507" s="872"/>
      <c r="D4507" s="873" t="s">
        <v>511</v>
      </c>
      <c r="F4507" s="877"/>
      <c r="G4507" s="3"/>
      <c r="H4507" s="877"/>
      <c r="I4507" s="878"/>
      <c r="J4507" s="877"/>
      <c r="K4507" s="877" t="s">
        <v>141</v>
      </c>
      <c r="L4507" s="877"/>
      <c r="M4507" s="877"/>
      <c r="N4507" s="877"/>
      <c r="O4507" s="877"/>
      <c r="P4507" s="877"/>
      <c r="Q4507" s="50"/>
      <c r="R4507" s="513"/>
      <c r="S4507" s="881"/>
      <c r="T4507" s="877"/>
    </row>
    <row r="4508" spans="1:41" s="1039" customFormat="1" ht="13.2">
      <c r="A4508" s="112">
        <v>11</v>
      </c>
      <c r="B4508" s="1039" t="s">
        <v>949</v>
      </c>
      <c r="D4508" s="1039" t="s">
        <v>511</v>
      </c>
      <c r="G4508" s="1040" t="s">
        <v>1456</v>
      </c>
      <c r="H4508" s="1041">
        <v>725</v>
      </c>
      <c r="I4508" s="1039" t="s">
        <v>951</v>
      </c>
      <c r="O4508" s="1042">
        <v>3</v>
      </c>
      <c r="P4508" s="1043"/>
      <c r="Q4508" s="1044">
        <v>58.49</v>
      </c>
      <c r="R4508" s="1045">
        <f>$A4508*Q4508</f>
        <v>643.39</v>
      </c>
      <c r="S4508" s="1044"/>
      <c r="T4508" s="1046">
        <f>$A4508*S4508*$T$1</f>
        <v>0</v>
      </c>
    </row>
    <row r="4509" spans="1:41" s="504" customFormat="1" ht="12">
      <c r="A4509" s="882"/>
      <c r="B4509" s="882"/>
      <c r="C4509" s="882"/>
      <c r="D4509" s="882"/>
      <c r="E4509" s="882"/>
      <c r="F4509" s="877"/>
      <c r="G4509" s="882"/>
      <c r="H4509" s="882"/>
      <c r="I4509" s="503"/>
      <c r="J4509" s="882"/>
      <c r="K4509" s="882"/>
      <c r="L4509" s="882"/>
      <c r="M4509" s="882"/>
      <c r="N4509" s="882"/>
      <c r="O4509" s="882"/>
      <c r="P4509" s="882"/>
      <c r="Q4509" s="503"/>
      <c r="R4509" s="883">
        <f>$A4509*Q4509</f>
        <v>0</v>
      </c>
      <c r="S4509" s="503"/>
      <c r="T4509" s="884">
        <f>$A4509*S4509*$T$1</f>
        <v>0</v>
      </c>
    </row>
    <row r="4510" spans="1:41" s="504" customFormat="1" ht="12.6" thickBot="1">
      <c r="A4510" s="885" t="s">
        <v>142</v>
      </c>
      <c r="B4510" s="886">
        <f>(R4509+T4509)</f>
        <v>0</v>
      </c>
      <c r="C4510" s="887"/>
      <c r="D4510" s="887"/>
      <c r="E4510" s="887"/>
      <c r="F4510" s="888"/>
      <c r="G4510" s="887" t="s">
        <v>143</v>
      </c>
      <c r="H4510" s="887"/>
      <c r="I4510" s="889"/>
      <c r="J4510" s="887"/>
      <c r="K4510" s="887" t="s">
        <v>9</v>
      </c>
      <c r="L4510" s="890" t="s">
        <v>140</v>
      </c>
      <c r="M4510" s="890"/>
      <c r="N4510" s="890"/>
      <c r="O4510" s="890"/>
      <c r="P4510" s="890"/>
      <c r="Q4510" s="891"/>
      <c r="R4510" s="892">
        <f>SUM(R4507:R4509)</f>
        <v>643.39</v>
      </c>
      <c r="S4510" s="887"/>
      <c r="T4510" s="892">
        <f>SUM(T4507:T4509)</f>
        <v>0</v>
      </c>
      <c r="U4510" s="514"/>
      <c r="V4510" s="514"/>
      <c r="W4510" s="514"/>
      <c r="X4510" s="514"/>
      <c r="Y4510" s="514"/>
      <c r="Z4510" s="514"/>
      <c r="AA4510" s="514"/>
      <c r="AB4510" s="514"/>
      <c r="AC4510" s="514"/>
      <c r="AD4510" s="514"/>
      <c r="AE4510" s="514"/>
      <c r="AF4510" s="514"/>
      <c r="AG4510" s="514"/>
      <c r="AH4510" s="514"/>
      <c r="AI4510" s="514"/>
      <c r="AJ4510" s="514"/>
      <c r="AK4510" s="514"/>
      <c r="AL4510" s="514"/>
      <c r="AM4510" s="514"/>
      <c r="AN4510" s="514"/>
      <c r="AO4510" s="514"/>
    </row>
    <row r="4511" spans="1:41" s="504" customFormat="1" ht="12" thickTop="1">
      <c r="A4511" s="50"/>
      <c r="B4511" s="40"/>
      <c r="C4511" s="50"/>
      <c r="E4511" s="41" t="s">
        <v>136</v>
      </c>
      <c r="F4511" s="41" t="s">
        <v>137</v>
      </c>
      <c r="G4511" s="50"/>
      <c r="H4511" s="50"/>
      <c r="I4511" s="50"/>
      <c r="J4511" s="50"/>
      <c r="K4511" s="50" t="s">
        <v>138</v>
      </c>
      <c r="L4511" s="50"/>
      <c r="M4511" s="50"/>
      <c r="N4511" s="50"/>
      <c r="O4511" s="51"/>
      <c r="P4511" s="50"/>
      <c r="Q4511" s="50"/>
      <c r="R4511" s="50"/>
      <c r="S4511" s="50"/>
      <c r="T4511" s="40"/>
      <c r="AG4511" s="867" t="s">
        <v>241</v>
      </c>
      <c r="AH4511" s="867" t="s">
        <v>242</v>
      </c>
      <c r="AI4511" s="867" t="s">
        <v>243</v>
      </c>
      <c r="AJ4511" s="867" t="s">
        <v>244</v>
      </c>
      <c r="AK4511" s="867" t="s">
        <v>245</v>
      </c>
      <c r="AM4511" s="868" t="s">
        <v>254</v>
      </c>
      <c r="AN4511" s="869" t="s">
        <v>255</v>
      </c>
      <c r="AO4511" s="505" t="s">
        <v>251</v>
      </c>
    </row>
    <row r="4512" spans="1:41" s="504" customFormat="1" ht="12" customHeight="1">
      <c r="A4512" s="870">
        <v>4</v>
      </c>
      <c r="B4512" s="506" t="s">
        <v>335</v>
      </c>
      <c r="C4512" s="872"/>
      <c r="D4512" s="873" t="s">
        <v>856</v>
      </c>
      <c r="E4512" s="1027">
        <f>IF(AND($A4512=0,$A$1="DIF"),0, ROUND(ROUND(($R4516*$S$5+($T4516*$T$5))/$A4512,2)*$C$5,2))</f>
        <v>100.53</v>
      </c>
      <c r="F4512" s="1028">
        <f>ROUND($A4512*$E4512,2)</f>
        <v>402.12</v>
      </c>
      <c r="G4512" s="876" t="s">
        <v>139</v>
      </c>
      <c r="H4512" s="877"/>
      <c r="I4512" s="878"/>
      <c r="J4512" s="877"/>
      <c r="K4512" s="877" t="s">
        <v>9</v>
      </c>
      <c r="L4512" s="879" t="s">
        <v>140</v>
      </c>
      <c r="M4512" s="879"/>
      <c r="N4512" s="879"/>
      <c r="O4512" s="879"/>
      <c r="P4512" s="879"/>
      <c r="Q4512" s="50"/>
      <c r="T4512" s="1032" t="str">
        <f>IF(AND($R4516=0,$T4516=0),"0.00","mu: "&amp; ROUND(F4512/$C$5/($R4516+$T4516*$D$9),2))</f>
        <v>mu: 1.07</v>
      </c>
      <c r="W4512" s="507"/>
      <c r="AG4512" s="1029">
        <f>IF($E4512=0,0,ROUND($R4516*$S$5*$C$5/$A4512,2))</f>
        <v>100.53</v>
      </c>
      <c r="AH4512" s="1029">
        <f>$AG4512*$A4512</f>
        <v>402.12</v>
      </c>
      <c r="AI4512" s="1030">
        <f>$E4512-$AG4512</f>
        <v>0</v>
      </c>
      <c r="AJ4512" s="1030">
        <f>$A4512*$AI4512</f>
        <v>0</v>
      </c>
      <c r="AK4512" s="1031">
        <f>ROUND(($AG4512+$AI4512)*$A4512,2)</f>
        <v>402.12</v>
      </c>
      <c r="AM4512" s="510">
        <f>ROUND(R4516,2)</f>
        <v>374.08</v>
      </c>
      <c r="AN4512" s="511">
        <f>ROUND(T4516,2)</f>
        <v>0</v>
      </c>
      <c r="AO4512" s="512">
        <f>ROUND(AM4512+AN4512,2)*A4512</f>
        <v>1496.32</v>
      </c>
    </row>
    <row r="4513" spans="1:41" s="504" customFormat="1" ht="13.2">
      <c r="A4513" s="872"/>
      <c r="B4513"/>
      <c r="C4513" s="872"/>
      <c r="D4513" s="873" t="s">
        <v>512</v>
      </c>
      <c r="F4513" s="877"/>
      <c r="G4513" s="3"/>
      <c r="H4513" s="877"/>
      <c r="I4513" s="878"/>
      <c r="J4513" s="877"/>
      <c r="K4513" s="877" t="s">
        <v>141</v>
      </c>
      <c r="L4513" s="877"/>
      <c r="M4513" s="877"/>
      <c r="N4513" s="877"/>
      <c r="O4513" s="877"/>
      <c r="P4513" s="877"/>
      <c r="Q4513" s="50"/>
      <c r="R4513" s="513"/>
      <c r="S4513" s="881"/>
      <c r="T4513" s="877"/>
    </row>
    <row r="4514" spans="1:41" s="1039" customFormat="1" ht="13.2">
      <c r="A4514" s="112">
        <v>4</v>
      </c>
      <c r="B4514" s="1039" t="s">
        <v>949</v>
      </c>
      <c r="D4514" s="1039" t="s">
        <v>512</v>
      </c>
      <c r="G4514" s="1040" t="s">
        <v>1456</v>
      </c>
      <c r="H4514" s="1041">
        <v>725</v>
      </c>
      <c r="I4514" s="1039" t="s">
        <v>951</v>
      </c>
      <c r="O4514" s="1042">
        <v>3</v>
      </c>
      <c r="P4514" s="1043"/>
      <c r="Q4514" s="1044">
        <v>93.52</v>
      </c>
      <c r="R4514" s="1045">
        <f>$A4514*Q4514</f>
        <v>374.08</v>
      </c>
      <c r="S4514" s="1044"/>
      <c r="T4514" s="1046">
        <f>$A4514*S4514*$T$1</f>
        <v>0</v>
      </c>
    </row>
    <row r="4515" spans="1:41" s="504" customFormat="1" ht="12">
      <c r="A4515" s="882"/>
      <c r="B4515" s="882"/>
      <c r="C4515" s="882"/>
      <c r="D4515" s="882"/>
      <c r="E4515" s="882"/>
      <c r="F4515" s="877"/>
      <c r="G4515" s="882"/>
      <c r="H4515" s="882"/>
      <c r="I4515" s="503"/>
      <c r="J4515" s="882"/>
      <c r="K4515" s="882"/>
      <c r="L4515" s="882"/>
      <c r="M4515" s="882"/>
      <c r="N4515" s="882"/>
      <c r="O4515" s="882"/>
      <c r="P4515" s="882"/>
      <c r="Q4515" s="503"/>
      <c r="R4515" s="883">
        <f>$A4515*Q4515</f>
        <v>0</v>
      </c>
      <c r="S4515" s="503"/>
      <c r="T4515" s="884">
        <f>$A4515*S4515*$T$1</f>
        <v>0</v>
      </c>
    </row>
    <row r="4516" spans="1:41" s="504" customFormat="1" ht="12.6" thickBot="1">
      <c r="A4516" s="885" t="s">
        <v>142</v>
      </c>
      <c r="B4516" s="886">
        <f>(R4515+T4515)</f>
        <v>0</v>
      </c>
      <c r="C4516" s="887"/>
      <c r="D4516" s="887"/>
      <c r="E4516" s="887"/>
      <c r="F4516" s="888"/>
      <c r="G4516" s="887" t="s">
        <v>143</v>
      </c>
      <c r="H4516" s="887"/>
      <c r="I4516" s="889"/>
      <c r="J4516" s="887"/>
      <c r="K4516" s="887" t="s">
        <v>9</v>
      </c>
      <c r="L4516" s="890" t="s">
        <v>140</v>
      </c>
      <c r="M4516" s="890"/>
      <c r="N4516" s="890"/>
      <c r="O4516" s="890"/>
      <c r="P4516" s="890"/>
      <c r="Q4516" s="891"/>
      <c r="R4516" s="892">
        <f>SUM(R4513:R4515)</f>
        <v>374.08</v>
      </c>
      <c r="S4516" s="887"/>
      <c r="T4516" s="892">
        <f>SUM(T4513:T4515)</f>
        <v>0</v>
      </c>
      <c r="U4516" s="514"/>
      <c r="V4516" s="514"/>
      <c r="W4516" s="514"/>
      <c r="X4516" s="514"/>
      <c r="Y4516" s="514"/>
      <c r="Z4516" s="514"/>
      <c r="AA4516" s="514"/>
      <c r="AB4516" s="514"/>
      <c r="AC4516" s="514"/>
      <c r="AD4516" s="514"/>
      <c r="AE4516" s="514"/>
      <c r="AF4516" s="514"/>
      <c r="AG4516" s="514"/>
      <c r="AH4516" s="514"/>
      <c r="AI4516" s="514"/>
      <c r="AJ4516" s="514"/>
      <c r="AK4516" s="514"/>
      <c r="AL4516" s="514"/>
      <c r="AM4516" s="514"/>
      <c r="AN4516" s="514"/>
      <c r="AO4516" s="514"/>
    </row>
    <row r="4517" spans="1:41" s="504" customFormat="1" ht="12" thickTop="1">
      <c r="A4517" s="50"/>
      <c r="B4517" s="40"/>
      <c r="C4517" s="50"/>
      <c r="E4517" s="41" t="s">
        <v>136</v>
      </c>
      <c r="F4517" s="41" t="s">
        <v>137</v>
      </c>
      <c r="G4517" s="50"/>
      <c r="H4517" s="50"/>
      <c r="I4517" s="50"/>
      <c r="J4517" s="50"/>
      <c r="K4517" s="50" t="s">
        <v>138</v>
      </c>
      <c r="L4517" s="50"/>
      <c r="M4517" s="50"/>
      <c r="N4517" s="50"/>
      <c r="O4517" s="51"/>
      <c r="P4517" s="50"/>
      <c r="Q4517" s="50"/>
      <c r="R4517" s="50"/>
      <c r="S4517" s="50"/>
      <c r="T4517" s="40"/>
      <c r="AG4517" s="867" t="s">
        <v>241</v>
      </c>
      <c r="AH4517" s="867" t="s">
        <v>242</v>
      </c>
      <c r="AI4517" s="867" t="s">
        <v>243</v>
      </c>
      <c r="AJ4517" s="867" t="s">
        <v>244</v>
      </c>
      <c r="AK4517" s="867" t="s">
        <v>245</v>
      </c>
      <c r="AM4517" s="868" t="s">
        <v>254</v>
      </c>
      <c r="AN4517" s="869" t="s">
        <v>255</v>
      </c>
      <c r="AO4517" s="505" t="s">
        <v>251</v>
      </c>
    </row>
    <row r="4518" spans="1:41" s="504" customFormat="1" ht="12" customHeight="1">
      <c r="A4518" s="870">
        <v>1</v>
      </c>
      <c r="B4518" s="506" t="s">
        <v>335</v>
      </c>
      <c r="C4518" s="872"/>
      <c r="D4518" s="873" t="s">
        <v>857</v>
      </c>
      <c r="E4518" s="1027">
        <f>IF(AND($A4518=0,$A$1="DIF"),0, ROUND(ROUND(($R4522*$S$5+($T4522*$T$5))/$A4518,2)*$C$5,2))</f>
        <v>162.55000000000001</v>
      </c>
      <c r="F4518" s="1028">
        <f>ROUND($A4518*$E4518,2)</f>
        <v>162.55000000000001</v>
      </c>
      <c r="G4518" s="876" t="s">
        <v>139</v>
      </c>
      <c r="H4518" s="877"/>
      <c r="I4518" s="878"/>
      <c r="J4518" s="877"/>
      <c r="K4518" s="877" t="s">
        <v>9</v>
      </c>
      <c r="L4518" s="879" t="s">
        <v>140</v>
      </c>
      <c r="M4518" s="879"/>
      <c r="N4518" s="879"/>
      <c r="O4518" s="879"/>
      <c r="P4518" s="879"/>
      <c r="Q4518" s="50"/>
      <c r="T4518" s="1032" t="str">
        <f>IF(AND($R4522=0,$T4522=0),"0.00","mu: "&amp; ROUND(F4518/$C$5/($R4522+$T4522*$D$9),2))</f>
        <v>mu: 1.07</v>
      </c>
      <c r="W4518" s="507"/>
      <c r="AG4518" s="1029">
        <f>IF($E4518=0,0,ROUND($R4522*$S$5*$C$5/$A4518,2))</f>
        <v>162.55000000000001</v>
      </c>
      <c r="AH4518" s="1029">
        <f>$AG4518*$A4518</f>
        <v>162.55000000000001</v>
      </c>
      <c r="AI4518" s="1030">
        <f>$E4518-$AG4518</f>
        <v>0</v>
      </c>
      <c r="AJ4518" s="1030">
        <f>$A4518*$AI4518</f>
        <v>0</v>
      </c>
      <c r="AK4518" s="1031">
        <f>ROUND(($AG4518+$AI4518)*$A4518,2)</f>
        <v>162.55000000000001</v>
      </c>
      <c r="AM4518" s="510">
        <f>ROUND(R4522,2)</f>
        <v>151.21</v>
      </c>
      <c r="AN4518" s="511">
        <f>ROUND(T4522,2)</f>
        <v>0</v>
      </c>
      <c r="AO4518" s="512">
        <f>ROUND(AM4518+AN4518,2)*A4518</f>
        <v>151.21</v>
      </c>
    </row>
    <row r="4519" spans="1:41" s="504" customFormat="1" ht="13.2">
      <c r="A4519" s="872"/>
      <c r="B4519"/>
      <c r="C4519" s="872"/>
      <c r="D4519" s="873" t="s">
        <v>514</v>
      </c>
      <c r="F4519" s="877"/>
      <c r="G4519" s="3"/>
      <c r="H4519" s="877"/>
      <c r="I4519" s="878"/>
      <c r="J4519" s="877"/>
      <c r="K4519" s="877" t="s">
        <v>141</v>
      </c>
      <c r="L4519" s="877"/>
      <c r="M4519" s="877"/>
      <c r="N4519" s="877"/>
      <c r="O4519" s="877"/>
      <c r="P4519" s="877"/>
      <c r="Q4519" s="50"/>
      <c r="R4519" s="513"/>
      <c r="S4519" s="881"/>
      <c r="T4519" s="877"/>
    </row>
    <row r="4520" spans="1:41" s="1039" customFormat="1" ht="13.2">
      <c r="A4520" s="112">
        <v>1</v>
      </c>
      <c r="B4520" s="1039" t="s">
        <v>949</v>
      </c>
      <c r="D4520" s="1039" t="s">
        <v>514</v>
      </c>
      <c r="G4520" s="1040" t="s">
        <v>1456</v>
      </c>
      <c r="H4520" s="1041">
        <v>725</v>
      </c>
      <c r="I4520" s="1039" t="s">
        <v>951</v>
      </c>
      <c r="O4520" s="1042">
        <v>3</v>
      </c>
      <c r="P4520" s="1043"/>
      <c r="Q4520" s="1044">
        <v>151.21</v>
      </c>
      <c r="R4520" s="1045">
        <f>$A4520*Q4520</f>
        <v>151.21</v>
      </c>
      <c r="S4520" s="1044"/>
      <c r="T4520" s="1046">
        <f>$A4520*S4520*$T$1</f>
        <v>0</v>
      </c>
    </row>
    <row r="4521" spans="1:41" s="504" customFormat="1" ht="12">
      <c r="A4521" s="882"/>
      <c r="B4521" s="882"/>
      <c r="C4521" s="882"/>
      <c r="D4521" s="882"/>
      <c r="E4521" s="882"/>
      <c r="F4521" s="877"/>
      <c r="G4521" s="882"/>
      <c r="H4521" s="882"/>
      <c r="I4521" s="503"/>
      <c r="J4521" s="882"/>
      <c r="K4521" s="882"/>
      <c r="L4521" s="882"/>
      <c r="M4521" s="882"/>
      <c r="N4521" s="882"/>
      <c r="O4521" s="882"/>
      <c r="P4521" s="882"/>
      <c r="Q4521" s="503"/>
      <c r="R4521" s="883">
        <f>$A4521*Q4521</f>
        <v>0</v>
      </c>
      <c r="S4521" s="503"/>
      <c r="T4521" s="884">
        <f>$A4521*S4521*$T$1</f>
        <v>0</v>
      </c>
    </row>
    <row r="4522" spans="1:41" s="504" customFormat="1" ht="12.6" thickBot="1">
      <c r="A4522" s="885" t="s">
        <v>142</v>
      </c>
      <c r="B4522" s="886">
        <f>(R4521+T4521)</f>
        <v>0</v>
      </c>
      <c r="C4522" s="887"/>
      <c r="D4522" s="887"/>
      <c r="E4522" s="887"/>
      <c r="F4522" s="888"/>
      <c r="G4522" s="887" t="s">
        <v>143</v>
      </c>
      <c r="H4522" s="887"/>
      <c r="I4522" s="889"/>
      <c r="J4522" s="887"/>
      <c r="K4522" s="887" t="s">
        <v>9</v>
      </c>
      <c r="L4522" s="890" t="s">
        <v>140</v>
      </c>
      <c r="M4522" s="890"/>
      <c r="N4522" s="890"/>
      <c r="O4522" s="890"/>
      <c r="P4522" s="890"/>
      <c r="Q4522" s="891"/>
      <c r="R4522" s="892">
        <f>SUM(R4519:R4521)</f>
        <v>151.21</v>
      </c>
      <c r="S4522" s="887"/>
      <c r="T4522" s="892">
        <f>SUM(T4519:T4521)</f>
        <v>0</v>
      </c>
      <c r="U4522" s="514"/>
      <c r="V4522" s="514"/>
      <c r="W4522" s="514"/>
      <c r="X4522" s="514"/>
      <c r="Y4522" s="514"/>
      <c r="Z4522" s="514"/>
      <c r="AA4522" s="514"/>
      <c r="AB4522" s="514"/>
      <c r="AC4522" s="514"/>
      <c r="AD4522" s="514"/>
      <c r="AE4522" s="514"/>
      <c r="AF4522" s="514"/>
      <c r="AG4522" s="514"/>
      <c r="AH4522" s="514"/>
      <c r="AI4522" s="514"/>
      <c r="AJ4522" s="514"/>
      <c r="AK4522" s="514"/>
      <c r="AL4522" s="514"/>
      <c r="AM4522" s="514"/>
      <c r="AN4522" s="514"/>
      <c r="AO4522" s="514"/>
    </row>
    <row r="4523" spans="1:41" s="504" customFormat="1" ht="12" thickTop="1">
      <c r="A4523" s="50"/>
      <c r="B4523" s="40"/>
      <c r="C4523" s="50"/>
      <c r="E4523" s="41" t="s">
        <v>136</v>
      </c>
      <c r="F4523" s="41" t="s">
        <v>137</v>
      </c>
      <c r="G4523" s="50"/>
      <c r="H4523" s="50"/>
      <c r="I4523" s="50"/>
      <c r="J4523" s="50"/>
      <c r="K4523" s="50" t="s">
        <v>138</v>
      </c>
      <c r="L4523" s="50"/>
      <c r="M4523" s="50"/>
      <c r="N4523" s="50"/>
      <c r="O4523" s="51"/>
      <c r="P4523" s="50"/>
      <c r="Q4523" s="50"/>
      <c r="R4523" s="50"/>
      <c r="S4523" s="50"/>
      <c r="T4523" s="40"/>
      <c r="AG4523" s="867" t="s">
        <v>241</v>
      </c>
      <c r="AH4523" s="867" t="s">
        <v>242</v>
      </c>
      <c r="AI4523" s="867" t="s">
        <v>243</v>
      </c>
      <c r="AJ4523" s="867" t="s">
        <v>244</v>
      </c>
      <c r="AK4523" s="867" t="s">
        <v>245</v>
      </c>
      <c r="AM4523" s="868" t="s">
        <v>254</v>
      </c>
      <c r="AN4523" s="869" t="s">
        <v>255</v>
      </c>
      <c r="AO4523" s="505" t="s">
        <v>251</v>
      </c>
    </row>
    <row r="4524" spans="1:41" s="504" customFormat="1" ht="12" customHeight="1">
      <c r="A4524" s="870">
        <v>4</v>
      </c>
      <c r="B4524" s="506" t="s">
        <v>335</v>
      </c>
      <c r="C4524" s="872"/>
      <c r="D4524" s="873" t="s">
        <v>858</v>
      </c>
      <c r="E4524" s="1027">
        <f>IF(AND($A4524=0,$A$1="DIF"),0, ROUND(ROUND(($R4528*$S$5+($T4528*$T$5))/$A4524,2)*$C$5,2))</f>
        <v>32.67</v>
      </c>
      <c r="F4524" s="1028">
        <f>ROUND($A4524*$E4524,2)</f>
        <v>130.68</v>
      </c>
      <c r="G4524" s="876" t="s">
        <v>139</v>
      </c>
      <c r="H4524" s="877"/>
      <c r="I4524" s="878"/>
      <c r="J4524" s="877"/>
      <c r="K4524" s="877" t="s">
        <v>9</v>
      </c>
      <c r="L4524" s="879" t="s">
        <v>140</v>
      </c>
      <c r="M4524" s="879"/>
      <c r="N4524" s="879"/>
      <c r="O4524" s="879"/>
      <c r="P4524" s="879"/>
      <c r="Q4524" s="50"/>
      <c r="T4524" s="1032" t="str">
        <f>IF(AND($R4528=0,$T4528=0),"0.00","mu: "&amp; ROUND(F4524/$C$5/($R4528+$T4528*$D$9),2))</f>
        <v>mu: 1.08</v>
      </c>
      <c r="W4524" s="507"/>
      <c r="AG4524" s="1029">
        <f>IF($E4524=0,0,ROUND($R4528*$S$5*$C$5/$A4524,2))</f>
        <v>32.67</v>
      </c>
      <c r="AH4524" s="1029">
        <f>$AG4524*$A4524</f>
        <v>130.68</v>
      </c>
      <c r="AI4524" s="1030">
        <f>$E4524-$AG4524</f>
        <v>0</v>
      </c>
      <c r="AJ4524" s="1030">
        <f>$A4524*$AI4524</f>
        <v>0</v>
      </c>
      <c r="AK4524" s="1031">
        <f>ROUND(($AG4524+$AI4524)*$A4524,2)</f>
        <v>130.68</v>
      </c>
      <c r="AM4524" s="510">
        <f>ROUND(R4528,2)</f>
        <v>121.56</v>
      </c>
      <c r="AN4524" s="511">
        <f>ROUND(T4528,2)</f>
        <v>0</v>
      </c>
      <c r="AO4524" s="512">
        <f>ROUND(AM4524+AN4524,2)*A4524</f>
        <v>486.24</v>
      </c>
    </row>
    <row r="4525" spans="1:41" s="504" customFormat="1" ht="13.2">
      <c r="A4525" s="872"/>
      <c r="B4525"/>
      <c r="C4525" s="872"/>
      <c r="D4525" s="873" t="s">
        <v>515</v>
      </c>
      <c r="F4525" s="877"/>
      <c r="G4525" s="3"/>
      <c r="H4525" s="877"/>
      <c r="I4525" s="878"/>
      <c r="J4525" s="877"/>
      <c r="K4525" s="877" t="s">
        <v>141</v>
      </c>
      <c r="L4525" s="877"/>
      <c r="M4525" s="877"/>
      <c r="N4525" s="877"/>
      <c r="O4525" s="877"/>
      <c r="P4525" s="877"/>
      <c r="Q4525" s="50"/>
      <c r="R4525" s="513"/>
      <c r="S4525" s="881"/>
      <c r="T4525" s="877"/>
    </row>
    <row r="4526" spans="1:41" s="1039" customFormat="1" ht="13.2">
      <c r="A4526" s="112">
        <v>4</v>
      </c>
      <c r="B4526" s="1039" t="s">
        <v>949</v>
      </c>
      <c r="D4526" s="1039" t="s">
        <v>515</v>
      </c>
      <c r="G4526" s="1040" t="s">
        <v>1456</v>
      </c>
      <c r="H4526" s="1041">
        <v>725</v>
      </c>
      <c r="I4526" s="1039" t="s">
        <v>951</v>
      </c>
      <c r="O4526" s="1042">
        <v>3</v>
      </c>
      <c r="P4526" s="1043"/>
      <c r="Q4526" s="1044">
        <v>30.39</v>
      </c>
      <c r="R4526" s="1045">
        <f>$A4526*Q4526</f>
        <v>121.56</v>
      </c>
      <c r="S4526" s="1044"/>
      <c r="T4526" s="1046">
        <f>$A4526*S4526*$T$1</f>
        <v>0</v>
      </c>
    </row>
    <row r="4527" spans="1:41" s="504" customFormat="1" ht="12">
      <c r="A4527" s="882"/>
      <c r="B4527" s="882"/>
      <c r="C4527" s="882"/>
      <c r="D4527" s="882"/>
      <c r="E4527" s="882"/>
      <c r="F4527" s="877"/>
      <c r="G4527" s="882"/>
      <c r="H4527" s="882"/>
      <c r="I4527" s="503"/>
      <c r="J4527" s="882"/>
      <c r="K4527" s="882"/>
      <c r="L4527" s="882"/>
      <c r="M4527" s="882"/>
      <c r="N4527" s="882"/>
      <c r="O4527" s="882"/>
      <c r="P4527" s="882"/>
      <c r="Q4527" s="503"/>
      <c r="R4527" s="883">
        <f>$A4527*Q4527</f>
        <v>0</v>
      </c>
      <c r="S4527" s="503"/>
      <c r="T4527" s="884">
        <f>$A4527*S4527*$T$1</f>
        <v>0</v>
      </c>
    </row>
    <row r="4528" spans="1:41" s="504" customFormat="1" ht="12.6" thickBot="1">
      <c r="A4528" s="885" t="s">
        <v>142</v>
      </c>
      <c r="B4528" s="886">
        <f>(R4527+T4527)</f>
        <v>0</v>
      </c>
      <c r="C4528" s="887"/>
      <c r="D4528" s="887"/>
      <c r="E4528" s="887"/>
      <c r="F4528" s="888"/>
      <c r="G4528" s="887" t="s">
        <v>143</v>
      </c>
      <c r="H4528" s="887"/>
      <c r="I4528" s="889"/>
      <c r="J4528" s="887"/>
      <c r="K4528" s="887" t="s">
        <v>9</v>
      </c>
      <c r="L4528" s="890" t="s">
        <v>140</v>
      </c>
      <c r="M4528" s="890"/>
      <c r="N4528" s="890"/>
      <c r="O4528" s="890"/>
      <c r="P4528" s="890"/>
      <c r="Q4528" s="891"/>
      <c r="R4528" s="892">
        <f>SUM(R4525:R4527)</f>
        <v>121.56</v>
      </c>
      <c r="S4528" s="887"/>
      <c r="T4528" s="892">
        <f>SUM(T4525:T4527)</f>
        <v>0</v>
      </c>
      <c r="U4528" s="514"/>
      <c r="V4528" s="514"/>
      <c r="W4528" s="514"/>
      <c r="X4528" s="514"/>
      <c r="Y4528" s="514"/>
      <c r="Z4528" s="514"/>
      <c r="AA4528" s="514"/>
      <c r="AB4528" s="514"/>
      <c r="AC4528" s="514"/>
      <c r="AD4528" s="514"/>
      <c r="AE4528" s="514"/>
      <c r="AF4528" s="514"/>
      <c r="AG4528" s="514"/>
      <c r="AH4528" s="514"/>
      <c r="AI4528" s="514"/>
      <c r="AJ4528" s="514"/>
      <c r="AK4528" s="514"/>
      <c r="AL4528" s="514"/>
      <c r="AM4528" s="514"/>
      <c r="AN4528" s="514"/>
      <c r="AO4528" s="514"/>
    </row>
    <row r="4529" spans="1:41" s="504" customFormat="1" thickTop="1">
      <c r="A4529" s="50"/>
      <c r="B4529" s="40"/>
      <c r="C4529" s="50"/>
      <c r="E4529" s="41" t="s">
        <v>136</v>
      </c>
      <c r="F4529" s="41" t="s">
        <v>137</v>
      </c>
      <c r="G4529" s="50"/>
      <c r="H4529" s="50"/>
      <c r="I4529" s="50"/>
      <c r="J4529" s="50"/>
      <c r="K4529" s="50" t="s">
        <v>138</v>
      </c>
      <c r="L4529" s="1219"/>
      <c r="M4529" s="50"/>
      <c r="N4529" s="50"/>
      <c r="O4529" s="51"/>
      <c r="P4529" s="50"/>
      <c r="Q4529"/>
      <c r="R4529"/>
      <c r="S4529"/>
      <c r="T4529" s="40"/>
      <c r="AG4529" s="867" t="s">
        <v>241</v>
      </c>
      <c r="AH4529" s="867" t="s">
        <v>242</v>
      </c>
      <c r="AI4529" s="867" t="s">
        <v>243</v>
      </c>
      <c r="AJ4529" s="867" t="s">
        <v>244</v>
      </c>
      <c r="AK4529" s="867" t="s">
        <v>245</v>
      </c>
      <c r="AM4529" s="868" t="s">
        <v>254</v>
      </c>
      <c r="AN4529" s="869" t="s">
        <v>255</v>
      </c>
      <c r="AO4529" s="505" t="s">
        <v>251</v>
      </c>
    </row>
    <row r="4530" spans="1:41" s="504" customFormat="1" ht="13.2">
      <c r="A4530" s="870">
        <v>2</v>
      </c>
      <c r="B4530" s="506" t="s">
        <v>335</v>
      </c>
      <c r="C4530" s="872"/>
      <c r="D4530" s="873" t="s">
        <v>859</v>
      </c>
      <c r="E4530" s="1220">
        <f>IF(AND($A4530=0,$A$1="DIF"),0, ROUND(ROUND(SUMIF($L4532:$L4538,"SUBI",$E4532:$E4538)/$A4530,2)*$C$12,2))</f>
        <v>90.3</v>
      </c>
      <c r="F4530" s="1221">
        <f>ROUND($A4530*$E4530,2)</f>
        <v>180.6</v>
      </c>
      <c r="G4530" s="876" t="s">
        <v>139</v>
      </c>
      <c r="H4530" s="877"/>
      <c r="I4530" s="878"/>
      <c r="J4530" s="877"/>
      <c r="K4530" s="1222"/>
      <c r="L4530" s="1223" t="s">
        <v>140</v>
      </c>
      <c r="M4530" s="879"/>
      <c r="N4530" s="879"/>
      <c r="O4530" s="879"/>
      <c r="P4530" s="879"/>
      <c r="Q4530"/>
      <c r="R4530"/>
      <c r="S4530"/>
      <c r="T4530" s="1224" t="str">
        <f>IF(AND($R4544=0,$T4544=0),"0.00","mu :" &amp; ROUND($F4530/$C$12/($R4544+$T4544*$D$9),2))</f>
        <v>mu :1.11</v>
      </c>
      <c r="W4530" s="507"/>
      <c r="AG4530" s="1225">
        <f>IF(A4530=0,0,ROUND(SUM(AG4532:AG4544)/A4530,2))</f>
        <v>70.349999999999994</v>
      </c>
      <c r="AH4530" s="1225">
        <f>$AG4530*$A4530</f>
        <v>140.69999999999999</v>
      </c>
      <c r="AI4530" s="1225">
        <f>$E4530-$AG4530</f>
        <v>19.950000000000003</v>
      </c>
      <c r="AJ4530" s="1225">
        <f>$A4530*$AI4530</f>
        <v>39.900000000000006</v>
      </c>
      <c r="AK4530" s="1226">
        <f>ROUND(($AG4530+$AI4530)*$A4530,2)</f>
        <v>180.6</v>
      </c>
      <c r="AM4530" s="510">
        <f>ROUND(R4544,2)</f>
        <v>129.74</v>
      </c>
      <c r="AN4530" s="511">
        <f>ROUND(T4544,2)</f>
        <v>1.1299999999999999</v>
      </c>
      <c r="AO4530" s="512">
        <f>ROUND(AM4530+AN4530,2)*A4530</f>
        <v>261.74</v>
      </c>
    </row>
    <row r="4531" spans="1:41" s="504" customFormat="1" ht="13.2">
      <c r="A4531" s="872"/>
      <c r="B4531"/>
      <c r="C4531" s="872"/>
      <c r="D4531" s="873" t="s">
        <v>516</v>
      </c>
      <c r="F4531" s="877"/>
      <c r="G4531" s="877"/>
      <c r="H4531" s="877"/>
      <c r="I4531" s="878"/>
      <c r="J4531" s="877"/>
      <c r="K4531" s="877" t="s">
        <v>141</v>
      </c>
      <c r="L4531" s="1227"/>
      <c r="M4531" s="877"/>
      <c r="N4531" s="877"/>
      <c r="O4531" s="877"/>
      <c r="P4531" s="877"/>
      <c r="Q4531" s="50"/>
      <c r="R4531" s="513"/>
      <c r="S4531" s="881"/>
      <c r="T4531" s="877"/>
    </row>
    <row r="4532" spans="1:41" s="504" customFormat="1" ht="12">
      <c r="A4532" s="1228"/>
      <c r="B4532" s="1229"/>
      <c r="C4532" s="882"/>
      <c r="D4532" s="877"/>
      <c r="E4532" s="1230">
        <f>F4530/$C$12-SUMIF($L4529:$L4544,"SUBI",$E4529:$E4544)</f>
        <v>9.9999999999909051E-3</v>
      </c>
      <c r="F4532" s="1231" t="s">
        <v>1472</v>
      </c>
      <c r="G4532" s="1232"/>
      <c r="H4532" s="1232"/>
      <c r="I4532" s="1233"/>
      <c r="J4532" s="1232"/>
      <c r="K4532" s="1232"/>
      <c r="L4532" s="1234"/>
      <c r="M4532" s="1235"/>
      <c r="N4532" s="1235"/>
      <c r="O4532" s="1235"/>
      <c r="P4532" s="1235"/>
      <c r="Q4532" s="1236"/>
      <c r="R4532" s="1237"/>
      <c r="S4532" s="1236"/>
      <c r="T4532" s="1238"/>
    </row>
    <row r="4533" spans="1:41" s="504" customFormat="1" ht="12" customHeight="1">
      <c r="A4533" s="1239"/>
      <c r="B4533" s="1285"/>
      <c r="C4533" s="1286"/>
      <c r="D4533" s="1286" t="str">
        <f>$F$5</f>
        <v>ELV Sub-Contractor - APCO</v>
      </c>
      <c r="E4533" s="1286">
        <f>ROUND(($R4537*$S$5 + ($T4537*$T$5)),2)</f>
        <v>130.38</v>
      </c>
      <c r="F4533" s="1287">
        <f>$E4533*$C$12</f>
        <v>130.38</v>
      </c>
      <c r="G4533" s="513"/>
      <c r="H4533" s="1241"/>
      <c r="I4533" s="513"/>
      <c r="J4533" s="51"/>
      <c r="K4533" s="1242" t="s">
        <v>9</v>
      </c>
      <c r="L4533" s="1243" t="s">
        <v>1473</v>
      </c>
      <c r="M4533" s="513"/>
      <c r="N4533" s="513"/>
      <c r="O4533" s="51"/>
      <c r="P4533" s="513"/>
      <c r="Q4533" s="513"/>
      <c r="R4533"/>
      <c r="S4533"/>
      <c r="T4533"/>
    </row>
    <row r="4534" spans="1:41" s="504" customFormat="1" ht="13.95" customHeight="1">
      <c r="A4534" s="930"/>
      <c r="B4534" s="1244" t="s">
        <v>1474</v>
      </c>
      <c r="C4534" s="513"/>
      <c r="D4534" s="513"/>
      <c r="E4534" s="513"/>
      <c r="F4534" s="513"/>
      <c r="G4534" s="513"/>
      <c r="H4534" s="1241"/>
      <c r="I4534" s="513"/>
      <c r="J4534" s="51"/>
      <c r="K4534" s="1245"/>
      <c r="L4534" s="1246"/>
      <c r="M4534" s="513"/>
      <c r="N4534" s="513"/>
      <c r="O4534" s="51"/>
      <c r="P4534" s="513"/>
      <c r="Q4534" s="513"/>
      <c r="R4534" s="1247">
        <f>$A4534*Q4534</f>
        <v>0</v>
      </c>
      <c r="S4534" s="513"/>
      <c r="T4534" s="884">
        <f>$A4534*S4534*$T$1</f>
        <v>0</v>
      </c>
    </row>
    <row r="4535" spans="1:41" s="1039" customFormat="1" ht="13.2">
      <c r="A4535" s="112">
        <v>2</v>
      </c>
      <c r="B4535" s="1039" t="s">
        <v>949</v>
      </c>
      <c r="D4535" s="1039" t="s">
        <v>516</v>
      </c>
      <c r="G4535" s="1040" t="s">
        <v>1456</v>
      </c>
      <c r="H4535" s="1041">
        <v>725</v>
      </c>
      <c r="I4535" s="1039" t="s">
        <v>951</v>
      </c>
      <c r="O4535" s="1042">
        <v>3</v>
      </c>
      <c r="P4535" s="1043"/>
      <c r="Q4535" s="1044">
        <v>60.64</v>
      </c>
      <c r="R4535" s="1045">
        <f>$A4535*Q4535</f>
        <v>121.28</v>
      </c>
      <c r="S4535" s="1044"/>
      <c r="T4535" s="1046">
        <f>$A4535*S4535*$T$1</f>
        <v>0</v>
      </c>
    </row>
    <row r="4536" spans="1:41" s="504" customFormat="1" ht="13.95" customHeight="1">
      <c r="A4536" s="930"/>
      <c r="B4536" s="513"/>
      <c r="C4536" s="513"/>
      <c r="D4536" s="513"/>
      <c r="E4536" s="513"/>
      <c r="F4536" s="513"/>
      <c r="G4536" s="513"/>
      <c r="H4536" s="1241"/>
      <c r="I4536" s="513"/>
      <c r="J4536" s="51"/>
      <c r="K4536" s="1245"/>
      <c r="L4536" s="1246"/>
      <c r="M4536" s="513"/>
      <c r="N4536" s="513"/>
      <c r="O4536" s="51"/>
      <c r="P4536" s="513"/>
      <c r="Q4536" s="513"/>
      <c r="R4536" s="1247">
        <f>$A4536*Q4536</f>
        <v>0</v>
      </c>
      <c r="S4536" s="513"/>
      <c r="T4536" s="884">
        <f>$A4536*S4536*$T$1</f>
        <v>0</v>
      </c>
    </row>
    <row r="4537" spans="1:41" s="504" customFormat="1" ht="12">
      <c r="A4537" s="1248" t="s">
        <v>142</v>
      </c>
      <c r="B4537" s="1249">
        <f>(R4536+T4536)</f>
        <v>0</v>
      </c>
      <c r="C4537" s="882"/>
      <c r="G4537" s="1250"/>
      <c r="H4537" s="1250"/>
      <c r="I4537" s="1250"/>
      <c r="J4537" s="1250"/>
      <c r="K4537" s="1251" t="s">
        <v>9</v>
      </c>
      <c r="L4537" s="1252" t="s">
        <v>1473</v>
      </c>
      <c r="M4537" s="1250"/>
      <c r="N4537" s="1250"/>
      <c r="O4537" s="1250"/>
      <c r="P4537" s="1250"/>
      <c r="Q4537" s="1253"/>
      <c r="R4537" s="1254">
        <f>SUM(R4533:R4536)</f>
        <v>121.28</v>
      </c>
      <c r="S4537" s="1255"/>
      <c r="T4537" s="1254">
        <f>SUM(T4533:T4536)</f>
        <v>0</v>
      </c>
      <c r="AG4537" s="1288">
        <f>ROUND($R4537*$S$5,2)</f>
        <v>130.38</v>
      </c>
    </row>
    <row r="4538" spans="1:41" s="504" customFormat="1" ht="12" customHeight="1">
      <c r="A4538" s="1257"/>
      <c r="B4538" s="1289"/>
      <c r="C4538" s="1240"/>
      <c r="D4538" s="1240" t="str">
        <f>$F$2</f>
        <v>Electrical</v>
      </c>
      <c r="E4538" s="1240">
        <f>ROUND(($R4542*$S$2 + ($T4542*$T$2)),2)</f>
        <v>50.21</v>
      </c>
      <c r="F4538" s="1290">
        <f ca="1">$F4530-SUMIF($L4532:$P4535,"SUBI",$F4532:$F4535)</f>
        <v>50.22</v>
      </c>
      <c r="G4538" s="503"/>
      <c r="H4538" s="503"/>
      <c r="I4538" s="503"/>
      <c r="J4538" s="503"/>
      <c r="K4538" s="1242" t="s">
        <v>3</v>
      </c>
      <c r="L4538" s="1243" t="s">
        <v>1473</v>
      </c>
      <c r="M4538" s="503"/>
      <c r="N4538" s="503"/>
      <c r="O4538" s="503"/>
      <c r="P4538" s="503"/>
      <c r="Q4538" s="503"/>
      <c r="R4538" s="1258"/>
      <c r="S4538" s="503"/>
      <c r="T4538" s="1258"/>
    </row>
    <row r="4539" spans="1:41" s="1271" customFormat="1" ht="14.4" customHeight="1">
      <c r="A4539" s="1259"/>
      <c r="B4539" s="1244" t="s">
        <v>1475</v>
      </c>
      <c r="C4539" s="1260"/>
      <c r="D4539" s="1261"/>
      <c r="E4539" s="1261"/>
      <c r="F4539" s="1261"/>
      <c r="G4539" s="1262"/>
      <c r="H4539" s="1263"/>
      <c r="I4539" s="1263"/>
      <c r="J4539" s="1264"/>
      <c r="K4539" s="1265"/>
      <c r="L4539" s="1260"/>
      <c r="M4539" s="1266"/>
      <c r="N4539" s="1267"/>
      <c r="O4539" s="1268"/>
      <c r="P4539" s="1269"/>
      <c r="Q4539" s="1270"/>
      <c r="R4539" s="1247">
        <f>$A4539*Q4539</f>
        <v>0</v>
      </c>
      <c r="S4539" s="513"/>
      <c r="T4539" s="884">
        <f>$A4539*S4539*$T$1</f>
        <v>0</v>
      </c>
    </row>
    <row r="4540" spans="1:41" s="1039" customFormat="1" ht="13.2">
      <c r="A4540" s="112">
        <f>2*3</f>
        <v>6</v>
      </c>
      <c r="B4540" s="1039" t="s">
        <v>326</v>
      </c>
      <c r="D4540" s="1039" t="s">
        <v>1224</v>
      </c>
      <c r="G4540" s="1040" t="s">
        <v>1221</v>
      </c>
      <c r="H4540" s="1041">
        <v>700</v>
      </c>
      <c r="I4540" s="1039" t="s">
        <v>1132</v>
      </c>
      <c r="J4540" s="1039" t="s">
        <v>1222</v>
      </c>
      <c r="O4540" s="1042">
        <v>1</v>
      </c>
      <c r="P4540" s="1043">
        <v>42213</v>
      </c>
      <c r="Q4540" s="1044">
        <v>1.41</v>
      </c>
      <c r="R4540" s="1045">
        <f>$A4540*Q4540</f>
        <v>8.4599999999999991</v>
      </c>
      <c r="S4540" s="1044">
        <v>0.18</v>
      </c>
      <c r="T4540" s="1046">
        <f>$A4540*S4540*$T$1</f>
        <v>1.1340000000000001</v>
      </c>
    </row>
    <row r="4541" spans="1:41" s="504" customFormat="1" ht="13.2">
      <c r="A4541" s="930"/>
      <c r="B4541" s="513"/>
      <c r="C4541" s="513"/>
      <c r="D4541" s="3"/>
      <c r="E4541" s="513"/>
      <c r="F4541" s="513"/>
      <c r="G4541" s="513"/>
      <c r="H4541" s="513"/>
      <c r="I4541" s="513"/>
      <c r="J4541" s="513"/>
      <c r="K4541" s="513"/>
      <c r="L4541" s="1246"/>
      <c r="M4541" s="513"/>
      <c r="N4541" s="513"/>
      <c r="O4541" s="513"/>
      <c r="P4541" s="513"/>
      <c r="Q4541" s="513"/>
      <c r="R4541" s="1247">
        <f>$A4541*Q4541</f>
        <v>0</v>
      </c>
      <c r="S4541" s="513"/>
      <c r="T4541" s="884">
        <f>$A4541*S4541*$T$1</f>
        <v>0</v>
      </c>
    </row>
    <row r="4542" spans="1:41" s="504" customFormat="1" ht="12" customHeight="1">
      <c r="A4542" s="1272" t="s">
        <v>142</v>
      </c>
      <c r="B4542" s="1273">
        <f>(R4541+T4541)</f>
        <v>0</v>
      </c>
      <c r="C4542" s="1274"/>
      <c r="D4542" s="1274"/>
      <c r="E4542" s="1274"/>
      <c r="F4542" s="1274"/>
      <c r="G4542" s="1253"/>
      <c r="H4542" s="1253"/>
      <c r="I4542" s="1253"/>
      <c r="J4542" s="1253"/>
      <c r="K4542" s="1275" t="s">
        <v>3</v>
      </c>
      <c r="L4542" s="1276" t="s">
        <v>1473</v>
      </c>
      <c r="M4542" s="1253"/>
      <c r="N4542" s="1253"/>
      <c r="O4542" s="1253"/>
      <c r="P4542" s="1253"/>
      <c r="Q4542" s="1253"/>
      <c r="R4542" s="1254">
        <f>SUM(R4538:R4541)</f>
        <v>8.4599999999999991</v>
      </c>
      <c r="S4542" s="1255"/>
      <c r="T4542" s="1254">
        <f>SUM(T4538:T4541)</f>
        <v>1.1340000000000001</v>
      </c>
      <c r="AG4542" s="1256">
        <f>ROUND($R4542*$S$2,2)</f>
        <v>10.32</v>
      </c>
    </row>
    <row r="4543" spans="1:41" s="504" customFormat="1" ht="12.75" customHeight="1">
      <c r="A4543" s="1277"/>
      <c r="B4543" s="1278"/>
      <c r="E4543" s="882"/>
      <c r="F4543" s="1279"/>
      <c r="G4543" s="882"/>
      <c r="H4543" s="882"/>
      <c r="I4543" s="503"/>
      <c r="J4543" s="882"/>
      <c r="K4543" s="882"/>
      <c r="L4543" s="1280"/>
      <c r="M4543" s="933"/>
      <c r="N4543" s="933"/>
      <c r="O4543" s="933"/>
      <c r="P4543" s="933"/>
      <c r="Q4543" s="900"/>
      <c r="R4543" s="1258"/>
      <c r="S4543" s="882"/>
      <c r="T4543" s="1258"/>
    </row>
    <row r="4544" spans="1:41" s="504" customFormat="1" ht="13.5" customHeight="1" thickBot="1">
      <c r="A4544" s="1281"/>
      <c r="B4544" s="1282"/>
      <c r="C4544" s="514"/>
      <c r="D4544" s="514"/>
      <c r="E4544" s="887"/>
      <c r="F4544" s="888"/>
      <c r="G4544" s="887" t="s">
        <v>143</v>
      </c>
      <c r="H4544" s="887"/>
      <c r="I4544" s="889"/>
      <c r="J4544" s="887"/>
      <c r="K4544" s="887"/>
      <c r="L4544" s="1283" t="s">
        <v>140</v>
      </c>
      <c r="M4544" s="890"/>
      <c r="N4544" s="890"/>
      <c r="O4544" s="890"/>
      <c r="P4544" s="890"/>
      <c r="Q4544" s="891"/>
      <c r="R4544" s="1284">
        <f>SUMIF($L4531:$L4543,"SUBI",R4531:R4543)</f>
        <v>129.74</v>
      </c>
      <c r="S4544" s="887"/>
      <c r="T4544" s="1284">
        <f>SUMIF($L4531:$L4543,"SUBI",T4531:T4543)</f>
        <v>1.1340000000000001</v>
      </c>
      <c r="U4544" s="514"/>
      <c r="V4544" s="514"/>
      <c r="W4544" s="514"/>
      <c r="X4544" s="514"/>
      <c r="Y4544" s="514"/>
      <c r="Z4544" s="514"/>
      <c r="AA4544" s="514"/>
      <c r="AB4544" s="514"/>
      <c r="AC4544" s="514"/>
      <c r="AD4544" s="514"/>
      <c r="AE4544" s="514"/>
      <c r="AF4544" s="514"/>
      <c r="AG4544" s="514"/>
      <c r="AH4544" s="514"/>
      <c r="AI4544" s="514"/>
      <c r="AJ4544" s="514"/>
      <c r="AK4544" s="514"/>
      <c r="AL4544" s="514"/>
      <c r="AM4544" s="514"/>
      <c r="AN4544" s="514"/>
      <c r="AO4544" s="514"/>
    </row>
    <row r="4545" spans="1:41" s="504" customFormat="1" thickTop="1">
      <c r="A4545" s="50"/>
      <c r="B4545" s="40"/>
      <c r="C4545" s="50"/>
      <c r="E4545" s="41" t="s">
        <v>136</v>
      </c>
      <c r="F4545" s="41" t="s">
        <v>137</v>
      </c>
      <c r="G4545" s="50"/>
      <c r="H4545" s="50"/>
      <c r="I4545" s="50"/>
      <c r="J4545" s="50"/>
      <c r="K4545" s="50" t="s">
        <v>138</v>
      </c>
      <c r="L4545" s="1219"/>
      <c r="M4545" s="50"/>
      <c r="N4545" s="50"/>
      <c r="O4545" s="51"/>
      <c r="P4545" s="50"/>
      <c r="Q4545"/>
      <c r="R4545"/>
      <c r="S4545"/>
      <c r="T4545" s="40"/>
      <c r="AG4545" s="867" t="s">
        <v>241</v>
      </c>
      <c r="AH4545" s="867" t="s">
        <v>242</v>
      </c>
      <c r="AI4545" s="867" t="s">
        <v>243</v>
      </c>
      <c r="AJ4545" s="867" t="s">
        <v>244</v>
      </c>
      <c r="AK4545" s="867" t="s">
        <v>245</v>
      </c>
      <c r="AM4545" s="868" t="s">
        <v>254</v>
      </c>
      <c r="AN4545" s="869" t="s">
        <v>255</v>
      </c>
      <c r="AO4545" s="505" t="s">
        <v>251</v>
      </c>
    </row>
    <row r="4546" spans="1:41" s="504" customFormat="1" ht="13.2">
      <c r="A4546" s="870">
        <v>1</v>
      </c>
      <c r="B4546" s="506" t="s">
        <v>335</v>
      </c>
      <c r="C4546" s="872"/>
      <c r="D4546" s="873" t="s">
        <v>860</v>
      </c>
      <c r="E4546" s="1220">
        <f>IF(AND($A4546=0,$A$1="DIF"),0, ROUND(ROUND(SUMIF($L4548:$L4554,"SUBI",$E4548:$E4554)/$A4546,2)*$C$12,2))</f>
        <v>341.22</v>
      </c>
      <c r="F4546" s="1221">
        <f>ROUND($A4546*$E4546,2)</f>
        <v>341.22</v>
      </c>
      <c r="G4546" s="876" t="s">
        <v>139</v>
      </c>
      <c r="H4546" s="877"/>
      <c r="I4546" s="878"/>
      <c r="J4546" s="877"/>
      <c r="K4546" s="1222"/>
      <c r="L4546" s="1223" t="s">
        <v>140</v>
      </c>
      <c r="M4546" s="879"/>
      <c r="N4546" s="879"/>
      <c r="O4546" s="879"/>
      <c r="P4546" s="879"/>
      <c r="Q4546"/>
      <c r="R4546"/>
      <c r="S4546"/>
      <c r="T4546" s="1224" t="str">
        <f>IF(AND($R4560=0,$T4560=0),"0.00","mu :" &amp; ROUND($F4546/$C$12/($R4560+$T4560*$D$9),2))</f>
        <v>mu :1.08</v>
      </c>
      <c r="W4546" s="507"/>
      <c r="AG4546" s="1225">
        <f>IF(A4546=0,0,ROUND(SUM(AG4548:AG4560)/A4546,2))</f>
        <v>327.92</v>
      </c>
      <c r="AH4546" s="1225">
        <f>$AG4546*$A4546</f>
        <v>327.92</v>
      </c>
      <c r="AI4546" s="1225">
        <f>$E4546-$AG4546</f>
        <v>13.300000000000011</v>
      </c>
      <c r="AJ4546" s="1225">
        <f>$A4546*$AI4546</f>
        <v>13.300000000000011</v>
      </c>
      <c r="AK4546" s="1226">
        <f>ROUND(($AG4546+$AI4546)*$A4546,2)</f>
        <v>341.22</v>
      </c>
      <c r="AM4546" s="510">
        <f>ROUND(R4560,2)</f>
        <v>304.66000000000003</v>
      </c>
      <c r="AN4546" s="511">
        <f>ROUND(T4560,2)</f>
        <v>0.38</v>
      </c>
      <c r="AO4546" s="512">
        <f>ROUND(AM4546+AN4546,2)*A4546</f>
        <v>305.04000000000002</v>
      </c>
    </row>
    <row r="4547" spans="1:41" s="504" customFormat="1" ht="13.2">
      <c r="A4547" s="872"/>
      <c r="B4547"/>
      <c r="C4547" s="872"/>
      <c r="D4547" s="873" t="s">
        <v>517</v>
      </c>
      <c r="F4547" s="877"/>
      <c r="G4547" s="877"/>
      <c r="H4547" s="877"/>
      <c r="I4547" s="878"/>
      <c r="J4547" s="877"/>
      <c r="K4547" s="877" t="s">
        <v>141</v>
      </c>
      <c r="L4547" s="1227"/>
      <c r="M4547" s="877"/>
      <c r="N4547" s="877"/>
      <c r="O4547" s="877"/>
      <c r="P4547" s="877"/>
      <c r="Q4547" s="50"/>
      <c r="R4547" s="513"/>
      <c r="S4547" s="881"/>
      <c r="T4547" s="877"/>
    </row>
    <row r="4548" spans="1:41" s="504" customFormat="1" ht="12">
      <c r="A4548" s="1228"/>
      <c r="B4548" s="1229"/>
      <c r="C4548" s="882"/>
      <c r="D4548" s="877"/>
      <c r="E4548" s="1230">
        <f>F4546/$C$12-SUMIF($L4545:$L4560,"SUBI",$E4545:$E4560)</f>
        <v>0</v>
      </c>
      <c r="F4548" s="1231" t="s">
        <v>1472</v>
      </c>
      <c r="G4548" s="1232"/>
      <c r="H4548" s="1232"/>
      <c r="I4548" s="1233"/>
      <c r="J4548" s="1232"/>
      <c r="K4548" s="1232"/>
      <c r="L4548" s="1234"/>
      <c r="M4548" s="1235"/>
      <c r="N4548" s="1235"/>
      <c r="O4548" s="1235"/>
      <c r="P4548" s="1235"/>
      <c r="Q4548" s="1236"/>
      <c r="R4548" s="1237"/>
      <c r="S4548" s="1236"/>
      <c r="T4548" s="1238"/>
    </row>
    <row r="4549" spans="1:41" s="504" customFormat="1" ht="12" customHeight="1">
      <c r="A4549" s="1239"/>
      <c r="B4549" s="1285"/>
      <c r="C4549" s="1286"/>
      <c r="D4549" s="1286" t="str">
        <f>$F$5</f>
        <v>ELV Sub-Contractor - APCO</v>
      </c>
      <c r="E4549" s="1286">
        <f>ROUND(($R4553*$S$5 + ($T4553*$T$5)),2)</f>
        <v>324.48</v>
      </c>
      <c r="F4549" s="1287">
        <f>$E4549*$C$12</f>
        <v>324.48</v>
      </c>
      <c r="G4549" s="513"/>
      <c r="H4549" s="1241"/>
      <c r="I4549" s="513"/>
      <c r="J4549" s="51"/>
      <c r="K4549" s="1242" t="s">
        <v>9</v>
      </c>
      <c r="L4549" s="1243" t="s">
        <v>1473</v>
      </c>
      <c r="M4549" s="513"/>
      <c r="N4549" s="513"/>
      <c r="O4549" s="51"/>
      <c r="P4549" s="513"/>
      <c r="Q4549" s="513"/>
      <c r="R4549"/>
      <c r="S4549"/>
      <c r="T4549"/>
    </row>
    <row r="4550" spans="1:41" s="504" customFormat="1" ht="13.95" customHeight="1">
      <c r="A4550" s="930"/>
      <c r="B4550" s="1244" t="s">
        <v>1474</v>
      </c>
      <c r="C4550" s="513"/>
      <c r="D4550" s="513"/>
      <c r="E4550" s="513"/>
      <c r="F4550" s="513"/>
      <c r="G4550" s="513"/>
      <c r="H4550" s="1241"/>
      <c r="I4550" s="513"/>
      <c r="J4550" s="51"/>
      <c r="K4550" s="1245"/>
      <c r="L4550" s="1246"/>
      <c r="M4550" s="513"/>
      <c r="N4550" s="513"/>
      <c r="O4550" s="51"/>
      <c r="P4550" s="513"/>
      <c r="Q4550" s="513"/>
      <c r="R4550" s="1247">
        <f>$A4550*Q4550</f>
        <v>0</v>
      </c>
      <c r="S4550" s="513"/>
      <c r="T4550" s="884">
        <f>$A4550*S4550*$T$1</f>
        <v>0</v>
      </c>
    </row>
    <row r="4551" spans="1:41" s="1039" customFormat="1" ht="13.2">
      <c r="A4551" s="112">
        <v>1</v>
      </c>
      <c r="B4551" s="1039" t="s">
        <v>949</v>
      </c>
      <c r="D4551" s="1039" t="s">
        <v>517</v>
      </c>
      <c r="G4551" s="1040" t="s">
        <v>1456</v>
      </c>
      <c r="H4551" s="1041">
        <v>725</v>
      </c>
      <c r="I4551" s="1039" t="s">
        <v>951</v>
      </c>
      <c r="O4551" s="1042">
        <v>3</v>
      </c>
      <c r="P4551" s="1043"/>
      <c r="Q4551" s="1044">
        <v>301.83999999999997</v>
      </c>
      <c r="R4551" s="1045">
        <f>$A4551*Q4551</f>
        <v>301.83999999999997</v>
      </c>
      <c r="S4551" s="1044"/>
      <c r="T4551" s="1046">
        <f>$A4551*S4551*$T$1</f>
        <v>0</v>
      </c>
    </row>
    <row r="4552" spans="1:41" s="504" customFormat="1" ht="13.95" customHeight="1">
      <c r="A4552" s="930"/>
      <c r="B4552" s="513"/>
      <c r="C4552" s="513"/>
      <c r="D4552" s="513"/>
      <c r="E4552" s="513"/>
      <c r="F4552" s="513"/>
      <c r="G4552" s="513"/>
      <c r="H4552" s="1241"/>
      <c r="I4552" s="513"/>
      <c r="J4552" s="51"/>
      <c r="K4552" s="1245"/>
      <c r="L4552" s="1246"/>
      <c r="M4552" s="513"/>
      <c r="N4552" s="513"/>
      <c r="O4552" s="51"/>
      <c r="P4552" s="513"/>
      <c r="Q4552" s="513"/>
      <c r="R4552" s="1247">
        <f>$A4552*Q4552</f>
        <v>0</v>
      </c>
      <c r="S4552" s="513"/>
      <c r="T4552" s="884">
        <f>$A4552*S4552*$T$1</f>
        <v>0</v>
      </c>
    </row>
    <row r="4553" spans="1:41" s="504" customFormat="1" ht="12">
      <c r="A4553" s="1248" t="s">
        <v>142</v>
      </c>
      <c r="B4553" s="1249">
        <f>(R4552+T4552)</f>
        <v>0</v>
      </c>
      <c r="C4553" s="882"/>
      <c r="G4553" s="1250"/>
      <c r="H4553" s="1250"/>
      <c r="I4553" s="1250"/>
      <c r="J4553" s="1250"/>
      <c r="K4553" s="1251" t="s">
        <v>9</v>
      </c>
      <c r="L4553" s="1252" t="s">
        <v>1473</v>
      </c>
      <c r="M4553" s="1250"/>
      <c r="N4553" s="1250"/>
      <c r="O4553" s="1250"/>
      <c r="P4553" s="1250"/>
      <c r="Q4553" s="1253"/>
      <c r="R4553" s="1254">
        <f>SUM(R4549:R4552)</f>
        <v>301.83999999999997</v>
      </c>
      <c r="S4553" s="1255"/>
      <c r="T4553" s="1254">
        <f>SUM(T4549:T4552)</f>
        <v>0</v>
      </c>
      <c r="AG4553" s="1288">
        <f>ROUND($R4553*$S$5,2)</f>
        <v>324.48</v>
      </c>
    </row>
    <row r="4554" spans="1:41" s="504" customFormat="1" ht="12" customHeight="1">
      <c r="A4554" s="1257"/>
      <c r="B4554" s="1289"/>
      <c r="C4554" s="1240"/>
      <c r="D4554" s="1240" t="str">
        <f>$F$2</f>
        <v>Electrical</v>
      </c>
      <c r="E4554" s="1240">
        <f>ROUND(($R4558*$S$2 + ($T4558*$T$2)),2)</f>
        <v>16.739999999999998</v>
      </c>
      <c r="F4554" s="1290">
        <f ca="1">$F4546-SUMIF($L4548:$P4551,"SUBI",$F4548:$F4551)</f>
        <v>16.740000000000009</v>
      </c>
      <c r="G4554" s="503"/>
      <c r="H4554" s="503"/>
      <c r="I4554" s="503"/>
      <c r="J4554" s="503"/>
      <c r="K4554" s="1242" t="s">
        <v>3</v>
      </c>
      <c r="L4554" s="1243" t="s">
        <v>1473</v>
      </c>
      <c r="M4554" s="503"/>
      <c r="N4554" s="503"/>
      <c r="O4554" s="503"/>
      <c r="P4554" s="503"/>
      <c r="Q4554" s="503"/>
      <c r="R4554" s="1258"/>
      <c r="S4554" s="503"/>
      <c r="T4554" s="1258"/>
    </row>
    <row r="4555" spans="1:41" s="1271" customFormat="1" ht="14.4" customHeight="1">
      <c r="A4555" s="1259"/>
      <c r="B4555" s="1244" t="s">
        <v>1475</v>
      </c>
      <c r="C4555" s="1260"/>
      <c r="D4555" s="1261"/>
      <c r="E4555" s="1261"/>
      <c r="F4555" s="1261"/>
      <c r="G4555" s="1262"/>
      <c r="H4555" s="1263"/>
      <c r="I4555" s="1263"/>
      <c r="J4555" s="1264"/>
      <c r="K4555" s="1265"/>
      <c r="L4555" s="1260"/>
      <c r="M4555" s="1266"/>
      <c r="N4555" s="1267"/>
      <c r="O4555" s="1268"/>
      <c r="P4555" s="1269"/>
      <c r="Q4555" s="1270"/>
      <c r="R4555" s="1247">
        <f>$A4555*Q4555</f>
        <v>0</v>
      </c>
      <c r="S4555" s="513"/>
      <c r="T4555" s="884">
        <f>$A4555*S4555*$T$1</f>
        <v>0</v>
      </c>
    </row>
    <row r="4556" spans="1:41" s="1039" customFormat="1" ht="13.2">
      <c r="A4556" s="112">
        <f>1*2</f>
        <v>2</v>
      </c>
      <c r="B4556" s="1039" t="s">
        <v>326</v>
      </c>
      <c r="D4556" s="1039" t="s">
        <v>1224</v>
      </c>
      <c r="G4556" s="1040" t="s">
        <v>1221</v>
      </c>
      <c r="H4556" s="1041">
        <v>700</v>
      </c>
      <c r="I4556" s="1039" t="s">
        <v>1132</v>
      </c>
      <c r="J4556" s="1039" t="s">
        <v>1222</v>
      </c>
      <c r="O4556" s="1042">
        <v>1</v>
      </c>
      <c r="P4556" s="1043">
        <v>42213</v>
      </c>
      <c r="Q4556" s="1044">
        <v>1.41</v>
      </c>
      <c r="R4556" s="1045">
        <f>$A4556*Q4556</f>
        <v>2.82</v>
      </c>
      <c r="S4556" s="1044">
        <v>0.18</v>
      </c>
      <c r="T4556" s="1046">
        <f>$A4556*S4556*$T$1</f>
        <v>0.378</v>
      </c>
    </row>
    <row r="4557" spans="1:41" s="504" customFormat="1" ht="13.2">
      <c r="A4557" s="930"/>
      <c r="B4557" s="513"/>
      <c r="C4557" s="513"/>
      <c r="D4557" s="3"/>
      <c r="E4557" s="513"/>
      <c r="F4557" s="513"/>
      <c r="G4557" s="513"/>
      <c r="H4557" s="513"/>
      <c r="I4557" s="513"/>
      <c r="J4557" s="513"/>
      <c r="K4557" s="513"/>
      <c r="L4557" s="1246"/>
      <c r="M4557" s="513"/>
      <c r="N4557" s="513"/>
      <c r="O4557" s="513"/>
      <c r="P4557" s="513"/>
      <c r="Q4557" s="513"/>
      <c r="R4557" s="1247">
        <f>$A4557*Q4557</f>
        <v>0</v>
      </c>
      <c r="S4557" s="513"/>
      <c r="T4557" s="884">
        <f>$A4557*S4557*$T$1</f>
        <v>0</v>
      </c>
    </row>
    <row r="4558" spans="1:41" s="504" customFormat="1" ht="12" customHeight="1">
      <c r="A4558" s="1272" t="s">
        <v>142</v>
      </c>
      <c r="B4558" s="1273">
        <f>(R4557+T4557)</f>
        <v>0</v>
      </c>
      <c r="C4558" s="1274"/>
      <c r="D4558" s="1274"/>
      <c r="E4558" s="1274"/>
      <c r="F4558" s="1274"/>
      <c r="G4558" s="1253"/>
      <c r="H4558" s="1253"/>
      <c r="I4558" s="1253"/>
      <c r="J4558" s="1253"/>
      <c r="K4558" s="1275" t="s">
        <v>3</v>
      </c>
      <c r="L4558" s="1276" t="s">
        <v>1473</v>
      </c>
      <c r="M4558" s="1253"/>
      <c r="N4558" s="1253"/>
      <c r="O4558" s="1253"/>
      <c r="P4558" s="1253"/>
      <c r="Q4558" s="1253"/>
      <c r="R4558" s="1254">
        <f>SUM(R4554:R4557)</f>
        <v>2.82</v>
      </c>
      <c r="S4558" s="1255"/>
      <c r="T4558" s="1254">
        <f>SUM(T4554:T4557)</f>
        <v>0.378</v>
      </c>
      <c r="AG4558" s="1256">
        <f>ROUND($R4558*$S$2,2)</f>
        <v>3.44</v>
      </c>
    </row>
    <row r="4559" spans="1:41" s="504" customFormat="1" ht="12.75" customHeight="1">
      <c r="A4559" s="1277"/>
      <c r="B4559" s="1278"/>
      <c r="E4559" s="882"/>
      <c r="F4559" s="1279"/>
      <c r="G4559" s="882"/>
      <c r="H4559" s="882"/>
      <c r="I4559" s="503"/>
      <c r="J4559" s="882"/>
      <c r="K4559" s="882"/>
      <c r="L4559" s="1280"/>
      <c r="M4559" s="933"/>
      <c r="N4559" s="933"/>
      <c r="O4559" s="933"/>
      <c r="P4559" s="933"/>
      <c r="Q4559" s="900"/>
      <c r="R4559" s="1258"/>
      <c r="S4559" s="882"/>
      <c r="T4559" s="1258"/>
    </row>
    <row r="4560" spans="1:41" s="504" customFormat="1" ht="13.5" customHeight="1" thickBot="1">
      <c r="A4560" s="1281"/>
      <c r="B4560" s="1282"/>
      <c r="C4560" s="514"/>
      <c r="D4560" s="514"/>
      <c r="E4560" s="887"/>
      <c r="F4560" s="888"/>
      <c r="G4560" s="887" t="s">
        <v>143</v>
      </c>
      <c r="H4560" s="887"/>
      <c r="I4560" s="889"/>
      <c r="J4560" s="887"/>
      <c r="K4560" s="887"/>
      <c r="L4560" s="1283" t="s">
        <v>140</v>
      </c>
      <c r="M4560" s="890"/>
      <c r="N4560" s="890"/>
      <c r="O4560" s="890"/>
      <c r="P4560" s="890"/>
      <c r="Q4560" s="891"/>
      <c r="R4560" s="1284">
        <f>SUMIF($L4547:$L4559,"SUBI",R4547:R4559)</f>
        <v>304.65999999999997</v>
      </c>
      <c r="S4560" s="887"/>
      <c r="T4560" s="1284">
        <f>SUMIF($L4547:$L4559,"SUBI",T4547:T4559)</f>
        <v>0.378</v>
      </c>
      <c r="U4560" s="514"/>
      <c r="V4560" s="514"/>
      <c r="W4560" s="514"/>
      <c r="X4560" s="514"/>
      <c r="Y4560" s="514"/>
      <c r="Z4560" s="514"/>
      <c r="AA4560" s="514"/>
      <c r="AB4560" s="514"/>
      <c r="AC4560" s="514"/>
      <c r="AD4560" s="514"/>
      <c r="AE4560" s="514"/>
      <c r="AF4560" s="514"/>
      <c r="AG4560" s="514"/>
      <c r="AH4560" s="514"/>
      <c r="AI4560" s="514"/>
      <c r="AJ4560" s="514"/>
      <c r="AK4560" s="514"/>
      <c r="AL4560" s="514"/>
      <c r="AM4560" s="514"/>
      <c r="AN4560" s="514"/>
      <c r="AO4560" s="514"/>
    </row>
    <row r="4561" spans="1:41" s="504" customFormat="1" ht="12" thickTop="1">
      <c r="A4561" s="50"/>
      <c r="B4561" s="40"/>
      <c r="C4561" s="50"/>
      <c r="E4561" s="41" t="s">
        <v>136</v>
      </c>
      <c r="F4561" s="41" t="s">
        <v>137</v>
      </c>
      <c r="G4561" s="50"/>
      <c r="H4561" s="50"/>
      <c r="I4561" s="50"/>
      <c r="J4561" s="50"/>
      <c r="K4561" s="50" t="s">
        <v>138</v>
      </c>
      <c r="L4561" s="50"/>
      <c r="M4561" s="50"/>
      <c r="N4561" s="50"/>
      <c r="O4561" s="51"/>
      <c r="P4561" s="50"/>
      <c r="Q4561" s="50"/>
      <c r="R4561" s="50"/>
      <c r="S4561" s="50"/>
      <c r="T4561" s="40"/>
      <c r="AG4561" s="867" t="s">
        <v>241</v>
      </c>
      <c r="AH4561" s="867" t="s">
        <v>242</v>
      </c>
      <c r="AI4561" s="867" t="s">
        <v>243</v>
      </c>
      <c r="AJ4561" s="867" t="s">
        <v>244</v>
      </c>
      <c r="AK4561" s="867" t="s">
        <v>245</v>
      </c>
      <c r="AM4561" s="868" t="s">
        <v>254</v>
      </c>
      <c r="AN4561" s="869" t="s">
        <v>255</v>
      </c>
      <c r="AO4561" s="505" t="s">
        <v>251</v>
      </c>
    </row>
    <row r="4562" spans="1:41" s="504" customFormat="1" ht="12" customHeight="1">
      <c r="A4562" s="870">
        <v>120</v>
      </c>
      <c r="B4562" s="506" t="s">
        <v>326</v>
      </c>
      <c r="C4562" s="872"/>
      <c r="D4562" s="873" t="s">
        <v>861</v>
      </c>
      <c r="E4562" s="1027">
        <f>IF(AND($A4562=0,$A$1="DIF"),0, ROUND(ROUND(($R4566*$S$5+($T4566*$T$5))/$A4562,2)*$C$5,2))</f>
        <v>10.78</v>
      </c>
      <c r="F4562" s="1028">
        <f>ROUND($A4562*$E4562,2)</f>
        <v>1293.5999999999999</v>
      </c>
      <c r="G4562" s="876" t="s">
        <v>139</v>
      </c>
      <c r="H4562" s="877"/>
      <c r="I4562" s="878"/>
      <c r="J4562" s="877"/>
      <c r="K4562" s="877" t="s">
        <v>9</v>
      </c>
      <c r="L4562" s="879" t="s">
        <v>140</v>
      </c>
      <c r="M4562" s="879"/>
      <c r="N4562" s="879"/>
      <c r="O4562" s="879"/>
      <c r="P4562" s="879"/>
      <c r="Q4562" s="50"/>
      <c r="T4562" s="1032" t="str">
        <f>IF(AND($R4566=0,$T4566=0),"0.00","mu: "&amp; ROUND(F4562/$C$5/($R4566+$T4566*$D$9),2))</f>
        <v>mu: 1.07</v>
      </c>
      <c r="W4562" s="507"/>
      <c r="AG4562" s="1029">
        <f>IF($E4562=0,0,ROUND($R4566*$S$5*$C$5/$A4562,2))</f>
        <v>10.78</v>
      </c>
      <c r="AH4562" s="1029">
        <f>$AG4562*$A4562</f>
        <v>1293.5999999999999</v>
      </c>
      <c r="AI4562" s="1030">
        <f>$E4562-$AG4562</f>
        <v>0</v>
      </c>
      <c r="AJ4562" s="1030">
        <f>$A4562*$AI4562</f>
        <v>0</v>
      </c>
      <c r="AK4562" s="1031">
        <f>ROUND(($AG4562+$AI4562)*$A4562,2)</f>
        <v>1293.5999999999999</v>
      </c>
      <c r="AM4562" s="510">
        <f>ROUND(R4566,2)</f>
        <v>1203.5999999999999</v>
      </c>
      <c r="AN4562" s="511">
        <f>ROUND(T4566,2)</f>
        <v>0</v>
      </c>
      <c r="AO4562" s="512">
        <f>ROUND(AM4562+AN4562,2)*A4562</f>
        <v>144432</v>
      </c>
    </row>
    <row r="4563" spans="1:41" s="504" customFormat="1" ht="13.2">
      <c r="A4563" s="872"/>
      <c r="B4563"/>
      <c r="C4563" s="872"/>
      <c r="D4563" s="873" t="s">
        <v>518</v>
      </c>
      <c r="F4563" s="877"/>
      <c r="G4563" s="3"/>
      <c r="H4563" s="877"/>
      <c r="I4563" s="878"/>
      <c r="J4563" s="877"/>
      <c r="K4563" s="877" t="s">
        <v>141</v>
      </c>
      <c r="L4563" s="877"/>
      <c r="M4563" s="877"/>
      <c r="N4563" s="877"/>
      <c r="O4563" s="877"/>
      <c r="P4563" s="877"/>
      <c r="Q4563" s="50"/>
      <c r="R4563" s="513"/>
      <c r="S4563" s="881"/>
      <c r="T4563" s="877"/>
    </row>
    <row r="4564" spans="1:41" s="1039" customFormat="1" ht="13.2">
      <c r="A4564" s="112">
        <v>120</v>
      </c>
      <c r="B4564" s="1039" t="s">
        <v>326</v>
      </c>
      <c r="D4564" s="1039" t="s">
        <v>518</v>
      </c>
      <c r="G4564" s="1040" t="s">
        <v>1456</v>
      </c>
      <c r="H4564" s="1041">
        <v>725</v>
      </c>
      <c r="I4564" s="1039" t="s">
        <v>951</v>
      </c>
      <c r="O4564" s="1042">
        <v>3</v>
      </c>
      <c r="P4564" s="1043"/>
      <c r="Q4564" s="1044">
        <v>10.029999999999999</v>
      </c>
      <c r="R4564" s="1045">
        <f>$A4564*Q4564</f>
        <v>1203.5999999999999</v>
      </c>
      <c r="S4564" s="1044"/>
      <c r="T4564" s="1046">
        <f>$A4564*S4564*$T$1</f>
        <v>0</v>
      </c>
    </row>
    <row r="4565" spans="1:41" s="504" customFormat="1" ht="12">
      <c r="A4565" s="882"/>
      <c r="B4565" s="882"/>
      <c r="C4565" s="882"/>
      <c r="D4565" s="882"/>
      <c r="E4565" s="882"/>
      <c r="F4565" s="877"/>
      <c r="G4565" s="882"/>
      <c r="H4565" s="882"/>
      <c r="I4565" s="503"/>
      <c r="J4565" s="882"/>
      <c r="K4565" s="882"/>
      <c r="L4565" s="882"/>
      <c r="M4565" s="882"/>
      <c r="N4565" s="882"/>
      <c r="O4565" s="882"/>
      <c r="P4565" s="882"/>
      <c r="Q4565" s="503"/>
      <c r="R4565" s="883">
        <f>$A4565*Q4565</f>
        <v>0</v>
      </c>
      <c r="S4565" s="503"/>
      <c r="T4565" s="884">
        <f>$A4565*S4565*$T$1</f>
        <v>0</v>
      </c>
    </row>
    <row r="4566" spans="1:41" s="504" customFormat="1" ht="12.6" thickBot="1">
      <c r="A4566" s="885" t="s">
        <v>142</v>
      </c>
      <c r="B4566" s="886">
        <f>(R4565+T4565)</f>
        <v>0</v>
      </c>
      <c r="C4566" s="887"/>
      <c r="D4566" s="887"/>
      <c r="E4566" s="887"/>
      <c r="F4566" s="888"/>
      <c r="G4566" s="887" t="s">
        <v>143</v>
      </c>
      <c r="H4566" s="887"/>
      <c r="I4566" s="889"/>
      <c r="J4566" s="887"/>
      <c r="K4566" s="887" t="s">
        <v>9</v>
      </c>
      <c r="L4566" s="890" t="s">
        <v>140</v>
      </c>
      <c r="M4566" s="890"/>
      <c r="N4566" s="890"/>
      <c r="O4566" s="890"/>
      <c r="P4566" s="890"/>
      <c r="Q4566" s="891"/>
      <c r="R4566" s="892">
        <f>SUM(R4563:R4565)</f>
        <v>1203.5999999999999</v>
      </c>
      <c r="S4566" s="887"/>
      <c r="T4566" s="892">
        <f>SUM(T4563:T4565)</f>
        <v>0</v>
      </c>
      <c r="U4566" s="514"/>
      <c r="V4566" s="514"/>
      <c r="W4566" s="514"/>
      <c r="X4566" s="514"/>
      <c r="Y4566" s="514"/>
      <c r="Z4566" s="514"/>
      <c r="AA4566" s="514"/>
      <c r="AB4566" s="514"/>
      <c r="AC4566" s="514"/>
      <c r="AD4566" s="514"/>
      <c r="AE4566" s="514"/>
      <c r="AF4566" s="514"/>
      <c r="AG4566" s="514"/>
      <c r="AH4566" s="514"/>
      <c r="AI4566" s="514"/>
      <c r="AJ4566" s="514"/>
      <c r="AK4566" s="514"/>
      <c r="AL4566" s="514"/>
      <c r="AM4566" s="514"/>
      <c r="AN4566" s="514"/>
      <c r="AO4566" s="514"/>
    </row>
    <row r="4567" spans="1:41" s="504" customFormat="1" thickTop="1">
      <c r="A4567" s="50"/>
      <c r="B4567" s="40"/>
      <c r="C4567" s="50"/>
      <c r="E4567" s="41" t="s">
        <v>136</v>
      </c>
      <c r="F4567" s="41" t="s">
        <v>137</v>
      </c>
      <c r="G4567" s="50"/>
      <c r="H4567" s="50"/>
      <c r="I4567" s="50"/>
      <c r="J4567" s="50"/>
      <c r="K4567" s="50" t="s">
        <v>138</v>
      </c>
      <c r="L4567" s="1219"/>
      <c r="M4567" s="50"/>
      <c r="N4567" s="50"/>
      <c r="O4567" s="51"/>
      <c r="P4567" s="50"/>
      <c r="Q4567"/>
      <c r="R4567"/>
      <c r="S4567"/>
      <c r="T4567" s="40"/>
      <c r="AG4567" s="867" t="s">
        <v>241</v>
      </c>
      <c r="AH4567" s="867" t="s">
        <v>242</v>
      </c>
      <c r="AI4567" s="867" t="s">
        <v>243</v>
      </c>
      <c r="AJ4567" s="867" t="s">
        <v>244</v>
      </c>
      <c r="AK4567" s="867" t="s">
        <v>245</v>
      </c>
      <c r="AM4567" s="868" t="s">
        <v>254</v>
      </c>
      <c r="AN4567" s="869" t="s">
        <v>255</v>
      </c>
      <c r="AO4567" s="505" t="s">
        <v>251</v>
      </c>
    </row>
    <row r="4568" spans="1:41" s="504" customFormat="1" ht="13.2">
      <c r="A4568" s="870">
        <v>4</v>
      </c>
      <c r="B4568" s="506" t="s">
        <v>335</v>
      </c>
      <c r="C4568" s="872"/>
      <c r="D4568" s="873" t="s">
        <v>862</v>
      </c>
      <c r="E4568" s="1220">
        <f>IF(AND($A4568=0,$A$1="DIF"),0, ROUND(ROUND(SUMIF($L4570:$L4576,"SUBI",$E4570:$E4576)/$A4568,2)*$C$12,2))</f>
        <v>143.13999999999999</v>
      </c>
      <c r="F4568" s="1221">
        <f>ROUND($A4568*$E4568,2)</f>
        <v>572.55999999999995</v>
      </c>
      <c r="G4568" s="876" t="s">
        <v>139</v>
      </c>
      <c r="H4568" s="877"/>
      <c r="I4568" s="878"/>
      <c r="J4568" s="877"/>
      <c r="K4568" s="1222"/>
      <c r="L4568" s="1223" t="s">
        <v>140</v>
      </c>
      <c r="M4568" s="879"/>
      <c r="N4568" s="879"/>
      <c r="O4568" s="879"/>
      <c r="P4568" s="879"/>
      <c r="Q4568"/>
      <c r="R4568"/>
      <c r="S4568"/>
      <c r="T4568" s="1224" t="str">
        <f>IF(AND($R4582=0,$T4582=0),"0.00","mu :" &amp; ROUND($F4568/$C$12/($R4582+$T4582*$D$9),2))</f>
        <v>mu :1.1</v>
      </c>
      <c r="W4568" s="507"/>
      <c r="AG4568" s="1225">
        <f>IF(A4568=0,0,ROUND(SUM(AG4570:AG4582)/A4568,2))</f>
        <v>123.2</v>
      </c>
      <c r="AH4568" s="1225">
        <f>$AG4568*$A4568</f>
        <v>492.8</v>
      </c>
      <c r="AI4568" s="1225">
        <f>$E4568-$AG4568</f>
        <v>19.939999999999984</v>
      </c>
      <c r="AJ4568" s="1225">
        <f>$A4568*$AI4568</f>
        <v>79.759999999999934</v>
      </c>
      <c r="AK4568" s="1226">
        <f>ROUND(($AG4568+$AI4568)*$A4568,2)</f>
        <v>572.55999999999995</v>
      </c>
      <c r="AM4568" s="510">
        <f>ROUND(R4582,2)</f>
        <v>456.12</v>
      </c>
      <c r="AN4568" s="511">
        <f>ROUND(T4582,2)</f>
        <v>2.27</v>
      </c>
      <c r="AO4568" s="512">
        <f>ROUND(AM4568+AN4568,2)*A4568</f>
        <v>1833.56</v>
      </c>
    </row>
    <row r="4569" spans="1:41" s="504" customFormat="1" ht="13.2">
      <c r="A4569" s="872"/>
      <c r="B4569"/>
      <c r="C4569" s="872"/>
      <c r="D4569" s="873" t="s">
        <v>521</v>
      </c>
      <c r="F4569" s="877"/>
      <c r="G4569" s="877"/>
      <c r="H4569" s="877"/>
      <c r="I4569" s="878"/>
      <c r="J4569" s="877"/>
      <c r="K4569" s="877" t="s">
        <v>141</v>
      </c>
      <c r="L4569" s="1227"/>
      <c r="M4569" s="877"/>
      <c r="N4569" s="877"/>
      <c r="O4569" s="877"/>
      <c r="P4569" s="877"/>
      <c r="Q4569" s="50"/>
      <c r="R4569" s="513"/>
      <c r="S4569" s="881"/>
      <c r="T4569" s="877"/>
    </row>
    <row r="4570" spans="1:41" s="504" customFormat="1" ht="12">
      <c r="A4570" s="1228"/>
      <c r="B4570" s="1229"/>
      <c r="C4570" s="882"/>
      <c r="D4570" s="877"/>
      <c r="E4570" s="1230">
        <f>F4568/$C$12-SUMIF($L4567:$L4582,"SUBI",$E4567:$E4582)</f>
        <v>0</v>
      </c>
      <c r="F4570" s="1231" t="s">
        <v>1472</v>
      </c>
      <c r="G4570" s="1232"/>
      <c r="H4570" s="1232"/>
      <c r="I4570" s="1233"/>
      <c r="J4570" s="1232"/>
      <c r="K4570" s="1232"/>
      <c r="L4570" s="1234"/>
      <c r="M4570" s="1235"/>
      <c r="N4570" s="1235"/>
      <c r="O4570" s="1235"/>
      <c r="P4570" s="1235"/>
      <c r="Q4570" s="1236"/>
      <c r="R4570" s="1237"/>
      <c r="S4570" s="1236"/>
      <c r="T4570" s="1238"/>
    </row>
    <row r="4571" spans="1:41" s="504" customFormat="1" ht="12" customHeight="1">
      <c r="A4571" s="1239"/>
      <c r="B4571" s="1285"/>
      <c r="C4571" s="1286"/>
      <c r="D4571" s="1286" t="str">
        <f>$F$5</f>
        <v>ELV Sub-Contractor - APCO</v>
      </c>
      <c r="E4571" s="1286">
        <f>ROUND(($R4575*$S$5 + ($T4575*$T$5)),2)</f>
        <v>472.14</v>
      </c>
      <c r="F4571" s="1287">
        <f>$E4571*$C$12</f>
        <v>472.14</v>
      </c>
      <c r="G4571" s="513"/>
      <c r="H4571" s="1241"/>
      <c r="I4571" s="513"/>
      <c r="J4571" s="51"/>
      <c r="K4571" s="1242" t="s">
        <v>9</v>
      </c>
      <c r="L4571" s="1243" t="s">
        <v>1473</v>
      </c>
      <c r="M4571" s="513"/>
      <c r="N4571" s="513"/>
      <c r="O4571" s="51"/>
      <c r="P4571" s="513"/>
      <c r="Q4571" s="513"/>
      <c r="R4571"/>
      <c r="S4571"/>
      <c r="T4571"/>
    </row>
    <row r="4572" spans="1:41" s="504" customFormat="1" ht="13.95" customHeight="1">
      <c r="A4572" s="930"/>
      <c r="B4572" s="1244" t="s">
        <v>1474</v>
      </c>
      <c r="C4572" s="513"/>
      <c r="D4572" s="513"/>
      <c r="E4572" s="513"/>
      <c r="F4572" s="513"/>
      <c r="G4572" s="513"/>
      <c r="H4572" s="1241"/>
      <c r="I4572" s="513"/>
      <c r="J4572" s="51"/>
      <c r="K4572" s="1245"/>
      <c r="L4572" s="1246"/>
      <c r="M4572" s="513"/>
      <c r="N4572" s="513"/>
      <c r="O4572" s="51"/>
      <c r="P4572" s="513"/>
      <c r="Q4572" s="513"/>
      <c r="R4572" s="1247">
        <f>$A4572*Q4572</f>
        <v>0</v>
      </c>
      <c r="S4572" s="513"/>
      <c r="T4572" s="884">
        <f>$A4572*S4572*$T$1</f>
        <v>0</v>
      </c>
    </row>
    <row r="4573" spans="1:41" s="1039" customFormat="1" ht="13.2">
      <c r="A4573" s="112">
        <v>4</v>
      </c>
      <c r="B4573" s="1039" t="s">
        <v>949</v>
      </c>
      <c r="D4573" s="1039" t="s">
        <v>521</v>
      </c>
      <c r="G4573" s="1040" t="s">
        <v>1456</v>
      </c>
      <c r="H4573" s="1041">
        <v>725</v>
      </c>
      <c r="I4573" s="1039" t="s">
        <v>951</v>
      </c>
      <c r="O4573" s="1042">
        <v>3</v>
      </c>
      <c r="P4573" s="1043"/>
      <c r="Q4573" s="1044">
        <v>109.8</v>
      </c>
      <c r="R4573" s="1045">
        <f>$A4573*Q4573</f>
        <v>439.2</v>
      </c>
      <c r="S4573" s="1044"/>
      <c r="T4573" s="1046">
        <f>$A4573*S4573*$T$1</f>
        <v>0</v>
      </c>
    </row>
    <row r="4574" spans="1:41" s="504" customFormat="1" ht="13.95" customHeight="1">
      <c r="A4574" s="930"/>
      <c r="B4574" s="513"/>
      <c r="C4574" s="513"/>
      <c r="D4574" s="513"/>
      <c r="E4574" s="513"/>
      <c r="F4574" s="513"/>
      <c r="G4574" s="513"/>
      <c r="H4574" s="1241"/>
      <c r="I4574" s="513"/>
      <c r="J4574" s="51"/>
      <c r="K4574" s="1245"/>
      <c r="L4574" s="1246"/>
      <c r="M4574" s="513"/>
      <c r="N4574" s="513"/>
      <c r="O4574" s="51"/>
      <c r="P4574" s="513"/>
      <c r="Q4574" s="513"/>
      <c r="R4574" s="1247">
        <f>$A4574*Q4574</f>
        <v>0</v>
      </c>
      <c r="S4574" s="513"/>
      <c r="T4574" s="884">
        <f>$A4574*S4574*$T$1</f>
        <v>0</v>
      </c>
    </row>
    <row r="4575" spans="1:41" s="504" customFormat="1" ht="12">
      <c r="A4575" s="1248" t="s">
        <v>142</v>
      </c>
      <c r="B4575" s="1249">
        <f>(R4574+T4574)</f>
        <v>0</v>
      </c>
      <c r="C4575" s="882"/>
      <c r="G4575" s="1250"/>
      <c r="H4575" s="1250"/>
      <c r="I4575" s="1250"/>
      <c r="J4575" s="1250"/>
      <c r="K4575" s="1251" t="s">
        <v>9</v>
      </c>
      <c r="L4575" s="1252" t="s">
        <v>1473</v>
      </c>
      <c r="M4575" s="1250"/>
      <c r="N4575" s="1250"/>
      <c r="O4575" s="1250"/>
      <c r="P4575" s="1250"/>
      <c r="Q4575" s="1253"/>
      <c r="R4575" s="1254">
        <f>SUM(R4571:R4574)</f>
        <v>439.2</v>
      </c>
      <c r="S4575" s="1255"/>
      <c r="T4575" s="1254">
        <f>SUM(T4571:T4574)</f>
        <v>0</v>
      </c>
      <c r="AG4575" s="1288">
        <f>ROUND($R4575*$S$5,2)</f>
        <v>472.14</v>
      </c>
    </row>
    <row r="4576" spans="1:41" s="504" customFormat="1" ht="12" customHeight="1">
      <c r="A4576" s="1257"/>
      <c r="B4576" s="1289"/>
      <c r="C4576" s="1240"/>
      <c r="D4576" s="1240" t="str">
        <f>$F$2</f>
        <v>Electrical</v>
      </c>
      <c r="E4576" s="1240">
        <f>ROUND(($R4580*$S$2 + ($T4580*$T$2)),2)</f>
        <v>100.42</v>
      </c>
      <c r="F4576" s="1290">
        <f ca="1">$F4568-SUMIF($L4570:$P4573,"SUBI",$F4570:$F4573)</f>
        <v>100.41999999999996</v>
      </c>
      <c r="G4576" s="503"/>
      <c r="H4576" s="503"/>
      <c r="I4576" s="503"/>
      <c r="J4576" s="503"/>
      <c r="K4576" s="1242" t="s">
        <v>3</v>
      </c>
      <c r="L4576" s="1243" t="s">
        <v>1473</v>
      </c>
      <c r="M4576" s="503"/>
      <c r="N4576" s="503"/>
      <c r="O4576" s="503"/>
      <c r="P4576" s="503"/>
      <c r="Q4576" s="503"/>
      <c r="R4576" s="1258"/>
      <c r="S4576" s="503"/>
      <c r="T4576" s="1258"/>
    </row>
    <row r="4577" spans="1:41" s="1271" customFormat="1" ht="14.4" customHeight="1">
      <c r="A4577" s="1259"/>
      <c r="B4577" s="1244" t="s">
        <v>1475</v>
      </c>
      <c r="C4577" s="1260"/>
      <c r="D4577" s="1261"/>
      <c r="E4577" s="1261"/>
      <c r="F4577" s="1261"/>
      <c r="G4577" s="1262"/>
      <c r="H4577" s="1263"/>
      <c r="I4577" s="1263"/>
      <c r="J4577" s="1264"/>
      <c r="K4577" s="1265"/>
      <c r="L4577" s="1260"/>
      <c r="M4577" s="1266"/>
      <c r="N4577" s="1267"/>
      <c r="O4577" s="1268"/>
      <c r="P4577" s="1269"/>
      <c r="Q4577" s="1270"/>
      <c r="R4577" s="1247">
        <f>$A4577*Q4577</f>
        <v>0</v>
      </c>
      <c r="S4577" s="513"/>
      <c r="T4577" s="884">
        <f>$A4577*S4577*$T$1</f>
        <v>0</v>
      </c>
    </row>
    <row r="4578" spans="1:41" s="1039" customFormat="1" ht="13.2">
      <c r="A4578" s="112">
        <f>4*3</f>
        <v>12</v>
      </c>
      <c r="B4578" s="1039" t="s">
        <v>326</v>
      </c>
      <c r="D4578" s="1039" t="s">
        <v>1224</v>
      </c>
      <c r="G4578" s="1040" t="s">
        <v>1221</v>
      </c>
      <c r="H4578" s="1041">
        <v>700</v>
      </c>
      <c r="I4578" s="1039" t="s">
        <v>1132</v>
      </c>
      <c r="J4578" s="1039" t="s">
        <v>1222</v>
      </c>
      <c r="O4578" s="1042">
        <v>1</v>
      </c>
      <c r="P4578" s="1043">
        <v>42213</v>
      </c>
      <c r="Q4578" s="1044">
        <v>1.41</v>
      </c>
      <c r="R4578" s="1045">
        <f>$A4578*Q4578</f>
        <v>16.919999999999998</v>
      </c>
      <c r="S4578" s="1044">
        <v>0.18</v>
      </c>
      <c r="T4578" s="1046">
        <f>$A4578*S4578*$T$1</f>
        <v>2.2680000000000002</v>
      </c>
    </row>
    <row r="4579" spans="1:41" s="504" customFormat="1" ht="13.2">
      <c r="A4579" s="930"/>
      <c r="B4579" s="513"/>
      <c r="C4579" s="513"/>
      <c r="D4579" s="3"/>
      <c r="E4579" s="513"/>
      <c r="F4579" s="513"/>
      <c r="G4579" s="513"/>
      <c r="H4579" s="513"/>
      <c r="I4579" s="513"/>
      <c r="J4579" s="513"/>
      <c r="K4579" s="513"/>
      <c r="L4579" s="1246"/>
      <c r="M4579" s="513"/>
      <c r="N4579" s="513"/>
      <c r="O4579" s="513"/>
      <c r="P4579" s="513"/>
      <c r="Q4579" s="513"/>
      <c r="R4579" s="1247">
        <f>$A4579*Q4579</f>
        <v>0</v>
      </c>
      <c r="S4579" s="513"/>
      <c r="T4579" s="884">
        <f>$A4579*S4579*$T$1</f>
        <v>0</v>
      </c>
    </row>
    <row r="4580" spans="1:41" s="504" customFormat="1" ht="12" customHeight="1">
      <c r="A4580" s="1272" t="s">
        <v>142</v>
      </c>
      <c r="B4580" s="1273">
        <f>(R4579+T4579)</f>
        <v>0</v>
      </c>
      <c r="C4580" s="1274"/>
      <c r="D4580" s="1274"/>
      <c r="E4580" s="1274"/>
      <c r="F4580" s="1274"/>
      <c r="G4580" s="1253"/>
      <c r="H4580" s="1253"/>
      <c r="I4580" s="1253"/>
      <c r="J4580" s="1253"/>
      <c r="K4580" s="1275" t="s">
        <v>3</v>
      </c>
      <c r="L4580" s="1276" t="s">
        <v>1473</v>
      </c>
      <c r="M4580" s="1253"/>
      <c r="N4580" s="1253"/>
      <c r="O4580" s="1253"/>
      <c r="P4580" s="1253"/>
      <c r="Q4580" s="1253"/>
      <c r="R4580" s="1254">
        <f>SUM(R4576:R4579)</f>
        <v>16.919999999999998</v>
      </c>
      <c r="S4580" s="1255"/>
      <c r="T4580" s="1254">
        <f>SUM(T4576:T4579)</f>
        <v>2.2680000000000002</v>
      </c>
      <c r="AG4580" s="1256">
        <f>ROUND($R4580*$S$2,2)</f>
        <v>20.64</v>
      </c>
    </row>
    <row r="4581" spans="1:41" s="504" customFormat="1" ht="12.75" customHeight="1">
      <c r="A4581" s="1277"/>
      <c r="B4581" s="1278"/>
      <c r="E4581" s="882"/>
      <c r="F4581" s="1279"/>
      <c r="G4581" s="882"/>
      <c r="H4581" s="882"/>
      <c r="I4581" s="503"/>
      <c r="J4581" s="882"/>
      <c r="K4581" s="882"/>
      <c r="L4581" s="1280"/>
      <c r="M4581" s="933"/>
      <c r="N4581" s="933"/>
      <c r="O4581" s="933"/>
      <c r="P4581" s="933"/>
      <c r="Q4581" s="900"/>
      <c r="R4581" s="1258"/>
      <c r="S4581" s="882"/>
      <c r="T4581" s="1258"/>
    </row>
    <row r="4582" spans="1:41" s="504" customFormat="1" ht="13.5" customHeight="1" thickBot="1">
      <c r="A4582" s="1281"/>
      <c r="B4582" s="1282"/>
      <c r="C4582" s="514"/>
      <c r="D4582" s="514"/>
      <c r="E4582" s="887"/>
      <c r="F4582" s="888"/>
      <c r="G4582" s="887" t="s">
        <v>143</v>
      </c>
      <c r="H4582" s="887"/>
      <c r="I4582" s="889"/>
      <c r="J4582" s="887"/>
      <c r="K4582" s="887"/>
      <c r="L4582" s="1283" t="s">
        <v>140</v>
      </c>
      <c r="M4582" s="890"/>
      <c r="N4582" s="890"/>
      <c r="O4582" s="890"/>
      <c r="P4582" s="890"/>
      <c r="Q4582" s="891"/>
      <c r="R4582" s="1284">
        <f>SUMIF($L4569:$L4581,"SUBI",R4569:R4581)</f>
        <v>456.12</v>
      </c>
      <c r="S4582" s="887"/>
      <c r="T4582" s="1284">
        <f>SUMIF($L4569:$L4581,"SUBI",T4569:T4581)</f>
        <v>2.2680000000000002</v>
      </c>
      <c r="U4582" s="514"/>
      <c r="V4582" s="514"/>
      <c r="W4582" s="514"/>
      <c r="X4582" s="514"/>
      <c r="Y4582" s="514"/>
      <c r="Z4582" s="514"/>
      <c r="AA4582" s="514"/>
      <c r="AB4582" s="514"/>
      <c r="AC4582" s="514"/>
      <c r="AD4582" s="514"/>
      <c r="AE4582" s="514"/>
      <c r="AF4582" s="514"/>
      <c r="AG4582" s="514"/>
      <c r="AH4582" s="514"/>
      <c r="AI4582" s="514"/>
      <c r="AJ4582" s="514"/>
      <c r="AK4582" s="514"/>
      <c r="AL4582" s="514"/>
      <c r="AM4582" s="514"/>
      <c r="AN4582" s="514"/>
      <c r="AO4582" s="514"/>
    </row>
    <row r="4583" spans="1:41" s="504" customFormat="1" ht="12" thickTop="1">
      <c r="A4583" s="47" t="s">
        <v>145</v>
      </c>
      <c r="D4583" s="13"/>
      <c r="E4583" s="41"/>
      <c r="O4583" s="893"/>
    </row>
    <row r="4584" spans="1:41" s="504" customFormat="1" ht="13.2">
      <c r="B4584" s="3"/>
      <c r="O4584" s="893"/>
    </row>
    <row r="4585" spans="1:41" s="504" customFormat="1" ht="12">
      <c r="B4585" s="894">
        <f>$F4585/$C$2-($R4585*$S$2+$T4585*$T$2)</f>
        <v>-1078.9637438599984</v>
      </c>
      <c r="D4585" s="895" t="s">
        <v>817</v>
      </c>
      <c r="E4585" s="896"/>
      <c r="F4585" s="897">
        <f>SUMIF($L4435:$L4583,"ITEM",F4435:F4583)</f>
        <v>8404.27</v>
      </c>
      <c r="G4585" s="882"/>
      <c r="H4585" s="882"/>
      <c r="I4585" s="503"/>
      <c r="J4585" s="882"/>
      <c r="K4585" s="882"/>
      <c r="L4585" s="879" t="s">
        <v>154</v>
      </c>
      <c r="M4585" s="879"/>
      <c r="N4585" s="879"/>
      <c r="O4585" s="879"/>
      <c r="P4585" s="879"/>
      <c r="R4585" s="897">
        <f>SUMIF($L4435:$L4583,"ITEM",R4435:R4583)</f>
        <v>7506.12</v>
      </c>
      <c r="S4585" s="898"/>
      <c r="T4585" s="897">
        <f>SUMIF($L4435:$L4583,"ITEM",T4435:T4583)</f>
        <v>9.261000000000001</v>
      </c>
    </row>
    <row r="4586" spans="1:41" s="504" customFormat="1" ht="13.2">
      <c r="A4586" s="50"/>
      <c r="B4586" s="48" t="s">
        <v>816</v>
      </c>
      <c r="C4586" s="50"/>
      <c r="D4586" s="3"/>
      <c r="F4586" s="899" t="s">
        <v>155</v>
      </c>
      <c r="G4586" s="882"/>
      <c r="H4586" s="882"/>
      <c r="I4586" s="503"/>
      <c r="J4586" s="882"/>
      <c r="K4586" s="882"/>
      <c r="L4586" s="882"/>
      <c r="M4586" s="882"/>
      <c r="N4586" s="882"/>
      <c r="O4586" s="882"/>
      <c r="P4586" s="882"/>
      <c r="Q4586" s="900"/>
      <c r="R4586" s="899" t="s">
        <v>156</v>
      </c>
      <c r="S4586" s="38"/>
      <c r="T4586" s="899" t="s">
        <v>157</v>
      </c>
    </row>
    <row r="4587" spans="1:41" s="504" customFormat="1" ht="13.2">
      <c r="A4587" s="882"/>
      <c r="B4587" s="3"/>
      <c r="C4587" s="882"/>
      <c r="D4587" s="3"/>
      <c r="E4587" s="3"/>
      <c r="G4587" s="3"/>
      <c r="H4587" s="3"/>
      <c r="I4587" s="3"/>
      <c r="J4587" s="3"/>
      <c r="K4587" s="3"/>
      <c r="L4587" s="3"/>
      <c r="M4587" s="3"/>
      <c r="N4587" s="3"/>
      <c r="O4587" s="103"/>
      <c r="P4587" s="3"/>
      <c r="Q4587" s="3"/>
      <c r="R4587" s="3"/>
      <c r="S4587" s="3"/>
      <c r="T4587" s="3"/>
    </row>
    <row r="4588" spans="1:41" s="504" customFormat="1" ht="12" thickBot="1">
      <c r="A4588" s="514"/>
      <c r="B4588" s="887"/>
      <c r="C4588" s="887"/>
      <c r="D4588" s="514"/>
      <c r="E4588" s="39"/>
      <c r="F4588" s="901"/>
      <c r="G4588" s="887"/>
      <c r="H4588" s="887"/>
      <c r="I4588" s="889"/>
      <c r="J4588" s="887"/>
      <c r="K4588" s="887"/>
      <c r="L4588" s="890"/>
      <c r="M4588" s="890"/>
      <c r="N4588" s="890"/>
      <c r="O4588" s="890"/>
      <c r="P4588" s="890"/>
      <c r="Q4588" s="891"/>
      <c r="R4588" s="901"/>
      <c r="S4588" s="902"/>
      <c r="T4588" s="901"/>
      <c r="U4588" s="514"/>
      <c r="V4588" s="514"/>
      <c r="W4588" s="514"/>
      <c r="X4588" s="514"/>
      <c r="Y4588" s="514"/>
      <c r="Z4588" s="514"/>
      <c r="AA4588" s="514"/>
      <c r="AB4588" s="514"/>
      <c r="AC4588" s="514"/>
      <c r="AD4588" s="514"/>
      <c r="AE4588" s="514"/>
      <c r="AF4588" s="514"/>
      <c r="AG4588" s="514"/>
      <c r="AH4588" s="514"/>
      <c r="AI4588" s="514"/>
      <c r="AJ4588" s="514"/>
      <c r="AK4588" s="514"/>
    </row>
    <row r="4589" spans="1:41" s="504" customFormat="1" thickTop="1">
      <c r="A4589" s="50"/>
      <c r="B4589" s="50"/>
      <c r="C4589" s="3"/>
      <c r="D4589" s="3"/>
      <c r="E4589" s="50"/>
      <c r="F4589" s="50"/>
      <c r="G4589" s="50"/>
      <c r="H4589" s="50"/>
      <c r="I4589" s="50"/>
      <c r="J4589" s="50"/>
      <c r="K4589" s="50" t="s">
        <v>133</v>
      </c>
      <c r="L4589" s="50"/>
      <c r="M4589" s="50"/>
      <c r="N4589" s="50"/>
      <c r="O4589" s="51"/>
      <c r="P4589" s="50"/>
      <c r="Q4589" s="50"/>
      <c r="R4589" s="50"/>
      <c r="S4589" s="50"/>
      <c r="T4589" s="50"/>
    </row>
    <row r="4590" spans="1:41" s="504" customFormat="1" ht="12">
      <c r="A4590" s="50"/>
      <c r="B4590" s="50"/>
      <c r="C4590" s="50" t="s">
        <v>134</v>
      </c>
      <c r="D4590" s="37"/>
      <c r="E4590" s="50"/>
      <c r="F4590" s="50"/>
      <c r="G4590" s="50"/>
      <c r="H4590" s="50"/>
      <c r="I4590" s="50"/>
      <c r="J4590" s="50"/>
      <c r="K4590" s="50"/>
      <c r="L4590" s="50"/>
      <c r="M4590" s="50"/>
      <c r="N4590" s="50"/>
      <c r="O4590" s="51"/>
      <c r="P4590" s="50"/>
      <c r="Q4590" s="50"/>
      <c r="R4590" s="50"/>
      <c r="S4590" s="50"/>
      <c r="T4590" s="50"/>
    </row>
    <row r="4591" spans="1:41" s="504" customFormat="1" ht="12">
      <c r="A4591" s="50"/>
      <c r="B4591" s="50"/>
      <c r="C4591" s="50"/>
      <c r="D4591" s="37" t="s">
        <v>433</v>
      </c>
      <c r="E4591" s="50"/>
      <c r="F4591" s="50"/>
      <c r="G4591" s="50"/>
      <c r="H4591" s="50"/>
      <c r="I4591" s="50"/>
      <c r="J4591" s="50"/>
      <c r="K4591" s="50"/>
      <c r="L4591" s="50"/>
      <c r="M4591" s="50"/>
      <c r="N4591" s="50"/>
      <c r="O4591" s="51"/>
      <c r="P4591" s="50"/>
      <c r="Q4591" s="50"/>
      <c r="R4591" s="50"/>
      <c r="S4591" s="38"/>
      <c r="T4591" s="38"/>
    </row>
    <row r="4592" spans="1:41" s="3" customFormat="1" thickBot="1">
      <c r="A4592" s="514"/>
      <c r="O4592" s="103"/>
    </row>
    <row r="4593" spans="1:41" s="504" customFormat="1" ht="12" thickTop="1">
      <c r="A4593" s="50"/>
      <c r="B4593" s="40"/>
      <c r="C4593" s="50"/>
      <c r="E4593" s="41" t="s">
        <v>136</v>
      </c>
      <c r="F4593" s="41" t="s">
        <v>137</v>
      </c>
      <c r="G4593" s="50"/>
      <c r="H4593" s="50"/>
      <c r="I4593" s="50"/>
      <c r="J4593" s="50"/>
      <c r="K4593" s="50" t="s">
        <v>138</v>
      </c>
      <c r="L4593" s="50"/>
      <c r="M4593" s="50"/>
      <c r="N4593" s="50"/>
      <c r="O4593" s="51"/>
      <c r="P4593" s="50"/>
      <c r="Q4593" s="50"/>
      <c r="R4593" s="50"/>
      <c r="S4593" s="50"/>
      <c r="T4593" s="40"/>
      <c r="AG4593" s="867" t="s">
        <v>241</v>
      </c>
      <c r="AH4593" s="867" t="s">
        <v>242</v>
      </c>
      <c r="AI4593" s="867" t="s">
        <v>243</v>
      </c>
      <c r="AJ4593" s="867" t="s">
        <v>244</v>
      </c>
      <c r="AK4593" s="867" t="s">
        <v>245</v>
      </c>
      <c r="AM4593" s="868" t="s">
        <v>254</v>
      </c>
      <c r="AN4593" s="869" t="s">
        <v>255</v>
      </c>
      <c r="AO4593" s="505" t="s">
        <v>251</v>
      </c>
    </row>
    <row r="4594" spans="1:41" s="504" customFormat="1" ht="12" customHeight="1">
      <c r="A4594" s="870">
        <v>13</v>
      </c>
      <c r="B4594" s="506" t="s">
        <v>335</v>
      </c>
      <c r="C4594" s="872"/>
      <c r="D4594" s="873" t="s">
        <v>863</v>
      </c>
      <c r="E4594" s="1027">
        <f>IF(AND($A4594=0,$A$1="DIF"),0, ROUND(ROUND(($R4598*$S$5+($T4598*$T$5))/$A4594,2)*$C$5,2))</f>
        <v>62.88</v>
      </c>
      <c r="F4594" s="1028">
        <f>ROUND($A4594*$E4594,2)</f>
        <v>817.44</v>
      </c>
      <c r="G4594" s="876" t="s">
        <v>139</v>
      </c>
      <c r="H4594" s="877"/>
      <c r="I4594" s="878"/>
      <c r="J4594" s="877"/>
      <c r="K4594" s="877" t="s">
        <v>9</v>
      </c>
      <c r="L4594" s="879" t="s">
        <v>140</v>
      </c>
      <c r="M4594" s="879"/>
      <c r="N4594" s="879"/>
      <c r="O4594" s="879"/>
      <c r="P4594" s="879"/>
      <c r="Q4594" s="50"/>
      <c r="T4594" s="1032" t="str">
        <f>IF(AND($R4598=0,$T4598=0),"0.00","mu: "&amp; ROUND(F4594/$C$5/($R4598+$T4598*$D$9),2))</f>
        <v>mu: 1.08</v>
      </c>
      <c r="W4594" s="507"/>
      <c r="AG4594" s="1029">
        <f>IF($E4594=0,0,ROUND($R4598*$S$5*$C$5/$A4594,2))</f>
        <v>62.88</v>
      </c>
      <c r="AH4594" s="1029">
        <f>$AG4594*$A4594</f>
        <v>817.44</v>
      </c>
      <c r="AI4594" s="1030">
        <f>$E4594-$AG4594</f>
        <v>0</v>
      </c>
      <c r="AJ4594" s="1030">
        <f>$A4594*$AI4594</f>
        <v>0</v>
      </c>
      <c r="AK4594" s="1031">
        <f>ROUND(($AG4594+$AI4594)*$A4594,2)</f>
        <v>817.44</v>
      </c>
      <c r="AM4594" s="510">
        <f>ROUND(R4598,2)</f>
        <v>760.37</v>
      </c>
      <c r="AN4594" s="511">
        <f>ROUND(T4598,2)</f>
        <v>0</v>
      </c>
      <c r="AO4594" s="512">
        <f>ROUND(AM4594+AN4594,2)*A4594</f>
        <v>9884.81</v>
      </c>
    </row>
    <row r="4595" spans="1:41" s="504" customFormat="1" ht="13.2">
      <c r="A4595" s="872"/>
      <c r="B4595"/>
      <c r="C4595" s="872"/>
      <c r="D4595" s="873" t="s">
        <v>511</v>
      </c>
      <c r="F4595" s="877"/>
      <c r="G4595" s="3"/>
      <c r="H4595" s="877"/>
      <c r="I4595" s="878"/>
      <c r="J4595" s="877"/>
      <c r="K4595" s="877" t="s">
        <v>141</v>
      </c>
      <c r="L4595" s="877"/>
      <c r="M4595" s="877"/>
      <c r="N4595" s="877"/>
      <c r="O4595" s="877"/>
      <c r="P4595" s="877"/>
      <c r="Q4595" s="50"/>
      <c r="R4595" s="513"/>
      <c r="S4595" s="881"/>
      <c r="T4595" s="877"/>
    </row>
    <row r="4596" spans="1:41" s="1039" customFormat="1" ht="13.2">
      <c r="A4596" s="112">
        <v>13</v>
      </c>
      <c r="B4596" s="1039" t="s">
        <v>949</v>
      </c>
      <c r="D4596" s="1039" t="s">
        <v>511</v>
      </c>
      <c r="G4596" s="1040" t="s">
        <v>1456</v>
      </c>
      <c r="H4596" s="1041">
        <v>725</v>
      </c>
      <c r="I4596" s="1039" t="s">
        <v>951</v>
      </c>
      <c r="O4596" s="1042">
        <v>3</v>
      </c>
      <c r="P4596" s="1043"/>
      <c r="Q4596" s="1044">
        <v>58.49</v>
      </c>
      <c r="R4596" s="1045">
        <f>$A4596*Q4596</f>
        <v>760.37</v>
      </c>
      <c r="S4596" s="1044"/>
      <c r="T4596" s="1046">
        <f>$A4596*S4596*$T$1</f>
        <v>0</v>
      </c>
    </row>
    <row r="4597" spans="1:41" s="504" customFormat="1" ht="12">
      <c r="A4597" s="882"/>
      <c r="B4597" s="882"/>
      <c r="C4597" s="882"/>
      <c r="D4597" s="882"/>
      <c r="E4597" s="882"/>
      <c r="F4597" s="877"/>
      <c r="G4597" s="882"/>
      <c r="H4597" s="882"/>
      <c r="I4597" s="503"/>
      <c r="J4597" s="882"/>
      <c r="K4597" s="882"/>
      <c r="L4597" s="882"/>
      <c r="M4597" s="882"/>
      <c r="N4597" s="882"/>
      <c r="O4597" s="882"/>
      <c r="P4597" s="882"/>
      <c r="Q4597" s="503"/>
      <c r="R4597" s="883">
        <f>$A4597*Q4597</f>
        <v>0</v>
      </c>
      <c r="S4597" s="503"/>
      <c r="T4597" s="884">
        <f>$A4597*S4597*$T$1</f>
        <v>0</v>
      </c>
    </row>
    <row r="4598" spans="1:41" s="504" customFormat="1" ht="12.6" thickBot="1">
      <c r="A4598" s="885" t="s">
        <v>142</v>
      </c>
      <c r="B4598" s="886">
        <f>(R4597+T4597)</f>
        <v>0</v>
      </c>
      <c r="C4598" s="887"/>
      <c r="D4598" s="887"/>
      <c r="E4598" s="887"/>
      <c r="F4598" s="888"/>
      <c r="G4598" s="887" t="s">
        <v>143</v>
      </c>
      <c r="H4598" s="887"/>
      <c r="I4598" s="889"/>
      <c r="J4598" s="887"/>
      <c r="K4598" s="887" t="s">
        <v>9</v>
      </c>
      <c r="L4598" s="890" t="s">
        <v>140</v>
      </c>
      <c r="M4598" s="890"/>
      <c r="N4598" s="890"/>
      <c r="O4598" s="890"/>
      <c r="P4598" s="890"/>
      <c r="Q4598" s="891"/>
      <c r="R4598" s="892">
        <f>SUM(R4595:R4597)</f>
        <v>760.37</v>
      </c>
      <c r="S4598" s="887"/>
      <c r="T4598" s="892">
        <f>SUM(T4595:T4597)</f>
        <v>0</v>
      </c>
      <c r="U4598" s="514"/>
      <c r="V4598" s="514"/>
      <c r="W4598" s="514"/>
      <c r="X4598" s="514"/>
      <c r="Y4598" s="514"/>
      <c r="Z4598" s="514"/>
      <c r="AA4598" s="514"/>
      <c r="AB4598" s="514"/>
      <c r="AC4598" s="514"/>
      <c r="AD4598" s="514"/>
      <c r="AE4598" s="514"/>
      <c r="AF4598" s="514"/>
      <c r="AG4598" s="514"/>
      <c r="AH4598" s="514"/>
      <c r="AI4598" s="514"/>
      <c r="AJ4598" s="514"/>
      <c r="AK4598" s="514"/>
      <c r="AL4598" s="514"/>
      <c r="AM4598" s="514"/>
      <c r="AN4598" s="514"/>
      <c r="AO4598" s="514"/>
    </row>
    <row r="4599" spans="1:41" s="504" customFormat="1" ht="12" thickTop="1">
      <c r="A4599" s="50"/>
      <c r="B4599" s="40"/>
      <c r="C4599" s="50"/>
      <c r="E4599" s="41" t="s">
        <v>136</v>
      </c>
      <c r="F4599" s="41" t="s">
        <v>137</v>
      </c>
      <c r="G4599" s="50"/>
      <c r="H4599" s="50"/>
      <c r="I4599" s="50"/>
      <c r="J4599" s="50"/>
      <c r="K4599" s="50" t="s">
        <v>138</v>
      </c>
      <c r="L4599" s="50"/>
      <c r="M4599" s="50"/>
      <c r="N4599" s="50"/>
      <c r="O4599" s="51"/>
      <c r="P4599" s="50"/>
      <c r="Q4599" s="50"/>
      <c r="R4599" s="50"/>
      <c r="S4599" s="50"/>
      <c r="T4599" s="40"/>
      <c r="AG4599" s="867" t="s">
        <v>241</v>
      </c>
      <c r="AH4599" s="867" t="s">
        <v>242</v>
      </c>
      <c r="AI4599" s="867" t="s">
        <v>243</v>
      </c>
      <c r="AJ4599" s="867" t="s">
        <v>244</v>
      </c>
      <c r="AK4599" s="867" t="s">
        <v>245</v>
      </c>
      <c r="AM4599" s="868" t="s">
        <v>254</v>
      </c>
      <c r="AN4599" s="869" t="s">
        <v>255</v>
      </c>
      <c r="AO4599" s="505" t="s">
        <v>251</v>
      </c>
    </row>
    <row r="4600" spans="1:41" s="504" customFormat="1" ht="12" customHeight="1">
      <c r="A4600" s="870">
        <v>4</v>
      </c>
      <c r="B4600" s="506" t="s">
        <v>335</v>
      </c>
      <c r="C4600" s="872"/>
      <c r="D4600" s="873" t="s">
        <v>864</v>
      </c>
      <c r="E4600" s="1027">
        <f>IF(AND($A4600=0,$A$1="DIF"),0, ROUND(ROUND(($R4604*$S$5+($T4604*$T$5))/$A4600,2)*$C$5,2))</f>
        <v>100.53</v>
      </c>
      <c r="F4600" s="1028">
        <f>ROUND($A4600*$E4600,2)</f>
        <v>402.12</v>
      </c>
      <c r="G4600" s="876" t="s">
        <v>139</v>
      </c>
      <c r="H4600" s="877"/>
      <c r="I4600" s="878"/>
      <c r="J4600" s="877"/>
      <c r="K4600" s="877" t="s">
        <v>9</v>
      </c>
      <c r="L4600" s="879" t="s">
        <v>140</v>
      </c>
      <c r="M4600" s="879"/>
      <c r="N4600" s="879"/>
      <c r="O4600" s="879"/>
      <c r="P4600" s="879"/>
      <c r="Q4600" s="50"/>
      <c r="T4600" s="1032" t="str">
        <f>IF(AND($R4604=0,$T4604=0),"0.00","mu: "&amp; ROUND(F4600/$C$5/($R4604+$T4604*$D$9),2))</f>
        <v>mu: 1.07</v>
      </c>
      <c r="W4600" s="507"/>
      <c r="AG4600" s="1029">
        <f>IF($E4600=0,0,ROUND($R4604*$S$5*$C$5/$A4600,2))</f>
        <v>100.53</v>
      </c>
      <c r="AH4600" s="1029">
        <f>$AG4600*$A4600</f>
        <v>402.12</v>
      </c>
      <c r="AI4600" s="1030">
        <f>$E4600-$AG4600</f>
        <v>0</v>
      </c>
      <c r="AJ4600" s="1030">
        <f>$A4600*$AI4600</f>
        <v>0</v>
      </c>
      <c r="AK4600" s="1031">
        <f>ROUND(($AG4600+$AI4600)*$A4600,2)</f>
        <v>402.12</v>
      </c>
      <c r="AM4600" s="510">
        <f>ROUND(R4604,2)</f>
        <v>374.08</v>
      </c>
      <c r="AN4600" s="511">
        <f>ROUND(T4604,2)</f>
        <v>0</v>
      </c>
      <c r="AO4600" s="512">
        <f>ROUND(AM4600+AN4600,2)*A4600</f>
        <v>1496.32</v>
      </c>
    </row>
    <row r="4601" spans="1:41" s="504" customFormat="1" ht="13.2">
      <c r="A4601" s="872"/>
      <c r="B4601"/>
      <c r="C4601" s="872"/>
      <c r="D4601" s="873" t="s">
        <v>512</v>
      </c>
      <c r="F4601" s="877"/>
      <c r="G4601" s="3"/>
      <c r="H4601" s="877"/>
      <c r="I4601" s="878"/>
      <c r="J4601" s="877"/>
      <c r="K4601" s="877" t="s">
        <v>141</v>
      </c>
      <c r="L4601" s="877"/>
      <c r="M4601" s="877"/>
      <c r="N4601" s="877"/>
      <c r="O4601" s="877"/>
      <c r="P4601" s="877"/>
      <c r="Q4601" s="50"/>
      <c r="R4601" s="513"/>
      <c r="S4601" s="881"/>
      <c r="T4601" s="877"/>
    </row>
    <row r="4602" spans="1:41" s="1039" customFormat="1" ht="13.2">
      <c r="A4602" s="112">
        <v>4</v>
      </c>
      <c r="B4602" s="1039" t="s">
        <v>949</v>
      </c>
      <c r="D4602" s="1039" t="s">
        <v>512</v>
      </c>
      <c r="G4602" s="1040" t="s">
        <v>1456</v>
      </c>
      <c r="H4602" s="1041">
        <v>725</v>
      </c>
      <c r="I4602" s="1039" t="s">
        <v>951</v>
      </c>
      <c r="O4602" s="1042">
        <v>3</v>
      </c>
      <c r="P4602" s="1043"/>
      <c r="Q4602" s="1044">
        <v>93.52</v>
      </c>
      <c r="R4602" s="1045">
        <f>$A4602*Q4602</f>
        <v>374.08</v>
      </c>
      <c r="S4602" s="1044"/>
      <c r="T4602" s="1046">
        <f>$A4602*S4602*$T$1</f>
        <v>0</v>
      </c>
    </row>
    <row r="4603" spans="1:41" s="504" customFormat="1" ht="12">
      <c r="A4603" s="882"/>
      <c r="B4603" s="882"/>
      <c r="C4603" s="882"/>
      <c r="D4603" s="882"/>
      <c r="E4603" s="882"/>
      <c r="F4603" s="877"/>
      <c r="G4603" s="882"/>
      <c r="H4603" s="882"/>
      <c r="I4603" s="503"/>
      <c r="J4603" s="882"/>
      <c r="K4603" s="882"/>
      <c r="L4603" s="882"/>
      <c r="M4603" s="882"/>
      <c r="N4603" s="882"/>
      <c r="O4603" s="882"/>
      <c r="P4603" s="882"/>
      <c r="Q4603" s="503"/>
      <c r="R4603" s="883">
        <f>$A4603*Q4603</f>
        <v>0</v>
      </c>
      <c r="S4603" s="503"/>
      <c r="T4603" s="884">
        <f>$A4603*S4603*$T$1</f>
        <v>0</v>
      </c>
    </row>
    <row r="4604" spans="1:41" s="504" customFormat="1" ht="12.6" thickBot="1">
      <c r="A4604" s="885" t="s">
        <v>142</v>
      </c>
      <c r="B4604" s="886">
        <f>(R4603+T4603)</f>
        <v>0</v>
      </c>
      <c r="C4604" s="887"/>
      <c r="D4604" s="887"/>
      <c r="E4604" s="887"/>
      <c r="F4604" s="888"/>
      <c r="G4604" s="887" t="s">
        <v>143</v>
      </c>
      <c r="H4604" s="887"/>
      <c r="I4604" s="889"/>
      <c r="J4604" s="887"/>
      <c r="K4604" s="887" t="s">
        <v>9</v>
      </c>
      <c r="L4604" s="890" t="s">
        <v>140</v>
      </c>
      <c r="M4604" s="890"/>
      <c r="N4604" s="890"/>
      <c r="O4604" s="890"/>
      <c r="P4604" s="890"/>
      <c r="Q4604" s="891"/>
      <c r="R4604" s="892">
        <f>SUM(R4601:R4603)</f>
        <v>374.08</v>
      </c>
      <c r="S4604" s="887"/>
      <c r="T4604" s="892">
        <f>SUM(T4601:T4603)</f>
        <v>0</v>
      </c>
      <c r="U4604" s="514"/>
      <c r="V4604" s="514"/>
      <c r="W4604" s="514"/>
      <c r="X4604" s="514"/>
      <c r="Y4604" s="514"/>
      <c r="Z4604" s="514"/>
      <c r="AA4604" s="514"/>
      <c r="AB4604" s="514"/>
      <c r="AC4604" s="514"/>
      <c r="AD4604" s="514"/>
      <c r="AE4604" s="514"/>
      <c r="AF4604" s="514"/>
      <c r="AG4604" s="514"/>
      <c r="AH4604" s="514"/>
      <c r="AI4604" s="514"/>
      <c r="AJ4604" s="514"/>
      <c r="AK4604" s="514"/>
      <c r="AL4604" s="514"/>
      <c r="AM4604" s="514"/>
      <c r="AN4604" s="514"/>
      <c r="AO4604" s="514"/>
    </row>
    <row r="4605" spans="1:41" s="504" customFormat="1" ht="12" thickTop="1">
      <c r="A4605" s="50"/>
      <c r="B4605" s="40"/>
      <c r="C4605" s="50"/>
      <c r="E4605" s="41" t="s">
        <v>136</v>
      </c>
      <c r="F4605" s="41" t="s">
        <v>137</v>
      </c>
      <c r="G4605" s="50"/>
      <c r="H4605" s="50"/>
      <c r="I4605" s="50"/>
      <c r="J4605" s="50"/>
      <c r="K4605" s="50" t="s">
        <v>138</v>
      </c>
      <c r="L4605" s="50"/>
      <c r="M4605" s="50"/>
      <c r="N4605" s="50"/>
      <c r="O4605" s="51"/>
      <c r="P4605" s="50"/>
      <c r="Q4605" s="50"/>
      <c r="R4605" s="50"/>
      <c r="S4605" s="50"/>
      <c r="T4605" s="40"/>
      <c r="AG4605" s="867" t="s">
        <v>241</v>
      </c>
      <c r="AH4605" s="867" t="s">
        <v>242</v>
      </c>
      <c r="AI4605" s="867" t="s">
        <v>243</v>
      </c>
      <c r="AJ4605" s="867" t="s">
        <v>244</v>
      </c>
      <c r="AK4605" s="867" t="s">
        <v>245</v>
      </c>
      <c r="AM4605" s="868" t="s">
        <v>254</v>
      </c>
      <c r="AN4605" s="869" t="s">
        <v>255</v>
      </c>
      <c r="AO4605" s="505" t="s">
        <v>251</v>
      </c>
    </row>
    <row r="4606" spans="1:41" s="504" customFormat="1" ht="12" customHeight="1">
      <c r="A4606" s="870">
        <v>6</v>
      </c>
      <c r="B4606" s="506" t="s">
        <v>335</v>
      </c>
      <c r="C4606" s="872"/>
      <c r="D4606" s="873" t="s">
        <v>865</v>
      </c>
      <c r="E4606" s="1027">
        <f>IF(AND($A4606=0,$A$1="DIF"),0, ROUND(ROUND(($R4610*$S$5+($T4610*$T$5))/$A4606,2)*$C$5,2))</f>
        <v>32.67</v>
      </c>
      <c r="F4606" s="1028">
        <f>ROUND($A4606*$E4606,2)</f>
        <v>196.02</v>
      </c>
      <c r="G4606" s="876" t="s">
        <v>139</v>
      </c>
      <c r="H4606" s="877"/>
      <c r="I4606" s="878"/>
      <c r="J4606" s="877"/>
      <c r="K4606" s="877" t="s">
        <v>9</v>
      </c>
      <c r="L4606" s="879" t="s">
        <v>140</v>
      </c>
      <c r="M4606" s="879"/>
      <c r="N4606" s="879"/>
      <c r="O4606" s="879"/>
      <c r="P4606" s="879"/>
      <c r="Q4606" s="50"/>
      <c r="T4606" s="1032" t="str">
        <f>IF(AND($R4610=0,$T4610=0),"0.00","mu: "&amp; ROUND(F4606/$C$5/($R4610+$T4610*$D$9),2))</f>
        <v>mu: 1.08</v>
      </c>
      <c r="W4606" s="507"/>
      <c r="AG4606" s="1029">
        <f>IF($E4606=0,0,ROUND($R4610*$S$5*$C$5/$A4606,2))</f>
        <v>32.67</v>
      </c>
      <c r="AH4606" s="1029">
        <f>$AG4606*$A4606</f>
        <v>196.02</v>
      </c>
      <c r="AI4606" s="1030">
        <f>$E4606-$AG4606</f>
        <v>0</v>
      </c>
      <c r="AJ4606" s="1030">
        <f>$A4606*$AI4606</f>
        <v>0</v>
      </c>
      <c r="AK4606" s="1031">
        <f>ROUND(($AG4606+$AI4606)*$A4606,2)</f>
        <v>196.02</v>
      </c>
      <c r="AM4606" s="510">
        <f>ROUND(R4610,2)</f>
        <v>182.34</v>
      </c>
      <c r="AN4606" s="511">
        <f>ROUND(T4610,2)</f>
        <v>0</v>
      </c>
      <c r="AO4606" s="512">
        <f>ROUND(AM4606+AN4606,2)*A4606</f>
        <v>1094.04</v>
      </c>
    </row>
    <row r="4607" spans="1:41" s="504" customFormat="1" ht="13.2">
      <c r="A4607" s="872"/>
      <c r="B4607"/>
      <c r="C4607" s="872"/>
      <c r="D4607" s="873" t="s">
        <v>515</v>
      </c>
      <c r="F4607" s="877"/>
      <c r="G4607" s="3"/>
      <c r="H4607" s="877"/>
      <c r="I4607" s="878"/>
      <c r="J4607" s="877"/>
      <c r="K4607" s="877" t="s">
        <v>141</v>
      </c>
      <c r="L4607" s="877"/>
      <c r="M4607" s="877"/>
      <c r="N4607" s="877"/>
      <c r="O4607" s="877"/>
      <c r="P4607" s="877"/>
      <c r="Q4607" s="50"/>
      <c r="R4607" s="513"/>
      <c r="S4607" s="881"/>
      <c r="T4607" s="877"/>
    </row>
    <row r="4608" spans="1:41" s="1039" customFormat="1" ht="13.2">
      <c r="A4608" s="112">
        <v>6</v>
      </c>
      <c r="B4608" s="1039" t="s">
        <v>949</v>
      </c>
      <c r="D4608" s="1039" t="s">
        <v>515</v>
      </c>
      <c r="G4608" s="1040" t="s">
        <v>1456</v>
      </c>
      <c r="H4608" s="1041">
        <v>725</v>
      </c>
      <c r="I4608" s="1039" t="s">
        <v>951</v>
      </c>
      <c r="O4608" s="1042">
        <v>3</v>
      </c>
      <c r="P4608" s="1043"/>
      <c r="Q4608" s="1044">
        <v>30.39</v>
      </c>
      <c r="R4608" s="1045">
        <f>$A4608*Q4608</f>
        <v>182.34</v>
      </c>
      <c r="S4608" s="1044"/>
      <c r="T4608" s="1046">
        <f>$A4608*S4608*$T$1</f>
        <v>0</v>
      </c>
    </row>
    <row r="4609" spans="1:41" s="504" customFormat="1" ht="12">
      <c r="A4609" s="882"/>
      <c r="B4609" s="882"/>
      <c r="C4609" s="882"/>
      <c r="D4609" s="882"/>
      <c r="E4609" s="882"/>
      <c r="F4609" s="877"/>
      <c r="G4609" s="882"/>
      <c r="H4609" s="882"/>
      <c r="I4609" s="503"/>
      <c r="J4609" s="882"/>
      <c r="K4609" s="882"/>
      <c r="L4609" s="882"/>
      <c r="M4609" s="882"/>
      <c r="N4609" s="882"/>
      <c r="O4609" s="882"/>
      <c r="P4609" s="882"/>
      <c r="Q4609" s="503"/>
      <c r="R4609" s="883">
        <f>$A4609*Q4609</f>
        <v>0</v>
      </c>
      <c r="S4609" s="503"/>
      <c r="T4609" s="884">
        <f>$A4609*S4609*$T$1</f>
        <v>0</v>
      </c>
    </row>
    <row r="4610" spans="1:41" s="504" customFormat="1" ht="12.6" thickBot="1">
      <c r="A4610" s="885" t="s">
        <v>142</v>
      </c>
      <c r="B4610" s="886">
        <f>(R4609+T4609)</f>
        <v>0</v>
      </c>
      <c r="C4610" s="887"/>
      <c r="D4610" s="887"/>
      <c r="E4610" s="887"/>
      <c r="F4610" s="888"/>
      <c r="G4610" s="887" t="s">
        <v>143</v>
      </c>
      <c r="H4610" s="887"/>
      <c r="I4610" s="889"/>
      <c r="J4610" s="887"/>
      <c r="K4610" s="887" t="s">
        <v>9</v>
      </c>
      <c r="L4610" s="890" t="s">
        <v>140</v>
      </c>
      <c r="M4610" s="890"/>
      <c r="N4610" s="890"/>
      <c r="O4610" s="890"/>
      <c r="P4610" s="890"/>
      <c r="Q4610" s="891"/>
      <c r="R4610" s="892">
        <f>SUM(R4607:R4609)</f>
        <v>182.34</v>
      </c>
      <c r="S4610" s="887"/>
      <c r="T4610" s="892">
        <f>SUM(T4607:T4609)</f>
        <v>0</v>
      </c>
      <c r="U4610" s="514"/>
      <c r="V4610" s="514"/>
      <c r="W4610" s="514"/>
      <c r="X4610" s="514"/>
      <c r="Y4610" s="514"/>
      <c r="Z4610" s="514"/>
      <c r="AA4610" s="514"/>
      <c r="AB4610" s="514"/>
      <c r="AC4610" s="514"/>
      <c r="AD4610" s="514"/>
      <c r="AE4610" s="514"/>
      <c r="AF4610" s="514"/>
      <c r="AG4610" s="514"/>
      <c r="AH4610" s="514"/>
      <c r="AI4610" s="514"/>
      <c r="AJ4610" s="514"/>
      <c r="AK4610" s="514"/>
      <c r="AL4610" s="514"/>
      <c r="AM4610" s="514"/>
      <c r="AN4610" s="514"/>
      <c r="AO4610" s="514"/>
    </row>
    <row r="4611" spans="1:41" s="504" customFormat="1" thickTop="1">
      <c r="A4611" s="50"/>
      <c r="B4611" s="40"/>
      <c r="C4611" s="50"/>
      <c r="E4611" s="41" t="s">
        <v>136</v>
      </c>
      <c r="F4611" s="41" t="s">
        <v>137</v>
      </c>
      <c r="G4611" s="50"/>
      <c r="H4611" s="50"/>
      <c r="I4611" s="50"/>
      <c r="J4611" s="50"/>
      <c r="K4611" s="50" t="s">
        <v>138</v>
      </c>
      <c r="L4611" s="1219"/>
      <c r="M4611" s="50"/>
      <c r="N4611" s="50"/>
      <c r="O4611" s="51"/>
      <c r="P4611" s="50"/>
      <c r="Q4611"/>
      <c r="R4611"/>
      <c r="S4611"/>
      <c r="T4611" s="40"/>
      <c r="AG4611" s="867" t="s">
        <v>241</v>
      </c>
      <c r="AH4611" s="867" t="s">
        <v>242</v>
      </c>
      <c r="AI4611" s="867" t="s">
        <v>243</v>
      </c>
      <c r="AJ4611" s="867" t="s">
        <v>244</v>
      </c>
      <c r="AK4611" s="867" t="s">
        <v>245</v>
      </c>
      <c r="AM4611" s="868" t="s">
        <v>254</v>
      </c>
      <c r="AN4611" s="869" t="s">
        <v>255</v>
      </c>
      <c r="AO4611" s="505" t="s">
        <v>251</v>
      </c>
    </row>
    <row r="4612" spans="1:41" s="504" customFormat="1" ht="13.2">
      <c r="A4612" s="870">
        <v>2</v>
      </c>
      <c r="B4612" s="506" t="s">
        <v>335</v>
      </c>
      <c r="C4612" s="872"/>
      <c r="D4612" s="873" t="s">
        <v>866</v>
      </c>
      <c r="E4612" s="1220">
        <f>IF(AND($A4612=0,$A$1="DIF"),0, ROUND(ROUND(SUMIF($L4614:$L4620,"SUBI",$E4614:$E4620)/$A4612,2)*$C$12,2))</f>
        <v>90.3</v>
      </c>
      <c r="F4612" s="1221">
        <f>ROUND($A4612*$E4612,2)</f>
        <v>180.6</v>
      </c>
      <c r="G4612" s="876" t="s">
        <v>139</v>
      </c>
      <c r="H4612" s="877"/>
      <c r="I4612" s="878"/>
      <c r="J4612" s="877"/>
      <c r="K4612" s="1222"/>
      <c r="L4612" s="1223" t="s">
        <v>140</v>
      </c>
      <c r="M4612" s="879"/>
      <c r="N4612" s="879"/>
      <c r="O4612" s="879"/>
      <c r="P4612" s="879"/>
      <c r="Q4612"/>
      <c r="R4612"/>
      <c r="S4612"/>
      <c r="T4612" s="1224" t="str">
        <f>IF(AND($R4626=0,$T4626=0),"0.00","mu :" &amp; ROUND($F4612/$C$12/($R4626+$T4626*$D$9),2))</f>
        <v>mu :1.11</v>
      </c>
      <c r="W4612" s="507"/>
      <c r="AG4612" s="1225">
        <f>IF(A4612=0,0,ROUND(SUM(AG4614:AG4626)/A4612,2))</f>
        <v>70.349999999999994</v>
      </c>
      <c r="AH4612" s="1225">
        <f>$AG4612*$A4612</f>
        <v>140.69999999999999</v>
      </c>
      <c r="AI4612" s="1225">
        <f>$E4612-$AG4612</f>
        <v>19.950000000000003</v>
      </c>
      <c r="AJ4612" s="1225">
        <f>$A4612*$AI4612</f>
        <v>39.900000000000006</v>
      </c>
      <c r="AK4612" s="1226">
        <f>ROUND(($AG4612+$AI4612)*$A4612,2)</f>
        <v>180.6</v>
      </c>
      <c r="AM4612" s="510">
        <f>ROUND(R4626,2)</f>
        <v>129.74</v>
      </c>
      <c r="AN4612" s="511">
        <f>ROUND(T4626,2)</f>
        <v>1.1299999999999999</v>
      </c>
      <c r="AO4612" s="512">
        <f>ROUND(AM4612+AN4612,2)*A4612</f>
        <v>261.74</v>
      </c>
    </row>
    <row r="4613" spans="1:41" s="504" customFormat="1" ht="13.2">
      <c r="A4613" s="872"/>
      <c r="B4613"/>
      <c r="C4613" s="872"/>
      <c r="D4613" s="873" t="s">
        <v>516</v>
      </c>
      <c r="F4613" s="877"/>
      <c r="G4613" s="877"/>
      <c r="H4613" s="877"/>
      <c r="I4613" s="878"/>
      <c r="J4613" s="877"/>
      <c r="K4613" s="877" t="s">
        <v>141</v>
      </c>
      <c r="L4613" s="1227"/>
      <c r="M4613" s="877"/>
      <c r="N4613" s="877"/>
      <c r="O4613" s="877"/>
      <c r="P4613" s="877"/>
      <c r="Q4613" s="50"/>
      <c r="R4613" s="513"/>
      <c r="S4613" s="881"/>
      <c r="T4613" s="877"/>
    </row>
    <row r="4614" spans="1:41" s="504" customFormat="1" ht="12">
      <c r="A4614" s="1228"/>
      <c r="B4614" s="1229"/>
      <c r="C4614" s="882"/>
      <c r="D4614" s="877"/>
      <c r="E4614" s="1230">
        <f>F4612/$C$12-SUMIF($L4611:$L4626,"SUBI",$E4611:$E4626)</f>
        <v>9.9999999999909051E-3</v>
      </c>
      <c r="F4614" s="1231" t="s">
        <v>1472</v>
      </c>
      <c r="G4614" s="1232"/>
      <c r="H4614" s="1232"/>
      <c r="I4614" s="1233"/>
      <c r="J4614" s="1232"/>
      <c r="K4614" s="1232"/>
      <c r="L4614" s="1234"/>
      <c r="M4614" s="1235"/>
      <c r="N4614" s="1235"/>
      <c r="O4614" s="1235"/>
      <c r="P4614" s="1235"/>
      <c r="Q4614" s="1236"/>
      <c r="R4614" s="1237"/>
      <c r="S4614" s="1236"/>
      <c r="T4614" s="1238"/>
    </row>
    <row r="4615" spans="1:41" s="504" customFormat="1" ht="12" customHeight="1">
      <c r="A4615" s="1239"/>
      <c r="B4615" s="1285"/>
      <c r="C4615" s="1286"/>
      <c r="D4615" s="1286" t="str">
        <f>$F$5</f>
        <v>ELV Sub-Contractor - APCO</v>
      </c>
      <c r="E4615" s="1286">
        <f>ROUND(($R4619*$S$5 + ($T4619*$T$5)),2)</f>
        <v>130.38</v>
      </c>
      <c r="F4615" s="1287">
        <f>$E4615*$C$12</f>
        <v>130.38</v>
      </c>
      <c r="G4615" s="513"/>
      <c r="H4615" s="1241"/>
      <c r="I4615" s="513"/>
      <c r="J4615" s="51"/>
      <c r="K4615" s="1242" t="s">
        <v>9</v>
      </c>
      <c r="L4615" s="1243" t="s">
        <v>1473</v>
      </c>
      <c r="M4615" s="513"/>
      <c r="N4615" s="513"/>
      <c r="O4615" s="51"/>
      <c r="P4615" s="513"/>
      <c r="Q4615" s="513"/>
      <c r="R4615"/>
      <c r="S4615"/>
      <c r="T4615"/>
    </row>
    <row r="4616" spans="1:41" s="504" customFormat="1" ht="13.95" customHeight="1">
      <c r="A4616" s="930"/>
      <c r="B4616" s="1244" t="s">
        <v>1474</v>
      </c>
      <c r="C4616" s="513"/>
      <c r="D4616" s="513"/>
      <c r="E4616" s="513"/>
      <c r="F4616" s="513"/>
      <c r="G4616" s="513"/>
      <c r="H4616" s="1241"/>
      <c r="I4616" s="513"/>
      <c r="J4616" s="51"/>
      <c r="K4616" s="1245"/>
      <c r="L4616" s="1246"/>
      <c r="M4616" s="513"/>
      <c r="N4616" s="513"/>
      <c r="O4616" s="51"/>
      <c r="P4616" s="513"/>
      <c r="Q4616" s="513"/>
      <c r="R4616" s="1247">
        <f>$A4616*Q4616</f>
        <v>0</v>
      </c>
      <c r="S4616" s="513"/>
      <c r="T4616" s="884">
        <f>$A4616*S4616*$T$1</f>
        <v>0</v>
      </c>
    </row>
    <row r="4617" spans="1:41" s="1039" customFormat="1" ht="13.2">
      <c r="A4617" s="112">
        <v>2</v>
      </c>
      <c r="B4617" s="1039" t="s">
        <v>949</v>
      </c>
      <c r="D4617" s="1039" t="s">
        <v>516</v>
      </c>
      <c r="G4617" s="1040" t="s">
        <v>1456</v>
      </c>
      <c r="H4617" s="1041">
        <v>725</v>
      </c>
      <c r="I4617" s="1039" t="s">
        <v>951</v>
      </c>
      <c r="O4617" s="1042">
        <v>3</v>
      </c>
      <c r="P4617" s="1043"/>
      <c r="Q4617" s="1044">
        <v>60.64</v>
      </c>
      <c r="R4617" s="1045">
        <f>$A4617*Q4617</f>
        <v>121.28</v>
      </c>
      <c r="S4617" s="1044"/>
      <c r="T4617" s="1046">
        <f>$A4617*S4617*$T$1</f>
        <v>0</v>
      </c>
    </row>
    <row r="4618" spans="1:41" s="504" customFormat="1" ht="13.95" customHeight="1">
      <c r="A4618" s="930"/>
      <c r="B4618" s="513"/>
      <c r="C4618" s="513"/>
      <c r="D4618" s="513"/>
      <c r="E4618" s="513"/>
      <c r="F4618" s="513"/>
      <c r="G4618" s="513"/>
      <c r="H4618" s="1241"/>
      <c r="I4618" s="513"/>
      <c r="J4618" s="51"/>
      <c r="K4618" s="1245"/>
      <c r="L4618" s="1246"/>
      <c r="M4618" s="513"/>
      <c r="N4618" s="513"/>
      <c r="O4618" s="51"/>
      <c r="P4618" s="513"/>
      <c r="Q4618" s="513"/>
      <c r="R4618" s="1247">
        <f>$A4618*Q4618</f>
        <v>0</v>
      </c>
      <c r="S4618" s="513"/>
      <c r="T4618" s="884">
        <f>$A4618*S4618*$T$1</f>
        <v>0</v>
      </c>
    </row>
    <row r="4619" spans="1:41" s="504" customFormat="1" ht="12">
      <c r="A4619" s="1248" t="s">
        <v>142</v>
      </c>
      <c r="B4619" s="1249">
        <f>(R4618+T4618)</f>
        <v>0</v>
      </c>
      <c r="C4619" s="882"/>
      <c r="G4619" s="1250"/>
      <c r="H4619" s="1250"/>
      <c r="I4619" s="1250"/>
      <c r="J4619" s="1250"/>
      <c r="K4619" s="1251" t="s">
        <v>9</v>
      </c>
      <c r="L4619" s="1252" t="s">
        <v>1473</v>
      </c>
      <c r="M4619" s="1250"/>
      <c r="N4619" s="1250"/>
      <c r="O4619" s="1250"/>
      <c r="P4619" s="1250"/>
      <c r="Q4619" s="1253"/>
      <c r="R4619" s="1254">
        <f>SUM(R4615:R4618)</f>
        <v>121.28</v>
      </c>
      <c r="S4619" s="1255"/>
      <c r="T4619" s="1254">
        <f>SUM(T4615:T4618)</f>
        <v>0</v>
      </c>
      <c r="AG4619" s="1288">
        <f>ROUND($R4619*$S$5,2)</f>
        <v>130.38</v>
      </c>
    </row>
    <row r="4620" spans="1:41" s="504" customFormat="1" ht="12" customHeight="1">
      <c r="A4620" s="1257"/>
      <c r="B4620" s="1289"/>
      <c r="C4620" s="1240"/>
      <c r="D4620" s="1240" t="str">
        <f>$F$2</f>
        <v>Electrical</v>
      </c>
      <c r="E4620" s="1240">
        <f>ROUND(($R4624*$S$2 + ($T4624*$T$2)),2)</f>
        <v>50.21</v>
      </c>
      <c r="F4620" s="1290">
        <f ca="1">$F4612-SUMIF($L4614:$P4617,"SUBI",$F4614:$F4617)</f>
        <v>50.22</v>
      </c>
      <c r="G4620" s="503"/>
      <c r="H4620" s="503"/>
      <c r="I4620" s="503"/>
      <c r="J4620" s="503"/>
      <c r="K4620" s="1242" t="s">
        <v>3</v>
      </c>
      <c r="L4620" s="1243" t="s">
        <v>1473</v>
      </c>
      <c r="M4620" s="503"/>
      <c r="N4620" s="503"/>
      <c r="O4620" s="503"/>
      <c r="P4620" s="503"/>
      <c r="Q4620" s="503"/>
      <c r="R4620" s="1258"/>
      <c r="S4620" s="503"/>
      <c r="T4620" s="1258"/>
    </row>
    <row r="4621" spans="1:41" s="1271" customFormat="1" ht="14.4" customHeight="1">
      <c r="A4621" s="1259"/>
      <c r="B4621" s="1244" t="s">
        <v>1475</v>
      </c>
      <c r="C4621" s="1260"/>
      <c r="D4621" s="1261"/>
      <c r="E4621" s="1261"/>
      <c r="F4621" s="1261"/>
      <c r="G4621" s="1262"/>
      <c r="H4621" s="1263"/>
      <c r="I4621" s="1263"/>
      <c r="J4621" s="1264"/>
      <c r="K4621" s="1265"/>
      <c r="L4621" s="1260"/>
      <c r="M4621" s="1266"/>
      <c r="N4621" s="1267"/>
      <c r="O4621" s="1268"/>
      <c r="P4621" s="1269"/>
      <c r="Q4621" s="1270"/>
      <c r="R4621" s="1247">
        <f>$A4621*Q4621</f>
        <v>0</v>
      </c>
      <c r="S4621" s="513"/>
      <c r="T4621" s="884">
        <f>$A4621*S4621*$T$1</f>
        <v>0</v>
      </c>
    </row>
    <row r="4622" spans="1:41" s="1039" customFormat="1" ht="13.2">
      <c r="A4622" s="112">
        <f>2*3</f>
        <v>6</v>
      </c>
      <c r="B4622" s="1039" t="s">
        <v>326</v>
      </c>
      <c r="D4622" s="1039" t="s">
        <v>1224</v>
      </c>
      <c r="G4622" s="1040" t="s">
        <v>1221</v>
      </c>
      <c r="H4622" s="1041">
        <v>700</v>
      </c>
      <c r="I4622" s="1039" t="s">
        <v>1132</v>
      </c>
      <c r="J4622" s="1039" t="s">
        <v>1222</v>
      </c>
      <c r="O4622" s="1042">
        <v>1</v>
      </c>
      <c r="P4622" s="1043">
        <v>42213</v>
      </c>
      <c r="Q4622" s="1044">
        <v>1.41</v>
      </c>
      <c r="R4622" s="1045">
        <f>$A4622*Q4622</f>
        <v>8.4599999999999991</v>
      </c>
      <c r="S4622" s="1044">
        <v>0.18</v>
      </c>
      <c r="T4622" s="1046">
        <f>$A4622*S4622*$T$1</f>
        <v>1.1340000000000001</v>
      </c>
    </row>
    <row r="4623" spans="1:41" s="504" customFormat="1" ht="13.2">
      <c r="A4623" s="930"/>
      <c r="B4623" s="513"/>
      <c r="C4623" s="513"/>
      <c r="D4623" s="3"/>
      <c r="E4623" s="513"/>
      <c r="F4623" s="513"/>
      <c r="G4623" s="513"/>
      <c r="H4623" s="513"/>
      <c r="I4623" s="513"/>
      <c r="J4623" s="513"/>
      <c r="K4623" s="513"/>
      <c r="L4623" s="1246"/>
      <c r="M4623" s="513"/>
      <c r="N4623" s="513"/>
      <c r="O4623" s="513"/>
      <c r="P4623" s="513"/>
      <c r="Q4623" s="513"/>
      <c r="R4623" s="1247">
        <f>$A4623*Q4623</f>
        <v>0</v>
      </c>
      <c r="S4623" s="513"/>
      <c r="T4623" s="884">
        <f>$A4623*S4623*$T$1</f>
        <v>0</v>
      </c>
    </row>
    <row r="4624" spans="1:41" s="504" customFormat="1" ht="12" customHeight="1">
      <c r="A4624" s="1272" t="s">
        <v>142</v>
      </c>
      <c r="B4624" s="1273">
        <f>(R4623+T4623)</f>
        <v>0</v>
      </c>
      <c r="C4624" s="1274"/>
      <c r="D4624" s="1274"/>
      <c r="E4624" s="1274"/>
      <c r="F4624" s="1274"/>
      <c r="G4624" s="1253"/>
      <c r="H4624" s="1253"/>
      <c r="I4624" s="1253"/>
      <c r="J4624" s="1253"/>
      <c r="K4624" s="1275" t="s">
        <v>3</v>
      </c>
      <c r="L4624" s="1276" t="s">
        <v>1473</v>
      </c>
      <c r="M4624" s="1253"/>
      <c r="N4624" s="1253"/>
      <c r="O4624" s="1253"/>
      <c r="P4624" s="1253"/>
      <c r="Q4624" s="1253"/>
      <c r="R4624" s="1254">
        <f>SUM(R4620:R4623)</f>
        <v>8.4599999999999991</v>
      </c>
      <c r="S4624" s="1255"/>
      <c r="T4624" s="1254">
        <f>SUM(T4620:T4623)</f>
        <v>1.1340000000000001</v>
      </c>
      <c r="AG4624" s="1256">
        <f>ROUND($R4624*$S$2,2)</f>
        <v>10.32</v>
      </c>
    </row>
    <row r="4625" spans="1:41" s="504" customFormat="1" ht="12.75" customHeight="1">
      <c r="A4625" s="1277"/>
      <c r="B4625" s="1278"/>
      <c r="E4625" s="882"/>
      <c r="F4625" s="1279"/>
      <c r="G4625" s="882"/>
      <c r="H4625" s="882"/>
      <c r="I4625" s="503"/>
      <c r="J4625" s="882"/>
      <c r="K4625" s="882"/>
      <c r="L4625" s="1280"/>
      <c r="M4625" s="933"/>
      <c r="N4625" s="933"/>
      <c r="O4625" s="933"/>
      <c r="P4625" s="933"/>
      <c r="Q4625" s="900"/>
      <c r="R4625" s="1258"/>
      <c r="S4625" s="882"/>
      <c r="T4625" s="1258"/>
    </row>
    <row r="4626" spans="1:41" s="504" customFormat="1" ht="13.5" customHeight="1" thickBot="1">
      <c r="A4626" s="1281"/>
      <c r="B4626" s="1282"/>
      <c r="C4626" s="514"/>
      <c r="D4626" s="514"/>
      <c r="E4626" s="887"/>
      <c r="F4626" s="888"/>
      <c r="G4626" s="887" t="s">
        <v>143</v>
      </c>
      <c r="H4626" s="887"/>
      <c r="I4626" s="889"/>
      <c r="J4626" s="887"/>
      <c r="K4626" s="887"/>
      <c r="L4626" s="1283" t="s">
        <v>140</v>
      </c>
      <c r="M4626" s="890"/>
      <c r="N4626" s="890"/>
      <c r="O4626" s="890"/>
      <c r="P4626" s="890"/>
      <c r="Q4626" s="891"/>
      <c r="R4626" s="1284">
        <f>SUMIF($L4613:$L4625,"SUBI",R4613:R4625)</f>
        <v>129.74</v>
      </c>
      <c r="S4626" s="887"/>
      <c r="T4626" s="1284">
        <f>SUMIF($L4613:$L4625,"SUBI",T4613:T4625)</f>
        <v>1.1340000000000001</v>
      </c>
      <c r="U4626" s="514"/>
      <c r="V4626" s="514"/>
      <c r="W4626" s="514"/>
      <c r="X4626" s="514"/>
      <c r="Y4626" s="514"/>
      <c r="Z4626" s="514"/>
      <c r="AA4626" s="514"/>
      <c r="AB4626" s="514"/>
      <c r="AC4626" s="514"/>
      <c r="AD4626" s="514"/>
      <c r="AE4626" s="514"/>
      <c r="AF4626" s="514"/>
      <c r="AG4626" s="514"/>
      <c r="AH4626" s="514"/>
      <c r="AI4626" s="514"/>
      <c r="AJ4626" s="514"/>
      <c r="AK4626" s="514"/>
      <c r="AL4626" s="514"/>
      <c r="AM4626" s="514"/>
      <c r="AN4626" s="514"/>
      <c r="AO4626" s="514"/>
    </row>
    <row r="4627" spans="1:41" s="504" customFormat="1" thickTop="1">
      <c r="A4627" s="50"/>
      <c r="B4627" s="40"/>
      <c r="C4627" s="50"/>
      <c r="E4627" s="41" t="s">
        <v>136</v>
      </c>
      <c r="F4627" s="41" t="s">
        <v>137</v>
      </c>
      <c r="G4627" s="50"/>
      <c r="H4627" s="50"/>
      <c r="I4627" s="50"/>
      <c r="J4627" s="50"/>
      <c r="K4627" s="50" t="s">
        <v>138</v>
      </c>
      <c r="L4627" s="1219"/>
      <c r="M4627" s="50"/>
      <c r="N4627" s="50"/>
      <c r="O4627" s="51"/>
      <c r="P4627" s="50"/>
      <c r="Q4627"/>
      <c r="R4627"/>
      <c r="S4627"/>
      <c r="T4627" s="40"/>
      <c r="AG4627" s="867" t="s">
        <v>241</v>
      </c>
      <c r="AH4627" s="867" t="s">
        <v>242</v>
      </c>
      <c r="AI4627" s="867" t="s">
        <v>243</v>
      </c>
      <c r="AJ4627" s="867" t="s">
        <v>244</v>
      </c>
      <c r="AK4627" s="867" t="s">
        <v>245</v>
      </c>
      <c r="AM4627" s="868" t="s">
        <v>254</v>
      </c>
      <c r="AN4627" s="869" t="s">
        <v>255</v>
      </c>
      <c r="AO4627" s="505" t="s">
        <v>251</v>
      </c>
    </row>
    <row r="4628" spans="1:41" s="504" customFormat="1" ht="13.2">
      <c r="A4628" s="870">
        <v>1</v>
      </c>
      <c r="B4628" s="506" t="s">
        <v>335</v>
      </c>
      <c r="C4628" s="872"/>
      <c r="D4628" s="873" t="s">
        <v>867</v>
      </c>
      <c r="E4628" s="1220">
        <f>IF(AND($A4628=0,$A$1="DIF"),0, ROUND(ROUND(SUMIF($L4630:$L4636,"SUBI",$E4630:$E4636)/$A4628,2)*$C$12,2))</f>
        <v>341.22</v>
      </c>
      <c r="F4628" s="1221">
        <f>ROUND($A4628*$E4628,2)</f>
        <v>341.22</v>
      </c>
      <c r="G4628" s="876" t="s">
        <v>139</v>
      </c>
      <c r="H4628" s="877"/>
      <c r="I4628" s="878"/>
      <c r="J4628" s="877"/>
      <c r="K4628" s="1222"/>
      <c r="L4628" s="1223" t="s">
        <v>140</v>
      </c>
      <c r="M4628" s="879"/>
      <c r="N4628" s="879"/>
      <c r="O4628" s="879"/>
      <c r="P4628" s="879"/>
      <c r="Q4628"/>
      <c r="R4628"/>
      <c r="S4628"/>
      <c r="T4628" s="1224" t="str">
        <f>IF(AND($R4642=0,$T4642=0),"0.00","mu :" &amp; ROUND($F4628/$C$12/($R4642+$T4642*$D$9),2))</f>
        <v>mu :1.08</v>
      </c>
      <c r="W4628" s="507"/>
      <c r="AG4628" s="1225">
        <f>IF(A4628=0,0,ROUND(SUM(AG4630:AG4642)/A4628,2))</f>
        <v>327.92</v>
      </c>
      <c r="AH4628" s="1225">
        <f>$AG4628*$A4628</f>
        <v>327.92</v>
      </c>
      <c r="AI4628" s="1225">
        <f>$E4628-$AG4628</f>
        <v>13.300000000000011</v>
      </c>
      <c r="AJ4628" s="1225">
        <f>$A4628*$AI4628</f>
        <v>13.300000000000011</v>
      </c>
      <c r="AK4628" s="1226">
        <f>ROUND(($AG4628+$AI4628)*$A4628,2)</f>
        <v>341.22</v>
      </c>
      <c r="AM4628" s="510">
        <f>ROUND(R4642,2)</f>
        <v>304.66000000000003</v>
      </c>
      <c r="AN4628" s="511">
        <f>ROUND(T4642,2)</f>
        <v>0.38</v>
      </c>
      <c r="AO4628" s="512">
        <f>ROUND(AM4628+AN4628,2)*A4628</f>
        <v>305.04000000000002</v>
      </c>
    </row>
    <row r="4629" spans="1:41" s="504" customFormat="1" ht="13.2">
      <c r="A4629" s="872"/>
      <c r="B4629"/>
      <c r="C4629" s="872"/>
      <c r="D4629" s="873" t="s">
        <v>517</v>
      </c>
      <c r="F4629" s="877"/>
      <c r="G4629" s="877"/>
      <c r="H4629" s="877"/>
      <c r="I4629" s="878"/>
      <c r="J4629" s="877"/>
      <c r="K4629" s="877" t="s">
        <v>141</v>
      </c>
      <c r="L4629" s="1227"/>
      <c r="M4629" s="877"/>
      <c r="N4629" s="877"/>
      <c r="O4629" s="877"/>
      <c r="P4629" s="877"/>
      <c r="Q4629" s="50"/>
      <c r="R4629" s="513"/>
      <c r="S4629" s="881"/>
      <c r="T4629" s="877"/>
    </row>
    <row r="4630" spans="1:41" s="504" customFormat="1" ht="12">
      <c r="A4630" s="1228"/>
      <c r="B4630" s="1229"/>
      <c r="C4630" s="882"/>
      <c r="D4630" s="877"/>
      <c r="E4630" s="1230">
        <f>F4628/$C$12-SUMIF($L4627:$L4642,"SUBI",$E4627:$E4642)</f>
        <v>0</v>
      </c>
      <c r="F4630" s="1231" t="s">
        <v>1472</v>
      </c>
      <c r="G4630" s="1232"/>
      <c r="H4630" s="1232"/>
      <c r="I4630" s="1233"/>
      <c r="J4630" s="1232"/>
      <c r="K4630" s="1232"/>
      <c r="L4630" s="1234"/>
      <c r="M4630" s="1235"/>
      <c r="N4630" s="1235"/>
      <c r="O4630" s="1235"/>
      <c r="P4630" s="1235"/>
      <c r="Q4630" s="1236"/>
      <c r="R4630" s="1237"/>
      <c r="S4630" s="1236"/>
      <c r="T4630" s="1238"/>
    </row>
    <row r="4631" spans="1:41" s="504" customFormat="1" ht="12" customHeight="1">
      <c r="A4631" s="1239"/>
      <c r="B4631" s="1285"/>
      <c r="C4631" s="1286"/>
      <c r="D4631" s="1286" t="str">
        <f>$F$5</f>
        <v>ELV Sub-Contractor - APCO</v>
      </c>
      <c r="E4631" s="1286">
        <f>ROUND(($R4635*$S$5 + ($T4635*$T$5)),2)</f>
        <v>324.48</v>
      </c>
      <c r="F4631" s="1287">
        <f>$E4631*$C$12</f>
        <v>324.48</v>
      </c>
      <c r="G4631" s="513"/>
      <c r="H4631" s="1241"/>
      <c r="I4631" s="513"/>
      <c r="J4631" s="51"/>
      <c r="K4631" s="1242" t="s">
        <v>9</v>
      </c>
      <c r="L4631" s="1243" t="s">
        <v>1473</v>
      </c>
      <c r="M4631" s="513"/>
      <c r="N4631" s="513"/>
      <c r="O4631" s="51"/>
      <c r="P4631" s="513"/>
      <c r="Q4631" s="513"/>
      <c r="R4631"/>
      <c r="S4631"/>
      <c r="T4631"/>
    </row>
    <row r="4632" spans="1:41" s="504" customFormat="1" ht="13.95" customHeight="1">
      <c r="A4632" s="930"/>
      <c r="B4632" s="1244" t="s">
        <v>1474</v>
      </c>
      <c r="C4632" s="513"/>
      <c r="D4632" s="513"/>
      <c r="E4632" s="513"/>
      <c r="F4632" s="513"/>
      <c r="G4632" s="513"/>
      <c r="H4632" s="1241"/>
      <c r="I4632" s="513"/>
      <c r="J4632" s="51"/>
      <c r="K4632" s="1245"/>
      <c r="L4632" s="1246"/>
      <c r="M4632" s="513"/>
      <c r="N4632" s="513"/>
      <c r="O4632" s="51"/>
      <c r="P4632" s="513"/>
      <c r="Q4632" s="513"/>
      <c r="R4632" s="1247">
        <f>$A4632*Q4632</f>
        <v>0</v>
      </c>
      <c r="S4632" s="513"/>
      <c r="T4632" s="884">
        <f>$A4632*S4632*$T$1</f>
        <v>0</v>
      </c>
    </row>
    <row r="4633" spans="1:41" s="1039" customFormat="1" ht="13.2">
      <c r="A4633" s="112">
        <v>1</v>
      </c>
      <c r="B4633" s="1039" t="s">
        <v>949</v>
      </c>
      <c r="D4633" s="1039" t="s">
        <v>517</v>
      </c>
      <c r="G4633" s="1040" t="s">
        <v>1456</v>
      </c>
      <c r="H4633" s="1041">
        <v>725</v>
      </c>
      <c r="I4633" s="1039" t="s">
        <v>951</v>
      </c>
      <c r="O4633" s="1042">
        <v>3</v>
      </c>
      <c r="P4633" s="1043"/>
      <c r="Q4633" s="1044">
        <v>301.83999999999997</v>
      </c>
      <c r="R4633" s="1045">
        <f>$A4633*Q4633</f>
        <v>301.83999999999997</v>
      </c>
      <c r="S4633" s="1044"/>
      <c r="T4633" s="1046">
        <f>$A4633*S4633*$T$1</f>
        <v>0</v>
      </c>
    </row>
    <row r="4634" spans="1:41" s="504" customFormat="1" ht="13.95" customHeight="1">
      <c r="A4634" s="930"/>
      <c r="B4634" s="513"/>
      <c r="C4634" s="513"/>
      <c r="D4634" s="513"/>
      <c r="E4634" s="513"/>
      <c r="F4634" s="513"/>
      <c r="G4634" s="513"/>
      <c r="H4634" s="1241"/>
      <c r="I4634" s="513"/>
      <c r="J4634" s="51"/>
      <c r="K4634" s="1245"/>
      <c r="L4634" s="1246"/>
      <c r="M4634" s="513"/>
      <c r="N4634" s="513"/>
      <c r="O4634" s="51"/>
      <c r="P4634" s="513"/>
      <c r="Q4634" s="513"/>
      <c r="R4634" s="1247">
        <f>$A4634*Q4634</f>
        <v>0</v>
      </c>
      <c r="S4634" s="513"/>
      <c r="T4634" s="884">
        <f>$A4634*S4634*$T$1</f>
        <v>0</v>
      </c>
    </row>
    <row r="4635" spans="1:41" s="504" customFormat="1" ht="12">
      <c r="A4635" s="1248" t="s">
        <v>142</v>
      </c>
      <c r="B4635" s="1249">
        <f>(R4634+T4634)</f>
        <v>0</v>
      </c>
      <c r="C4635" s="882"/>
      <c r="G4635" s="1250"/>
      <c r="H4635" s="1250"/>
      <c r="I4635" s="1250"/>
      <c r="J4635" s="1250"/>
      <c r="K4635" s="1251" t="s">
        <v>9</v>
      </c>
      <c r="L4635" s="1252" t="s">
        <v>1473</v>
      </c>
      <c r="M4635" s="1250"/>
      <c r="N4635" s="1250"/>
      <c r="O4635" s="1250"/>
      <c r="P4635" s="1250"/>
      <c r="Q4635" s="1253"/>
      <c r="R4635" s="1254">
        <f>SUM(R4631:R4634)</f>
        <v>301.83999999999997</v>
      </c>
      <c r="S4635" s="1255"/>
      <c r="T4635" s="1254">
        <f>SUM(T4631:T4634)</f>
        <v>0</v>
      </c>
      <c r="AG4635" s="1288">
        <f>ROUND($R4635*$S$5,2)</f>
        <v>324.48</v>
      </c>
    </row>
    <row r="4636" spans="1:41" s="504" customFormat="1" ht="12" customHeight="1">
      <c r="A4636" s="1257"/>
      <c r="B4636" s="1289"/>
      <c r="C4636" s="1240"/>
      <c r="D4636" s="1240" t="str">
        <f>$F$2</f>
        <v>Electrical</v>
      </c>
      <c r="E4636" s="1240">
        <f>ROUND(($R4640*$S$2 + ($T4640*$T$2)),2)</f>
        <v>16.739999999999998</v>
      </c>
      <c r="F4636" s="1290">
        <f ca="1">$F4628-SUMIF($L4630:$P4633,"SUBI",$F4630:$F4633)</f>
        <v>16.740000000000009</v>
      </c>
      <c r="G4636" s="503"/>
      <c r="H4636" s="503"/>
      <c r="I4636" s="503"/>
      <c r="J4636" s="503"/>
      <c r="K4636" s="1242" t="s">
        <v>3</v>
      </c>
      <c r="L4636" s="1243" t="s">
        <v>1473</v>
      </c>
      <c r="M4636" s="503"/>
      <c r="N4636" s="503"/>
      <c r="O4636" s="503"/>
      <c r="P4636" s="503"/>
      <c r="Q4636" s="503"/>
      <c r="R4636" s="1258"/>
      <c r="S4636" s="503"/>
      <c r="T4636" s="1258"/>
    </row>
    <row r="4637" spans="1:41" s="1271" customFormat="1" ht="14.4" customHeight="1">
      <c r="A4637" s="1259"/>
      <c r="B4637" s="1244" t="s">
        <v>1475</v>
      </c>
      <c r="C4637" s="1260"/>
      <c r="D4637" s="1261"/>
      <c r="E4637" s="1261"/>
      <c r="F4637" s="1261"/>
      <c r="G4637" s="1262"/>
      <c r="H4637" s="1263"/>
      <c r="I4637" s="1263"/>
      <c r="J4637" s="1264"/>
      <c r="K4637" s="1265"/>
      <c r="L4637" s="1260"/>
      <c r="M4637" s="1266"/>
      <c r="N4637" s="1267"/>
      <c r="O4637" s="1268"/>
      <c r="P4637" s="1269"/>
      <c r="Q4637" s="1270"/>
      <c r="R4637" s="1247">
        <f>$A4637*Q4637</f>
        <v>0</v>
      </c>
      <c r="S4637" s="513"/>
      <c r="T4637" s="884">
        <f>$A4637*S4637*$T$1</f>
        <v>0</v>
      </c>
    </row>
    <row r="4638" spans="1:41" s="1039" customFormat="1" ht="13.2">
      <c r="A4638" s="112">
        <f>1*2</f>
        <v>2</v>
      </c>
      <c r="B4638" s="1039" t="s">
        <v>326</v>
      </c>
      <c r="D4638" s="1039" t="s">
        <v>1224</v>
      </c>
      <c r="G4638" s="1040" t="s">
        <v>1221</v>
      </c>
      <c r="H4638" s="1041">
        <v>700</v>
      </c>
      <c r="I4638" s="1039" t="s">
        <v>1132</v>
      </c>
      <c r="J4638" s="1039" t="s">
        <v>1222</v>
      </c>
      <c r="O4638" s="1042">
        <v>1</v>
      </c>
      <c r="P4638" s="1043">
        <v>42213</v>
      </c>
      <c r="Q4638" s="1044">
        <v>1.41</v>
      </c>
      <c r="R4638" s="1045">
        <f>$A4638*Q4638</f>
        <v>2.82</v>
      </c>
      <c r="S4638" s="1044">
        <v>0.18</v>
      </c>
      <c r="T4638" s="1046">
        <f>$A4638*S4638*$T$1</f>
        <v>0.378</v>
      </c>
    </row>
    <row r="4639" spans="1:41" s="504" customFormat="1" ht="13.2">
      <c r="A4639" s="930"/>
      <c r="B4639" s="513"/>
      <c r="C4639" s="513"/>
      <c r="D4639" s="3"/>
      <c r="E4639" s="513"/>
      <c r="F4639" s="513"/>
      <c r="G4639" s="513"/>
      <c r="H4639" s="513"/>
      <c r="I4639" s="513"/>
      <c r="J4639" s="513"/>
      <c r="K4639" s="513"/>
      <c r="L4639" s="1246"/>
      <c r="M4639" s="513"/>
      <c r="N4639" s="513"/>
      <c r="O4639" s="513"/>
      <c r="P4639" s="513"/>
      <c r="Q4639" s="513"/>
      <c r="R4639" s="1247">
        <f>$A4639*Q4639</f>
        <v>0</v>
      </c>
      <c r="S4639" s="513"/>
      <c r="T4639" s="884">
        <f>$A4639*S4639*$T$1</f>
        <v>0</v>
      </c>
    </row>
    <row r="4640" spans="1:41" s="504" customFormat="1" ht="12" customHeight="1">
      <c r="A4640" s="1272" t="s">
        <v>142</v>
      </c>
      <c r="B4640" s="1273">
        <f>(R4639+T4639)</f>
        <v>0</v>
      </c>
      <c r="C4640" s="1274"/>
      <c r="D4640" s="1274"/>
      <c r="E4640" s="1274"/>
      <c r="F4640" s="1274"/>
      <c r="G4640" s="1253"/>
      <c r="H4640" s="1253"/>
      <c r="I4640" s="1253"/>
      <c r="J4640" s="1253"/>
      <c r="K4640" s="1275" t="s">
        <v>3</v>
      </c>
      <c r="L4640" s="1276" t="s">
        <v>1473</v>
      </c>
      <c r="M4640" s="1253"/>
      <c r="N4640" s="1253"/>
      <c r="O4640" s="1253"/>
      <c r="P4640" s="1253"/>
      <c r="Q4640" s="1253"/>
      <c r="R4640" s="1254">
        <f>SUM(R4636:R4639)</f>
        <v>2.82</v>
      </c>
      <c r="S4640" s="1255"/>
      <c r="T4640" s="1254">
        <f>SUM(T4636:T4639)</f>
        <v>0.378</v>
      </c>
      <c r="AG4640" s="1256">
        <f>ROUND($R4640*$S$2,2)</f>
        <v>3.44</v>
      </c>
    </row>
    <row r="4641" spans="1:41" s="504" customFormat="1" ht="12.75" customHeight="1">
      <c r="A4641" s="1277"/>
      <c r="B4641" s="1278"/>
      <c r="E4641" s="882"/>
      <c r="F4641" s="1279"/>
      <c r="G4641" s="882"/>
      <c r="H4641" s="882"/>
      <c r="I4641" s="503"/>
      <c r="J4641" s="882"/>
      <c r="K4641" s="882"/>
      <c r="L4641" s="1280"/>
      <c r="M4641" s="933"/>
      <c r="N4641" s="933"/>
      <c r="O4641" s="933"/>
      <c r="P4641" s="933"/>
      <c r="Q4641" s="900"/>
      <c r="R4641" s="1258"/>
      <c r="S4641" s="882"/>
      <c r="T4641" s="1258"/>
    </row>
    <row r="4642" spans="1:41" s="504" customFormat="1" ht="13.5" customHeight="1" thickBot="1">
      <c r="A4642" s="1281"/>
      <c r="B4642" s="1282"/>
      <c r="C4642" s="514"/>
      <c r="D4642" s="514"/>
      <c r="E4642" s="887"/>
      <c r="F4642" s="888"/>
      <c r="G4642" s="887" t="s">
        <v>143</v>
      </c>
      <c r="H4642" s="887"/>
      <c r="I4642" s="889"/>
      <c r="J4642" s="887"/>
      <c r="K4642" s="887"/>
      <c r="L4642" s="1283" t="s">
        <v>140</v>
      </c>
      <c r="M4642" s="890"/>
      <c r="N4642" s="890"/>
      <c r="O4642" s="890"/>
      <c r="P4642" s="890"/>
      <c r="Q4642" s="891"/>
      <c r="R4642" s="1284">
        <f>SUMIF($L4629:$L4641,"SUBI",R4629:R4641)</f>
        <v>304.65999999999997</v>
      </c>
      <c r="S4642" s="887"/>
      <c r="T4642" s="1284">
        <f>SUMIF($L4629:$L4641,"SUBI",T4629:T4641)</f>
        <v>0.378</v>
      </c>
      <c r="U4642" s="514"/>
      <c r="V4642" s="514"/>
      <c r="W4642" s="514"/>
      <c r="X4642" s="514"/>
      <c r="Y4642" s="514"/>
      <c r="Z4642" s="514"/>
      <c r="AA4642" s="514"/>
      <c r="AB4642" s="514"/>
      <c r="AC4642" s="514"/>
      <c r="AD4642" s="514"/>
      <c r="AE4642" s="514"/>
      <c r="AF4642" s="514"/>
      <c r="AG4642" s="514"/>
      <c r="AH4642" s="514"/>
      <c r="AI4642" s="514"/>
      <c r="AJ4642" s="514"/>
      <c r="AK4642" s="514"/>
      <c r="AL4642" s="514"/>
      <c r="AM4642" s="514"/>
      <c r="AN4642" s="514"/>
      <c r="AO4642" s="514"/>
    </row>
    <row r="4643" spans="1:41" s="504" customFormat="1" ht="12" thickTop="1">
      <c r="A4643" s="50"/>
      <c r="B4643" s="40"/>
      <c r="C4643" s="50"/>
      <c r="E4643" s="41" t="s">
        <v>136</v>
      </c>
      <c r="F4643" s="41" t="s">
        <v>137</v>
      </c>
      <c r="G4643" s="50"/>
      <c r="H4643" s="50"/>
      <c r="I4643" s="50"/>
      <c r="J4643" s="50"/>
      <c r="K4643" s="50" t="s">
        <v>138</v>
      </c>
      <c r="L4643" s="50"/>
      <c r="M4643" s="50"/>
      <c r="N4643" s="50"/>
      <c r="O4643" s="51"/>
      <c r="P4643" s="50"/>
      <c r="Q4643" s="50"/>
      <c r="R4643" s="50"/>
      <c r="S4643" s="50"/>
      <c r="T4643" s="40"/>
      <c r="AG4643" s="867" t="s">
        <v>241</v>
      </c>
      <c r="AH4643" s="867" t="s">
        <v>242</v>
      </c>
      <c r="AI4643" s="867" t="s">
        <v>243</v>
      </c>
      <c r="AJ4643" s="867" t="s">
        <v>244</v>
      </c>
      <c r="AK4643" s="867" t="s">
        <v>245</v>
      </c>
      <c r="AM4643" s="868" t="s">
        <v>254</v>
      </c>
      <c r="AN4643" s="869" t="s">
        <v>255</v>
      </c>
      <c r="AO4643" s="505" t="s">
        <v>251</v>
      </c>
    </row>
    <row r="4644" spans="1:41" s="504" customFormat="1" ht="12" customHeight="1">
      <c r="A4644" s="870">
        <v>120</v>
      </c>
      <c r="B4644" s="506" t="s">
        <v>326</v>
      </c>
      <c r="C4644" s="872"/>
      <c r="D4644" s="873" t="s">
        <v>868</v>
      </c>
      <c r="E4644" s="1027">
        <f>IF(AND($A4644=0,$A$1="DIF"),0, ROUND(ROUND(($R4648*$S$5+($T4648*$T$5))/$A4644,2)*$C$5,2))</f>
        <v>10.78</v>
      </c>
      <c r="F4644" s="1028">
        <f>ROUND($A4644*$E4644,2)</f>
        <v>1293.5999999999999</v>
      </c>
      <c r="G4644" s="876" t="s">
        <v>139</v>
      </c>
      <c r="H4644" s="877"/>
      <c r="I4644" s="878"/>
      <c r="J4644" s="877"/>
      <c r="K4644" s="877" t="s">
        <v>9</v>
      </c>
      <c r="L4644" s="879" t="s">
        <v>140</v>
      </c>
      <c r="M4644" s="879"/>
      <c r="N4644" s="879"/>
      <c r="O4644" s="879"/>
      <c r="P4644" s="879"/>
      <c r="Q4644" s="50"/>
      <c r="T4644" s="1032" t="str">
        <f>IF(AND($R4648=0,$T4648=0),"0.00","mu: "&amp; ROUND(F4644/$C$5/($R4648+$T4648*$D$9),2))</f>
        <v>mu: 1.07</v>
      </c>
      <c r="W4644" s="507"/>
      <c r="AG4644" s="1029">
        <f>IF($E4644=0,0,ROUND($R4648*$S$5*$C$5/$A4644,2))</f>
        <v>10.78</v>
      </c>
      <c r="AH4644" s="1029">
        <f>$AG4644*$A4644</f>
        <v>1293.5999999999999</v>
      </c>
      <c r="AI4644" s="1030">
        <f>$E4644-$AG4644</f>
        <v>0</v>
      </c>
      <c r="AJ4644" s="1030">
        <f>$A4644*$AI4644</f>
        <v>0</v>
      </c>
      <c r="AK4644" s="1031">
        <f>ROUND(($AG4644+$AI4644)*$A4644,2)</f>
        <v>1293.5999999999999</v>
      </c>
      <c r="AM4644" s="510">
        <f>ROUND(R4648,2)</f>
        <v>1203.5999999999999</v>
      </c>
      <c r="AN4644" s="511">
        <f>ROUND(T4648,2)</f>
        <v>0</v>
      </c>
      <c r="AO4644" s="512">
        <f>ROUND(AM4644+AN4644,2)*A4644</f>
        <v>144432</v>
      </c>
    </row>
    <row r="4645" spans="1:41" s="504" customFormat="1" ht="13.2">
      <c r="A4645" s="872"/>
      <c r="B4645"/>
      <c r="C4645" s="872"/>
      <c r="D4645" s="873" t="s">
        <v>518</v>
      </c>
      <c r="F4645" s="877"/>
      <c r="G4645" s="3"/>
      <c r="H4645" s="877"/>
      <c r="I4645" s="878"/>
      <c r="J4645" s="877"/>
      <c r="K4645" s="877" t="s">
        <v>141</v>
      </c>
      <c r="L4645" s="877"/>
      <c r="M4645" s="877"/>
      <c r="N4645" s="877"/>
      <c r="O4645" s="877"/>
      <c r="P4645" s="877"/>
      <c r="Q4645" s="50"/>
      <c r="R4645" s="513"/>
      <c r="S4645" s="881"/>
      <c r="T4645" s="877"/>
    </row>
    <row r="4646" spans="1:41" s="1039" customFormat="1" ht="13.2">
      <c r="A4646" s="112">
        <v>120</v>
      </c>
      <c r="B4646" s="1039" t="s">
        <v>326</v>
      </c>
      <c r="D4646" s="1039" t="s">
        <v>518</v>
      </c>
      <c r="G4646" s="1040" t="s">
        <v>1456</v>
      </c>
      <c r="H4646" s="1041">
        <v>725</v>
      </c>
      <c r="I4646" s="1039" t="s">
        <v>951</v>
      </c>
      <c r="O4646" s="1042">
        <v>3</v>
      </c>
      <c r="P4646" s="1043"/>
      <c r="Q4646" s="1044">
        <v>10.029999999999999</v>
      </c>
      <c r="R4646" s="1045">
        <f>$A4646*Q4646</f>
        <v>1203.5999999999999</v>
      </c>
      <c r="S4646" s="1044"/>
      <c r="T4646" s="1046">
        <f>$A4646*S4646*$T$1</f>
        <v>0</v>
      </c>
    </row>
    <row r="4647" spans="1:41" s="504" customFormat="1" ht="12">
      <c r="A4647" s="882"/>
      <c r="B4647" s="882"/>
      <c r="C4647" s="882"/>
      <c r="D4647" s="882"/>
      <c r="E4647" s="882"/>
      <c r="F4647" s="877"/>
      <c r="G4647" s="882"/>
      <c r="H4647" s="882"/>
      <c r="I4647" s="503"/>
      <c r="J4647" s="882"/>
      <c r="K4647" s="882"/>
      <c r="L4647" s="882"/>
      <c r="M4647" s="882"/>
      <c r="N4647" s="882"/>
      <c r="O4647" s="882"/>
      <c r="P4647" s="882"/>
      <c r="Q4647" s="503"/>
      <c r="R4647" s="883">
        <f>$A4647*Q4647</f>
        <v>0</v>
      </c>
      <c r="S4647" s="503"/>
      <c r="T4647" s="884">
        <f>$A4647*S4647*$T$1</f>
        <v>0</v>
      </c>
    </row>
    <row r="4648" spans="1:41" s="504" customFormat="1" ht="12.6" thickBot="1">
      <c r="A4648" s="885" t="s">
        <v>142</v>
      </c>
      <c r="B4648" s="886">
        <f>(R4647+T4647)</f>
        <v>0</v>
      </c>
      <c r="C4648" s="887"/>
      <c r="D4648" s="887"/>
      <c r="E4648" s="887"/>
      <c r="F4648" s="888"/>
      <c r="G4648" s="887" t="s">
        <v>143</v>
      </c>
      <c r="H4648" s="887"/>
      <c r="I4648" s="889"/>
      <c r="J4648" s="887"/>
      <c r="K4648" s="887" t="s">
        <v>9</v>
      </c>
      <c r="L4648" s="890" t="s">
        <v>140</v>
      </c>
      <c r="M4648" s="890"/>
      <c r="N4648" s="890"/>
      <c r="O4648" s="890"/>
      <c r="P4648" s="890"/>
      <c r="Q4648" s="891"/>
      <c r="R4648" s="892">
        <f>SUM(R4645:R4647)</f>
        <v>1203.5999999999999</v>
      </c>
      <c r="S4648" s="887"/>
      <c r="T4648" s="892">
        <f>SUM(T4645:T4647)</f>
        <v>0</v>
      </c>
      <c r="U4648" s="514"/>
      <c r="V4648" s="514"/>
      <c r="W4648" s="514"/>
      <c r="X4648" s="514"/>
      <c r="Y4648" s="514"/>
      <c r="Z4648" s="514"/>
      <c r="AA4648" s="514"/>
      <c r="AB4648" s="514"/>
      <c r="AC4648" s="514"/>
      <c r="AD4648" s="514"/>
      <c r="AE4648" s="514"/>
      <c r="AF4648" s="514"/>
      <c r="AG4648" s="514"/>
      <c r="AH4648" s="514"/>
      <c r="AI4648" s="514"/>
      <c r="AJ4648" s="514"/>
      <c r="AK4648" s="514"/>
      <c r="AL4648" s="514"/>
      <c r="AM4648" s="514"/>
      <c r="AN4648" s="514"/>
      <c r="AO4648" s="514"/>
    </row>
    <row r="4649" spans="1:41" s="504" customFormat="1" thickTop="1">
      <c r="A4649" s="50"/>
      <c r="B4649" s="40"/>
      <c r="C4649" s="50"/>
      <c r="E4649" s="41" t="s">
        <v>136</v>
      </c>
      <c r="F4649" s="41" t="s">
        <v>137</v>
      </c>
      <c r="G4649" s="50"/>
      <c r="H4649" s="50"/>
      <c r="I4649" s="50"/>
      <c r="J4649" s="50"/>
      <c r="K4649" s="50" t="s">
        <v>138</v>
      </c>
      <c r="L4649" s="1219"/>
      <c r="M4649" s="50"/>
      <c r="N4649" s="50"/>
      <c r="O4649" s="51"/>
      <c r="P4649" s="50"/>
      <c r="Q4649"/>
      <c r="R4649"/>
      <c r="S4649"/>
      <c r="T4649" s="40"/>
      <c r="AG4649" s="867" t="s">
        <v>241</v>
      </c>
      <c r="AH4649" s="867" t="s">
        <v>242</v>
      </c>
      <c r="AI4649" s="867" t="s">
        <v>243</v>
      </c>
      <c r="AJ4649" s="867" t="s">
        <v>244</v>
      </c>
      <c r="AK4649" s="867" t="s">
        <v>245</v>
      </c>
      <c r="AM4649" s="868" t="s">
        <v>254</v>
      </c>
      <c r="AN4649" s="869" t="s">
        <v>255</v>
      </c>
      <c r="AO4649" s="505" t="s">
        <v>251</v>
      </c>
    </row>
    <row r="4650" spans="1:41" s="504" customFormat="1" ht="13.2">
      <c r="A4650" s="870">
        <v>3</v>
      </c>
      <c r="B4650" s="506" t="s">
        <v>335</v>
      </c>
      <c r="C4650" s="872"/>
      <c r="D4650" s="873" t="s">
        <v>869</v>
      </c>
      <c r="E4650" s="1220">
        <f>IF(AND($A4650=0,$A$1="DIF"),0, ROUND(ROUND(SUMIF($L4652:$L4658,"SUBI",$E4652:$E4658)/$A4650,2)*$C$12,2))</f>
        <v>143.13999999999999</v>
      </c>
      <c r="F4650" s="1221">
        <f>ROUND($A4650*$E4650,2)</f>
        <v>429.42</v>
      </c>
      <c r="G4650" s="876" t="s">
        <v>139</v>
      </c>
      <c r="H4650" s="877"/>
      <c r="I4650" s="878"/>
      <c r="J4650" s="877"/>
      <c r="K4650" s="1222"/>
      <c r="L4650" s="1223" t="s">
        <v>140</v>
      </c>
      <c r="M4650" s="879"/>
      <c r="N4650" s="879"/>
      <c r="O4650" s="879"/>
      <c r="P4650" s="879"/>
      <c r="Q4650"/>
      <c r="R4650"/>
      <c r="S4650"/>
      <c r="T4650" s="1224" t="str">
        <f>IF(AND($R4664=0,$T4664=0),"0.00","mu :" &amp; ROUND($F4650/$C$12/($R4664+$T4664*$D$9),2))</f>
        <v>mu :1.1</v>
      </c>
      <c r="W4650" s="507"/>
      <c r="AG4650" s="1225">
        <f>IF(A4650=0,0,ROUND(SUM(AG4652:AG4664)/A4650,2))</f>
        <v>123.2</v>
      </c>
      <c r="AH4650" s="1225">
        <f>$AG4650*$A4650</f>
        <v>369.6</v>
      </c>
      <c r="AI4650" s="1225">
        <f>$E4650-$AG4650</f>
        <v>19.939999999999984</v>
      </c>
      <c r="AJ4650" s="1225">
        <f>$A4650*$AI4650</f>
        <v>59.819999999999951</v>
      </c>
      <c r="AK4650" s="1226">
        <f>ROUND(($AG4650+$AI4650)*$A4650,2)</f>
        <v>429.42</v>
      </c>
      <c r="AM4650" s="510">
        <f>ROUND(R4664,2)</f>
        <v>342.09</v>
      </c>
      <c r="AN4650" s="511">
        <f>ROUND(T4664,2)</f>
        <v>1.7</v>
      </c>
      <c r="AO4650" s="512">
        <f>ROUND(AM4650+AN4650,2)*A4650</f>
        <v>1031.3700000000001</v>
      </c>
    </row>
    <row r="4651" spans="1:41" s="504" customFormat="1" ht="13.2">
      <c r="A4651" s="872"/>
      <c r="B4651"/>
      <c r="C4651" s="872"/>
      <c r="D4651" s="873" t="s">
        <v>521</v>
      </c>
      <c r="F4651" s="877"/>
      <c r="G4651" s="877"/>
      <c r="H4651" s="877"/>
      <c r="I4651" s="878"/>
      <c r="J4651" s="877"/>
      <c r="K4651" s="877" t="s">
        <v>141</v>
      </c>
      <c r="L4651" s="1227"/>
      <c r="M4651" s="877"/>
      <c r="N4651" s="877"/>
      <c r="O4651" s="877"/>
      <c r="P4651" s="877"/>
      <c r="Q4651" s="50"/>
      <c r="R4651" s="513"/>
      <c r="S4651" s="881"/>
      <c r="T4651" s="877"/>
    </row>
    <row r="4652" spans="1:41" s="504" customFormat="1" ht="12">
      <c r="A4652" s="1228"/>
      <c r="B4652" s="1229"/>
      <c r="C4652" s="882"/>
      <c r="D4652" s="877"/>
      <c r="E4652" s="1230">
        <f>F4650/$C$12-SUMIF($L4649:$L4664,"SUBI",$E4649:$E4664)</f>
        <v>-9.9999999999909051E-3</v>
      </c>
      <c r="F4652" s="1231" t="s">
        <v>1472</v>
      </c>
      <c r="G4652" s="1232"/>
      <c r="H4652" s="1232"/>
      <c r="I4652" s="1233"/>
      <c r="J4652" s="1232"/>
      <c r="K4652" s="1232"/>
      <c r="L4652" s="1234"/>
      <c r="M4652" s="1235"/>
      <c r="N4652" s="1235"/>
      <c r="O4652" s="1235"/>
      <c r="P4652" s="1235"/>
      <c r="Q4652" s="1236"/>
      <c r="R4652" s="1237"/>
      <c r="S4652" s="1236"/>
      <c r="T4652" s="1238"/>
    </row>
    <row r="4653" spans="1:41" s="504" customFormat="1" ht="12" customHeight="1">
      <c r="A4653" s="1239"/>
      <c r="B4653" s="1285"/>
      <c r="C4653" s="1286"/>
      <c r="D4653" s="1286" t="str">
        <f>$F$5</f>
        <v>ELV Sub-Contractor - APCO</v>
      </c>
      <c r="E4653" s="1286">
        <f>ROUND(($R4657*$S$5 + ($T4657*$T$5)),2)</f>
        <v>354.11</v>
      </c>
      <c r="F4653" s="1287">
        <f>$E4653*$C$12</f>
        <v>354.11</v>
      </c>
      <c r="G4653" s="513"/>
      <c r="H4653" s="1241"/>
      <c r="I4653" s="513"/>
      <c r="J4653" s="51"/>
      <c r="K4653" s="1242" t="s">
        <v>9</v>
      </c>
      <c r="L4653" s="1243" t="s">
        <v>1473</v>
      </c>
      <c r="M4653" s="513"/>
      <c r="N4653" s="513"/>
      <c r="O4653" s="51"/>
      <c r="P4653" s="513"/>
      <c r="Q4653" s="513"/>
      <c r="R4653"/>
      <c r="S4653"/>
      <c r="T4653"/>
    </row>
    <row r="4654" spans="1:41" s="504" customFormat="1" ht="13.95" customHeight="1">
      <c r="A4654" s="930"/>
      <c r="B4654" s="1244" t="s">
        <v>1474</v>
      </c>
      <c r="C4654" s="513"/>
      <c r="D4654" s="513"/>
      <c r="E4654" s="513"/>
      <c r="F4654" s="513"/>
      <c r="G4654" s="513"/>
      <c r="H4654" s="1241"/>
      <c r="I4654" s="513"/>
      <c r="J4654" s="51"/>
      <c r="K4654" s="1245"/>
      <c r="L4654" s="1246"/>
      <c r="M4654" s="513"/>
      <c r="N4654" s="513"/>
      <c r="O4654" s="51"/>
      <c r="P4654" s="513"/>
      <c r="Q4654" s="513"/>
      <c r="R4654" s="1247">
        <f>$A4654*Q4654</f>
        <v>0</v>
      </c>
      <c r="S4654" s="513"/>
      <c r="T4654" s="884">
        <f>$A4654*S4654*$T$1</f>
        <v>0</v>
      </c>
    </row>
    <row r="4655" spans="1:41" s="1039" customFormat="1" ht="13.2">
      <c r="A4655" s="112">
        <v>3</v>
      </c>
      <c r="B4655" s="1039" t="s">
        <v>949</v>
      </c>
      <c r="D4655" s="1039" t="s">
        <v>521</v>
      </c>
      <c r="G4655" s="1040" t="s">
        <v>1456</v>
      </c>
      <c r="H4655" s="1041">
        <v>725</v>
      </c>
      <c r="I4655" s="1039" t="s">
        <v>951</v>
      </c>
      <c r="O4655" s="1042">
        <v>3</v>
      </c>
      <c r="P4655" s="1043"/>
      <c r="Q4655" s="1044">
        <v>109.8</v>
      </c>
      <c r="R4655" s="1045">
        <f>$A4655*Q4655</f>
        <v>329.4</v>
      </c>
      <c r="S4655" s="1044"/>
      <c r="T4655" s="1046">
        <f>$A4655*S4655*$T$1</f>
        <v>0</v>
      </c>
    </row>
    <row r="4656" spans="1:41" s="504" customFormat="1" ht="13.95" customHeight="1">
      <c r="A4656" s="930"/>
      <c r="B4656" s="513"/>
      <c r="C4656" s="513"/>
      <c r="D4656" s="513"/>
      <c r="E4656" s="513"/>
      <c r="F4656" s="513"/>
      <c r="G4656" s="513"/>
      <c r="H4656" s="1241"/>
      <c r="I4656" s="513"/>
      <c r="J4656" s="51"/>
      <c r="K4656" s="1245"/>
      <c r="L4656" s="1246"/>
      <c r="M4656" s="513"/>
      <c r="N4656" s="513"/>
      <c r="O4656" s="51"/>
      <c r="P4656" s="513"/>
      <c r="Q4656" s="513"/>
      <c r="R4656" s="1247">
        <f>$A4656*Q4656</f>
        <v>0</v>
      </c>
      <c r="S4656" s="513"/>
      <c r="T4656" s="884">
        <f>$A4656*S4656*$T$1</f>
        <v>0</v>
      </c>
    </row>
    <row r="4657" spans="1:41" s="504" customFormat="1" ht="12">
      <c r="A4657" s="1248" t="s">
        <v>142</v>
      </c>
      <c r="B4657" s="1249">
        <f>(R4656+T4656)</f>
        <v>0</v>
      </c>
      <c r="C4657" s="882"/>
      <c r="G4657" s="1250"/>
      <c r="H4657" s="1250"/>
      <c r="I4657" s="1250"/>
      <c r="J4657" s="1250"/>
      <c r="K4657" s="1251" t="s">
        <v>9</v>
      </c>
      <c r="L4657" s="1252" t="s">
        <v>1473</v>
      </c>
      <c r="M4657" s="1250"/>
      <c r="N4657" s="1250"/>
      <c r="O4657" s="1250"/>
      <c r="P4657" s="1250"/>
      <c r="Q4657" s="1253"/>
      <c r="R4657" s="1254">
        <f>SUM(R4653:R4656)</f>
        <v>329.4</v>
      </c>
      <c r="S4657" s="1255"/>
      <c r="T4657" s="1254">
        <f>SUM(T4653:T4656)</f>
        <v>0</v>
      </c>
      <c r="AG4657" s="1288">
        <f>ROUND($R4657*$S$5,2)</f>
        <v>354.11</v>
      </c>
    </row>
    <row r="4658" spans="1:41" s="504" customFormat="1" ht="12" customHeight="1">
      <c r="A4658" s="1257"/>
      <c r="B4658" s="1289"/>
      <c r="C4658" s="1240"/>
      <c r="D4658" s="1240" t="str">
        <f>$F$2</f>
        <v>Electrical</v>
      </c>
      <c r="E4658" s="1240">
        <f>ROUND(($R4662*$S$2 + ($T4662*$T$2)),2)</f>
        <v>75.319999999999993</v>
      </c>
      <c r="F4658" s="1290">
        <f ca="1">$F4650-SUMIF($L4652:$P4655,"SUBI",$F4652:$F4655)</f>
        <v>75.31</v>
      </c>
      <c r="G4658" s="503"/>
      <c r="H4658" s="503"/>
      <c r="I4658" s="503"/>
      <c r="J4658" s="503"/>
      <c r="K4658" s="1242" t="s">
        <v>3</v>
      </c>
      <c r="L4658" s="1243" t="s">
        <v>1473</v>
      </c>
      <c r="M4658" s="503"/>
      <c r="N4658" s="503"/>
      <c r="O4658" s="503"/>
      <c r="P4658" s="503"/>
      <c r="Q4658" s="503"/>
      <c r="R4658" s="1258"/>
      <c r="S4658" s="503"/>
      <c r="T4658" s="1258"/>
    </row>
    <row r="4659" spans="1:41" s="1271" customFormat="1" ht="14.4" customHeight="1">
      <c r="A4659" s="1259"/>
      <c r="B4659" s="1244" t="s">
        <v>1475</v>
      </c>
      <c r="C4659" s="1260"/>
      <c r="D4659" s="1261"/>
      <c r="E4659" s="1261"/>
      <c r="F4659" s="1261"/>
      <c r="G4659" s="1262"/>
      <c r="H4659" s="1263"/>
      <c r="I4659" s="1263"/>
      <c r="J4659" s="1264"/>
      <c r="K4659" s="1265"/>
      <c r="L4659" s="1260"/>
      <c r="M4659" s="1266"/>
      <c r="N4659" s="1267"/>
      <c r="O4659" s="1268"/>
      <c r="P4659" s="1269"/>
      <c r="Q4659" s="1270"/>
      <c r="R4659" s="1247">
        <f>$A4659*Q4659</f>
        <v>0</v>
      </c>
      <c r="S4659" s="513"/>
      <c r="T4659" s="884">
        <f>$A4659*S4659*$T$1</f>
        <v>0</v>
      </c>
    </row>
    <row r="4660" spans="1:41" s="1039" customFormat="1" ht="13.2">
      <c r="A4660" s="112">
        <f>3*3</f>
        <v>9</v>
      </c>
      <c r="B4660" s="1039" t="s">
        <v>326</v>
      </c>
      <c r="D4660" s="1039" t="s">
        <v>1224</v>
      </c>
      <c r="G4660" s="1040" t="s">
        <v>1221</v>
      </c>
      <c r="H4660" s="1041">
        <v>700</v>
      </c>
      <c r="I4660" s="1039" t="s">
        <v>1132</v>
      </c>
      <c r="J4660" s="1039" t="s">
        <v>1222</v>
      </c>
      <c r="O4660" s="1042">
        <v>1</v>
      </c>
      <c r="P4660" s="1043">
        <v>42213</v>
      </c>
      <c r="Q4660" s="1044">
        <v>1.41</v>
      </c>
      <c r="R4660" s="1045">
        <f>$A4660*Q4660</f>
        <v>12.69</v>
      </c>
      <c r="S4660" s="1044">
        <v>0.18</v>
      </c>
      <c r="T4660" s="1046">
        <f>$A4660*S4660*$T$1</f>
        <v>1.7009999999999998</v>
      </c>
    </row>
    <row r="4661" spans="1:41" s="504" customFormat="1" ht="13.2">
      <c r="A4661" s="930"/>
      <c r="B4661" s="513"/>
      <c r="C4661" s="513"/>
      <c r="D4661" s="3"/>
      <c r="E4661" s="513"/>
      <c r="F4661" s="513"/>
      <c r="G4661" s="513"/>
      <c r="H4661" s="513"/>
      <c r="I4661" s="513"/>
      <c r="J4661" s="513"/>
      <c r="K4661" s="513"/>
      <c r="L4661" s="1246"/>
      <c r="M4661" s="513"/>
      <c r="N4661" s="513"/>
      <c r="O4661" s="513"/>
      <c r="P4661" s="513"/>
      <c r="Q4661" s="513"/>
      <c r="R4661" s="1247">
        <f>$A4661*Q4661</f>
        <v>0</v>
      </c>
      <c r="S4661" s="513"/>
      <c r="T4661" s="884">
        <f>$A4661*S4661*$T$1</f>
        <v>0</v>
      </c>
    </row>
    <row r="4662" spans="1:41" s="504" customFormat="1" ht="12" customHeight="1">
      <c r="A4662" s="1272" t="s">
        <v>142</v>
      </c>
      <c r="B4662" s="1273">
        <f>(R4661+T4661)</f>
        <v>0</v>
      </c>
      <c r="C4662" s="1274"/>
      <c r="D4662" s="1274"/>
      <c r="E4662" s="1274"/>
      <c r="F4662" s="1274"/>
      <c r="G4662" s="1253"/>
      <c r="H4662" s="1253"/>
      <c r="I4662" s="1253"/>
      <c r="J4662" s="1253"/>
      <c r="K4662" s="1275" t="s">
        <v>3</v>
      </c>
      <c r="L4662" s="1276" t="s">
        <v>1473</v>
      </c>
      <c r="M4662" s="1253"/>
      <c r="N4662" s="1253"/>
      <c r="O4662" s="1253"/>
      <c r="P4662" s="1253"/>
      <c r="Q4662" s="1253"/>
      <c r="R4662" s="1254">
        <f>SUM(R4658:R4661)</f>
        <v>12.69</v>
      </c>
      <c r="S4662" s="1255"/>
      <c r="T4662" s="1254">
        <f>SUM(T4658:T4661)</f>
        <v>1.7009999999999998</v>
      </c>
      <c r="AG4662" s="1256">
        <f>ROUND($R4662*$S$2,2)</f>
        <v>15.48</v>
      </c>
    </row>
    <row r="4663" spans="1:41" s="504" customFormat="1" ht="12.75" customHeight="1">
      <c r="A4663" s="1277"/>
      <c r="B4663" s="1278"/>
      <c r="E4663" s="882"/>
      <c r="F4663" s="1279"/>
      <c r="G4663" s="882"/>
      <c r="H4663" s="882"/>
      <c r="I4663" s="503"/>
      <c r="J4663" s="882"/>
      <c r="K4663" s="882"/>
      <c r="L4663" s="1280"/>
      <c r="M4663" s="933"/>
      <c r="N4663" s="933"/>
      <c r="O4663" s="933"/>
      <c r="P4663" s="933"/>
      <c r="Q4663" s="900"/>
      <c r="R4663" s="1258"/>
      <c r="S4663" s="882"/>
      <c r="T4663" s="1258"/>
    </row>
    <row r="4664" spans="1:41" s="504" customFormat="1" ht="13.5" customHeight="1" thickBot="1">
      <c r="A4664" s="1281"/>
      <c r="B4664" s="1282"/>
      <c r="C4664" s="514"/>
      <c r="D4664" s="514"/>
      <c r="E4664" s="887"/>
      <c r="F4664" s="888"/>
      <c r="G4664" s="887" t="s">
        <v>143</v>
      </c>
      <c r="H4664" s="887"/>
      <c r="I4664" s="889"/>
      <c r="J4664" s="887"/>
      <c r="K4664" s="887"/>
      <c r="L4664" s="1283" t="s">
        <v>140</v>
      </c>
      <c r="M4664" s="890"/>
      <c r="N4664" s="890"/>
      <c r="O4664" s="890"/>
      <c r="P4664" s="890"/>
      <c r="Q4664" s="891"/>
      <c r="R4664" s="1284">
        <f>SUMIF($L4651:$L4663,"SUBI",R4651:R4663)</f>
        <v>342.09</v>
      </c>
      <c r="S4664" s="887"/>
      <c r="T4664" s="1284">
        <f>SUMIF($L4651:$L4663,"SUBI",T4651:T4663)</f>
        <v>1.7009999999999998</v>
      </c>
      <c r="U4664" s="514"/>
      <c r="V4664" s="514"/>
      <c r="W4664" s="514"/>
      <c r="X4664" s="514"/>
      <c r="Y4664" s="514"/>
      <c r="Z4664" s="514"/>
      <c r="AA4664" s="514"/>
      <c r="AB4664" s="514"/>
      <c r="AC4664" s="514"/>
      <c r="AD4664" s="514"/>
      <c r="AE4664" s="514"/>
      <c r="AF4664" s="514"/>
      <c r="AG4664" s="514"/>
      <c r="AH4664" s="514"/>
      <c r="AI4664" s="514"/>
      <c r="AJ4664" s="514"/>
      <c r="AK4664" s="514"/>
      <c r="AL4664" s="514"/>
      <c r="AM4664" s="514"/>
      <c r="AN4664" s="514"/>
      <c r="AO4664" s="514"/>
    </row>
    <row r="4665" spans="1:41" s="504" customFormat="1" thickTop="1">
      <c r="A4665" s="50"/>
      <c r="B4665" s="50"/>
      <c r="C4665" s="3"/>
      <c r="D4665" s="3"/>
      <c r="E4665" s="50"/>
      <c r="F4665" s="50"/>
      <c r="G4665" s="50"/>
      <c r="H4665" s="50"/>
      <c r="I4665" s="50"/>
      <c r="J4665" s="50"/>
      <c r="K4665" s="50" t="s">
        <v>133</v>
      </c>
      <c r="L4665" s="50"/>
      <c r="M4665" s="50"/>
      <c r="N4665" s="50"/>
      <c r="O4665" s="51"/>
      <c r="P4665" s="50"/>
      <c r="Q4665" s="50"/>
      <c r="R4665" s="50"/>
      <c r="S4665" s="50"/>
      <c r="T4665" s="50"/>
    </row>
    <row r="4666" spans="1:41" s="504" customFormat="1" ht="12">
      <c r="A4666" s="50"/>
      <c r="B4666" s="50"/>
      <c r="C4666" s="50" t="s">
        <v>134</v>
      </c>
      <c r="D4666" s="37"/>
      <c r="E4666" s="50"/>
      <c r="F4666" s="50"/>
      <c r="G4666" s="50"/>
      <c r="H4666" s="50"/>
      <c r="I4666" s="50"/>
      <c r="J4666" s="50"/>
      <c r="K4666" s="50"/>
      <c r="L4666" s="50"/>
      <c r="M4666" s="50"/>
      <c r="N4666" s="50"/>
      <c r="O4666" s="51"/>
      <c r="P4666" s="50"/>
      <c r="Q4666" s="50"/>
      <c r="R4666" s="50"/>
      <c r="S4666" s="50"/>
      <c r="T4666" s="50"/>
    </row>
    <row r="4667" spans="1:41" s="504" customFormat="1" ht="12">
      <c r="A4667" s="50"/>
      <c r="B4667" s="50"/>
      <c r="C4667" s="50"/>
      <c r="D4667" s="37" t="s">
        <v>447</v>
      </c>
      <c r="E4667" s="50"/>
      <c r="F4667" s="50"/>
      <c r="G4667" s="50"/>
      <c r="H4667" s="50"/>
      <c r="I4667" s="50"/>
      <c r="J4667" s="50"/>
      <c r="K4667" s="50"/>
      <c r="L4667" s="50"/>
      <c r="M4667" s="50"/>
      <c r="N4667" s="50"/>
      <c r="O4667" s="51"/>
      <c r="P4667" s="50"/>
      <c r="Q4667" s="50"/>
      <c r="R4667" s="50"/>
      <c r="S4667" s="38"/>
      <c r="T4667" s="38"/>
    </row>
    <row r="4668" spans="1:41" s="3" customFormat="1" thickBot="1">
      <c r="A4668" s="514"/>
      <c r="O4668" s="103"/>
    </row>
    <row r="4669" spans="1:41" s="504" customFormat="1" ht="12" thickTop="1">
      <c r="A4669" s="50"/>
      <c r="B4669" s="40"/>
      <c r="C4669" s="50"/>
      <c r="E4669" s="41" t="s">
        <v>136</v>
      </c>
      <c r="F4669" s="41" t="s">
        <v>137</v>
      </c>
      <c r="G4669" s="50"/>
      <c r="H4669" s="50"/>
      <c r="I4669" s="50"/>
      <c r="J4669" s="50"/>
      <c r="K4669" s="50" t="s">
        <v>138</v>
      </c>
      <c r="L4669" s="50"/>
      <c r="M4669" s="50"/>
      <c r="N4669" s="50"/>
      <c r="O4669" s="51"/>
      <c r="P4669" s="50"/>
      <c r="Q4669" s="50"/>
      <c r="R4669" s="50"/>
      <c r="S4669" s="50"/>
      <c r="T4669" s="40"/>
      <c r="AG4669" s="867" t="s">
        <v>241</v>
      </c>
      <c r="AH4669" s="867" t="s">
        <v>242</v>
      </c>
      <c r="AI4669" s="867" t="s">
        <v>243</v>
      </c>
      <c r="AJ4669" s="867" t="s">
        <v>244</v>
      </c>
      <c r="AK4669" s="867" t="s">
        <v>245</v>
      </c>
      <c r="AM4669" s="868" t="s">
        <v>254</v>
      </c>
      <c r="AN4669" s="869" t="s">
        <v>255</v>
      </c>
      <c r="AO4669" s="505" t="s">
        <v>251</v>
      </c>
    </row>
    <row r="4670" spans="1:41" s="504" customFormat="1" ht="12" customHeight="1">
      <c r="A4670" s="870">
        <v>18</v>
      </c>
      <c r="B4670" s="506" t="s">
        <v>335</v>
      </c>
      <c r="C4670" s="872"/>
      <c r="D4670" s="873" t="s">
        <v>870</v>
      </c>
      <c r="E4670" s="1027">
        <f>IF(AND($A4670=0,$A$1="DIF"),0, ROUND(ROUND(($R4674*$S$5+($T4674*$T$5))/$A4670,2)*$C$5,2))</f>
        <v>62.88</v>
      </c>
      <c r="F4670" s="1028">
        <f>ROUND($A4670*$E4670,2)</f>
        <v>1131.8399999999999</v>
      </c>
      <c r="G4670" s="876" t="s">
        <v>139</v>
      </c>
      <c r="H4670" s="877"/>
      <c r="I4670" s="878"/>
      <c r="J4670" s="877"/>
      <c r="K4670" s="877" t="s">
        <v>9</v>
      </c>
      <c r="L4670" s="879" t="s">
        <v>140</v>
      </c>
      <c r="M4670" s="879"/>
      <c r="N4670" s="879"/>
      <c r="O4670" s="879"/>
      <c r="P4670" s="879"/>
      <c r="Q4670" s="50"/>
      <c r="T4670" s="1032" t="str">
        <f>IF(AND($R4674=0,$T4674=0),"0.00","mu: "&amp; ROUND(F4670/$C$5/($R4674+$T4674*$D$9),2))</f>
        <v>mu: 1.08</v>
      </c>
      <c r="W4670" s="507"/>
      <c r="AG4670" s="1029">
        <f>IF($E4670=0,0,ROUND($R4674*$S$5*$C$5/$A4670,2))</f>
        <v>62.88</v>
      </c>
      <c r="AH4670" s="1029">
        <f>$AG4670*$A4670</f>
        <v>1131.8400000000001</v>
      </c>
      <c r="AI4670" s="1030">
        <f>$E4670-$AG4670</f>
        <v>0</v>
      </c>
      <c r="AJ4670" s="1030">
        <f>$A4670*$AI4670</f>
        <v>0</v>
      </c>
      <c r="AK4670" s="1031">
        <f>ROUND(($AG4670+$AI4670)*$A4670,2)</f>
        <v>1131.8399999999999</v>
      </c>
      <c r="AM4670" s="510">
        <f>ROUND(R4674,2)</f>
        <v>1052.82</v>
      </c>
      <c r="AN4670" s="511">
        <f>ROUND(T4674,2)</f>
        <v>0</v>
      </c>
      <c r="AO4670" s="512">
        <f>ROUND(AM4670+AN4670,2)*A4670</f>
        <v>18950.759999999998</v>
      </c>
    </row>
    <row r="4671" spans="1:41" s="504" customFormat="1" ht="13.2">
      <c r="A4671" s="872"/>
      <c r="B4671"/>
      <c r="C4671" s="872"/>
      <c r="D4671" s="873" t="s">
        <v>511</v>
      </c>
      <c r="F4671" s="877"/>
      <c r="G4671" s="3"/>
      <c r="H4671" s="877"/>
      <c r="I4671" s="878"/>
      <c r="J4671" s="877"/>
      <c r="K4671" s="877" t="s">
        <v>141</v>
      </c>
      <c r="L4671" s="877"/>
      <c r="M4671" s="877"/>
      <c r="N4671" s="877"/>
      <c r="O4671" s="877"/>
      <c r="P4671" s="877"/>
      <c r="Q4671" s="50"/>
      <c r="R4671" s="513"/>
      <c r="S4671" s="881"/>
      <c r="T4671" s="877"/>
    </row>
    <row r="4672" spans="1:41" s="1039" customFormat="1" ht="13.2">
      <c r="A4672" s="112">
        <v>18</v>
      </c>
      <c r="B4672" s="1039" t="s">
        <v>949</v>
      </c>
      <c r="D4672" s="1039" t="s">
        <v>511</v>
      </c>
      <c r="G4672" s="1040" t="s">
        <v>1456</v>
      </c>
      <c r="H4672" s="1041">
        <v>725</v>
      </c>
      <c r="I4672" s="1039" t="s">
        <v>951</v>
      </c>
      <c r="O4672" s="1042">
        <v>3</v>
      </c>
      <c r="P4672" s="1043"/>
      <c r="Q4672" s="1044">
        <v>58.49</v>
      </c>
      <c r="R4672" s="1045">
        <f>$A4672*Q4672</f>
        <v>1052.82</v>
      </c>
      <c r="S4672" s="1044"/>
      <c r="T4672" s="1046">
        <f>$A4672*S4672*$T$1</f>
        <v>0</v>
      </c>
    </row>
    <row r="4673" spans="1:41" s="504" customFormat="1" ht="12">
      <c r="A4673" s="882"/>
      <c r="B4673" s="882"/>
      <c r="C4673" s="882"/>
      <c r="D4673" s="882"/>
      <c r="E4673" s="882"/>
      <c r="F4673" s="877"/>
      <c r="G4673" s="882"/>
      <c r="H4673" s="882"/>
      <c r="I4673" s="503"/>
      <c r="J4673" s="882"/>
      <c r="K4673" s="882"/>
      <c r="L4673" s="882"/>
      <c r="M4673" s="882"/>
      <c r="N4673" s="882"/>
      <c r="O4673" s="882"/>
      <c r="P4673" s="882"/>
      <c r="Q4673" s="503"/>
      <c r="R4673" s="883">
        <f>$A4673*Q4673</f>
        <v>0</v>
      </c>
      <c r="S4673" s="503"/>
      <c r="T4673" s="884">
        <f>$A4673*S4673*$T$1</f>
        <v>0</v>
      </c>
    </row>
    <row r="4674" spans="1:41" s="504" customFormat="1" ht="12.6" thickBot="1">
      <c r="A4674" s="885" t="s">
        <v>142</v>
      </c>
      <c r="B4674" s="886">
        <f>(R4673+T4673)</f>
        <v>0</v>
      </c>
      <c r="C4674" s="887"/>
      <c r="D4674" s="887"/>
      <c r="E4674" s="887"/>
      <c r="F4674" s="888"/>
      <c r="G4674" s="887" t="s">
        <v>143</v>
      </c>
      <c r="H4674" s="887"/>
      <c r="I4674" s="889"/>
      <c r="J4674" s="887"/>
      <c r="K4674" s="887" t="s">
        <v>9</v>
      </c>
      <c r="L4674" s="890" t="s">
        <v>140</v>
      </c>
      <c r="M4674" s="890"/>
      <c r="N4674" s="890"/>
      <c r="O4674" s="890"/>
      <c r="P4674" s="890"/>
      <c r="Q4674" s="891"/>
      <c r="R4674" s="892">
        <f>SUM(R4671:R4673)</f>
        <v>1052.82</v>
      </c>
      <c r="S4674" s="887"/>
      <c r="T4674" s="892">
        <f>SUM(T4671:T4673)</f>
        <v>0</v>
      </c>
      <c r="U4674" s="514"/>
      <c r="V4674" s="514"/>
      <c r="W4674" s="514"/>
      <c r="X4674" s="514"/>
      <c r="Y4674" s="514"/>
      <c r="Z4674" s="514"/>
      <c r="AA4674" s="514"/>
      <c r="AB4674" s="514"/>
      <c r="AC4674" s="514"/>
      <c r="AD4674" s="514"/>
      <c r="AE4674" s="514"/>
      <c r="AF4674" s="514"/>
      <c r="AG4674" s="514"/>
      <c r="AH4674" s="514"/>
      <c r="AI4674" s="514"/>
      <c r="AJ4674" s="514"/>
      <c r="AK4674" s="514"/>
      <c r="AL4674" s="514"/>
      <c r="AM4674" s="514"/>
      <c r="AN4674" s="514"/>
      <c r="AO4674" s="514"/>
    </row>
    <row r="4675" spans="1:41" s="504" customFormat="1" ht="12" thickTop="1">
      <c r="A4675" s="50"/>
      <c r="B4675" s="40"/>
      <c r="C4675" s="50"/>
      <c r="E4675" s="41" t="s">
        <v>136</v>
      </c>
      <c r="F4675" s="41" t="s">
        <v>137</v>
      </c>
      <c r="G4675" s="50"/>
      <c r="H4675" s="50"/>
      <c r="I4675" s="50"/>
      <c r="J4675" s="50"/>
      <c r="K4675" s="50" t="s">
        <v>138</v>
      </c>
      <c r="L4675" s="50"/>
      <c r="M4675" s="50"/>
      <c r="N4675" s="50"/>
      <c r="O4675" s="51"/>
      <c r="P4675" s="50"/>
      <c r="Q4675" s="50"/>
      <c r="R4675" s="50"/>
      <c r="S4675" s="50"/>
      <c r="T4675" s="40"/>
      <c r="AG4675" s="867" t="s">
        <v>241</v>
      </c>
      <c r="AH4675" s="867" t="s">
        <v>242</v>
      </c>
      <c r="AI4675" s="867" t="s">
        <v>243</v>
      </c>
      <c r="AJ4675" s="867" t="s">
        <v>244</v>
      </c>
      <c r="AK4675" s="867" t="s">
        <v>245</v>
      </c>
      <c r="AM4675" s="868" t="s">
        <v>254</v>
      </c>
      <c r="AN4675" s="869" t="s">
        <v>255</v>
      </c>
      <c r="AO4675" s="505" t="s">
        <v>251</v>
      </c>
    </row>
    <row r="4676" spans="1:41" s="504" customFormat="1" ht="12" customHeight="1">
      <c r="A4676" s="870">
        <v>4</v>
      </c>
      <c r="B4676" s="506" t="s">
        <v>335</v>
      </c>
      <c r="C4676" s="872"/>
      <c r="D4676" s="873" t="s">
        <v>871</v>
      </c>
      <c r="E4676" s="1027">
        <f>IF(AND($A4676=0,$A$1="DIF"),0, ROUND(ROUND(($R4680*$S$5+($T4680*$T$5))/$A4676,2)*$C$5,2))</f>
        <v>100.53</v>
      </c>
      <c r="F4676" s="1028">
        <f>ROUND($A4676*$E4676,2)</f>
        <v>402.12</v>
      </c>
      <c r="G4676" s="876" t="s">
        <v>139</v>
      </c>
      <c r="H4676" s="877"/>
      <c r="I4676" s="878"/>
      <c r="J4676" s="877"/>
      <c r="K4676" s="877" t="s">
        <v>9</v>
      </c>
      <c r="L4676" s="879" t="s">
        <v>140</v>
      </c>
      <c r="M4676" s="879"/>
      <c r="N4676" s="879"/>
      <c r="O4676" s="879"/>
      <c r="P4676" s="879"/>
      <c r="Q4676" s="50"/>
      <c r="T4676" s="1032" t="str">
        <f>IF(AND($R4680=0,$T4680=0),"0.00","mu: "&amp; ROUND(F4676/$C$5/($R4680+$T4680*$D$9),2))</f>
        <v>mu: 1.07</v>
      </c>
      <c r="W4676" s="507"/>
      <c r="AG4676" s="1029">
        <f>IF($E4676=0,0,ROUND($R4680*$S$5*$C$5/$A4676,2))</f>
        <v>100.53</v>
      </c>
      <c r="AH4676" s="1029">
        <f>$AG4676*$A4676</f>
        <v>402.12</v>
      </c>
      <c r="AI4676" s="1030">
        <f>$E4676-$AG4676</f>
        <v>0</v>
      </c>
      <c r="AJ4676" s="1030">
        <f>$A4676*$AI4676</f>
        <v>0</v>
      </c>
      <c r="AK4676" s="1031">
        <f>ROUND(($AG4676+$AI4676)*$A4676,2)</f>
        <v>402.12</v>
      </c>
      <c r="AM4676" s="510">
        <f>ROUND(R4680,2)</f>
        <v>374.08</v>
      </c>
      <c r="AN4676" s="511">
        <f>ROUND(T4680,2)</f>
        <v>0</v>
      </c>
      <c r="AO4676" s="512">
        <f>ROUND(AM4676+AN4676,2)*A4676</f>
        <v>1496.32</v>
      </c>
    </row>
    <row r="4677" spans="1:41" s="504" customFormat="1" ht="13.2">
      <c r="A4677" s="872"/>
      <c r="B4677"/>
      <c r="C4677" s="872"/>
      <c r="D4677" s="873" t="s">
        <v>512</v>
      </c>
      <c r="F4677" s="877"/>
      <c r="G4677" s="3"/>
      <c r="H4677" s="877"/>
      <c r="I4677" s="878"/>
      <c r="J4677" s="877"/>
      <c r="K4677" s="877" t="s">
        <v>141</v>
      </c>
      <c r="L4677" s="877"/>
      <c r="M4677" s="877"/>
      <c r="N4677" s="877"/>
      <c r="O4677" s="877"/>
      <c r="P4677" s="877"/>
      <c r="Q4677" s="50"/>
      <c r="R4677" s="513"/>
      <c r="S4677" s="881"/>
      <c r="T4677" s="877"/>
    </row>
    <row r="4678" spans="1:41" s="1039" customFormat="1" ht="13.2">
      <c r="A4678" s="112">
        <v>4</v>
      </c>
      <c r="B4678" s="1039" t="s">
        <v>949</v>
      </c>
      <c r="D4678" s="1039" t="s">
        <v>512</v>
      </c>
      <c r="G4678" s="1040" t="s">
        <v>1456</v>
      </c>
      <c r="H4678" s="1041">
        <v>725</v>
      </c>
      <c r="I4678" s="1039" t="s">
        <v>951</v>
      </c>
      <c r="O4678" s="1042">
        <v>3</v>
      </c>
      <c r="P4678" s="1043"/>
      <c r="Q4678" s="1044">
        <v>93.52</v>
      </c>
      <c r="R4678" s="1045">
        <f>$A4678*Q4678</f>
        <v>374.08</v>
      </c>
      <c r="S4678" s="1044"/>
      <c r="T4678" s="1046">
        <f>$A4678*S4678*$T$1</f>
        <v>0</v>
      </c>
    </row>
    <row r="4679" spans="1:41" s="504" customFormat="1" ht="12">
      <c r="A4679" s="882"/>
      <c r="B4679" s="882"/>
      <c r="C4679" s="882"/>
      <c r="D4679" s="882"/>
      <c r="E4679" s="882"/>
      <c r="F4679" s="877"/>
      <c r="G4679" s="882"/>
      <c r="H4679" s="882"/>
      <c r="I4679" s="503"/>
      <c r="J4679" s="882"/>
      <c r="K4679" s="882"/>
      <c r="L4679" s="882"/>
      <c r="M4679" s="882"/>
      <c r="N4679" s="882"/>
      <c r="O4679" s="882"/>
      <c r="P4679" s="882"/>
      <c r="Q4679" s="503"/>
      <c r="R4679" s="883">
        <f>$A4679*Q4679</f>
        <v>0</v>
      </c>
      <c r="S4679" s="503"/>
      <c r="T4679" s="884">
        <f>$A4679*S4679*$T$1</f>
        <v>0</v>
      </c>
    </row>
    <row r="4680" spans="1:41" s="504" customFormat="1" ht="12.6" thickBot="1">
      <c r="A4680" s="885" t="s">
        <v>142</v>
      </c>
      <c r="B4680" s="886">
        <f>(R4679+T4679)</f>
        <v>0</v>
      </c>
      <c r="C4680" s="887"/>
      <c r="D4680" s="887"/>
      <c r="E4680" s="887"/>
      <c r="F4680" s="888"/>
      <c r="G4680" s="887" t="s">
        <v>143</v>
      </c>
      <c r="H4680" s="887"/>
      <c r="I4680" s="889"/>
      <c r="J4680" s="887"/>
      <c r="K4680" s="887" t="s">
        <v>9</v>
      </c>
      <c r="L4680" s="890" t="s">
        <v>140</v>
      </c>
      <c r="M4680" s="890"/>
      <c r="N4680" s="890"/>
      <c r="O4680" s="890"/>
      <c r="P4680" s="890"/>
      <c r="Q4680" s="891"/>
      <c r="R4680" s="892">
        <f>SUM(R4677:R4679)</f>
        <v>374.08</v>
      </c>
      <c r="S4680" s="887"/>
      <c r="T4680" s="892">
        <f>SUM(T4677:T4679)</f>
        <v>0</v>
      </c>
      <c r="U4680" s="514"/>
      <c r="V4680" s="514"/>
      <c r="W4680" s="514"/>
      <c r="X4680" s="514"/>
      <c r="Y4680" s="514"/>
      <c r="Z4680" s="514"/>
      <c r="AA4680" s="514"/>
      <c r="AB4680" s="514"/>
      <c r="AC4680" s="514"/>
      <c r="AD4680" s="514"/>
      <c r="AE4680" s="514"/>
      <c r="AF4680" s="514"/>
      <c r="AG4680" s="514"/>
      <c r="AH4680" s="514"/>
      <c r="AI4680" s="514"/>
      <c r="AJ4680" s="514"/>
      <c r="AK4680" s="514"/>
      <c r="AL4680" s="514"/>
      <c r="AM4680" s="514"/>
      <c r="AN4680" s="514"/>
      <c r="AO4680" s="514"/>
    </row>
    <row r="4681" spans="1:41" s="504" customFormat="1" ht="12" thickTop="1">
      <c r="A4681" s="50"/>
      <c r="B4681" s="40"/>
      <c r="C4681" s="50"/>
      <c r="E4681" s="41" t="s">
        <v>136</v>
      </c>
      <c r="F4681" s="41" t="s">
        <v>137</v>
      </c>
      <c r="G4681" s="50"/>
      <c r="H4681" s="50"/>
      <c r="I4681" s="50"/>
      <c r="J4681" s="50"/>
      <c r="K4681" s="50" t="s">
        <v>138</v>
      </c>
      <c r="L4681" s="50"/>
      <c r="M4681" s="50"/>
      <c r="N4681" s="50"/>
      <c r="O4681" s="51"/>
      <c r="P4681" s="50"/>
      <c r="Q4681" s="50"/>
      <c r="R4681" s="50"/>
      <c r="S4681" s="50"/>
      <c r="T4681" s="40"/>
      <c r="AG4681" s="867" t="s">
        <v>241</v>
      </c>
      <c r="AH4681" s="867" t="s">
        <v>242</v>
      </c>
      <c r="AI4681" s="867" t="s">
        <v>243</v>
      </c>
      <c r="AJ4681" s="867" t="s">
        <v>244</v>
      </c>
      <c r="AK4681" s="867" t="s">
        <v>245</v>
      </c>
      <c r="AM4681" s="868" t="s">
        <v>254</v>
      </c>
      <c r="AN4681" s="869" t="s">
        <v>255</v>
      </c>
      <c r="AO4681" s="505" t="s">
        <v>251</v>
      </c>
    </row>
    <row r="4682" spans="1:41" s="504" customFormat="1" ht="12" customHeight="1">
      <c r="A4682" s="870">
        <v>10</v>
      </c>
      <c r="B4682" s="506" t="s">
        <v>335</v>
      </c>
      <c r="C4682" s="872"/>
      <c r="D4682" s="873" t="s">
        <v>872</v>
      </c>
      <c r="E4682" s="1027">
        <f>IF(AND($A4682=0,$A$1="DIF"),0, ROUND(ROUND(($R4686*$S$5+($T4686*$T$5))/$A4682,2)*$C$5,2))</f>
        <v>32.67</v>
      </c>
      <c r="F4682" s="1028">
        <f>ROUND($A4682*$E4682,2)</f>
        <v>326.7</v>
      </c>
      <c r="G4682" s="876" t="s">
        <v>139</v>
      </c>
      <c r="H4682" s="877"/>
      <c r="I4682" s="878"/>
      <c r="J4682" s="877"/>
      <c r="K4682" s="877" t="s">
        <v>9</v>
      </c>
      <c r="L4682" s="879" t="s">
        <v>140</v>
      </c>
      <c r="M4682" s="879"/>
      <c r="N4682" s="879"/>
      <c r="O4682" s="879"/>
      <c r="P4682" s="879"/>
      <c r="Q4682" s="50"/>
      <c r="T4682" s="1032" t="str">
        <f>IF(AND($R4686=0,$T4686=0),"0.00","mu: "&amp; ROUND(F4682/$C$5/($R4686+$T4686*$D$9),2))</f>
        <v>mu: 1.08</v>
      </c>
      <c r="W4682" s="507"/>
      <c r="AG4682" s="1029">
        <f>IF($E4682=0,0,ROUND($R4686*$S$5*$C$5/$A4682,2))</f>
        <v>32.67</v>
      </c>
      <c r="AH4682" s="1029">
        <f>$AG4682*$A4682</f>
        <v>326.70000000000005</v>
      </c>
      <c r="AI4682" s="1030">
        <f>$E4682-$AG4682</f>
        <v>0</v>
      </c>
      <c r="AJ4682" s="1030">
        <f>$A4682*$AI4682</f>
        <v>0</v>
      </c>
      <c r="AK4682" s="1031">
        <f>ROUND(($AG4682+$AI4682)*$A4682,2)</f>
        <v>326.7</v>
      </c>
      <c r="AM4682" s="510">
        <f>ROUND(R4686,2)</f>
        <v>303.89999999999998</v>
      </c>
      <c r="AN4682" s="511">
        <f>ROUND(T4686,2)</f>
        <v>0</v>
      </c>
      <c r="AO4682" s="512">
        <f>ROUND(AM4682+AN4682,2)*A4682</f>
        <v>3039</v>
      </c>
    </row>
    <row r="4683" spans="1:41" s="504" customFormat="1" ht="13.2">
      <c r="A4683" s="872"/>
      <c r="B4683"/>
      <c r="C4683" s="872"/>
      <c r="D4683" s="873" t="s">
        <v>515</v>
      </c>
      <c r="F4683" s="877"/>
      <c r="G4683" s="3"/>
      <c r="H4683" s="877"/>
      <c r="I4683" s="878"/>
      <c r="J4683" s="877"/>
      <c r="K4683" s="877" t="s">
        <v>141</v>
      </c>
      <c r="L4683" s="877"/>
      <c r="M4683" s="877"/>
      <c r="N4683" s="877"/>
      <c r="O4683" s="877"/>
      <c r="P4683" s="877"/>
      <c r="Q4683" s="50"/>
      <c r="R4683" s="513"/>
      <c r="S4683" s="881"/>
      <c r="T4683" s="877"/>
    </row>
    <row r="4684" spans="1:41" s="1039" customFormat="1" ht="13.2">
      <c r="A4684" s="112">
        <v>10</v>
      </c>
      <c r="B4684" s="1039" t="s">
        <v>949</v>
      </c>
      <c r="D4684" s="1039" t="s">
        <v>515</v>
      </c>
      <c r="G4684" s="1040" t="s">
        <v>1456</v>
      </c>
      <c r="H4684" s="1041">
        <v>725</v>
      </c>
      <c r="I4684" s="1039" t="s">
        <v>951</v>
      </c>
      <c r="O4684" s="1042">
        <v>3</v>
      </c>
      <c r="P4684" s="1043"/>
      <c r="Q4684" s="1044">
        <v>30.39</v>
      </c>
      <c r="R4684" s="1045">
        <f>$A4684*Q4684</f>
        <v>303.89999999999998</v>
      </c>
      <c r="S4684" s="1044"/>
      <c r="T4684" s="1046">
        <f>$A4684*S4684*$T$1</f>
        <v>0</v>
      </c>
    </row>
    <row r="4685" spans="1:41" s="504" customFormat="1" ht="12">
      <c r="A4685" s="882"/>
      <c r="B4685" s="882"/>
      <c r="C4685" s="882"/>
      <c r="D4685" s="882"/>
      <c r="E4685" s="882"/>
      <c r="F4685" s="877"/>
      <c r="G4685" s="882"/>
      <c r="H4685" s="882"/>
      <c r="I4685" s="503"/>
      <c r="J4685" s="882"/>
      <c r="K4685" s="882"/>
      <c r="L4685" s="882"/>
      <c r="M4685" s="882"/>
      <c r="N4685" s="882"/>
      <c r="O4685" s="882"/>
      <c r="P4685" s="882"/>
      <c r="Q4685" s="503"/>
      <c r="R4685" s="883">
        <f>$A4685*Q4685</f>
        <v>0</v>
      </c>
      <c r="S4685" s="503"/>
      <c r="T4685" s="884">
        <f>$A4685*S4685*$T$1</f>
        <v>0</v>
      </c>
    </row>
    <row r="4686" spans="1:41" s="504" customFormat="1" ht="12.6" thickBot="1">
      <c r="A4686" s="885" t="s">
        <v>142</v>
      </c>
      <c r="B4686" s="886">
        <f>(R4685+T4685)</f>
        <v>0</v>
      </c>
      <c r="C4686" s="887"/>
      <c r="D4686" s="887"/>
      <c r="E4686" s="887"/>
      <c r="F4686" s="888"/>
      <c r="G4686" s="887" t="s">
        <v>143</v>
      </c>
      <c r="H4686" s="887"/>
      <c r="I4686" s="889"/>
      <c r="J4686" s="887"/>
      <c r="K4686" s="887" t="s">
        <v>9</v>
      </c>
      <c r="L4686" s="890" t="s">
        <v>140</v>
      </c>
      <c r="M4686" s="890"/>
      <c r="N4686" s="890"/>
      <c r="O4686" s="890"/>
      <c r="P4686" s="890"/>
      <c r="Q4686" s="891"/>
      <c r="R4686" s="892">
        <f>SUM(R4683:R4685)</f>
        <v>303.89999999999998</v>
      </c>
      <c r="S4686" s="887"/>
      <c r="T4686" s="892">
        <f>SUM(T4683:T4685)</f>
        <v>0</v>
      </c>
      <c r="U4686" s="514"/>
      <c r="V4686" s="514"/>
      <c r="W4686" s="514"/>
      <c r="X4686" s="514"/>
      <c r="Y4686" s="514"/>
      <c r="Z4686" s="514"/>
      <c r="AA4686" s="514"/>
      <c r="AB4686" s="514"/>
      <c r="AC4686" s="514"/>
      <c r="AD4686" s="514"/>
      <c r="AE4686" s="514"/>
      <c r="AF4686" s="514"/>
      <c r="AG4686" s="514"/>
      <c r="AH4686" s="514"/>
      <c r="AI4686" s="514"/>
      <c r="AJ4686" s="514"/>
      <c r="AK4686" s="514"/>
      <c r="AL4686" s="514"/>
      <c r="AM4686" s="514"/>
      <c r="AN4686" s="514"/>
      <c r="AO4686" s="514"/>
    </row>
    <row r="4687" spans="1:41" s="504" customFormat="1" thickTop="1">
      <c r="A4687" s="50"/>
      <c r="B4687" s="40"/>
      <c r="C4687" s="50"/>
      <c r="E4687" s="41" t="s">
        <v>136</v>
      </c>
      <c r="F4687" s="41" t="s">
        <v>137</v>
      </c>
      <c r="G4687" s="50"/>
      <c r="H4687" s="50"/>
      <c r="I4687" s="50"/>
      <c r="J4687" s="50"/>
      <c r="K4687" s="50" t="s">
        <v>138</v>
      </c>
      <c r="L4687" s="1219"/>
      <c r="M4687" s="50"/>
      <c r="N4687" s="50"/>
      <c r="O4687" s="51"/>
      <c r="P4687" s="50"/>
      <c r="Q4687"/>
      <c r="R4687"/>
      <c r="S4687"/>
      <c r="T4687" s="40"/>
      <c r="AG4687" s="867" t="s">
        <v>241</v>
      </c>
      <c r="AH4687" s="867" t="s">
        <v>242</v>
      </c>
      <c r="AI4687" s="867" t="s">
        <v>243</v>
      </c>
      <c r="AJ4687" s="867" t="s">
        <v>244</v>
      </c>
      <c r="AK4687" s="867" t="s">
        <v>245</v>
      </c>
      <c r="AM4687" s="868" t="s">
        <v>254</v>
      </c>
      <c r="AN4687" s="869" t="s">
        <v>255</v>
      </c>
      <c r="AO4687" s="505" t="s">
        <v>251</v>
      </c>
    </row>
    <row r="4688" spans="1:41" s="504" customFormat="1" ht="13.2">
      <c r="A4688" s="870">
        <v>1</v>
      </c>
      <c r="B4688" s="506" t="s">
        <v>335</v>
      </c>
      <c r="C4688" s="872"/>
      <c r="D4688" s="873" t="s">
        <v>873</v>
      </c>
      <c r="E4688" s="1220">
        <f>IF(AND($A4688=0,$A$1="DIF"),0, ROUND(ROUND(SUMIF($L4690:$L4696,"SUBI",$E4690:$E4696)/$A4688,2)*$C$12,2))</f>
        <v>90.3</v>
      </c>
      <c r="F4688" s="1221">
        <f>ROUND($A4688*$E4688,2)</f>
        <v>90.3</v>
      </c>
      <c r="G4688" s="876" t="s">
        <v>139</v>
      </c>
      <c r="H4688" s="877"/>
      <c r="I4688" s="878"/>
      <c r="J4688" s="877"/>
      <c r="K4688" s="1222"/>
      <c r="L4688" s="1223" t="s">
        <v>140</v>
      </c>
      <c r="M4688" s="879"/>
      <c r="N4688" s="879"/>
      <c r="O4688" s="879"/>
      <c r="P4688" s="879"/>
      <c r="Q4688"/>
      <c r="R4688"/>
      <c r="S4688"/>
      <c r="T4688" s="1224" t="str">
        <f>IF(AND($R4702=0,$T4702=0),"0.00","mu :" &amp; ROUND($F4688/$C$12/($R4702+$T4702*$D$9),2))</f>
        <v>mu :1.11</v>
      </c>
      <c r="W4688" s="507"/>
      <c r="AG4688" s="1225">
        <f>IF(A4688=0,0,ROUND(SUM(AG4690:AG4702)/A4688,2))</f>
        <v>70.349999999999994</v>
      </c>
      <c r="AH4688" s="1225">
        <f>$AG4688*$A4688</f>
        <v>70.349999999999994</v>
      </c>
      <c r="AI4688" s="1225">
        <f>$E4688-$AG4688</f>
        <v>19.950000000000003</v>
      </c>
      <c r="AJ4688" s="1225">
        <f>$A4688*$AI4688</f>
        <v>19.950000000000003</v>
      </c>
      <c r="AK4688" s="1226">
        <f>ROUND(($AG4688+$AI4688)*$A4688,2)</f>
        <v>90.3</v>
      </c>
      <c r="AM4688" s="510">
        <f>ROUND(R4702,2)</f>
        <v>64.87</v>
      </c>
      <c r="AN4688" s="511">
        <f>ROUND(T4702,2)</f>
        <v>0.56999999999999995</v>
      </c>
      <c r="AO4688" s="512">
        <f>ROUND(AM4688+AN4688,2)*A4688</f>
        <v>65.44</v>
      </c>
    </row>
    <row r="4689" spans="1:41" s="504" customFormat="1" ht="13.2">
      <c r="A4689" s="872"/>
      <c r="B4689"/>
      <c r="C4689" s="872"/>
      <c r="D4689" s="873" t="s">
        <v>516</v>
      </c>
      <c r="F4689" s="877"/>
      <c r="G4689" s="877"/>
      <c r="H4689" s="877"/>
      <c r="I4689" s="878"/>
      <c r="J4689" s="877"/>
      <c r="K4689" s="877" t="s">
        <v>141</v>
      </c>
      <c r="L4689" s="1227"/>
      <c r="M4689" s="877"/>
      <c r="N4689" s="877"/>
      <c r="O4689" s="877"/>
      <c r="P4689" s="877"/>
      <c r="Q4689" s="50"/>
      <c r="R4689" s="513"/>
      <c r="S4689" s="881"/>
      <c r="T4689" s="877"/>
    </row>
    <row r="4690" spans="1:41" s="504" customFormat="1" ht="12">
      <c r="A4690" s="1228"/>
      <c r="B4690" s="1229"/>
      <c r="C4690" s="882"/>
      <c r="D4690" s="877"/>
      <c r="E4690" s="1230">
        <f>F4688/$C$12-SUMIF($L4687:$L4702,"SUBI",$E4687:$E4702)</f>
        <v>0</v>
      </c>
      <c r="F4690" s="1231" t="s">
        <v>1472</v>
      </c>
      <c r="G4690" s="1232"/>
      <c r="H4690" s="1232"/>
      <c r="I4690" s="1233"/>
      <c r="J4690" s="1232"/>
      <c r="K4690" s="1232"/>
      <c r="L4690" s="1234"/>
      <c r="M4690" s="1235"/>
      <c r="N4690" s="1235"/>
      <c r="O4690" s="1235"/>
      <c r="P4690" s="1235"/>
      <c r="Q4690" s="1236"/>
      <c r="R4690" s="1237"/>
      <c r="S4690" s="1236"/>
      <c r="T4690" s="1238"/>
    </row>
    <row r="4691" spans="1:41" s="504" customFormat="1" ht="12" customHeight="1">
      <c r="A4691" s="1239"/>
      <c r="B4691" s="1285"/>
      <c r="C4691" s="1286"/>
      <c r="D4691" s="1286" t="str">
        <f>$F$5</f>
        <v>ELV Sub-Contractor - APCO</v>
      </c>
      <c r="E4691" s="1286">
        <f>ROUND(($R4695*$S$5 + ($T4695*$T$5)),2)</f>
        <v>65.19</v>
      </c>
      <c r="F4691" s="1287">
        <f>$E4691*$C$12</f>
        <v>65.19</v>
      </c>
      <c r="G4691" s="513"/>
      <c r="H4691" s="1241"/>
      <c r="I4691" s="513"/>
      <c r="J4691" s="51"/>
      <c r="K4691" s="1242" t="s">
        <v>9</v>
      </c>
      <c r="L4691" s="1243" t="s">
        <v>1473</v>
      </c>
      <c r="M4691" s="513"/>
      <c r="N4691" s="513"/>
      <c r="O4691" s="51"/>
      <c r="P4691" s="513"/>
      <c r="Q4691" s="513"/>
      <c r="R4691"/>
      <c r="S4691"/>
      <c r="T4691"/>
    </row>
    <row r="4692" spans="1:41" s="504" customFormat="1" ht="13.95" customHeight="1">
      <c r="A4692" s="930"/>
      <c r="B4692" s="1244" t="s">
        <v>1474</v>
      </c>
      <c r="C4692" s="513"/>
      <c r="D4692" s="513"/>
      <c r="E4692" s="513"/>
      <c r="F4692" s="513"/>
      <c r="G4692" s="513"/>
      <c r="H4692" s="1241"/>
      <c r="I4692" s="513"/>
      <c r="J4692" s="51"/>
      <c r="K4692" s="1245"/>
      <c r="L4692" s="1246"/>
      <c r="M4692" s="513"/>
      <c r="N4692" s="513"/>
      <c r="O4692" s="51"/>
      <c r="P4692" s="513"/>
      <c r="Q4692" s="513"/>
      <c r="R4692" s="1247">
        <f>$A4692*Q4692</f>
        <v>0</v>
      </c>
      <c r="S4692" s="513"/>
      <c r="T4692" s="884">
        <f>$A4692*S4692*$T$1</f>
        <v>0</v>
      </c>
    </row>
    <row r="4693" spans="1:41" s="1039" customFormat="1" ht="13.2">
      <c r="A4693" s="112">
        <v>1</v>
      </c>
      <c r="B4693" s="1039" t="s">
        <v>949</v>
      </c>
      <c r="D4693" s="1039" t="s">
        <v>516</v>
      </c>
      <c r="G4693" s="1040" t="s">
        <v>1456</v>
      </c>
      <c r="H4693" s="1041">
        <v>725</v>
      </c>
      <c r="I4693" s="1039" t="s">
        <v>951</v>
      </c>
      <c r="O4693" s="1042">
        <v>3</v>
      </c>
      <c r="P4693" s="1043"/>
      <c r="Q4693" s="1044">
        <v>60.64</v>
      </c>
      <c r="R4693" s="1045">
        <f>$A4693*Q4693</f>
        <v>60.64</v>
      </c>
      <c r="S4693" s="1044"/>
      <c r="T4693" s="1046">
        <f>$A4693*S4693*$T$1</f>
        <v>0</v>
      </c>
    </row>
    <row r="4694" spans="1:41" s="504" customFormat="1" ht="13.95" customHeight="1">
      <c r="A4694" s="930"/>
      <c r="B4694" s="513"/>
      <c r="C4694" s="513"/>
      <c r="D4694" s="513"/>
      <c r="E4694" s="513"/>
      <c r="F4694" s="513"/>
      <c r="G4694" s="513"/>
      <c r="H4694" s="1241"/>
      <c r="I4694" s="513"/>
      <c r="J4694" s="51"/>
      <c r="K4694" s="1245"/>
      <c r="L4694" s="1246"/>
      <c r="M4694" s="513"/>
      <c r="N4694" s="513"/>
      <c r="O4694" s="51"/>
      <c r="P4694" s="513"/>
      <c r="Q4694" s="513"/>
      <c r="R4694" s="1247">
        <f>$A4694*Q4694</f>
        <v>0</v>
      </c>
      <c r="S4694" s="513"/>
      <c r="T4694" s="884">
        <f>$A4694*S4694*$T$1</f>
        <v>0</v>
      </c>
    </row>
    <row r="4695" spans="1:41" s="504" customFormat="1" ht="12">
      <c r="A4695" s="1248" t="s">
        <v>142</v>
      </c>
      <c r="B4695" s="1249">
        <f>(R4694+T4694)</f>
        <v>0</v>
      </c>
      <c r="C4695" s="882"/>
      <c r="G4695" s="1250"/>
      <c r="H4695" s="1250"/>
      <c r="I4695" s="1250"/>
      <c r="J4695" s="1250"/>
      <c r="K4695" s="1251" t="s">
        <v>9</v>
      </c>
      <c r="L4695" s="1252" t="s">
        <v>1473</v>
      </c>
      <c r="M4695" s="1250"/>
      <c r="N4695" s="1250"/>
      <c r="O4695" s="1250"/>
      <c r="P4695" s="1250"/>
      <c r="Q4695" s="1253"/>
      <c r="R4695" s="1254">
        <f>SUM(R4691:R4694)</f>
        <v>60.64</v>
      </c>
      <c r="S4695" s="1255"/>
      <c r="T4695" s="1254">
        <f>SUM(T4691:T4694)</f>
        <v>0</v>
      </c>
      <c r="AG4695" s="1288">
        <f>ROUND($R4695*$S$5,2)</f>
        <v>65.19</v>
      </c>
    </row>
    <row r="4696" spans="1:41" s="504" customFormat="1" ht="12" customHeight="1">
      <c r="A4696" s="1257"/>
      <c r="B4696" s="1289"/>
      <c r="C4696" s="1240"/>
      <c r="D4696" s="1240" t="str">
        <f>$F$2</f>
        <v>Electrical</v>
      </c>
      <c r="E4696" s="1240">
        <f>ROUND(($R4700*$S$2 + ($T4700*$T$2)),2)</f>
        <v>25.11</v>
      </c>
      <c r="F4696" s="1290">
        <f ca="1">$F4688-SUMIF($L4690:$P4693,"SUBI",$F4690:$F4693)</f>
        <v>25.11</v>
      </c>
      <c r="G4696" s="503"/>
      <c r="H4696" s="503"/>
      <c r="I4696" s="503"/>
      <c r="J4696" s="503"/>
      <c r="K4696" s="1242" t="s">
        <v>3</v>
      </c>
      <c r="L4696" s="1243" t="s">
        <v>1473</v>
      </c>
      <c r="M4696" s="503"/>
      <c r="N4696" s="503"/>
      <c r="O4696" s="503"/>
      <c r="P4696" s="503"/>
      <c r="Q4696" s="503"/>
      <c r="R4696" s="1258"/>
      <c r="S4696" s="503"/>
      <c r="T4696" s="1258"/>
    </row>
    <row r="4697" spans="1:41" s="1271" customFormat="1" ht="14.4" customHeight="1">
      <c r="A4697" s="1259"/>
      <c r="B4697" s="1244" t="s">
        <v>1475</v>
      </c>
      <c r="C4697" s="1260"/>
      <c r="D4697" s="1261"/>
      <c r="E4697" s="1261"/>
      <c r="F4697" s="1261"/>
      <c r="G4697" s="1262"/>
      <c r="H4697" s="1263"/>
      <c r="I4697" s="1263"/>
      <c r="J4697" s="1264"/>
      <c r="K4697" s="1265"/>
      <c r="L4697" s="1260"/>
      <c r="M4697" s="1266"/>
      <c r="N4697" s="1267"/>
      <c r="O4697" s="1268"/>
      <c r="P4697" s="1269"/>
      <c r="Q4697" s="1270"/>
      <c r="R4697" s="1247">
        <f>$A4697*Q4697</f>
        <v>0</v>
      </c>
      <c r="S4697" s="513"/>
      <c r="T4697" s="884">
        <f>$A4697*S4697*$T$1</f>
        <v>0</v>
      </c>
    </row>
    <row r="4698" spans="1:41" s="1039" customFormat="1" ht="13.2">
      <c r="A4698" s="112">
        <f>1*3</f>
        <v>3</v>
      </c>
      <c r="B4698" s="1039" t="s">
        <v>326</v>
      </c>
      <c r="D4698" s="1039" t="s">
        <v>1224</v>
      </c>
      <c r="G4698" s="1040" t="s">
        <v>1221</v>
      </c>
      <c r="H4698" s="1041">
        <v>700</v>
      </c>
      <c r="I4698" s="1039" t="s">
        <v>1132</v>
      </c>
      <c r="J4698" s="1039" t="s">
        <v>1222</v>
      </c>
      <c r="O4698" s="1042">
        <v>1</v>
      </c>
      <c r="P4698" s="1043">
        <v>42213</v>
      </c>
      <c r="Q4698" s="1044">
        <v>1.41</v>
      </c>
      <c r="R4698" s="1045">
        <f>$A4698*Q4698</f>
        <v>4.2299999999999995</v>
      </c>
      <c r="S4698" s="1044">
        <v>0.18</v>
      </c>
      <c r="T4698" s="1046">
        <f>$A4698*S4698*$T$1</f>
        <v>0.56700000000000006</v>
      </c>
    </row>
    <row r="4699" spans="1:41" s="504" customFormat="1" ht="13.2">
      <c r="A4699" s="930"/>
      <c r="B4699" s="513"/>
      <c r="C4699" s="513"/>
      <c r="D4699" s="3"/>
      <c r="E4699" s="513"/>
      <c r="F4699" s="513"/>
      <c r="G4699" s="513"/>
      <c r="H4699" s="513"/>
      <c r="I4699" s="513"/>
      <c r="J4699" s="513"/>
      <c r="K4699" s="513"/>
      <c r="L4699" s="1246"/>
      <c r="M4699" s="513"/>
      <c r="N4699" s="513"/>
      <c r="O4699" s="513"/>
      <c r="P4699" s="513"/>
      <c r="Q4699" s="513"/>
      <c r="R4699" s="1247">
        <f>$A4699*Q4699</f>
        <v>0</v>
      </c>
      <c r="S4699" s="513"/>
      <c r="T4699" s="884">
        <f>$A4699*S4699*$T$1</f>
        <v>0</v>
      </c>
    </row>
    <row r="4700" spans="1:41" s="504" customFormat="1" ht="12" customHeight="1">
      <c r="A4700" s="1272" t="s">
        <v>142</v>
      </c>
      <c r="B4700" s="1273">
        <f>(R4699+T4699)</f>
        <v>0</v>
      </c>
      <c r="C4700" s="1274"/>
      <c r="D4700" s="1274"/>
      <c r="E4700" s="1274"/>
      <c r="F4700" s="1274"/>
      <c r="G4700" s="1253"/>
      <c r="H4700" s="1253"/>
      <c r="I4700" s="1253"/>
      <c r="J4700" s="1253"/>
      <c r="K4700" s="1275" t="s">
        <v>3</v>
      </c>
      <c r="L4700" s="1276" t="s">
        <v>1473</v>
      </c>
      <c r="M4700" s="1253"/>
      <c r="N4700" s="1253"/>
      <c r="O4700" s="1253"/>
      <c r="P4700" s="1253"/>
      <c r="Q4700" s="1253"/>
      <c r="R4700" s="1254">
        <f>SUM(R4696:R4699)</f>
        <v>4.2299999999999995</v>
      </c>
      <c r="S4700" s="1255"/>
      <c r="T4700" s="1254">
        <f>SUM(T4696:T4699)</f>
        <v>0.56700000000000006</v>
      </c>
      <c r="AG4700" s="1256">
        <f>ROUND($R4700*$S$2,2)</f>
        <v>5.16</v>
      </c>
    </row>
    <row r="4701" spans="1:41" s="504" customFormat="1" ht="12.75" customHeight="1">
      <c r="A4701" s="1277"/>
      <c r="B4701" s="1278"/>
      <c r="E4701" s="882"/>
      <c r="F4701" s="1279"/>
      <c r="G4701" s="882"/>
      <c r="H4701" s="882"/>
      <c r="I4701" s="503"/>
      <c r="J4701" s="882"/>
      <c r="K4701" s="882"/>
      <c r="L4701" s="1280"/>
      <c r="M4701" s="933"/>
      <c r="N4701" s="933"/>
      <c r="O4701" s="933"/>
      <c r="P4701" s="933"/>
      <c r="Q4701" s="900"/>
      <c r="R4701" s="1258"/>
      <c r="S4701" s="882"/>
      <c r="T4701" s="1258"/>
    </row>
    <row r="4702" spans="1:41" s="504" customFormat="1" ht="13.5" customHeight="1" thickBot="1">
      <c r="A4702" s="1281"/>
      <c r="B4702" s="1282"/>
      <c r="C4702" s="514"/>
      <c r="D4702" s="514"/>
      <c r="E4702" s="887"/>
      <c r="F4702" s="888"/>
      <c r="G4702" s="887" t="s">
        <v>143</v>
      </c>
      <c r="H4702" s="887"/>
      <c r="I4702" s="889"/>
      <c r="J4702" s="887"/>
      <c r="K4702" s="887"/>
      <c r="L4702" s="1283" t="s">
        <v>140</v>
      </c>
      <c r="M4702" s="890"/>
      <c r="N4702" s="890"/>
      <c r="O4702" s="890"/>
      <c r="P4702" s="890"/>
      <c r="Q4702" s="891"/>
      <c r="R4702" s="1284">
        <f>SUMIF($L4689:$L4701,"SUBI",R4689:R4701)</f>
        <v>64.87</v>
      </c>
      <c r="S4702" s="887"/>
      <c r="T4702" s="1284">
        <f>SUMIF($L4689:$L4701,"SUBI",T4689:T4701)</f>
        <v>0.56700000000000006</v>
      </c>
      <c r="U4702" s="514"/>
      <c r="V4702" s="514"/>
      <c r="W4702" s="514"/>
      <c r="X4702" s="514"/>
      <c r="Y4702" s="514"/>
      <c r="Z4702" s="514"/>
      <c r="AA4702" s="514"/>
      <c r="AB4702" s="514"/>
      <c r="AC4702" s="514"/>
      <c r="AD4702" s="514"/>
      <c r="AE4702" s="514"/>
      <c r="AF4702" s="514"/>
      <c r="AG4702" s="514"/>
      <c r="AH4702" s="514"/>
      <c r="AI4702" s="514"/>
      <c r="AJ4702" s="514"/>
      <c r="AK4702" s="514"/>
      <c r="AL4702" s="514"/>
      <c r="AM4702" s="514"/>
      <c r="AN4702" s="514"/>
      <c r="AO4702" s="514"/>
    </row>
    <row r="4703" spans="1:41" s="504" customFormat="1" thickTop="1">
      <c r="A4703" s="50"/>
      <c r="B4703" s="40"/>
      <c r="C4703" s="50"/>
      <c r="E4703" s="41" t="s">
        <v>136</v>
      </c>
      <c r="F4703" s="41" t="s">
        <v>137</v>
      </c>
      <c r="G4703" s="50"/>
      <c r="H4703" s="50"/>
      <c r="I4703" s="50"/>
      <c r="J4703" s="50"/>
      <c r="K4703" s="50" t="s">
        <v>138</v>
      </c>
      <c r="L4703" s="1219"/>
      <c r="M4703" s="50"/>
      <c r="N4703" s="50"/>
      <c r="O4703" s="51"/>
      <c r="P4703" s="50"/>
      <c r="Q4703"/>
      <c r="R4703"/>
      <c r="S4703"/>
      <c r="T4703" s="40"/>
      <c r="AG4703" s="867" t="s">
        <v>241</v>
      </c>
      <c r="AH4703" s="867" t="s">
        <v>242</v>
      </c>
      <c r="AI4703" s="867" t="s">
        <v>243</v>
      </c>
      <c r="AJ4703" s="867" t="s">
        <v>244</v>
      </c>
      <c r="AK4703" s="867" t="s">
        <v>245</v>
      </c>
      <c r="AM4703" s="868" t="s">
        <v>254</v>
      </c>
      <c r="AN4703" s="869" t="s">
        <v>255</v>
      </c>
      <c r="AO4703" s="505" t="s">
        <v>251</v>
      </c>
    </row>
    <row r="4704" spans="1:41" s="504" customFormat="1" ht="13.2">
      <c r="A4704" s="870">
        <v>1</v>
      </c>
      <c r="B4704" s="506" t="s">
        <v>335</v>
      </c>
      <c r="C4704" s="872"/>
      <c r="D4704" s="873" t="s">
        <v>874</v>
      </c>
      <c r="E4704" s="1220">
        <f>IF(AND($A4704=0,$A$1="DIF"),0, ROUND(ROUND(SUMIF($L4706:$L4712,"SUBI",$E4706:$E4712)/$A4704,2)*$C$12,2))</f>
        <v>341.22</v>
      </c>
      <c r="F4704" s="1221">
        <f>ROUND($A4704*$E4704,2)</f>
        <v>341.22</v>
      </c>
      <c r="G4704" s="876" t="s">
        <v>139</v>
      </c>
      <c r="H4704" s="877"/>
      <c r="I4704" s="878"/>
      <c r="J4704" s="877"/>
      <c r="K4704" s="1222"/>
      <c r="L4704" s="1223" t="s">
        <v>140</v>
      </c>
      <c r="M4704" s="879"/>
      <c r="N4704" s="879"/>
      <c r="O4704" s="879"/>
      <c r="P4704" s="879"/>
      <c r="Q4704"/>
      <c r="R4704"/>
      <c r="S4704"/>
      <c r="T4704" s="1224" t="str">
        <f>IF(AND($R4718=0,$T4718=0),"0.00","mu :" &amp; ROUND($F4704/$C$12/($R4718+$T4718*$D$9),2))</f>
        <v>mu :1.08</v>
      </c>
      <c r="W4704" s="507"/>
      <c r="AG4704" s="1225">
        <f>IF(A4704=0,0,ROUND(SUM(AG4706:AG4718)/A4704,2))</f>
        <v>327.92</v>
      </c>
      <c r="AH4704" s="1225">
        <f>$AG4704*$A4704</f>
        <v>327.92</v>
      </c>
      <c r="AI4704" s="1225">
        <f>$E4704-$AG4704</f>
        <v>13.300000000000011</v>
      </c>
      <c r="AJ4704" s="1225">
        <f>$A4704*$AI4704</f>
        <v>13.300000000000011</v>
      </c>
      <c r="AK4704" s="1226">
        <f>ROUND(($AG4704+$AI4704)*$A4704,2)</f>
        <v>341.22</v>
      </c>
      <c r="AM4704" s="510">
        <f>ROUND(R4718,2)</f>
        <v>304.66000000000003</v>
      </c>
      <c r="AN4704" s="511">
        <f>ROUND(T4718,2)</f>
        <v>0.38</v>
      </c>
      <c r="AO4704" s="512">
        <f>ROUND(AM4704+AN4704,2)*A4704</f>
        <v>305.04000000000002</v>
      </c>
    </row>
    <row r="4705" spans="1:41" s="504" customFormat="1" ht="13.2">
      <c r="A4705" s="872"/>
      <c r="B4705"/>
      <c r="C4705" s="872"/>
      <c r="D4705" s="873" t="s">
        <v>517</v>
      </c>
      <c r="F4705" s="877"/>
      <c r="G4705" s="877"/>
      <c r="H4705" s="877"/>
      <c r="I4705" s="878"/>
      <c r="J4705" s="877"/>
      <c r="K4705" s="877" t="s">
        <v>141</v>
      </c>
      <c r="L4705" s="1227"/>
      <c r="M4705" s="877"/>
      <c r="N4705" s="877"/>
      <c r="O4705" s="877"/>
      <c r="P4705" s="877"/>
      <c r="Q4705" s="50"/>
      <c r="R4705" s="513"/>
      <c r="S4705" s="881"/>
      <c r="T4705" s="877"/>
    </row>
    <row r="4706" spans="1:41" s="504" customFormat="1" ht="12">
      <c r="A4706" s="1228"/>
      <c r="B4706" s="1229"/>
      <c r="C4706" s="882"/>
      <c r="D4706" s="877"/>
      <c r="E4706" s="1230">
        <f>F4704/$C$12-SUMIF($L4703:$L4718,"SUBI",$E4703:$E4718)</f>
        <v>0</v>
      </c>
      <c r="F4706" s="1231" t="s">
        <v>1472</v>
      </c>
      <c r="G4706" s="1232"/>
      <c r="H4706" s="1232"/>
      <c r="I4706" s="1233"/>
      <c r="J4706" s="1232"/>
      <c r="K4706" s="1232"/>
      <c r="L4706" s="1234"/>
      <c r="M4706" s="1235"/>
      <c r="N4706" s="1235"/>
      <c r="O4706" s="1235"/>
      <c r="P4706" s="1235"/>
      <c r="Q4706" s="1236"/>
      <c r="R4706" s="1237"/>
      <c r="S4706" s="1236"/>
      <c r="T4706" s="1238"/>
    </row>
    <row r="4707" spans="1:41" s="504" customFormat="1" ht="12" customHeight="1">
      <c r="A4707" s="1239"/>
      <c r="B4707" s="1285"/>
      <c r="C4707" s="1286"/>
      <c r="D4707" s="1286" t="str">
        <f>$F$5</f>
        <v>ELV Sub-Contractor - APCO</v>
      </c>
      <c r="E4707" s="1286">
        <f>ROUND(($R4711*$S$5 + ($T4711*$T$5)),2)</f>
        <v>324.48</v>
      </c>
      <c r="F4707" s="1287">
        <f>$E4707*$C$12</f>
        <v>324.48</v>
      </c>
      <c r="G4707" s="513"/>
      <c r="H4707" s="1241"/>
      <c r="I4707" s="513"/>
      <c r="J4707" s="51"/>
      <c r="K4707" s="1242" t="s">
        <v>9</v>
      </c>
      <c r="L4707" s="1243" t="s">
        <v>1473</v>
      </c>
      <c r="M4707" s="513"/>
      <c r="N4707" s="513"/>
      <c r="O4707" s="51"/>
      <c r="P4707" s="513"/>
      <c r="Q4707" s="513"/>
      <c r="R4707"/>
      <c r="S4707"/>
      <c r="T4707"/>
    </row>
    <row r="4708" spans="1:41" s="504" customFormat="1" ht="13.95" customHeight="1">
      <c r="A4708" s="930"/>
      <c r="B4708" s="1244" t="s">
        <v>1474</v>
      </c>
      <c r="C4708" s="513"/>
      <c r="D4708" s="513"/>
      <c r="E4708" s="513"/>
      <c r="F4708" s="513"/>
      <c r="G4708" s="513"/>
      <c r="H4708" s="1241"/>
      <c r="I4708" s="513"/>
      <c r="J4708" s="51"/>
      <c r="K4708" s="1245"/>
      <c r="L4708" s="1246"/>
      <c r="M4708" s="513"/>
      <c r="N4708" s="513"/>
      <c r="O4708" s="51"/>
      <c r="P4708" s="513"/>
      <c r="Q4708" s="513"/>
      <c r="R4708" s="1247">
        <f>$A4708*Q4708</f>
        <v>0</v>
      </c>
      <c r="S4708" s="513"/>
      <c r="T4708" s="884">
        <f>$A4708*S4708*$T$1</f>
        <v>0</v>
      </c>
    </row>
    <row r="4709" spans="1:41" s="1039" customFormat="1" ht="13.2">
      <c r="A4709" s="112">
        <v>1</v>
      </c>
      <c r="B4709" s="1039" t="s">
        <v>949</v>
      </c>
      <c r="D4709" s="1039" t="s">
        <v>517</v>
      </c>
      <c r="G4709" s="1040" t="s">
        <v>1456</v>
      </c>
      <c r="H4709" s="1041">
        <v>725</v>
      </c>
      <c r="I4709" s="1039" t="s">
        <v>951</v>
      </c>
      <c r="O4709" s="1042">
        <v>3</v>
      </c>
      <c r="P4709" s="1043"/>
      <c r="Q4709" s="1044">
        <v>301.83999999999997</v>
      </c>
      <c r="R4709" s="1045">
        <f>$A4709*Q4709</f>
        <v>301.83999999999997</v>
      </c>
      <c r="S4709" s="1044"/>
      <c r="T4709" s="1046">
        <f>$A4709*S4709*$T$1</f>
        <v>0</v>
      </c>
    </row>
    <row r="4710" spans="1:41" s="504" customFormat="1" ht="13.95" customHeight="1">
      <c r="A4710" s="930"/>
      <c r="B4710" s="513"/>
      <c r="C4710" s="513"/>
      <c r="D4710" s="513"/>
      <c r="E4710" s="513"/>
      <c r="F4710" s="513"/>
      <c r="G4710" s="513"/>
      <c r="H4710" s="1241"/>
      <c r="I4710" s="513"/>
      <c r="J4710" s="51"/>
      <c r="K4710" s="1245"/>
      <c r="L4710" s="1246"/>
      <c r="M4710" s="513"/>
      <c r="N4710" s="513"/>
      <c r="O4710" s="51"/>
      <c r="P4710" s="513"/>
      <c r="Q4710" s="513"/>
      <c r="R4710" s="1247">
        <f>$A4710*Q4710</f>
        <v>0</v>
      </c>
      <c r="S4710" s="513"/>
      <c r="T4710" s="884">
        <f>$A4710*S4710*$T$1</f>
        <v>0</v>
      </c>
    </row>
    <row r="4711" spans="1:41" s="504" customFormat="1" ht="12">
      <c r="A4711" s="1248" t="s">
        <v>142</v>
      </c>
      <c r="B4711" s="1249">
        <f>(R4710+T4710)</f>
        <v>0</v>
      </c>
      <c r="C4711" s="882"/>
      <c r="G4711" s="1250"/>
      <c r="H4711" s="1250"/>
      <c r="I4711" s="1250"/>
      <c r="J4711" s="1250"/>
      <c r="K4711" s="1251" t="s">
        <v>9</v>
      </c>
      <c r="L4711" s="1252" t="s">
        <v>1473</v>
      </c>
      <c r="M4711" s="1250"/>
      <c r="N4711" s="1250"/>
      <c r="O4711" s="1250"/>
      <c r="P4711" s="1250"/>
      <c r="Q4711" s="1253"/>
      <c r="R4711" s="1254">
        <f>SUM(R4707:R4710)</f>
        <v>301.83999999999997</v>
      </c>
      <c r="S4711" s="1255"/>
      <c r="T4711" s="1254">
        <f>SUM(T4707:T4710)</f>
        <v>0</v>
      </c>
      <c r="AG4711" s="1288">
        <f>ROUND($R4711*$S$5,2)</f>
        <v>324.48</v>
      </c>
    </row>
    <row r="4712" spans="1:41" s="504" customFormat="1" ht="12" customHeight="1">
      <c r="A4712" s="1257"/>
      <c r="B4712" s="1289"/>
      <c r="C4712" s="1240"/>
      <c r="D4712" s="1240" t="str">
        <f>$F$2</f>
        <v>Electrical</v>
      </c>
      <c r="E4712" s="1240">
        <f>ROUND(($R4716*$S$2 + ($T4716*$T$2)),2)</f>
        <v>16.739999999999998</v>
      </c>
      <c r="F4712" s="1290">
        <f ca="1">$F4704-SUMIF($L4706:$P4709,"SUBI",$F4706:$F4709)</f>
        <v>16.740000000000009</v>
      </c>
      <c r="G4712" s="503"/>
      <c r="H4712" s="503"/>
      <c r="I4712" s="503"/>
      <c r="J4712" s="503"/>
      <c r="K4712" s="1242" t="s">
        <v>3</v>
      </c>
      <c r="L4712" s="1243" t="s">
        <v>1473</v>
      </c>
      <c r="M4712" s="503"/>
      <c r="N4712" s="503"/>
      <c r="O4712" s="503"/>
      <c r="P4712" s="503"/>
      <c r="Q4712" s="503"/>
      <c r="R4712" s="1258"/>
      <c r="S4712" s="503"/>
      <c r="T4712" s="1258"/>
    </row>
    <row r="4713" spans="1:41" s="1271" customFormat="1" ht="14.4" customHeight="1">
      <c r="A4713" s="1259"/>
      <c r="B4713" s="1244" t="s">
        <v>1475</v>
      </c>
      <c r="C4713" s="1260"/>
      <c r="D4713" s="1261"/>
      <c r="E4713" s="1261"/>
      <c r="F4713" s="1261"/>
      <c r="G4713" s="1262"/>
      <c r="H4713" s="1263"/>
      <c r="I4713" s="1263"/>
      <c r="J4713" s="1264"/>
      <c r="K4713" s="1265"/>
      <c r="L4713" s="1260"/>
      <c r="M4713" s="1266"/>
      <c r="N4713" s="1267"/>
      <c r="O4713" s="1268"/>
      <c r="P4713" s="1269"/>
      <c r="Q4713" s="1270"/>
      <c r="R4713" s="1247">
        <f>$A4713*Q4713</f>
        <v>0</v>
      </c>
      <c r="S4713" s="513"/>
      <c r="T4713" s="884">
        <f>$A4713*S4713*$T$1</f>
        <v>0</v>
      </c>
    </row>
    <row r="4714" spans="1:41" s="1039" customFormat="1" ht="13.2">
      <c r="A4714" s="112">
        <f>1*2</f>
        <v>2</v>
      </c>
      <c r="B4714" s="1039" t="s">
        <v>326</v>
      </c>
      <c r="D4714" s="1039" t="s">
        <v>1224</v>
      </c>
      <c r="G4714" s="1040" t="s">
        <v>1221</v>
      </c>
      <c r="H4714" s="1041">
        <v>700</v>
      </c>
      <c r="I4714" s="1039" t="s">
        <v>1132</v>
      </c>
      <c r="J4714" s="1039" t="s">
        <v>1222</v>
      </c>
      <c r="O4714" s="1042">
        <v>1</v>
      </c>
      <c r="P4714" s="1043">
        <v>42213</v>
      </c>
      <c r="Q4714" s="1044">
        <v>1.41</v>
      </c>
      <c r="R4714" s="1045">
        <f>$A4714*Q4714</f>
        <v>2.82</v>
      </c>
      <c r="S4714" s="1044">
        <v>0.18</v>
      </c>
      <c r="T4714" s="1046">
        <f>$A4714*S4714*$T$1</f>
        <v>0.378</v>
      </c>
    </row>
    <row r="4715" spans="1:41" s="504" customFormat="1" ht="13.2">
      <c r="A4715" s="930"/>
      <c r="B4715" s="513"/>
      <c r="C4715" s="513"/>
      <c r="D4715" s="3"/>
      <c r="E4715" s="513"/>
      <c r="F4715" s="513"/>
      <c r="G4715" s="513"/>
      <c r="H4715" s="513"/>
      <c r="I4715" s="513"/>
      <c r="J4715" s="513"/>
      <c r="K4715" s="513"/>
      <c r="L4715" s="1246"/>
      <c r="M4715" s="513"/>
      <c r="N4715" s="513"/>
      <c r="O4715" s="513"/>
      <c r="P4715" s="513"/>
      <c r="Q4715" s="513"/>
      <c r="R4715" s="1247">
        <f>$A4715*Q4715</f>
        <v>0</v>
      </c>
      <c r="S4715" s="513"/>
      <c r="T4715" s="884">
        <f>$A4715*S4715*$T$1</f>
        <v>0</v>
      </c>
    </row>
    <row r="4716" spans="1:41" s="504" customFormat="1" ht="12" customHeight="1">
      <c r="A4716" s="1272" t="s">
        <v>142</v>
      </c>
      <c r="B4716" s="1273">
        <f>(R4715+T4715)</f>
        <v>0</v>
      </c>
      <c r="C4716" s="1274"/>
      <c r="D4716" s="1274"/>
      <c r="E4716" s="1274"/>
      <c r="F4716" s="1274"/>
      <c r="G4716" s="1253"/>
      <c r="H4716" s="1253"/>
      <c r="I4716" s="1253"/>
      <c r="J4716" s="1253"/>
      <c r="K4716" s="1275" t="s">
        <v>3</v>
      </c>
      <c r="L4716" s="1276" t="s">
        <v>1473</v>
      </c>
      <c r="M4716" s="1253"/>
      <c r="N4716" s="1253"/>
      <c r="O4716" s="1253"/>
      <c r="P4716" s="1253"/>
      <c r="Q4716" s="1253"/>
      <c r="R4716" s="1254">
        <f>SUM(R4712:R4715)</f>
        <v>2.82</v>
      </c>
      <c r="S4716" s="1255"/>
      <c r="T4716" s="1254">
        <f>SUM(T4712:T4715)</f>
        <v>0.378</v>
      </c>
      <c r="AG4716" s="1256">
        <f>ROUND($R4716*$S$2,2)</f>
        <v>3.44</v>
      </c>
    </row>
    <row r="4717" spans="1:41" s="504" customFormat="1" ht="12.75" customHeight="1">
      <c r="A4717" s="1277"/>
      <c r="B4717" s="1278"/>
      <c r="E4717" s="882"/>
      <c r="F4717" s="1279"/>
      <c r="G4717" s="882"/>
      <c r="H4717" s="882"/>
      <c r="I4717" s="503"/>
      <c r="J4717" s="882"/>
      <c r="K4717" s="882"/>
      <c r="L4717" s="1280"/>
      <c r="M4717" s="933"/>
      <c r="N4717" s="933"/>
      <c r="O4717" s="933"/>
      <c r="P4717" s="933"/>
      <c r="Q4717" s="900"/>
      <c r="R4717" s="1258"/>
      <c r="S4717" s="882"/>
      <c r="T4717" s="1258"/>
    </row>
    <row r="4718" spans="1:41" s="504" customFormat="1" ht="13.5" customHeight="1" thickBot="1">
      <c r="A4718" s="1281"/>
      <c r="B4718" s="1282"/>
      <c r="C4718" s="514"/>
      <c r="D4718" s="514"/>
      <c r="E4718" s="887"/>
      <c r="F4718" s="888"/>
      <c r="G4718" s="887" t="s">
        <v>143</v>
      </c>
      <c r="H4718" s="887"/>
      <c r="I4718" s="889"/>
      <c r="J4718" s="887"/>
      <c r="K4718" s="887"/>
      <c r="L4718" s="1283" t="s">
        <v>140</v>
      </c>
      <c r="M4718" s="890"/>
      <c r="N4718" s="890"/>
      <c r="O4718" s="890"/>
      <c r="P4718" s="890"/>
      <c r="Q4718" s="891"/>
      <c r="R4718" s="1284">
        <f>SUMIF($L4705:$L4717,"SUBI",R4705:R4717)</f>
        <v>304.65999999999997</v>
      </c>
      <c r="S4718" s="887"/>
      <c r="T4718" s="1284">
        <f>SUMIF($L4705:$L4717,"SUBI",T4705:T4717)</f>
        <v>0.378</v>
      </c>
      <c r="U4718" s="514"/>
      <c r="V4718" s="514"/>
      <c r="W4718" s="514"/>
      <c r="X4718" s="514"/>
      <c r="Y4718" s="514"/>
      <c r="Z4718" s="514"/>
      <c r="AA4718" s="514"/>
      <c r="AB4718" s="514"/>
      <c r="AC4718" s="514"/>
      <c r="AD4718" s="514"/>
      <c r="AE4718" s="514"/>
      <c r="AF4718" s="514"/>
      <c r="AG4718" s="514"/>
      <c r="AH4718" s="514"/>
      <c r="AI4718" s="514"/>
      <c r="AJ4718" s="514"/>
      <c r="AK4718" s="514"/>
      <c r="AL4718" s="514"/>
      <c r="AM4718" s="514"/>
      <c r="AN4718" s="514"/>
      <c r="AO4718" s="514"/>
    </row>
    <row r="4719" spans="1:41" s="504" customFormat="1" ht="12" thickTop="1">
      <c r="A4719" s="47" t="s">
        <v>145</v>
      </c>
      <c r="D4719" s="13"/>
      <c r="E4719" s="41"/>
      <c r="O4719" s="893"/>
    </row>
    <row r="4720" spans="1:41" s="504" customFormat="1" ht="13.2">
      <c r="B4720" s="3"/>
      <c r="O4720" s="893"/>
    </row>
    <row r="4721" spans="1:41" s="504" customFormat="1" ht="12">
      <c r="B4721" s="894">
        <f>$F4721/$C$2-($R4721*$S$2+$T4721*$T$2)</f>
        <v>-778.25908907999838</v>
      </c>
      <c r="D4721" s="895" t="s">
        <v>817</v>
      </c>
      <c r="E4721" s="896"/>
      <c r="F4721" s="897">
        <f>SUMIF($L4589:$L4719,"ITEM",F4589:F4719)</f>
        <v>5952.6</v>
      </c>
      <c r="G4721" s="882"/>
      <c r="H4721" s="882"/>
      <c r="I4721" s="503"/>
      <c r="J4721" s="882"/>
      <c r="K4721" s="882"/>
      <c r="L4721" s="879" t="s">
        <v>154</v>
      </c>
      <c r="M4721" s="879"/>
      <c r="N4721" s="879"/>
      <c r="O4721" s="879"/>
      <c r="P4721" s="879"/>
      <c r="R4721" s="897">
        <f>SUMIF($L4589:$L4719,"ITEM",R4589:R4719)</f>
        <v>5397.2099999999991</v>
      </c>
      <c r="S4721" s="898"/>
      <c r="T4721" s="897">
        <f>SUMIF($L4589:$L4719,"ITEM",T4589:T4719)</f>
        <v>4.1580000000000004</v>
      </c>
    </row>
    <row r="4722" spans="1:41" s="504" customFormat="1" ht="13.2">
      <c r="A4722" s="50"/>
      <c r="B4722" s="48" t="s">
        <v>816</v>
      </c>
      <c r="C4722" s="50"/>
      <c r="D4722" s="3"/>
      <c r="F4722" s="899" t="s">
        <v>155</v>
      </c>
      <c r="G4722" s="882"/>
      <c r="H4722" s="882"/>
      <c r="I4722" s="503"/>
      <c r="J4722" s="882"/>
      <c r="K4722" s="882"/>
      <c r="L4722" s="882"/>
      <c r="M4722" s="882"/>
      <c r="N4722" s="882"/>
      <c r="O4722" s="882"/>
      <c r="P4722" s="882"/>
      <c r="Q4722" s="900"/>
      <c r="R4722" s="899" t="s">
        <v>156</v>
      </c>
      <c r="S4722" s="38"/>
      <c r="T4722" s="899" t="s">
        <v>157</v>
      </c>
    </row>
    <row r="4723" spans="1:41" s="504" customFormat="1" ht="13.2">
      <c r="A4723" s="882"/>
      <c r="B4723" s="3"/>
      <c r="C4723" s="882"/>
      <c r="D4723" s="3"/>
      <c r="E4723" s="3"/>
      <c r="G4723" s="3"/>
      <c r="H4723" s="3"/>
      <c r="I4723" s="3"/>
      <c r="J4723" s="3"/>
      <c r="K4723" s="3"/>
      <c r="L4723" s="3"/>
      <c r="M4723" s="3"/>
      <c r="N4723" s="3"/>
      <c r="O4723" s="103"/>
      <c r="P4723" s="3"/>
      <c r="Q4723" s="3"/>
      <c r="R4723" s="3"/>
      <c r="S4723" s="3"/>
      <c r="T4723" s="3"/>
    </row>
    <row r="4724" spans="1:41" s="504" customFormat="1" ht="12" thickBot="1">
      <c r="A4724" s="514"/>
      <c r="B4724" s="887"/>
      <c r="C4724" s="887"/>
      <c r="D4724" s="514"/>
      <c r="E4724" s="39"/>
      <c r="F4724" s="901"/>
      <c r="G4724" s="887"/>
      <c r="H4724" s="887"/>
      <c r="I4724" s="889"/>
      <c r="J4724" s="887"/>
      <c r="K4724" s="887"/>
      <c r="L4724" s="890"/>
      <c r="M4724" s="890"/>
      <c r="N4724" s="890"/>
      <c r="O4724" s="890"/>
      <c r="P4724" s="890"/>
      <c r="Q4724" s="891"/>
      <c r="R4724" s="901"/>
      <c r="S4724" s="902"/>
      <c r="T4724" s="901"/>
      <c r="U4724" s="514"/>
      <c r="V4724" s="514"/>
      <c r="W4724" s="514"/>
      <c r="X4724" s="514"/>
      <c r="Y4724" s="514"/>
      <c r="Z4724" s="514"/>
      <c r="AA4724" s="514"/>
      <c r="AB4724" s="514"/>
      <c r="AC4724" s="514"/>
      <c r="AD4724" s="514"/>
      <c r="AE4724" s="514"/>
      <c r="AF4724" s="514"/>
      <c r="AG4724" s="514"/>
      <c r="AH4724" s="514"/>
      <c r="AI4724" s="514"/>
      <c r="AJ4724" s="514"/>
      <c r="AK4724" s="514"/>
    </row>
    <row r="4725" spans="1:41" s="504" customFormat="1" ht="12" thickTop="1">
      <c r="A4725" s="50"/>
      <c r="B4725" s="40"/>
      <c r="C4725" s="50"/>
      <c r="E4725" s="41" t="s">
        <v>136</v>
      </c>
      <c r="F4725" s="41" t="s">
        <v>137</v>
      </c>
      <c r="G4725" s="50"/>
      <c r="H4725" s="50"/>
      <c r="I4725" s="50"/>
      <c r="J4725" s="50"/>
      <c r="K4725" s="50" t="s">
        <v>138</v>
      </c>
      <c r="L4725" s="50"/>
      <c r="M4725" s="50"/>
      <c r="N4725" s="50"/>
      <c r="O4725" s="51"/>
      <c r="P4725" s="50"/>
      <c r="Q4725" s="50"/>
      <c r="R4725" s="50"/>
      <c r="S4725" s="50"/>
      <c r="T4725" s="40"/>
      <c r="AG4725" s="867" t="s">
        <v>241</v>
      </c>
      <c r="AH4725" s="867" t="s">
        <v>242</v>
      </c>
      <c r="AI4725" s="867" t="s">
        <v>243</v>
      </c>
      <c r="AJ4725" s="867" t="s">
        <v>244</v>
      </c>
      <c r="AK4725" s="867" t="s">
        <v>245</v>
      </c>
      <c r="AM4725" s="868" t="s">
        <v>254</v>
      </c>
      <c r="AN4725" s="869" t="s">
        <v>255</v>
      </c>
      <c r="AO4725" s="505" t="s">
        <v>251</v>
      </c>
    </row>
    <row r="4726" spans="1:41" s="504" customFormat="1" ht="12" customHeight="1">
      <c r="A4726" s="870">
        <v>120</v>
      </c>
      <c r="B4726" s="506" t="s">
        <v>326</v>
      </c>
      <c r="C4726" s="872"/>
      <c r="D4726" s="873" t="s">
        <v>875</v>
      </c>
      <c r="E4726" s="1027">
        <f>IF(AND($A4726=0,$A$1="DIF"),0, ROUND(ROUND(($R4730*$S$5+($T4730*$T$5))/$A4726,2)*$C$5,2))</f>
        <v>10.78</v>
      </c>
      <c r="F4726" s="1028">
        <f>ROUND($A4726*$E4726,2)</f>
        <v>1293.5999999999999</v>
      </c>
      <c r="G4726" s="876" t="s">
        <v>139</v>
      </c>
      <c r="H4726" s="877"/>
      <c r="I4726" s="878"/>
      <c r="J4726" s="877"/>
      <c r="K4726" s="877" t="s">
        <v>9</v>
      </c>
      <c r="L4726" s="879" t="s">
        <v>140</v>
      </c>
      <c r="M4726" s="879"/>
      <c r="N4726" s="879"/>
      <c r="O4726" s="879"/>
      <c r="P4726" s="879"/>
      <c r="Q4726" s="50"/>
      <c r="T4726" s="1032" t="str">
        <f>IF(AND($R4730=0,$T4730=0),"0.00","mu: "&amp; ROUND(F4726/$C$5/($R4730+$T4730*$D$9),2))</f>
        <v>mu: 1.07</v>
      </c>
      <c r="W4726" s="507"/>
      <c r="AG4726" s="1029">
        <f>IF($E4726=0,0,ROUND($R4730*$S$5*$C$5/$A4726,2))</f>
        <v>10.78</v>
      </c>
      <c r="AH4726" s="1029">
        <f>$AG4726*$A4726</f>
        <v>1293.5999999999999</v>
      </c>
      <c r="AI4726" s="1030">
        <f>$E4726-$AG4726</f>
        <v>0</v>
      </c>
      <c r="AJ4726" s="1030">
        <f>$A4726*$AI4726</f>
        <v>0</v>
      </c>
      <c r="AK4726" s="1031">
        <f>ROUND(($AG4726+$AI4726)*$A4726,2)</f>
        <v>1293.5999999999999</v>
      </c>
      <c r="AM4726" s="510">
        <f>ROUND(R4730,2)</f>
        <v>1203.5999999999999</v>
      </c>
      <c r="AN4726" s="511">
        <f>ROUND(T4730,2)</f>
        <v>0</v>
      </c>
      <c r="AO4726" s="512">
        <f>ROUND(AM4726+AN4726,2)*A4726</f>
        <v>144432</v>
      </c>
    </row>
    <row r="4727" spans="1:41" s="504" customFormat="1" ht="13.2">
      <c r="A4727" s="872"/>
      <c r="B4727"/>
      <c r="C4727" s="872"/>
      <c r="D4727" s="873" t="s">
        <v>518</v>
      </c>
      <c r="F4727" s="877"/>
      <c r="G4727" s="3"/>
      <c r="H4727" s="877"/>
      <c r="I4727" s="878"/>
      <c r="J4727" s="877"/>
      <c r="K4727" s="877" t="s">
        <v>141</v>
      </c>
      <c r="L4727" s="877"/>
      <c r="M4727" s="877"/>
      <c r="N4727" s="877"/>
      <c r="O4727" s="877"/>
      <c r="P4727" s="877"/>
      <c r="Q4727" s="50"/>
      <c r="R4727" s="513"/>
      <c r="S4727" s="881"/>
      <c r="T4727" s="877"/>
    </row>
    <row r="4728" spans="1:41" s="1039" customFormat="1" ht="13.2">
      <c r="A4728" s="112">
        <v>120</v>
      </c>
      <c r="B4728" s="1039" t="s">
        <v>326</v>
      </c>
      <c r="D4728" s="1039" t="s">
        <v>518</v>
      </c>
      <c r="G4728" s="1040" t="s">
        <v>1456</v>
      </c>
      <c r="H4728" s="1041">
        <v>725</v>
      </c>
      <c r="I4728" s="1039" t="s">
        <v>951</v>
      </c>
      <c r="O4728" s="1042">
        <v>3</v>
      </c>
      <c r="P4728" s="1043"/>
      <c r="Q4728" s="1044">
        <v>10.029999999999999</v>
      </c>
      <c r="R4728" s="1045">
        <f>$A4728*Q4728</f>
        <v>1203.5999999999999</v>
      </c>
      <c r="S4728" s="1044"/>
      <c r="T4728" s="1046">
        <f>$A4728*S4728*$T$1</f>
        <v>0</v>
      </c>
    </row>
    <row r="4729" spans="1:41" s="504" customFormat="1" ht="12">
      <c r="A4729" s="882"/>
      <c r="B4729" s="882"/>
      <c r="C4729" s="882"/>
      <c r="D4729" s="882"/>
      <c r="E4729" s="882"/>
      <c r="F4729" s="877"/>
      <c r="G4729" s="882"/>
      <c r="H4729" s="882"/>
      <c r="I4729" s="503"/>
      <c r="J4729" s="882"/>
      <c r="K4729" s="882"/>
      <c r="L4729" s="882"/>
      <c r="M4729" s="882"/>
      <c r="N4729" s="882"/>
      <c r="O4729" s="882"/>
      <c r="P4729" s="882"/>
      <c r="Q4729" s="503"/>
      <c r="R4729" s="883">
        <f>$A4729*Q4729</f>
        <v>0</v>
      </c>
      <c r="S4729" s="503"/>
      <c r="T4729" s="884">
        <f>$A4729*S4729*$T$1</f>
        <v>0</v>
      </c>
    </row>
    <row r="4730" spans="1:41" s="504" customFormat="1" ht="12.6" thickBot="1">
      <c r="A4730" s="885" t="s">
        <v>142</v>
      </c>
      <c r="B4730" s="886">
        <f>(R4729+T4729)</f>
        <v>0</v>
      </c>
      <c r="C4730" s="887"/>
      <c r="D4730" s="887"/>
      <c r="E4730" s="887"/>
      <c r="F4730" s="888"/>
      <c r="G4730" s="887" t="s">
        <v>143</v>
      </c>
      <c r="H4730" s="887"/>
      <c r="I4730" s="889"/>
      <c r="J4730" s="887"/>
      <c r="K4730" s="887" t="s">
        <v>9</v>
      </c>
      <c r="L4730" s="890" t="s">
        <v>140</v>
      </c>
      <c r="M4730" s="890"/>
      <c r="N4730" s="890"/>
      <c r="O4730" s="890"/>
      <c r="P4730" s="890"/>
      <c r="Q4730" s="891"/>
      <c r="R4730" s="892">
        <f>SUM(R4727:R4729)</f>
        <v>1203.5999999999999</v>
      </c>
      <c r="S4730" s="887"/>
      <c r="T4730" s="892">
        <f>SUM(T4727:T4729)</f>
        <v>0</v>
      </c>
      <c r="U4730" s="514"/>
      <c r="V4730" s="514"/>
      <c r="W4730" s="514"/>
      <c r="X4730" s="514"/>
      <c r="Y4730" s="514"/>
      <c r="Z4730" s="514"/>
      <c r="AA4730" s="514"/>
      <c r="AB4730" s="514"/>
      <c r="AC4730" s="514"/>
      <c r="AD4730" s="514"/>
      <c r="AE4730" s="514"/>
      <c r="AF4730" s="514"/>
      <c r="AG4730" s="514"/>
      <c r="AH4730" s="514"/>
      <c r="AI4730" s="514"/>
      <c r="AJ4730" s="514"/>
      <c r="AK4730" s="514"/>
      <c r="AL4730" s="514"/>
      <c r="AM4730" s="514"/>
      <c r="AN4730" s="514"/>
      <c r="AO4730" s="514"/>
    </row>
    <row r="4731" spans="1:41" s="504" customFormat="1" thickTop="1">
      <c r="A4731" s="50"/>
      <c r="B4731" s="40"/>
      <c r="C4731" s="50"/>
      <c r="E4731" s="41" t="s">
        <v>136</v>
      </c>
      <c r="F4731" s="41" t="s">
        <v>137</v>
      </c>
      <c r="G4731" s="50"/>
      <c r="H4731" s="50"/>
      <c r="I4731" s="50"/>
      <c r="J4731" s="50"/>
      <c r="K4731" s="50" t="s">
        <v>138</v>
      </c>
      <c r="L4731" s="1219"/>
      <c r="M4731" s="50"/>
      <c r="N4731" s="50"/>
      <c r="O4731" s="51"/>
      <c r="P4731" s="50"/>
      <c r="Q4731"/>
      <c r="R4731"/>
      <c r="S4731"/>
      <c r="T4731" s="40"/>
      <c r="AG4731" s="867" t="s">
        <v>241</v>
      </c>
      <c r="AH4731" s="867" t="s">
        <v>242</v>
      </c>
      <c r="AI4731" s="867" t="s">
        <v>243</v>
      </c>
      <c r="AJ4731" s="867" t="s">
        <v>244</v>
      </c>
      <c r="AK4731" s="867" t="s">
        <v>245</v>
      </c>
      <c r="AM4731" s="868" t="s">
        <v>254</v>
      </c>
      <c r="AN4731" s="869" t="s">
        <v>255</v>
      </c>
      <c r="AO4731" s="505" t="s">
        <v>251</v>
      </c>
    </row>
    <row r="4732" spans="1:41" s="504" customFormat="1" ht="13.2">
      <c r="A4732" s="870">
        <v>3</v>
      </c>
      <c r="B4732" s="506" t="s">
        <v>335</v>
      </c>
      <c r="C4732" s="872"/>
      <c r="D4732" s="873" t="s">
        <v>876</v>
      </c>
      <c r="E4732" s="1220">
        <f>IF(AND($A4732=0,$A$1="DIF"),0, ROUND(ROUND(SUMIF($L4734:$L4740,"SUBI",$E4734:$E4740)/$A4732,2)*$C$12,2))</f>
        <v>143.13999999999999</v>
      </c>
      <c r="F4732" s="1221">
        <f>ROUND($A4732*$E4732,2)</f>
        <v>429.42</v>
      </c>
      <c r="G4732" s="876" t="s">
        <v>139</v>
      </c>
      <c r="H4732" s="877"/>
      <c r="I4732" s="878"/>
      <c r="J4732" s="877"/>
      <c r="K4732" s="1222"/>
      <c r="L4732" s="1223" t="s">
        <v>140</v>
      </c>
      <c r="M4732" s="879"/>
      <c r="N4732" s="879"/>
      <c r="O4732" s="879"/>
      <c r="P4732" s="879"/>
      <c r="Q4732"/>
      <c r="R4732"/>
      <c r="S4732"/>
      <c r="T4732" s="1224" t="str">
        <f>IF(AND($R4746=0,$T4746=0),"0.00","mu :" &amp; ROUND($F4732/$C$12/($R4746+$T4746*$D$9),2))</f>
        <v>mu :1.1</v>
      </c>
      <c r="W4732" s="507"/>
      <c r="AG4732" s="1225">
        <f>IF(A4732=0,0,ROUND(SUM(AG4734:AG4746)/A4732,2))</f>
        <v>123.2</v>
      </c>
      <c r="AH4732" s="1225">
        <f>$AG4732*$A4732</f>
        <v>369.6</v>
      </c>
      <c r="AI4732" s="1225">
        <f>$E4732-$AG4732</f>
        <v>19.939999999999984</v>
      </c>
      <c r="AJ4732" s="1225">
        <f>$A4732*$AI4732</f>
        <v>59.819999999999951</v>
      </c>
      <c r="AK4732" s="1226">
        <f>ROUND(($AG4732+$AI4732)*$A4732,2)</f>
        <v>429.42</v>
      </c>
      <c r="AM4732" s="510">
        <f>ROUND(R4746,2)</f>
        <v>342.09</v>
      </c>
      <c r="AN4732" s="511">
        <f>ROUND(T4746,2)</f>
        <v>1.7</v>
      </c>
      <c r="AO4732" s="512">
        <f>ROUND(AM4732+AN4732,2)*A4732</f>
        <v>1031.3700000000001</v>
      </c>
    </row>
    <row r="4733" spans="1:41" s="504" customFormat="1" ht="13.2">
      <c r="A4733" s="872"/>
      <c r="B4733"/>
      <c r="C4733" s="872"/>
      <c r="D4733" s="873" t="s">
        <v>521</v>
      </c>
      <c r="F4733" s="877"/>
      <c r="G4733" s="877"/>
      <c r="H4733" s="877"/>
      <c r="I4733" s="878"/>
      <c r="J4733" s="877"/>
      <c r="K4733" s="877" t="s">
        <v>141</v>
      </c>
      <c r="L4733" s="1227"/>
      <c r="M4733" s="877"/>
      <c r="N4733" s="877"/>
      <c r="O4733" s="877"/>
      <c r="P4733" s="877"/>
      <c r="Q4733" s="50"/>
      <c r="R4733" s="513"/>
      <c r="S4733" s="881"/>
      <c r="T4733" s="877"/>
    </row>
    <row r="4734" spans="1:41" s="504" customFormat="1" ht="12">
      <c r="A4734" s="1228"/>
      <c r="B4734" s="1229"/>
      <c r="C4734" s="882"/>
      <c r="D4734" s="877"/>
      <c r="E4734" s="1230">
        <f>F4732/$C$12-SUMIF($L4731:$L4746,"SUBI",$E4731:$E4746)</f>
        <v>-9.9999999999909051E-3</v>
      </c>
      <c r="F4734" s="1231" t="s">
        <v>1472</v>
      </c>
      <c r="G4734" s="1232"/>
      <c r="H4734" s="1232"/>
      <c r="I4734" s="1233"/>
      <c r="J4734" s="1232"/>
      <c r="K4734" s="1232"/>
      <c r="L4734" s="1234"/>
      <c r="M4734" s="1235"/>
      <c r="N4734" s="1235"/>
      <c r="O4734" s="1235"/>
      <c r="P4734" s="1235"/>
      <c r="Q4734" s="1236"/>
      <c r="R4734" s="1237"/>
      <c r="S4734" s="1236"/>
      <c r="T4734" s="1238"/>
    </row>
    <row r="4735" spans="1:41" s="504" customFormat="1" ht="12" customHeight="1">
      <c r="A4735" s="1239"/>
      <c r="B4735" s="1285"/>
      <c r="C4735" s="1286"/>
      <c r="D4735" s="1286" t="str">
        <f>$F$5</f>
        <v>ELV Sub-Contractor - APCO</v>
      </c>
      <c r="E4735" s="1286">
        <f>ROUND(($R4739*$S$5 + ($T4739*$T$5)),2)</f>
        <v>354.11</v>
      </c>
      <c r="F4735" s="1287">
        <f>$E4735*$C$12</f>
        <v>354.11</v>
      </c>
      <c r="G4735" s="513"/>
      <c r="H4735" s="1241"/>
      <c r="I4735" s="513"/>
      <c r="J4735" s="51"/>
      <c r="K4735" s="1242" t="s">
        <v>9</v>
      </c>
      <c r="L4735" s="1243" t="s">
        <v>1473</v>
      </c>
      <c r="M4735" s="513"/>
      <c r="N4735" s="513"/>
      <c r="O4735" s="51"/>
      <c r="P4735" s="513"/>
      <c r="Q4735" s="513"/>
      <c r="R4735"/>
      <c r="S4735"/>
      <c r="T4735"/>
    </row>
    <row r="4736" spans="1:41" s="504" customFormat="1" ht="13.95" customHeight="1">
      <c r="A4736" s="930"/>
      <c r="B4736" s="1244" t="s">
        <v>1474</v>
      </c>
      <c r="C4736" s="513"/>
      <c r="D4736" s="513"/>
      <c r="E4736" s="513"/>
      <c r="F4736" s="513"/>
      <c r="G4736" s="513"/>
      <c r="H4736" s="1241"/>
      <c r="I4736" s="513"/>
      <c r="J4736" s="51"/>
      <c r="K4736" s="1245"/>
      <c r="L4736" s="1246"/>
      <c r="M4736" s="513"/>
      <c r="N4736" s="513"/>
      <c r="O4736" s="51"/>
      <c r="P4736" s="513"/>
      <c r="Q4736" s="513"/>
      <c r="R4736" s="1247">
        <f>$A4736*Q4736</f>
        <v>0</v>
      </c>
      <c r="S4736" s="513"/>
      <c r="T4736" s="884">
        <f>$A4736*S4736*$T$1</f>
        <v>0</v>
      </c>
    </row>
    <row r="4737" spans="1:41" s="1039" customFormat="1" ht="13.2">
      <c r="A4737" s="112">
        <v>3</v>
      </c>
      <c r="B4737" s="1039" t="s">
        <v>949</v>
      </c>
      <c r="D4737" s="1039" t="s">
        <v>521</v>
      </c>
      <c r="G4737" s="1040" t="s">
        <v>1456</v>
      </c>
      <c r="H4737" s="1041">
        <v>725</v>
      </c>
      <c r="I4737" s="1039" t="s">
        <v>951</v>
      </c>
      <c r="O4737" s="1042">
        <v>3</v>
      </c>
      <c r="P4737" s="1043"/>
      <c r="Q4737" s="1044">
        <v>109.8</v>
      </c>
      <c r="R4737" s="1045">
        <f>$A4737*Q4737</f>
        <v>329.4</v>
      </c>
      <c r="S4737" s="1044"/>
      <c r="T4737" s="1046">
        <f>$A4737*S4737*$T$1</f>
        <v>0</v>
      </c>
    </row>
    <row r="4738" spans="1:41" s="504" customFormat="1" ht="13.95" customHeight="1">
      <c r="A4738" s="930"/>
      <c r="B4738" s="513"/>
      <c r="C4738" s="513"/>
      <c r="D4738" s="513"/>
      <c r="E4738" s="513"/>
      <c r="F4738" s="513"/>
      <c r="G4738" s="513"/>
      <c r="H4738" s="1241"/>
      <c r="I4738" s="513"/>
      <c r="J4738" s="51"/>
      <c r="K4738" s="1245"/>
      <c r="L4738" s="1246"/>
      <c r="M4738" s="513"/>
      <c r="N4738" s="513"/>
      <c r="O4738" s="51"/>
      <c r="P4738" s="513"/>
      <c r="Q4738" s="513"/>
      <c r="R4738" s="1247">
        <f>$A4738*Q4738</f>
        <v>0</v>
      </c>
      <c r="S4738" s="513"/>
      <c r="T4738" s="884">
        <f>$A4738*S4738*$T$1</f>
        <v>0</v>
      </c>
    </row>
    <row r="4739" spans="1:41" s="504" customFormat="1" ht="12">
      <c r="A4739" s="1248" t="s">
        <v>142</v>
      </c>
      <c r="B4739" s="1249">
        <f>(R4738+T4738)</f>
        <v>0</v>
      </c>
      <c r="C4739" s="882"/>
      <c r="G4739" s="1250"/>
      <c r="H4739" s="1250"/>
      <c r="I4739" s="1250"/>
      <c r="J4739" s="1250"/>
      <c r="K4739" s="1251" t="s">
        <v>9</v>
      </c>
      <c r="L4739" s="1252" t="s">
        <v>1473</v>
      </c>
      <c r="M4739" s="1250"/>
      <c r="N4739" s="1250"/>
      <c r="O4739" s="1250"/>
      <c r="P4739" s="1250"/>
      <c r="Q4739" s="1253"/>
      <c r="R4739" s="1254">
        <f>SUM(R4735:R4738)</f>
        <v>329.4</v>
      </c>
      <c r="S4739" s="1255"/>
      <c r="T4739" s="1254">
        <f>SUM(T4735:T4738)</f>
        <v>0</v>
      </c>
      <c r="AG4739" s="1288">
        <f>ROUND($R4739*$S$5,2)</f>
        <v>354.11</v>
      </c>
    </row>
    <row r="4740" spans="1:41" s="504" customFormat="1" ht="12" customHeight="1">
      <c r="A4740" s="1257"/>
      <c r="B4740" s="1289"/>
      <c r="C4740" s="1240"/>
      <c r="D4740" s="1240" t="str">
        <f>$F$2</f>
        <v>Electrical</v>
      </c>
      <c r="E4740" s="1240">
        <f>ROUND(($R4744*$S$2 + ($T4744*$T$2)),2)</f>
        <v>75.319999999999993</v>
      </c>
      <c r="F4740" s="1290">
        <f ca="1">$F4732-SUMIF($L4734:$P4737,"SUBI",$F4734:$F4737)</f>
        <v>75.31</v>
      </c>
      <c r="G4740" s="503"/>
      <c r="H4740" s="503"/>
      <c r="I4740" s="503"/>
      <c r="J4740" s="503"/>
      <c r="K4740" s="1242" t="s">
        <v>3</v>
      </c>
      <c r="L4740" s="1243" t="s">
        <v>1473</v>
      </c>
      <c r="M4740" s="503"/>
      <c r="N4740" s="503"/>
      <c r="O4740" s="503"/>
      <c r="P4740" s="503"/>
      <c r="Q4740" s="503"/>
      <c r="R4740" s="1258"/>
      <c r="S4740" s="503"/>
      <c r="T4740" s="1258"/>
    </row>
    <row r="4741" spans="1:41" s="1271" customFormat="1" ht="14.4" customHeight="1">
      <c r="A4741" s="1259"/>
      <c r="B4741" s="1244" t="s">
        <v>1475</v>
      </c>
      <c r="C4741" s="1260"/>
      <c r="D4741" s="1261"/>
      <c r="E4741" s="1261"/>
      <c r="F4741" s="1261"/>
      <c r="G4741" s="1262"/>
      <c r="H4741" s="1263"/>
      <c r="I4741" s="1263"/>
      <c r="J4741" s="1264"/>
      <c r="K4741" s="1265"/>
      <c r="L4741" s="1260"/>
      <c r="M4741" s="1266"/>
      <c r="N4741" s="1267"/>
      <c r="O4741" s="1268"/>
      <c r="P4741" s="1269"/>
      <c r="Q4741" s="1270"/>
      <c r="R4741" s="1247">
        <f>$A4741*Q4741</f>
        <v>0</v>
      </c>
      <c r="S4741" s="513"/>
      <c r="T4741" s="884">
        <f>$A4741*S4741*$T$1</f>
        <v>0</v>
      </c>
    </row>
    <row r="4742" spans="1:41" s="1039" customFormat="1" ht="13.2">
      <c r="A4742" s="112">
        <f>3*3</f>
        <v>9</v>
      </c>
      <c r="B4742" s="1039" t="s">
        <v>326</v>
      </c>
      <c r="D4742" s="1039" t="s">
        <v>1224</v>
      </c>
      <c r="G4742" s="1040" t="s">
        <v>1221</v>
      </c>
      <c r="H4742" s="1041">
        <v>700</v>
      </c>
      <c r="I4742" s="1039" t="s">
        <v>1132</v>
      </c>
      <c r="J4742" s="1039" t="s">
        <v>1222</v>
      </c>
      <c r="O4742" s="1042">
        <v>1</v>
      </c>
      <c r="P4742" s="1043">
        <v>42213</v>
      </c>
      <c r="Q4742" s="1044">
        <v>1.41</v>
      </c>
      <c r="R4742" s="1045">
        <f>$A4742*Q4742</f>
        <v>12.69</v>
      </c>
      <c r="S4742" s="1044">
        <v>0.18</v>
      </c>
      <c r="T4742" s="1046">
        <f>$A4742*S4742*$T$1</f>
        <v>1.7009999999999998</v>
      </c>
    </row>
    <row r="4743" spans="1:41" s="504" customFormat="1" ht="13.2">
      <c r="A4743" s="930"/>
      <c r="B4743" s="513"/>
      <c r="C4743" s="513"/>
      <c r="D4743" s="3"/>
      <c r="E4743" s="513"/>
      <c r="F4743" s="513"/>
      <c r="G4743" s="513"/>
      <c r="H4743" s="513"/>
      <c r="I4743" s="513"/>
      <c r="J4743" s="513"/>
      <c r="K4743" s="513"/>
      <c r="L4743" s="1246"/>
      <c r="M4743" s="513"/>
      <c r="N4743" s="513"/>
      <c r="O4743" s="513"/>
      <c r="P4743" s="513"/>
      <c r="Q4743" s="513"/>
      <c r="R4743" s="1247">
        <f>$A4743*Q4743</f>
        <v>0</v>
      </c>
      <c r="S4743" s="513"/>
      <c r="T4743" s="884">
        <f>$A4743*S4743*$T$1</f>
        <v>0</v>
      </c>
    </row>
    <row r="4744" spans="1:41" s="504" customFormat="1" ht="12" customHeight="1">
      <c r="A4744" s="1272" t="s">
        <v>142</v>
      </c>
      <c r="B4744" s="1273">
        <f>(R4743+T4743)</f>
        <v>0</v>
      </c>
      <c r="C4744" s="1274"/>
      <c r="D4744" s="1274"/>
      <c r="E4744" s="1274"/>
      <c r="F4744" s="1274"/>
      <c r="G4744" s="1253"/>
      <c r="H4744" s="1253"/>
      <c r="I4744" s="1253"/>
      <c r="J4744" s="1253"/>
      <c r="K4744" s="1275" t="s">
        <v>3</v>
      </c>
      <c r="L4744" s="1276" t="s">
        <v>1473</v>
      </c>
      <c r="M4744" s="1253"/>
      <c r="N4744" s="1253"/>
      <c r="O4744" s="1253"/>
      <c r="P4744" s="1253"/>
      <c r="Q4744" s="1253"/>
      <c r="R4744" s="1254">
        <f>SUM(R4740:R4743)</f>
        <v>12.69</v>
      </c>
      <c r="S4744" s="1255"/>
      <c r="T4744" s="1254">
        <f>SUM(T4740:T4743)</f>
        <v>1.7009999999999998</v>
      </c>
      <c r="AG4744" s="1256">
        <f>ROUND($R4744*$S$2,2)</f>
        <v>15.48</v>
      </c>
    </row>
    <row r="4745" spans="1:41" s="504" customFormat="1" ht="12.75" customHeight="1">
      <c r="A4745" s="1277"/>
      <c r="B4745" s="1278"/>
      <c r="E4745" s="882"/>
      <c r="F4745" s="1279"/>
      <c r="G4745" s="882"/>
      <c r="H4745" s="882"/>
      <c r="I4745" s="503"/>
      <c r="J4745" s="882"/>
      <c r="K4745" s="882"/>
      <c r="L4745" s="1280"/>
      <c r="M4745" s="933"/>
      <c r="N4745" s="933"/>
      <c r="O4745" s="933"/>
      <c r="P4745" s="933"/>
      <c r="Q4745" s="900"/>
      <c r="R4745" s="1258"/>
      <c r="S4745" s="882"/>
      <c r="T4745" s="1258"/>
    </row>
    <row r="4746" spans="1:41" s="504" customFormat="1" ht="13.5" customHeight="1" thickBot="1">
      <c r="A4746" s="1281"/>
      <c r="B4746" s="1282"/>
      <c r="C4746" s="514"/>
      <c r="D4746" s="514"/>
      <c r="E4746" s="887"/>
      <c r="F4746" s="888"/>
      <c r="G4746" s="887" t="s">
        <v>143</v>
      </c>
      <c r="H4746" s="887"/>
      <c r="I4746" s="889"/>
      <c r="J4746" s="887"/>
      <c r="K4746" s="887"/>
      <c r="L4746" s="1283" t="s">
        <v>140</v>
      </c>
      <c r="M4746" s="890"/>
      <c r="N4746" s="890"/>
      <c r="O4746" s="890"/>
      <c r="P4746" s="890"/>
      <c r="Q4746" s="891"/>
      <c r="R4746" s="1284">
        <f>SUMIF($L4733:$L4745,"SUBI",R4733:R4745)</f>
        <v>342.09</v>
      </c>
      <c r="S4746" s="887"/>
      <c r="T4746" s="1284">
        <f>SUMIF($L4733:$L4745,"SUBI",T4733:T4745)</f>
        <v>1.7009999999999998</v>
      </c>
      <c r="U4746" s="514"/>
      <c r="V4746" s="514"/>
      <c r="W4746" s="514"/>
      <c r="X4746" s="514"/>
      <c r="Y4746" s="514"/>
      <c r="Z4746" s="514"/>
      <c r="AA4746" s="514"/>
      <c r="AB4746" s="514"/>
      <c r="AC4746" s="514"/>
      <c r="AD4746" s="514"/>
      <c r="AE4746" s="514"/>
      <c r="AF4746" s="514"/>
      <c r="AG4746" s="514"/>
      <c r="AH4746" s="514"/>
      <c r="AI4746" s="514"/>
      <c r="AJ4746" s="514"/>
      <c r="AK4746" s="514"/>
      <c r="AL4746" s="514"/>
      <c r="AM4746" s="514"/>
      <c r="AN4746" s="514"/>
      <c r="AO4746" s="514"/>
    </row>
    <row r="4747" spans="1:41" s="504" customFormat="1" thickTop="1">
      <c r="A4747" s="50"/>
      <c r="B4747" s="50"/>
      <c r="C4747" s="3"/>
      <c r="D4747" s="3"/>
      <c r="E4747" s="50"/>
      <c r="F4747" s="50"/>
      <c r="G4747" s="50"/>
      <c r="H4747" s="50"/>
      <c r="I4747" s="50"/>
      <c r="J4747" s="50"/>
      <c r="K4747" s="50" t="s">
        <v>133</v>
      </c>
      <c r="L4747" s="50"/>
      <c r="M4747" s="50"/>
      <c r="N4747" s="50"/>
      <c r="O4747" s="51"/>
      <c r="P4747" s="50"/>
      <c r="Q4747" s="50"/>
      <c r="R4747" s="50"/>
      <c r="S4747" s="50"/>
      <c r="T4747" s="50"/>
    </row>
    <row r="4748" spans="1:41" s="504" customFormat="1" ht="12">
      <c r="A4748" s="50"/>
      <c r="B4748" s="50"/>
      <c r="C4748" s="50" t="s">
        <v>134</v>
      </c>
      <c r="D4748" s="37"/>
      <c r="E4748" s="50"/>
      <c r="F4748" s="50"/>
      <c r="G4748" s="50"/>
      <c r="H4748" s="50"/>
      <c r="I4748" s="50"/>
      <c r="J4748" s="50"/>
      <c r="K4748" s="50"/>
      <c r="L4748" s="50"/>
      <c r="M4748" s="50"/>
      <c r="N4748" s="50"/>
      <c r="O4748" s="51"/>
      <c r="P4748" s="50"/>
      <c r="Q4748" s="50"/>
      <c r="R4748" s="50"/>
      <c r="S4748" s="50"/>
      <c r="T4748" s="50"/>
    </row>
    <row r="4749" spans="1:41" s="504" customFormat="1" ht="12">
      <c r="A4749" s="50"/>
      <c r="B4749" s="50"/>
      <c r="C4749" s="50"/>
      <c r="D4749" s="37" t="s">
        <v>455</v>
      </c>
      <c r="E4749" s="50"/>
      <c r="F4749" s="50"/>
      <c r="G4749" s="50"/>
      <c r="H4749" s="50"/>
      <c r="I4749" s="50"/>
      <c r="J4749" s="50"/>
      <c r="K4749" s="50"/>
      <c r="L4749" s="50"/>
      <c r="M4749" s="50"/>
      <c r="N4749" s="50"/>
      <c r="O4749" s="51"/>
      <c r="P4749" s="50"/>
      <c r="Q4749" s="50"/>
      <c r="R4749" s="50"/>
      <c r="S4749" s="38"/>
      <c r="T4749" s="38"/>
    </row>
    <row r="4750" spans="1:41" s="3" customFormat="1" thickBot="1">
      <c r="A4750" s="514"/>
      <c r="O4750" s="103"/>
    </row>
    <row r="4751" spans="1:41" s="504" customFormat="1" ht="12" thickTop="1">
      <c r="A4751" s="50"/>
      <c r="B4751" s="40"/>
      <c r="C4751" s="50"/>
      <c r="E4751" s="41" t="s">
        <v>136</v>
      </c>
      <c r="F4751" s="41" t="s">
        <v>137</v>
      </c>
      <c r="G4751" s="50"/>
      <c r="H4751" s="50"/>
      <c r="I4751" s="50"/>
      <c r="J4751" s="50"/>
      <c r="K4751" s="50" t="s">
        <v>138</v>
      </c>
      <c r="L4751" s="50"/>
      <c r="M4751" s="50"/>
      <c r="N4751" s="50"/>
      <c r="O4751" s="51"/>
      <c r="P4751" s="50"/>
      <c r="Q4751" s="50"/>
      <c r="R4751" s="50"/>
      <c r="S4751" s="50"/>
      <c r="T4751" s="40"/>
      <c r="AG4751" s="867" t="s">
        <v>241</v>
      </c>
      <c r="AH4751" s="867" t="s">
        <v>242</v>
      </c>
      <c r="AI4751" s="867" t="s">
        <v>243</v>
      </c>
      <c r="AJ4751" s="867" t="s">
        <v>244</v>
      </c>
      <c r="AK4751" s="867" t="s">
        <v>245</v>
      </c>
      <c r="AM4751" s="868" t="s">
        <v>254</v>
      </c>
      <c r="AN4751" s="869" t="s">
        <v>255</v>
      </c>
      <c r="AO4751" s="505" t="s">
        <v>251</v>
      </c>
    </row>
    <row r="4752" spans="1:41" s="504" customFormat="1" ht="12" customHeight="1">
      <c r="A4752" s="870">
        <v>10</v>
      </c>
      <c r="B4752" s="506" t="s">
        <v>335</v>
      </c>
      <c r="C4752" s="872"/>
      <c r="D4752" s="873" t="s">
        <v>877</v>
      </c>
      <c r="E4752" s="1027">
        <f>IF(AND($A4752=0,$A$1="DIF"),0, ROUND(ROUND(($R4756*$S$5+($T4756*$T$5))/$A4752,2)*$C$5,2))</f>
        <v>62.88</v>
      </c>
      <c r="F4752" s="1028">
        <f>ROUND($A4752*$E4752,2)</f>
        <v>628.79999999999995</v>
      </c>
      <c r="G4752" s="876" t="s">
        <v>139</v>
      </c>
      <c r="H4752" s="877"/>
      <c r="I4752" s="878"/>
      <c r="J4752" s="877"/>
      <c r="K4752" s="877" t="s">
        <v>9</v>
      </c>
      <c r="L4752" s="879" t="s">
        <v>140</v>
      </c>
      <c r="M4752" s="879"/>
      <c r="N4752" s="879"/>
      <c r="O4752" s="879"/>
      <c r="P4752" s="879"/>
      <c r="Q4752" s="50"/>
      <c r="T4752" s="1032" t="str">
        <f>IF(AND($R4756=0,$T4756=0),"0.00","mu: "&amp; ROUND(F4752/$C$5/($R4756+$T4756*$D$9),2))</f>
        <v>mu: 1.08</v>
      </c>
      <c r="W4752" s="507"/>
      <c r="AG4752" s="1029">
        <f>IF($E4752=0,0,ROUND($R4756*$S$5*$C$5/$A4752,2))</f>
        <v>62.88</v>
      </c>
      <c r="AH4752" s="1029">
        <f>$AG4752*$A4752</f>
        <v>628.80000000000007</v>
      </c>
      <c r="AI4752" s="1030">
        <f>$E4752-$AG4752</f>
        <v>0</v>
      </c>
      <c r="AJ4752" s="1030">
        <f>$A4752*$AI4752</f>
        <v>0</v>
      </c>
      <c r="AK4752" s="1031">
        <f>ROUND(($AG4752+$AI4752)*$A4752,2)</f>
        <v>628.79999999999995</v>
      </c>
      <c r="AM4752" s="510">
        <f>ROUND(R4756,2)</f>
        <v>584.9</v>
      </c>
      <c r="AN4752" s="511">
        <f>ROUND(T4756,2)</f>
        <v>0</v>
      </c>
      <c r="AO4752" s="512">
        <f>ROUND(AM4752+AN4752,2)*A4752</f>
        <v>5849</v>
      </c>
    </row>
    <row r="4753" spans="1:41" s="504" customFormat="1" ht="13.2">
      <c r="A4753" s="872"/>
      <c r="B4753"/>
      <c r="C4753" s="872"/>
      <c r="D4753" s="873" t="s">
        <v>511</v>
      </c>
      <c r="F4753" s="877"/>
      <c r="G4753" s="3"/>
      <c r="H4753" s="877"/>
      <c r="I4753" s="878"/>
      <c r="J4753" s="877"/>
      <c r="K4753" s="877" t="s">
        <v>141</v>
      </c>
      <c r="L4753" s="877"/>
      <c r="M4753" s="877"/>
      <c r="N4753" s="877"/>
      <c r="O4753" s="877"/>
      <c r="P4753" s="877"/>
      <c r="Q4753" s="50"/>
      <c r="R4753" s="513"/>
      <c r="S4753" s="881"/>
      <c r="T4753" s="877"/>
    </row>
    <row r="4754" spans="1:41" s="1039" customFormat="1" ht="13.2">
      <c r="A4754" s="112">
        <v>10</v>
      </c>
      <c r="B4754" s="1039" t="s">
        <v>949</v>
      </c>
      <c r="D4754" s="1039" t="s">
        <v>511</v>
      </c>
      <c r="G4754" s="1040" t="s">
        <v>1456</v>
      </c>
      <c r="H4754" s="1041">
        <v>725</v>
      </c>
      <c r="I4754" s="1039" t="s">
        <v>951</v>
      </c>
      <c r="O4754" s="1042">
        <v>3</v>
      </c>
      <c r="P4754" s="1043"/>
      <c r="Q4754" s="1044">
        <v>58.49</v>
      </c>
      <c r="R4754" s="1045">
        <f>$A4754*Q4754</f>
        <v>584.9</v>
      </c>
      <c r="S4754" s="1044"/>
      <c r="T4754" s="1046">
        <f>$A4754*S4754*$T$1</f>
        <v>0</v>
      </c>
    </row>
    <row r="4755" spans="1:41" s="504" customFormat="1" ht="12">
      <c r="A4755" s="882"/>
      <c r="B4755" s="882"/>
      <c r="C4755" s="882"/>
      <c r="D4755" s="882"/>
      <c r="E4755" s="882"/>
      <c r="F4755" s="877"/>
      <c r="G4755" s="882"/>
      <c r="H4755" s="882"/>
      <c r="I4755" s="503"/>
      <c r="J4755" s="882"/>
      <c r="K4755" s="882"/>
      <c r="L4755" s="882"/>
      <c r="M4755" s="882"/>
      <c r="N4755" s="882"/>
      <c r="O4755" s="882"/>
      <c r="P4755" s="882"/>
      <c r="Q4755" s="503"/>
      <c r="R4755" s="883">
        <f>$A4755*Q4755</f>
        <v>0</v>
      </c>
      <c r="S4755" s="503"/>
      <c r="T4755" s="884">
        <f>$A4755*S4755*$T$1</f>
        <v>0</v>
      </c>
    </row>
    <row r="4756" spans="1:41" s="504" customFormat="1" ht="12.6" thickBot="1">
      <c r="A4756" s="885" t="s">
        <v>142</v>
      </c>
      <c r="B4756" s="886">
        <f>(R4755+T4755)</f>
        <v>0</v>
      </c>
      <c r="C4756" s="887"/>
      <c r="D4756" s="887"/>
      <c r="E4756" s="887"/>
      <c r="F4756" s="888"/>
      <c r="G4756" s="887" t="s">
        <v>143</v>
      </c>
      <c r="H4756" s="887"/>
      <c r="I4756" s="889"/>
      <c r="J4756" s="887"/>
      <c r="K4756" s="887" t="s">
        <v>9</v>
      </c>
      <c r="L4756" s="890" t="s">
        <v>140</v>
      </c>
      <c r="M4756" s="890"/>
      <c r="N4756" s="890"/>
      <c r="O4756" s="890"/>
      <c r="P4756" s="890"/>
      <c r="Q4756" s="891"/>
      <c r="R4756" s="892">
        <f>SUM(R4753:R4755)</f>
        <v>584.9</v>
      </c>
      <c r="S4756" s="887"/>
      <c r="T4756" s="892">
        <f>SUM(T4753:T4755)</f>
        <v>0</v>
      </c>
      <c r="U4756" s="514"/>
      <c r="V4756" s="514"/>
      <c r="W4756" s="514"/>
      <c r="X4756" s="514"/>
      <c r="Y4756" s="514"/>
      <c r="Z4756" s="514"/>
      <c r="AA4756" s="514"/>
      <c r="AB4756" s="514"/>
      <c r="AC4756" s="514"/>
      <c r="AD4756" s="514"/>
      <c r="AE4756" s="514"/>
      <c r="AF4756" s="514"/>
      <c r="AG4756" s="514"/>
      <c r="AH4756" s="514"/>
      <c r="AI4756" s="514"/>
      <c r="AJ4756" s="514"/>
      <c r="AK4756" s="514"/>
      <c r="AL4756" s="514"/>
      <c r="AM4756" s="514"/>
      <c r="AN4756" s="514"/>
      <c r="AO4756" s="514"/>
    </row>
    <row r="4757" spans="1:41" s="504" customFormat="1" ht="12" thickTop="1">
      <c r="A4757" s="50"/>
      <c r="B4757" s="40"/>
      <c r="C4757" s="50"/>
      <c r="E4757" s="41" t="s">
        <v>136</v>
      </c>
      <c r="F4757" s="41" t="s">
        <v>137</v>
      </c>
      <c r="G4757" s="50"/>
      <c r="H4757" s="50"/>
      <c r="I4757" s="50"/>
      <c r="J4757" s="50"/>
      <c r="K4757" s="50" t="s">
        <v>138</v>
      </c>
      <c r="L4757" s="50"/>
      <c r="M4757" s="50"/>
      <c r="N4757" s="50"/>
      <c r="O4757" s="51"/>
      <c r="P4757" s="50"/>
      <c r="Q4757" s="50"/>
      <c r="R4757" s="50"/>
      <c r="S4757" s="50"/>
      <c r="T4757" s="40"/>
      <c r="AG4757" s="867" t="s">
        <v>241</v>
      </c>
      <c r="AH4757" s="867" t="s">
        <v>242</v>
      </c>
      <c r="AI4757" s="867" t="s">
        <v>243</v>
      </c>
      <c r="AJ4757" s="867" t="s">
        <v>244</v>
      </c>
      <c r="AK4757" s="867" t="s">
        <v>245</v>
      </c>
      <c r="AM4757" s="868" t="s">
        <v>254</v>
      </c>
      <c r="AN4757" s="869" t="s">
        <v>255</v>
      </c>
      <c r="AO4757" s="505" t="s">
        <v>251</v>
      </c>
    </row>
    <row r="4758" spans="1:41" s="504" customFormat="1" ht="12" customHeight="1">
      <c r="A4758" s="870">
        <v>4</v>
      </c>
      <c r="B4758" s="506" t="s">
        <v>335</v>
      </c>
      <c r="C4758" s="872"/>
      <c r="D4758" s="873" t="s">
        <v>878</v>
      </c>
      <c r="E4758" s="1027">
        <f>IF(AND($A4758=0,$A$1="DIF"),0, ROUND(ROUND(($R4762*$S$5+($T4762*$T$5))/$A4758,2)*$C$5,2))</f>
        <v>100.53</v>
      </c>
      <c r="F4758" s="1028">
        <f>ROUND($A4758*$E4758,2)</f>
        <v>402.12</v>
      </c>
      <c r="G4758" s="876" t="s">
        <v>139</v>
      </c>
      <c r="H4758" s="877"/>
      <c r="I4758" s="878"/>
      <c r="J4758" s="877"/>
      <c r="K4758" s="877" t="s">
        <v>9</v>
      </c>
      <c r="L4758" s="879" t="s">
        <v>140</v>
      </c>
      <c r="M4758" s="879"/>
      <c r="N4758" s="879"/>
      <c r="O4758" s="879"/>
      <c r="P4758" s="879"/>
      <c r="Q4758" s="50"/>
      <c r="T4758" s="1032" t="str">
        <f>IF(AND($R4762=0,$T4762=0),"0.00","mu: "&amp; ROUND(F4758/$C$5/($R4762+$T4762*$D$9),2))</f>
        <v>mu: 1.07</v>
      </c>
      <c r="W4758" s="507"/>
      <c r="AG4758" s="1029">
        <f>IF($E4758=0,0,ROUND($R4762*$S$5*$C$5/$A4758,2))</f>
        <v>100.53</v>
      </c>
      <c r="AH4758" s="1029">
        <f>$AG4758*$A4758</f>
        <v>402.12</v>
      </c>
      <c r="AI4758" s="1030">
        <f>$E4758-$AG4758</f>
        <v>0</v>
      </c>
      <c r="AJ4758" s="1030">
        <f>$A4758*$AI4758</f>
        <v>0</v>
      </c>
      <c r="AK4758" s="1031">
        <f>ROUND(($AG4758+$AI4758)*$A4758,2)</f>
        <v>402.12</v>
      </c>
      <c r="AM4758" s="510">
        <f>ROUND(R4762,2)</f>
        <v>374.08</v>
      </c>
      <c r="AN4758" s="511">
        <f>ROUND(T4762,2)</f>
        <v>0</v>
      </c>
      <c r="AO4758" s="512">
        <f>ROUND(AM4758+AN4758,2)*A4758</f>
        <v>1496.32</v>
      </c>
    </row>
    <row r="4759" spans="1:41" s="504" customFormat="1" ht="13.2">
      <c r="A4759" s="872"/>
      <c r="B4759"/>
      <c r="C4759" s="872"/>
      <c r="D4759" s="873" t="s">
        <v>512</v>
      </c>
      <c r="F4759" s="877"/>
      <c r="G4759" s="3"/>
      <c r="H4759" s="877"/>
      <c r="I4759" s="878"/>
      <c r="J4759" s="877"/>
      <c r="K4759" s="877" t="s">
        <v>141</v>
      </c>
      <c r="L4759" s="877"/>
      <c r="M4759" s="877"/>
      <c r="N4759" s="877"/>
      <c r="O4759" s="877"/>
      <c r="P4759" s="877"/>
      <c r="Q4759" s="50"/>
      <c r="R4759" s="513"/>
      <c r="S4759" s="881"/>
      <c r="T4759" s="877"/>
    </row>
    <row r="4760" spans="1:41" s="1039" customFormat="1" ht="13.2">
      <c r="A4760" s="112">
        <v>4</v>
      </c>
      <c r="B4760" s="1039" t="s">
        <v>949</v>
      </c>
      <c r="D4760" s="1039" t="s">
        <v>512</v>
      </c>
      <c r="G4760" s="1040" t="s">
        <v>1456</v>
      </c>
      <c r="H4760" s="1041">
        <v>725</v>
      </c>
      <c r="I4760" s="1039" t="s">
        <v>951</v>
      </c>
      <c r="O4760" s="1042">
        <v>3</v>
      </c>
      <c r="P4760" s="1043"/>
      <c r="Q4760" s="1044">
        <v>93.52</v>
      </c>
      <c r="R4760" s="1045">
        <f>$A4760*Q4760</f>
        <v>374.08</v>
      </c>
      <c r="S4760" s="1044"/>
      <c r="T4760" s="1046">
        <f>$A4760*S4760*$T$1</f>
        <v>0</v>
      </c>
    </row>
    <row r="4761" spans="1:41" s="504" customFormat="1" ht="12">
      <c r="A4761" s="882"/>
      <c r="B4761" s="882"/>
      <c r="C4761" s="882"/>
      <c r="D4761" s="882"/>
      <c r="E4761" s="882"/>
      <c r="F4761" s="877"/>
      <c r="G4761" s="882"/>
      <c r="H4761" s="882"/>
      <c r="I4761" s="503"/>
      <c r="J4761" s="882"/>
      <c r="K4761" s="882"/>
      <c r="L4761" s="882"/>
      <c r="M4761" s="882"/>
      <c r="N4761" s="882"/>
      <c r="O4761" s="882"/>
      <c r="P4761" s="882"/>
      <c r="Q4761" s="503"/>
      <c r="R4761" s="883">
        <f>$A4761*Q4761</f>
        <v>0</v>
      </c>
      <c r="S4761" s="503"/>
      <c r="T4761" s="884">
        <f>$A4761*S4761*$T$1</f>
        <v>0</v>
      </c>
    </row>
    <row r="4762" spans="1:41" s="504" customFormat="1" ht="12.6" thickBot="1">
      <c r="A4762" s="885" t="s">
        <v>142</v>
      </c>
      <c r="B4762" s="886">
        <f>(R4761+T4761)</f>
        <v>0</v>
      </c>
      <c r="C4762" s="887"/>
      <c r="D4762" s="887"/>
      <c r="E4762" s="887"/>
      <c r="F4762" s="888"/>
      <c r="G4762" s="887" t="s">
        <v>143</v>
      </c>
      <c r="H4762" s="887"/>
      <c r="I4762" s="889"/>
      <c r="J4762" s="887"/>
      <c r="K4762" s="887" t="s">
        <v>9</v>
      </c>
      <c r="L4762" s="890" t="s">
        <v>140</v>
      </c>
      <c r="M4762" s="890"/>
      <c r="N4762" s="890"/>
      <c r="O4762" s="890"/>
      <c r="P4762" s="890"/>
      <c r="Q4762" s="891"/>
      <c r="R4762" s="892">
        <f>SUM(R4759:R4761)</f>
        <v>374.08</v>
      </c>
      <c r="S4762" s="887"/>
      <c r="T4762" s="892">
        <f>SUM(T4759:T4761)</f>
        <v>0</v>
      </c>
      <c r="U4762" s="514"/>
      <c r="V4762" s="514"/>
      <c r="W4762" s="514"/>
      <c r="X4762" s="514"/>
      <c r="Y4762" s="514"/>
      <c r="Z4762" s="514"/>
      <c r="AA4762" s="514"/>
      <c r="AB4762" s="514"/>
      <c r="AC4762" s="514"/>
      <c r="AD4762" s="514"/>
      <c r="AE4762" s="514"/>
      <c r="AF4762" s="514"/>
      <c r="AG4762" s="514"/>
      <c r="AH4762" s="514"/>
      <c r="AI4762" s="514"/>
      <c r="AJ4762" s="514"/>
      <c r="AK4762" s="514"/>
      <c r="AL4762" s="514"/>
      <c r="AM4762" s="514"/>
      <c r="AN4762" s="514"/>
      <c r="AO4762" s="514"/>
    </row>
    <row r="4763" spans="1:41" s="504" customFormat="1" ht="12" thickTop="1">
      <c r="A4763" s="50"/>
      <c r="B4763" s="40"/>
      <c r="C4763" s="50"/>
      <c r="E4763" s="41" t="s">
        <v>136</v>
      </c>
      <c r="F4763" s="41" t="s">
        <v>137</v>
      </c>
      <c r="G4763" s="50"/>
      <c r="H4763" s="50"/>
      <c r="I4763" s="50"/>
      <c r="J4763" s="50"/>
      <c r="K4763" s="50" t="s">
        <v>138</v>
      </c>
      <c r="L4763" s="50"/>
      <c r="M4763" s="50"/>
      <c r="N4763" s="50"/>
      <c r="O4763" s="51"/>
      <c r="P4763" s="50"/>
      <c r="Q4763" s="50"/>
      <c r="R4763" s="50"/>
      <c r="S4763" s="50"/>
      <c r="T4763" s="40"/>
      <c r="AG4763" s="867" t="s">
        <v>241</v>
      </c>
      <c r="AH4763" s="867" t="s">
        <v>242</v>
      </c>
      <c r="AI4763" s="867" t="s">
        <v>243</v>
      </c>
      <c r="AJ4763" s="867" t="s">
        <v>244</v>
      </c>
      <c r="AK4763" s="867" t="s">
        <v>245</v>
      </c>
      <c r="AM4763" s="868" t="s">
        <v>254</v>
      </c>
      <c r="AN4763" s="869" t="s">
        <v>255</v>
      </c>
      <c r="AO4763" s="505" t="s">
        <v>251</v>
      </c>
    </row>
    <row r="4764" spans="1:41" s="504" customFormat="1" ht="12" customHeight="1">
      <c r="A4764" s="870">
        <v>3</v>
      </c>
      <c r="B4764" s="506" t="s">
        <v>335</v>
      </c>
      <c r="C4764" s="872"/>
      <c r="D4764" s="873" t="s">
        <v>879</v>
      </c>
      <c r="E4764" s="1027">
        <f>IF(AND($A4764=0,$A$1="DIF"),0, ROUND(ROUND(($R4768*$S$5+($T4768*$T$5))/$A4764,2)*$C$5,2))</f>
        <v>32.67</v>
      </c>
      <c r="F4764" s="1028">
        <f>ROUND($A4764*$E4764,2)</f>
        <v>98.01</v>
      </c>
      <c r="G4764" s="876" t="s">
        <v>139</v>
      </c>
      <c r="H4764" s="877"/>
      <c r="I4764" s="878"/>
      <c r="J4764" s="877"/>
      <c r="K4764" s="877" t="s">
        <v>9</v>
      </c>
      <c r="L4764" s="879" t="s">
        <v>140</v>
      </c>
      <c r="M4764" s="879"/>
      <c r="N4764" s="879"/>
      <c r="O4764" s="879"/>
      <c r="P4764" s="879"/>
      <c r="Q4764" s="50"/>
      <c r="T4764" s="1032" t="str">
        <f>IF(AND($R4768=0,$T4768=0),"0.00","mu: "&amp; ROUND(F4764/$C$5/($R4768+$T4768*$D$9),2))</f>
        <v>mu: 1.08</v>
      </c>
      <c r="W4764" s="507"/>
      <c r="AG4764" s="1029">
        <f>IF($E4764=0,0,ROUND($R4768*$S$5*$C$5/$A4764,2))</f>
        <v>32.67</v>
      </c>
      <c r="AH4764" s="1029">
        <f>$AG4764*$A4764</f>
        <v>98.01</v>
      </c>
      <c r="AI4764" s="1030">
        <f>$E4764-$AG4764</f>
        <v>0</v>
      </c>
      <c r="AJ4764" s="1030">
        <f>$A4764*$AI4764</f>
        <v>0</v>
      </c>
      <c r="AK4764" s="1031">
        <f>ROUND(($AG4764+$AI4764)*$A4764,2)</f>
        <v>98.01</v>
      </c>
      <c r="AM4764" s="510">
        <f>ROUND(R4768,2)</f>
        <v>91.17</v>
      </c>
      <c r="AN4764" s="511">
        <f>ROUND(T4768,2)</f>
        <v>0</v>
      </c>
      <c r="AO4764" s="512">
        <f>ROUND(AM4764+AN4764,2)*A4764</f>
        <v>273.51</v>
      </c>
    </row>
    <row r="4765" spans="1:41" s="504" customFormat="1" ht="13.2">
      <c r="A4765" s="872"/>
      <c r="B4765"/>
      <c r="C4765" s="872"/>
      <c r="D4765" s="873" t="s">
        <v>515</v>
      </c>
      <c r="F4765" s="877"/>
      <c r="G4765" s="3"/>
      <c r="H4765" s="877"/>
      <c r="I4765" s="878"/>
      <c r="J4765" s="877"/>
      <c r="K4765" s="877" t="s">
        <v>141</v>
      </c>
      <c r="L4765" s="877"/>
      <c r="M4765" s="877"/>
      <c r="N4765" s="877"/>
      <c r="O4765" s="877"/>
      <c r="P4765" s="877"/>
      <c r="Q4765" s="50"/>
      <c r="R4765" s="513"/>
      <c r="S4765" s="881"/>
      <c r="T4765" s="877"/>
    </row>
    <row r="4766" spans="1:41" s="1039" customFormat="1" ht="13.2">
      <c r="A4766" s="112">
        <v>3</v>
      </c>
      <c r="B4766" s="1039" t="s">
        <v>949</v>
      </c>
      <c r="D4766" s="1039" t="s">
        <v>515</v>
      </c>
      <c r="G4766" s="1040" t="s">
        <v>1456</v>
      </c>
      <c r="H4766" s="1041">
        <v>725</v>
      </c>
      <c r="I4766" s="1039" t="s">
        <v>951</v>
      </c>
      <c r="O4766" s="1042">
        <v>3</v>
      </c>
      <c r="P4766" s="1043"/>
      <c r="Q4766" s="1044">
        <v>30.39</v>
      </c>
      <c r="R4766" s="1045">
        <f>$A4766*Q4766</f>
        <v>91.17</v>
      </c>
      <c r="S4766" s="1044"/>
      <c r="T4766" s="1046">
        <f>$A4766*S4766*$T$1</f>
        <v>0</v>
      </c>
    </row>
    <row r="4767" spans="1:41" s="504" customFormat="1" ht="12">
      <c r="A4767" s="882"/>
      <c r="B4767" s="882"/>
      <c r="C4767" s="882"/>
      <c r="D4767" s="882"/>
      <c r="E4767" s="882"/>
      <c r="F4767" s="877"/>
      <c r="G4767" s="882"/>
      <c r="H4767" s="882"/>
      <c r="I4767" s="503"/>
      <c r="J4767" s="882"/>
      <c r="K4767" s="882"/>
      <c r="L4767" s="882"/>
      <c r="M4767" s="882"/>
      <c r="N4767" s="882"/>
      <c r="O4767" s="882"/>
      <c r="P4767" s="882"/>
      <c r="Q4767" s="503"/>
      <c r="R4767" s="883">
        <f>$A4767*Q4767</f>
        <v>0</v>
      </c>
      <c r="S4767" s="503"/>
      <c r="T4767" s="884">
        <f>$A4767*S4767*$T$1</f>
        <v>0</v>
      </c>
    </row>
    <row r="4768" spans="1:41" s="504" customFormat="1" ht="12.6" thickBot="1">
      <c r="A4768" s="885" t="s">
        <v>142</v>
      </c>
      <c r="B4768" s="886">
        <f>(R4767+T4767)</f>
        <v>0</v>
      </c>
      <c r="C4768" s="887"/>
      <c r="D4768" s="887"/>
      <c r="E4768" s="887"/>
      <c r="F4768" s="888"/>
      <c r="G4768" s="887" t="s">
        <v>143</v>
      </c>
      <c r="H4768" s="887"/>
      <c r="I4768" s="889"/>
      <c r="J4768" s="887"/>
      <c r="K4768" s="887" t="s">
        <v>9</v>
      </c>
      <c r="L4768" s="890" t="s">
        <v>140</v>
      </c>
      <c r="M4768" s="890"/>
      <c r="N4768" s="890"/>
      <c r="O4768" s="890"/>
      <c r="P4768" s="890"/>
      <c r="Q4768" s="891"/>
      <c r="R4768" s="892">
        <f>SUM(R4765:R4767)</f>
        <v>91.17</v>
      </c>
      <c r="S4768" s="887"/>
      <c r="T4768" s="892">
        <f>SUM(T4765:T4767)</f>
        <v>0</v>
      </c>
      <c r="U4768" s="514"/>
      <c r="V4768" s="514"/>
      <c r="W4768" s="514"/>
      <c r="X4768" s="514"/>
      <c r="Y4768" s="514"/>
      <c r="Z4768" s="514"/>
      <c r="AA4768" s="514"/>
      <c r="AB4768" s="514"/>
      <c r="AC4768" s="514"/>
      <c r="AD4768" s="514"/>
      <c r="AE4768" s="514"/>
      <c r="AF4768" s="514"/>
      <c r="AG4768" s="514"/>
      <c r="AH4768" s="514"/>
      <c r="AI4768" s="514"/>
      <c r="AJ4768" s="514"/>
      <c r="AK4768" s="514"/>
      <c r="AL4768" s="514"/>
      <c r="AM4768" s="514"/>
      <c r="AN4768" s="514"/>
      <c r="AO4768" s="514"/>
    </row>
    <row r="4769" spans="1:41" s="504" customFormat="1" thickTop="1">
      <c r="A4769" s="50"/>
      <c r="B4769" s="40"/>
      <c r="C4769" s="50"/>
      <c r="E4769" s="41" t="s">
        <v>136</v>
      </c>
      <c r="F4769" s="41" t="s">
        <v>137</v>
      </c>
      <c r="G4769" s="50"/>
      <c r="H4769" s="50"/>
      <c r="I4769" s="50"/>
      <c r="J4769" s="50"/>
      <c r="K4769" s="50" t="s">
        <v>138</v>
      </c>
      <c r="L4769" s="1219"/>
      <c r="M4769" s="50"/>
      <c r="N4769" s="50"/>
      <c r="O4769" s="51"/>
      <c r="P4769" s="50"/>
      <c r="Q4769"/>
      <c r="R4769"/>
      <c r="S4769"/>
      <c r="T4769" s="40"/>
      <c r="AG4769" s="867" t="s">
        <v>241</v>
      </c>
      <c r="AH4769" s="867" t="s">
        <v>242</v>
      </c>
      <c r="AI4769" s="867" t="s">
        <v>243</v>
      </c>
      <c r="AJ4769" s="867" t="s">
        <v>244</v>
      </c>
      <c r="AK4769" s="867" t="s">
        <v>245</v>
      </c>
      <c r="AM4769" s="868" t="s">
        <v>254</v>
      </c>
      <c r="AN4769" s="869" t="s">
        <v>255</v>
      </c>
      <c r="AO4769" s="505" t="s">
        <v>251</v>
      </c>
    </row>
    <row r="4770" spans="1:41" s="504" customFormat="1" ht="13.2">
      <c r="A4770" s="870">
        <v>1</v>
      </c>
      <c r="B4770" s="506" t="s">
        <v>335</v>
      </c>
      <c r="C4770" s="872"/>
      <c r="D4770" s="873" t="s">
        <v>880</v>
      </c>
      <c r="E4770" s="1220">
        <f>IF(AND($A4770=0,$A$1="DIF"),0, ROUND(ROUND(SUMIF($L4772:$L4778,"SUBI",$E4772:$E4778)/$A4770,2)*$C$12,2))</f>
        <v>90.3</v>
      </c>
      <c r="F4770" s="1221">
        <f>ROUND($A4770*$E4770,2)</f>
        <v>90.3</v>
      </c>
      <c r="G4770" s="876" t="s">
        <v>139</v>
      </c>
      <c r="H4770" s="877"/>
      <c r="I4770" s="878"/>
      <c r="J4770" s="877"/>
      <c r="K4770" s="1222"/>
      <c r="L4770" s="1223" t="s">
        <v>140</v>
      </c>
      <c r="M4770" s="879"/>
      <c r="N4770" s="879"/>
      <c r="O4770" s="879"/>
      <c r="P4770" s="879"/>
      <c r="Q4770"/>
      <c r="R4770"/>
      <c r="S4770"/>
      <c r="T4770" s="1224" t="str">
        <f>IF(AND($R4784=0,$T4784=0),"0.00","mu :" &amp; ROUND($F4770/$C$12/($R4784+$T4784*$D$9),2))</f>
        <v>mu :1.11</v>
      </c>
      <c r="W4770" s="507"/>
      <c r="AG4770" s="1225">
        <f>IF(A4770=0,0,ROUND(SUM(AG4772:AG4784)/A4770,2))</f>
        <v>70.349999999999994</v>
      </c>
      <c r="AH4770" s="1225">
        <f>$AG4770*$A4770</f>
        <v>70.349999999999994</v>
      </c>
      <c r="AI4770" s="1225">
        <f>$E4770-$AG4770</f>
        <v>19.950000000000003</v>
      </c>
      <c r="AJ4770" s="1225">
        <f>$A4770*$AI4770</f>
        <v>19.950000000000003</v>
      </c>
      <c r="AK4770" s="1226">
        <f>ROUND(($AG4770+$AI4770)*$A4770,2)</f>
        <v>90.3</v>
      </c>
      <c r="AM4770" s="510">
        <f>ROUND(R4784,2)</f>
        <v>64.87</v>
      </c>
      <c r="AN4770" s="511">
        <f>ROUND(T4784,2)</f>
        <v>0.56999999999999995</v>
      </c>
      <c r="AO4770" s="512">
        <f>ROUND(AM4770+AN4770,2)*A4770</f>
        <v>65.44</v>
      </c>
    </row>
    <row r="4771" spans="1:41" s="504" customFormat="1" ht="13.2">
      <c r="A4771" s="872"/>
      <c r="B4771"/>
      <c r="C4771" s="872"/>
      <c r="D4771" s="873" t="s">
        <v>516</v>
      </c>
      <c r="F4771" s="877"/>
      <c r="G4771" s="877"/>
      <c r="H4771" s="877"/>
      <c r="I4771" s="878"/>
      <c r="J4771" s="877"/>
      <c r="K4771" s="877" t="s">
        <v>141</v>
      </c>
      <c r="L4771" s="1227"/>
      <c r="M4771" s="877"/>
      <c r="N4771" s="877"/>
      <c r="O4771" s="877"/>
      <c r="P4771" s="877"/>
      <c r="Q4771" s="50"/>
      <c r="R4771" s="513"/>
      <c r="S4771" s="881"/>
      <c r="T4771" s="877"/>
    </row>
    <row r="4772" spans="1:41" s="504" customFormat="1" ht="12">
      <c r="A4772" s="1228"/>
      <c r="B4772" s="1229"/>
      <c r="C4772" s="882"/>
      <c r="D4772" s="877"/>
      <c r="E4772" s="1230">
        <f>F4770/$C$12-SUMIF($L4769:$L4784,"SUBI",$E4769:$E4784)</f>
        <v>0</v>
      </c>
      <c r="F4772" s="1231" t="s">
        <v>1472</v>
      </c>
      <c r="G4772" s="1232"/>
      <c r="H4772" s="1232"/>
      <c r="I4772" s="1233"/>
      <c r="J4772" s="1232"/>
      <c r="K4772" s="1232"/>
      <c r="L4772" s="1234"/>
      <c r="M4772" s="1235"/>
      <c r="N4772" s="1235"/>
      <c r="O4772" s="1235"/>
      <c r="P4772" s="1235"/>
      <c r="Q4772" s="1236"/>
      <c r="R4772" s="1237"/>
      <c r="S4772" s="1236"/>
      <c r="T4772" s="1238"/>
    </row>
    <row r="4773" spans="1:41" s="504" customFormat="1" ht="12" customHeight="1">
      <c r="A4773" s="1239"/>
      <c r="B4773" s="1285"/>
      <c r="C4773" s="1286"/>
      <c r="D4773" s="1286" t="str">
        <f>$F$5</f>
        <v>ELV Sub-Contractor - APCO</v>
      </c>
      <c r="E4773" s="1286">
        <f>ROUND(($R4777*$S$5 + ($T4777*$T$5)),2)</f>
        <v>65.19</v>
      </c>
      <c r="F4773" s="1287">
        <f>$E4773*$C$12</f>
        <v>65.19</v>
      </c>
      <c r="G4773" s="513"/>
      <c r="H4773" s="1241"/>
      <c r="I4773" s="513"/>
      <c r="J4773" s="51"/>
      <c r="K4773" s="1242" t="s">
        <v>9</v>
      </c>
      <c r="L4773" s="1243" t="s">
        <v>1473</v>
      </c>
      <c r="M4773" s="513"/>
      <c r="N4773" s="513"/>
      <c r="O4773" s="51"/>
      <c r="P4773" s="513"/>
      <c r="Q4773" s="513"/>
      <c r="R4773"/>
      <c r="S4773"/>
      <c r="T4773"/>
    </row>
    <row r="4774" spans="1:41" s="504" customFormat="1" ht="13.95" customHeight="1">
      <c r="A4774" s="930"/>
      <c r="B4774" s="1244" t="s">
        <v>1474</v>
      </c>
      <c r="C4774" s="513"/>
      <c r="D4774" s="513"/>
      <c r="E4774" s="513"/>
      <c r="F4774" s="513"/>
      <c r="G4774" s="513"/>
      <c r="H4774" s="1241"/>
      <c r="I4774" s="513"/>
      <c r="J4774" s="51"/>
      <c r="K4774" s="1245"/>
      <c r="L4774" s="1246"/>
      <c r="M4774" s="513"/>
      <c r="N4774" s="513"/>
      <c r="O4774" s="51"/>
      <c r="P4774" s="513"/>
      <c r="Q4774" s="513"/>
      <c r="R4774" s="1247">
        <f>$A4774*Q4774</f>
        <v>0</v>
      </c>
      <c r="S4774" s="513"/>
      <c r="T4774" s="884">
        <f>$A4774*S4774*$T$1</f>
        <v>0</v>
      </c>
    </row>
    <row r="4775" spans="1:41" s="1039" customFormat="1" ht="13.2">
      <c r="A4775" s="112">
        <v>1</v>
      </c>
      <c r="B4775" s="1039" t="s">
        <v>949</v>
      </c>
      <c r="D4775" s="1039" t="s">
        <v>516</v>
      </c>
      <c r="G4775" s="1040" t="s">
        <v>1456</v>
      </c>
      <c r="H4775" s="1041">
        <v>725</v>
      </c>
      <c r="I4775" s="1039" t="s">
        <v>951</v>
      </c>
      <c r="O4775" s="1042">
        <v>3</v>
      </c>
      <c r="P4775" s="1043"/>
      <c r="Q4775" s="1044">
        <v>60.64</v>
      </c>
      <c r="R4775" s="1045">
        <f>$A4775*Q4775</f>
        <v>60.64</v>
      </c>
      <c r="S4775" s="1044"/>
      <c r="T4775" s="1046">
        <f>$A4775*S4775*$T$1</f>
        <v>0</v>
      </c>
    </row>
    <row r="4776" spans="1:41" s="504" customFormat="1" ht="13.95" customHeight="1">
      <c r="A4776" s="930"/>
      <c r="B4776" s="513"/>
      <c r="C4776" s="513"/>
      <c r="D4776" s="513"/>
      <c r="E4776" s="513"/>
      <c r="F4776" s="513"/>
      <c r="G4776" s="513"/>
      <c r="H4776" s="1241"/>
      <c r="I4776" s="513"/>
      <c r="J4776" s="51"/>
      <c r="K4776" s="1245"/>
      <c r="L4776" s="1246"/>
      <c r="M4776" s="513"/>
      <c r="N4776" s="513"/>
      <c r="O4776" s="51"/>
      <c r="P4776" s="513"/>
      <c r="Q4776" s="513"/>
      <c r="R4776" s="1247">
        <f>$A4776*Q4776</f>
        <v>0</v>
      </c>
      <c r="S4776" s="513"/>
      <c r="T4776" s="884">
        <f>$A4776*S4776*$T$1</f>
        <v>0</v>
      </c>
    </row>
    <row r="4777" spans="1:41" s="504" customFormat="1" ht="12">
      <c r="A4777" s="1248" t="s">
        <v>142</v>
      </c>
      <c r="B4777" s="1249">
        <f>(R4776+T4776)</f>
        <v>0</v>
      </c>
      <c r="C4777" s="882"/>
      <c r="G4777" s="1250"/>
      <c r="H4777" s="1250"/>
      <c r="I4777" s="1250"/>
      <c r="J4777" s="1250"/>
      <c r="K4777" s="1251" t="s">
        <v>9</v>
      </c>
      <c r="L4777" s="1252" t="s">
        <v>1473</v>
      </c>
      <c r="M4777" s="1250"/>
      <c r="N4777" s="1250"/>
      <c r="O4777" s="1250"/>
      <c r="P4777" s="1250"/>
      <c r="Q4777" s="1253"/>
      <c r="R4777" s="1254">
        <f>SUM(R4773:R4776)</f>
        <v>60.64</v>
      </c>
      <c r="S4777" s="1255"/>
      <c r="T4777" s="1254">
        <f>SUM(T4773:T4776)</f>
        <v>0</v>
      </c>
      <c r="AG4777" s="1288">
        <f>ROUND($R4777*$S$5,2)</f>
        <v>65.19</v>
      </c>
    </row>
    <row r="4778" spans="1:41" s="504" customFormat="1" ht="12" customHeight="1">
      <c r="A4778" s="1257"/>
      <c r="B4778" s="1289"/>
      <c r="C4778" s="1240"/>
      <c r="D4778" s="1240" t="str">
        <f>$F$2</f>
        <v>Electrical</v>
      </c>
      <c r="E4778" s="1240">
        <f>ROUND(($R4782*$S$2 + ($T4782*$T$2)),2)</f>
        <v>25.11</v>
      </c>
      <c r="F4778" s="1290">
        <f ca="1">$F4770-SUMIF($L4772:$P4775,"SUBI",$F4772:$F4775)</f>
        <v>25.11</v>
      </c>
      <c r="G4778" s="503"/>
      <c r="H4778" s="503"/>
      <c r="I4778" s="503"/>
      <c r="J4778" s="503"/>
      <c r="K4778" s="1242" t="s">
        <v>3</v>
      </c>
      <c r="L4778" s="1243" t="s">
        <v>1473</v>
      </c>
      <c r="M4778" s="503"/>
      <c r="N4778" s="503"/>
      <c r="O4778" s="503"/>
      <c r="P4778" s="503"/>
      <c r="Q4778" s="503"/>
      <c r="R4778" s="1258"/>
      <c r="S4778" s="503"/>
      <c r="T4778" s="1258"/>
    </row>
    <row r="4779" spans="1:41" s="1271" customFormat="1" ht="14.4" customHeight="1">
      <c r="A4779" s="1259"/>
      <c r="B4779" s="1244" t="s">
        <v>1475</v>
      </c>
      <c r="C4779" s="1260"/>
      <c r="D4779" s="1261"/>
      <c r="E4779" s="1261"/>
      <c r="F4779" s="1261"/>
      <c r="G4779" s="1262"/>
      <c r="H4779" s="1263"/>
      <c r="I4779" s="1263"/>
      <c r="J4779" s="1264"/>
      <c r="K4779" s="1265"/>
      <c r="L4779" s="1260"/>
      <c r="M4779" s="1266"/>
      <c r="N4779" s="1267"/>
      <c r="O4779" s="1268"/>
      <c r="P4779" s="1269"/>
      <c r="Q4779" s="1270"/>
      <c r="R4779" s="1247">
        <f>$A4779*Q4779</f>
        <v>0</v>
      </c>
      <c r="S4779" s="513"/>
      <c r="T4779" s="884">
        <f>$A4779*S4779*$T$1</f>
        <v>0</v>
      </c>
    </row>
    <row r="4780" spans="1:41" s="1039" customFormat="1" ht="13.2">
      <c r="A4780" s="112">
        <f>1*3</f>
        <v>3</v>
      </c>
      <c r="B4780" s="1039" t="s">
        <v>326</v>
      </c>
      <c r="D4780" s="1039" t="s">
        <v>1224</v>
      </c>
      <c r="G4780" s="1040" t="s">
        <v>1221</v>
      </c>
      <c r="H4780" s="1041">
        <v>700</v>
      </c>
      <c r="I4780" s="1039" t="s">
        <v>1132</v>
      </c>
      <c r="J4780" s="1039" t="s">
        <v>1222</v>
      </c>
      <c r="O4780" s="1042">
        <v>1</v>
      </c>
      <c r="P4780" s="1043">
        <v>42213</v>
      </c>
      <c r="Q4780" s="1044">
        <v>1.41</v>
      </c>
      <c r="R4780" s="1045">
        <f>$A4780*Q4780</f>
        <v>4.2299999999999995</v>
      </c>
      <c r="S4780" s="1044">
        <v>0.18</v>
      </c>
      <c r="T4780" s="1046">
        <f>$A4780*S4780*$T$1</f>
        <v>0.56700000000000006</v>
      </c>
    </row>
    <row r="4781" spans="1:41" s="504" customFormat="1" ht="13.2">
      <c r="A4781" s="930"/>
      <c r="B4781" s="513"/>
      <c r="C4781" s="513"/>
      <c r="D4781" s="3"/>
      <c r="E4781" s="513"/>
      <c r="F4781" s="513"/>
      <c r="G4781" s="513"/>
      <c r="H4781" s="513"/>
      <c r="I4781" s="513"/>
      <c r="J4781" s="513"/>
      <c r="K4781" s="513"/>
      <c r="L4781" s="1246"/>
      <c r="M4781" s="513"/>
      <c r="N4781" s="513"/>
      <c r="O4781" s="513"/>
      <c r="P4781" s="513"/>
      <c r="Q4781" s="513"/>
      <c r="R4781" s="1247">
        <f>$A4781*Q4781</f>
        <v>0</v>
      </c>
      <c r="S4781" s="513"/>
      <c r="T4781" s="884">
        <f>$A4781*S4781*$T$1</f>
        <v>0</v>
      </c>
    </row>
    <row r="4782" spans="1:41" s="504" customFormat="1" ht="12" customHeight="1">
      <c r="A4782" s="1272" t="s">
        <v>142</v>
      </c>
      <c r="B4782" s="1273">
        <f>(R4781+T4781)</f>
        <v>0</v>
      </c>
      <c r="C4782" s="1274"/>
      <c r="D4782" s="1274"/>
      <c r="E4782" s="1274"/>
      <c r="F4782" s="1274"/>
      <c r="G4782" s="1253"/>
      <c r="H4782" s="1253"/>
      <c r="I4782" s="1253"/>
      <c r="J4782" s="1253"/>
      <c r="K4782" s="1275" t="s">
        <v>3</v>
      </c>
      <c r="L4782" s="1276" t="s">
        <v>1473</v>
      </c>
      <c r="M4782" s="1253"/>
      <c r="N4782" s="1253"/>
      <c r="O4782" s="1253"/>
      <c r="P4782" s="1253"/>
      <c r="Q4782" s="1253"/>
      <c r="R4782" s="1254">
        <f>SUM(R4778:R4781)</f>
        <v>4.2299999999999995</v>
      </c>
      <c r="S4782" s="1255"/>
      <c r="T4782" s="1254">
        <f>SUM(T4778:T4781)</f>
        <v>0.56700000000000006</v>
      </c>
      <c r="AG4782" s="1256">
        <f>ROUND($R4782*$S$2,2)</f>
        <v>5.16</v>
      </c>
    </row>
    <row r="4783" spans="1:41" s="504" customFormat="1" ht="12.75" customHeight="1">
      <c r="A4783" s="1277"/>
      <c r="B4783" s="1278"/>
      <c r="E4783" s="882"/>
      <c r="F4783" s="1279"/>
      <c r="G4783" s="882"/>
      <c r="H4783" s="882"/>
      <c r="I4783" s="503"/>
      <c r="J4783" s="882"/>
      <c r="K4783" s="882"/>
      <c r="L4783" s="1280"/>
      <c r="M4783" s="933"/>
      <c r="N4783" s="933"/>
      <c r="O4783" s="933"/>
      <c r="P4783" s="933"/>
      <c r="Q4783" s="900"/>
      <c r="R4783" s="1258"/>
      <c r="S4783" s="882"/>
      <c r="T4783" s="1258"/>
    </row>
    <row r="4784" spans="1:41" s="504" customFormat="1" ht="13.5" customHeight="1" thickBot="1">
      <c r="A4784" s="1281"/>
      <c r="B4784" s="1282"/>
      <c r="C4784" s="514"/>
      <c r="D4784" s="514"/>
      <c r="E4784" s="887"/>
      <c r="F4784" s="888"/>
      <c r="G4784" s="887" t="s">
        <v>143</v>
      </c>
      <c r="H4784" s="887"/>
      <c r="I4784" s="889"/>
      <c r="J4784" s="887"/>
      <c r="K4784" s="887"/>
      <c r="L4784" s="1283" t="s">
        <v>140</v>
      </c>
      <c r="M4784" s="890"/>
      <c r="N4784" s="890"/>
      <c r="O4784" s="890"/>
      <c r="P4784" s="890"/>
      <c r="Q4784" s="891"/>
      <c r="R4784" s="1284">
        <f>SUMIF($L4771:$L4783,"SUBI",R4771:R4783)</f>
        <v>64.87</v>
      </c>
      <c r="S4784" s="887"/>
      <c r="T4784" s="1284">
        <f>SUMIF($L4771:$L4783,"SUBI",T4771:T4783)</f>
        <v>0.56700000000000006</v>
      </c>
      <c r="U4784" s="514"/>
      <c r="V4784" s="514"/>
      <c r="W4784" s="514"/>
      <c r="X4784" s="514"/>
      <c r="Y4784" s="514"/>
      <c r="Z4784" s="514"/>
      <c r="AA4784" s="514"/>
      <c r="AB4784" s="514"/>
      <c r="AC4784" s="514"/>
      <c r="AD4784" s="514"/>
      <c r="AE4784" s="514"/>
      <c r="AF4784" s="514"/>
      <c r="AG4784" s="514"/>
      <c r="AH4784" s="514"/>
      <c r="AI4784" s="514"/>
      <c r="AJ4784" s="514"/>
      <c r="AK4784" s="514"/>
      <c r="AL4784" s="514"/>
      <c r="AM4784" s="514"/>
      <c r="AN4784" s="514"/>
      <c r="AO4784" s="514"/>
    </row>
    <row r="4785" spans="1:41" s="504" customFormat="1" thickTop="1">
      <c r="A4785" s="50"/>
      <c r="B4785" s="40"/>
      <c r="C4785" s="50"/>
      <c r="E4785" s="41" t="s">
        <v>136</v>
      </c>
      <c r="F4785" s="41" t="s">
        <v>137</v>
      </c>
      <c r="G4785" s="50"/>
      <c r="H4785" s="50"/>
      <c r="I4785" s="50"/>
      <c r="J4785" s="50"/>
      <c r="K4785" s="50" t="s">
        <v>138</v>
      </c>
      <c r="L4785" s="1219"/>
      <c r="M4785" s="50"/>
      <c r="N4785" s="50"/>
      <c r="O4785" s="51"/>
      <c r="P4785" s="50"/>
      <c r="Q4785"/>
      <c r="R4785"/>
      <c r="S4785"/>
      <c r="T4785" s="40"/>
      <c r="AG4785" s="867" t="s">
        <v>241</v>
      </c>
      <c r="AH4785" s="867" t="s">
        <v>242</v>
      </c>
      <c r="AI4785" s="867" t="s">
        <v>243</v>
      </c>
      <c r="AJ4785" s="867" t="s">
        <v>244</v>
      </c>
      <c r="AK4785" s="867" t="s">
        <v>245</v>
      </c>
      <c r="AM4785" s="868" t="s">
        <v>254</v>
      </c>
      <c r="AN4785" s="869" t="s">
        <v>255</v>
      </c>
      <c r="AO4785" s="505" t="s">
        <v>251</v>
      </c>
    </row>
    <row r="4786" spans="1:41" s="504" customFormat="1" ht="13.2">
      <c r="A4786" s="870">
        <v>1</v>
      </c>
      <c r="B4786" s="506" t="s">
        <v>335</v>
      </c>
      <c r="C4786" s="872"/>
      <c r="D4786" s="873" t="s">
        <v>881</v>
      </c>
      <c r="E4786" s="1220">
        <f>IF(AND($A4786=0,$A$1="DIF"),0, ROUND(ROUND(SUMIF($L4788:$L4794,"SUBI",$E4788:$E4794)/$A4786,2)*$C$12,2))</f>
        <v>341.22</v>
      </c>
      <c r="F4786" s="1221">
        <f>ROUND($A4786*$E4786,2)</f>
        <v>341.22</v>
      </c>
      <c r="G4786" s="876" t="s">
        <v>139</v>
      </c>
      <c r="H4786" s="877"/>
      <c r="I4786" s="878"/>
      <c r="J4786" s="877"/>
      <c r="K4786" s="1222"/>
      <c r="L4786" s="1223" t="s">
        <v>140</v>
      </c>
      <c r="M4786" s="879"/>
      <c r="N4786" s="879"/>
      <c r="O4786" s="879"/>
      <c r="P4786" s="879"/>
      <c r="Q4786"/>
      <c r="R4786"/>
      <c r="S4786"/>
      <c r="T4786" s="1224" t="str">
        <f>IF(AND($R4800=0,$T4800=0),"0.00","mu :" &amp; ROUND($F4786/$C$12/($R4800+$T4800*$D$9),2))</f>
        <v>mu :1.08</v>
      </c>
      <c r="W4786" s="507"/>
      <c r="AG4786" s="1225">
        <f>IF(A4786=0,0,ROUND(SUM(AG4788:AG4800)/A4786,2))</f>
        <v>327.92</v>
      </c>
      <c r="AH4786" s="1225">
        <f>$AG4786*$A4786</f>
        <v>327.92</v>
      </c>
      <c r="AI4786" s="1225">
        <f>$E4786-$AG4786</f>
        <v>13.300000000000011</v>
      </c>
      <c r="AJ4786" s="1225">
        <f>$A4786*$AI4786</f>
        <v>13.300000000000011</v>
      </c>
      <c r="AK4786" s="1226">
        <f>ROUND(($AG4786+$AI4786)*$A4786,2)</f>
        <v>341.22</v>
      </c>
      <c r="AM4786" s="510">
        <f>ROUND(R4800,2)</f>
        <v>304.66000000000003</v>
      </c>
      <c r="AN4786" s="511">
        <f>ROUND(T4800,2)</f>
        <v>0.38</v>
      </c>
      <c r="AO4786" s="512">
        <f>ROUND(AM4786+AN4786,2)*A4786</f>
        <v>305.04000000000002</v>
      </c>
    </row>
    <row r="4787" spans="1:41" s="504" customFormat="1" ht="13.2">
      <c r="A4787" s="872"/>
      <c r="B4787"/>
      <c r="C4787" s="872"/>
      <c r="D4787" s="873" t="s">
        <v>517</v>
      </c>
      <c r="F4787" s="877"/>
      <c r="G4787" s="877"/>
      <c r="H4787" s="877"/>
      <c r="I4787" s="878"/>
      <c r="J4787" s="877"/>
      <c r="K4787" s="877" t="s">
        <v>141</v>
      </c>
      <c r="L4787" s="1227"/>
      <c r="M4787" s="877"/>
      <c r="N4787" s="877"/>
      <c r="O4787" s="877"/>
      <c r="P4787" s="877"/>
      <c r="Q4787" s="50"/>
      <c r="R4787" s="513"/>
      <c r="S4787" s="881"/>
      <c r="T4787" s="877"/>
    </row>
    <row r="4788" spans="1:41" s="504" customFormat="1" ht="12">
      <c r="A4788" s="1228"/>
      <c r="B4788" s="1229"/>
      <c r="C4788" s="882"/>
      <c r="D4788" s="877"/>
      <c r="E4788" s="1230">
        <f>F4786/$C$12-SUMIF($L4785:$L4800,"SUBI",$E4785:$E4800)</f>
        <v>0</v>
      </c>
      <c r="F4788" s="1231" t="s">
        <v>1472</v>
      </c>
      <c r="G4788" s="1232"/>
      <c r="H4788" s="1232"/>
      <c r="I4788" s="1233"/>
      <c r="J4788" s="1232"/>
      <c r="K4788" s="1232"/>
      <c r="L4788" s="1234"/>
      <c r="M4788" s="1235"/>
      <c r="N4788" s="1235"/>
      <c r="O4788" s="1235"/>
      <c r="P4788" s="1235"/>
      <c r="Q4788" s="1236"/>
      <c r="R4788" s="1237"/>
      <c r="S4788" s="1236"/>
      <c r="T4788" s="1238"/>
    </row>
    <row r="4789" spans="1:41" s="504" customFormat="1" ht="12" customHeight="1">
      <c r="A4789" s="1239"/>
      <c r="B4789" s="1285"/>
      <c r="C4789" s="1286"/>
      <c r="D4789" s="1286" t="str">
        <f>$F$5</f>
        <v>ELV Sub-Contractor - APCO</v>
      </c>
      <c r="E4789" s="1286">
        <f>ROUND(($R4793*$S$5 + ($T4793*$T$5)),2)</f>
        <v>324.48</v>
      </c>
      <c r="F4789" s="1287">
        <f>$E4789*$C$12</f>
        <v>324.48</v>
      </c>
      <c r="G4789" s="513"/>
      <c r="H4789" s="1241"/>
      <c r="I4789" s="513"/>
      <c r="J4789" s="51"/>
      <c r="K4789" s="1242" t="s">
        <v>9</v>
      </c>
      <c r="L4789" s="1243" t="s">
        <v>1473</v>
      </c>
      <c r="M4789" s="513"/>
      <c r="N4789" s="513"/>
      <c r="O4789" s="51"/>
      <c r="P4789" s="513"/>
      <c r="Q4789" s="513"/>
      <c r="R4789"/>
      <c r="S4789"/>
      <c r="T4789"/>
    </row>
    <row r="4790" spans="1:41" s="504" customFormat="1" ht="13.95" customHeight="1">
      <c r="A4790" s="930"/>
      <c r="B4790" s="1244" t="s">
        <v>1474</v>
      </c>
      <c r="C4790" s="513"/>
      <c r="D4790" s="513"/>
      <c r="E4790" s="513"/>
      <c r="F4790" s="513"/>
      <c r="G4790" s="513"/>
      <c r="H4790" s="1241"/>
      <c r="I4790" s="513"/>
      <c r="J4790" s="51"/>
      <c r="K4790" s="1245"/>
      <c r="L4790" s="1246"/>
      <c r="M4790" s="513"/>
      <c r="N4790" s="513"/>
      <c r="O4790" s="51"/>
      <c r="P4790" s="513"/>
      <c r="Q4790" s="513"/>
      <c r="R4790" s="1247">
        <f>$A4790*Q4790</f>
        <v>0</v>
      </c>
      <c r="S4790" s="513"/>
      <c r="T4790" s="884">
        <f>$A4790*S4790*$T$1</f>
        <v>0</v>
      </c>
    </row>
    <row r="4791" spans="1:41" s="1039" customFormat="1" ht="13.2">
      <c r="A4791" s="112">
        <v>1</v>
      </c>
      <c r="B4791" s="1039" t="s">
        <v>949</v>
      </c>
      <c r="D4791" s="1039" t="s">
        <v>517</v>
      </c>
      <c r="G4791" s="1040" t="s">
        <v>1456</v>
      </c>
      <c r="H4791" s="1041">
        <v>725</v>
      </c>
      <c r="I4791" s="1039" t="s">
        <v>951</v>
      </c>
      <c r="O4791" s="1042">
        <v>3</v>
      </c>
      <c r="P4791" s="1043"/>
      <c r="Q4791" s="1044">
        <v>301.83999999999997</v>
      </c>
      <c r="R4791" s="1045">
        <f>$A4791*Q4791</f>
        <v>301.83999999999997</v>
      </c>
      <c r="S4791" s="1044"/>
      <c r="T4791" s="1046">
        <f>$A4791*S4791*$T$1</f>
        <v>0</v>
      </c>
    </row>
    <row r="4792" spans="1:41" s="504" customFormat="1" ht="13.95" customHeight="1">
      <c r="A4792" s="930"/>
      <c r="B4792" s="513"/>
      <c r="C4792" s="513"/>
      <c r="D4792" s="513"/>
      <c r="E4792" s="513"/>
      <c r="F4792" s="513"/>
      <c r="G4792" s="513"/>
      <c r="H4792" s="1241"/>
      <c r="I4792" s="513"/>
      <c r="J4792" s="51"/>
      <c r="K4792" s="1245"/>
      <c r="L4792" s="1246"/>
      <c r="M4792" s="513"/>
      <c r="N4792" s="513"/>
      <c r="O4792" s="51"/>
      <c r="P4792" s="513"/>
      <c r="Q4792" s="513"/>
      <c r="R4792" s="1247">
        <f>$A4792*Q4792</f>
        <v>0</v>
      </c>
      <c r="S4792" s="513"/>
      <c r="T4792" s="884">
        <f>$A4792*S4792*$T$1</f>
        <v>0</v>
      </c>
    </row>
    <row r="4793" spans="1:41" s="504" customFormat="1" ht="12">
      <c r="A4793" s="1248" t="s">
        <v>142</v>
      </c>
      <c r="B4793" s="1249">
        <f>(R4792+T4792)</f>
        <v>0</v>
      </c>
      <c r="C4793" s="882"/>
      <c r="G4793" s="1250"/>
      <c r="H4793" s="1250"/>
      <c r="I4793" s="1250"/>
      <c r="J4793" s="1250"/>
      <c r="K4793" s="1251" t="s">
        <v>9</v>
      </c>
      <c r="L4793" s="1252" t="s">
        <v>1473</v>
      </c>
      <c r="M4793" s="1250"/>
      <c r="N4793" s="1250"/>
      <c r="O4793" s="1250"/>
      <c r="P4793" s="1250"/>
      <c r="Q4793" s="1253"/>
      <c r="R4793" s="1254">
        <f>SUM(R4789:R4792)</f>
        <v>301.83999999999997</v>
      </c>
      <c r="S4793" s="1255"/>
      <c r="T4793" s="1254">
        <f>SUM(T4789:T4792)</f>
        <v>0</v>
      </c>
      <c r="AG4793" s="1288">
        <f>ROUND($R4793*$S$5,2)</f>
        <v>324.48</v>
      </c>
    </row>
    <row r="4794" spans="1:41" s="504" customFormat="1" ht="12" customHeight="1">
      <c r="A4794" s="1257"/>
      <c r="B4794" s="1289"/>
      <c r="C4794" s="1240"/>
      <c r="D4794" s="1240" t="str">
        <f>$F$2</f>
        <v>Electrical</v>
      </c>
      <c r="E4794" s="1240">
        <f>ROUND(($R4798*$S$2 + ($T4798*$T$2)),2)</f>
        <v>16.739999999999998</v>
      </c>
      <c r="F4794" s="1290">
        <f ca="1">$F4786-SUMIF($L4788:$P4791,"SUBI",$F4788:$F4791)</f>
        <v>16.740000000000009</v>
      </c>
      <c r="G4794" s="503"/>
      <c r="H4794" s="503"/>
      <c r="I4794" s="503"/>
      <c r="J4794" s="503"/>
      <c r="K4794" s="1242" t="s">
        <v>3</v>
      </c>
      <c r="L4794" s="1243" t="s">
        <v>1473</v>
      </c>
      <c r="M4794" s="503"/>
      <c r="N4794" s="503"/>
      <c r="O4794" s="503"/>
      <c r="P4794" s="503"/>
      <c r="Q4794" s="503"/>
      <c r="R4794" s="1258"/>
      <c r="S4794" s="503"/>
      <c r="T4794" s="1258"/>
    </row>
    <row r="4795" spans="1:41" s="1271" customFormat="1" ht="14.4" customHeight="1">
      <c r="A4795" s="1259"/>
      <c r="B4795" s="1244" t="s">
        <v>1475</v>
      </c>
      <c r="C4795" s="1260"/>
      <c r="D4795" s="1261"/>
      <c r="E4795" s="1261"/>
      <c r="F4795" s="1261"/>
      <c r="G4795" s="1262"/>
      <c r="H4795" s="1263"/>
      <c r="I4795" s="1263"/>
      <c r="J4795" s="1264"/>
      <c r="K4795" s="1265"/>
      <c r="L4795" s="1260"/>
      <c r="M4795" s="1266"/>
      <c r="N4795" s="1267"/>
      <c r="O4795" s="1268"/>
      <c r="P4795" s="1269"/>
      <c r="Q4795" s="1270"/>
      <c r="R4795" s="1247">
        <f>$A4795*Q4795</f>
        <v>0</v>
      </c>
      <c r="S4795" s="513"/>
      <c r="T4795" s="884">
        <f>$A4795*S4795*$T$1</f>
        <v>0</v>
      </c>
    </row>
    <row r="4796" spans="1:41" s="1039" customFormat="1" ht="13.2">
      <c r="A4796" s="112">
        <f>1*2</f>
        <v>2</v>
      </c>
      <c r="B4796" s="1039" t="s">
        <v>326</v>
      </c>
      <c r="D4796" s="1039" t="s">
        <v>1224</v>
      </c>
      <c r="G4796" s="1040" t="s">
        <v>1221</v>
      </c>
      <c r="H4796" s="1041">
        <v>700</v>
      </c>
      <c r="I4796" s="1039" t="s">
        <v>1132</v>
      </c>
      <c r="J4796" s="1039" t="s">
        <v>1222</v>
      </c>
      <c r="O4796" s="1042">
        <v>1</v>
      </c>
      <c r="P4796" s="1043">
        <v>42213</v>
      </c>
      <c r="Q4796" s="1044">
        <v>1.41</v>
      </c>
      <c r="R4796" s="1045">
        <f>$A4796*Q4796</f>
        <v>2.82</v>
      </c>
      <c r="S4796" s="1044">
        <v>0.18</v>
      </c>
      <c r="T4796" s="1046">
        <f>$A4796*S4796*$T$1</f>
        <v>0.378</v>
      </c>
    </row>
    <row r="4797" spans="1:41" s="504" customFormat="1" ht="13.2">
      <c r="A4797" s="930"/>
      <c r="B4797" s="513"/>
      <c r="C4797" s="513"/>
      <c r="D4797" s="3"/>
      <c r="E4797" s="513"/>
      <c r="F4797" s="513"/>
      <c r="G4797" s="513"/>
      <c r="H4797" s="513"/>
      <c r="I4797" s="513"/>
      <c r="J4797" s="513"/>
      <c r="K4797" s="513"/>
      <c r="L4797" s="1246"/>
      <c r="M4797" s="513"/>
      <c r="N4797" s="513"/>
      <c r="O4797" s="513"/>
      <c r="P4797" s="513"/>
      <c r="Q4797" s="513"/>
      <c r="R4797" s="1247">
        <f>$A4797*Q4797</f>
        <v>0</v>
      </c>
      <c r="S4797" s="513"/>
      <c r="T4797" s="884">
        <f>$A4797*S4797*$T$1</f>
        <v>0</v>
      </c>
    </row>
    <row r="4798" spans="1:41" s="504" customFormat="1" ht="12" customHeight="1">
      <c r="A4798" s="1272" t="s">
        <v>142</v>
      </c>
      <c r="B4798" s="1273">
        <f>(R4797+T4797)</f>
        <v>0</v>
      </c>
      <c r="C4798" s="1274"/>
      <c r="D4798" s="1274"/>
      <c r="E4798" s="1274"/>
      <c r="F4798" s="1274"/>
      <c r="G4798" s="1253"/>
      <c r="H4798" s="1253"/>
      <c r="I4798" s="1253"/>
      <c r="J4798" s="1253"/>
      <c r="K4798" s="1275" t="s">
        <v>3</v>
      </c>
      <c r="L4798" s="1276" t="s">
        <v>1473</v>
      </c>
      <c r="M4798" s="1253"/>
      <c r="N4798" s="1253"/>
      <c r="O4798" s="1253"/>
      <c r="P4798" s="1253"/>
      <c r="Q4798" s="1253"/>
      <c r="R4798" s="1254">
        <f>SUM(R4794:R4797)</f>
        <v>2.82</v>
      </c>
      <c r="S4798" s="1255"/>
      <c r="T4798" s="1254">
        <f>SUM(T4794:T4797)</f>
        <v>0.378</v>
      </c>
      <c r="AG4798" s="1256">
        <f>ROUND($R4798*$S$2,2)</f>
        <v>3.44</v>
      </c>
    </row>
    <row r="4799" spans="1:41" s="504" customFormat="1" ht="12.75" customHeight="1">
      <c r="A4799" s="1277"/>
      <c r="B4799" s="1278"/>
      <c r="E4799" s="882"/>
      <c r="F4799" s="1279"/>
      <c r="G4799" s="882"/>
      <c r="H4799" s="882"/>
      <c r="I4799" s="503"/>
      <c r="J4799" s="882"/>
      <c r="K4799" s="882"/>
      <c r="L4799" s="1280"/>
      <c r="M4799" s="933"/>
      <c r="N4799" s="933"/>
      <c r="O4799" s="933"/>
      <c r="P4799" s="933"/>
      <c r="Q4799" s="900"/>
      <c r="R4799" s="1258"/>
      <c r="S4799" s="882"/>
      <c r="T4799" s="1258"/>
    </row>
    <row r="4800" spans="1:41" s="504" customFormat="1" ht="13.5" customHeight="1" thickBot="1">
      <c r="A4800" s="1281"/>
      <c r="B4800" s="1282"/>
      <c r="C4800" s="514"/>
      <c r="D4800" s="514"/>
      <c r="E4800" s="887"/>
      <c r="F4800" s="888"/>
      <c r="G4800" s="887" t="s">
        <v>143</v>
      </c>
      <c r="H4800" s="887"/>
      <c r="I4800" s="889"/>
      <c r="J4800" s="887"/>
      <c r="K4800" s="887"/>
      <c r="L4800" s="1283" t="s">
        <v>140</v>
      </c>
      <c r="M4800" s="890"/>
      <c r="N4800" s="890"/>
      <c r="O4800" s="890"/>
      <c r="P4800" s="890"/>
      <c r="Q4800" s="891"/>
      <c r="R4800" s="1284">
        <f>SUMIF($L4787:$L4799,"SUBI",R4787:R4799)</f>
        <v>304.65999999999997</v>
      </c>
      <c r="S4800" s="887"/>
      <c r="T4800" s="1284">
        <f>SUMIF($L4787:$L4799,"SUBI",T4787:T4799)</f>
        <v>0.378</v>
      </c>
      <c r="U4800" s="514"/>
      <c r="V4800" s="514"/>
      <c r="W4800" s="514"/>
      <c r="X4800" s="514"/>
      <c r="Y4800" s="514"/>
      <c r="Z4800" s="514"/>
      <c r="AA4800" s="514"/>
      <c r="AB4800" s="514"/>
      <c r="AC4800" s="514"/>
      <c r="AD4800" s="514"/>
      <c r="AE4800" s="514"/>
      <c r="AF4800" s="514"/>
      <c r="AG4800" s="514"/>
      <c r="AH4800" s="514"/>
      <c r="AI4800" s="514"/>
      <c r="AJ4800" s="514"/>
      <c r="AK4800" s="514"/>
      <c r="AL4800" s="514"/>
      <c r="AM4800" s="514"/>
      <c r="AN4800" s="514"/>
      <c r="AO4800" s="514"/>
    </row>
    <row r="4801" spans="1:41" s="504" customFormat="1" ht="12" thickTop="1">
      <c r="A4801" s="50"/>
      <c r="B4801" s="40"/>
      <c r="C4801" s="50"/>
      <c r="E4801" s="41" t="s">
        <v>136</v>
      </c>
      <c r="F4801" s="41" t="s">
        <v>137</v>
      </c>
      <c r="G4801" s="50"/>
      <c r="H4801" s="50"/>
      <c r="I4801" s="50"/>
      <c r="J4801" s="50"/>
      <c r="K4801" s="50" t="s">
        <v>138</v>
      </c>
      <c r="L4801" s="50"/>
      <c r="M4801" s="50"/>
      <c r="N4801" s="50"/>
      <c r="O4801" s="51"/>
      <c r="P4801" s="50"/>
      <c r="Q4801" s="50"/>
      <c r="R4801" s="50"/>
      <c r="S4801" s="50"/>
      <c r="T4801" s="40"/>
      <c r="AG4801" s="867" t="s">
        <v>241</v>
      </c>
      <c r="AH4801" s="867" t="s">
        <v>242</v>
      </c>
      <c r="AI4801" s="867" t="s">
        <v>243</v>
      </c>
      <c r="AJ4801" s="867" t="s">
        <v>244</v>
      </c>
      <c r="AK4801" s="867" t="s">
        <v>245</v>
      </c>
      <c r="AM4801" s="868" t="s">
        <v>254</v>
      </c>
      <c r="AN4801" s="869" t="s">
        <v>255</v>
      </c>
      <c r="AO4801" s="505" t="s">
        <v>251</v>
      </c>
    </row>
    <row r="4802" spans="1:41" s="504" customFormat="1" ht="12" customHeight="1">
      <c r="A4802" s="870">
        <v>120</v>
      </c>
      <c r="B4802" s="506" t="s">
        <v>326</v>
      </c>
      <c r="C4802" s="872"/>
      <c r="D4802" s="873" t="s">
        <v>882</v>
      </c>
      <c r="E4802" s="1027">
        <f>IF(AND($A4802=0,$A$1="DIF"),0, ROUND(ROUND(($R4806*$S$5+($T4806*$T$5))/$A4802,2)*$C$5,2))</f>
        <v>10.78</v>
      </c>
      <c r="F4802" s="1028">
        <f>ROUND($A4802*$E4802,2)</f>
        <v>1293.5999999999999</v>
      </c>
      <c r="G4802" s="876" t="s">
        <v>139</v>
      </c>
      <c r="H4802" s="877"/>
      <c r="I4802" s="878"/>
      <c r="J4802" s="877"/>
      <c r="K4802" s="877" t="s">
        <v>9</v>
      </c>
      <c r="L4802" s="879" t="s">
        <v>140</v>
      </c>
      <c r="M4802" s="879"/>
      <c r="N4802" s="879"/>
      <c r="O4802" s="879"/>
      <c r="P4802" s="879"/>
      <c r="Q4802" s="50"/>
      <c r="T4802" s="1032" t="str">
        <f>IF(AND($R4806=0,$T4806=0),"0.00","mu: "&amp; ROUND(F4802/$C$5/($R4806+$T4806*$D$9),2))</f>
        <v>mu: 1.07</v>
      </c>
      <c r="W4802" s="507"/>
      <c r="AG4802" s="1029">
        <f>IF($E4802=0,0,ROUND($R4806*$S$5*$C$5/$A4802,2))</f>
        <v>10.78</v>
      </c>
      <c r="AH4802" s="1029">
        <f>$AG4802*$A4802</f>
        <v>1293.5999999999999</v>
      </c>
      <c r="AI4802" s="1030">
        <f>$E4802-$AG4802</f>
        <v>0</v>
      </c>
      <c r="AJ4802" s="1030">
        <f>$A4802*$AI4802</f>
        <v>0</v>
      </c>
      <c r="AK4802" s="1031">
        <f>ROUND(($AG4802+$AI4802)*$A4802,2)</f>
        <v>1293.5999999999999</v>
      </c>
      <c r="AM4802" s="510">
        <f>ROUND(R4806,2)</f>
        <v>1203.5999999999999</v>
      </c>
      <c r="AN4802" s="511">
        <f>ROUND(T4806,2)</f>
        <v>0</v>
      </c>
      <c r="AO4802" s="512">
        <f>ROUND(AM4802+AN4802,2)*A4802</f>
        <v>144432</v>
      </c>
    </row>
    <row r="4803" spans="1:41" s="504" customFormat="1" ht="13.2">
      <c r="A4803" s="872"/>
      <c r="B4803"/>
      <c r="C4803" s="872"/>
      <c r="D4803" s="873" t="s">
        <v>518</v>
      </c>
      <c r="F4803" s="877"/>
      <c r="G4803" s="3"/>
      <c r="H4803" s="877"/>
      <c r="I4803" s="878"/>
      <c r="J4803" s="877"/>
      <c r="K4803" s="877" t="s">
        <v>141</v>
      </c>
      <c r="L4803" s="877"/>
      <c r="M4803" s="877"/>
      <c r="N4803" s="877"/>
      <c r="O4803" s="877"/>
      <c r="P4803" s="877"/>
      <c r="Q4803" s="50"/>
      <c r="R4803" s="513"/>
      <c r="S4803" s="881"/>
      <c r="T4803" s="877"/>
    </row>
    <row r="4804" spans="1:41" s="1039" customFormat="1" ht="13.2">
      <c r="A4804" s="112">
        <v>120</v>
      </c>
      <c r="B4804" s="1039" t="s">
        <v>326</v>
      </c>
      <c r="D4804" s="1039" t="s">
        <v>518</v>
      </c>
      <c r="G4804" s="1040" t="s">
        <v>1456</v>
      </c>
      <c r="H4804" s="1041">
        <v>725</v>
      </c>
      <c r="I4804" s="1039" t="s">
        <v>951</v>
      </c>
      <c r="O4804" s="1042">
        <v>3</v>
      </c>
      <c r="P4804" s="1043"/>
      <c r="Q4804" s="1044">
        <v>10.029999999999999</v>
      </c>
      <c r="R4804" s="1045">
        <f>$A4804*Q4804</f>
        <v>1203.5999999999999</v>
      </c>
      <c r="S4804" s="1044"/>
      <c r="T4804" s="1046">
        <f>$A4804*S4804*$T$1</f>
        <v>0</v>
      </c>
    </row>
    <row r="4805" spans="1:41" s="504" customFormat="1" ht="12">
      <c r="A4805" s="882"/>
      <c r="B4805" s="882"/>
      <c r="C4805" s="882"/>
      <c r="D4805" s="882"/>
      <c r="E4805" s="882"/>
      <c r="F4805" s="877"/>
      <c r="G4805" s="882"/>
      <c r="H4805" s="882"/>
      <c r="I4805" s="503"/>
      <c r="J4805" s="882"/>
      <c r="K4805" s="882"/>
      <c r="L4805" s="882"/>
      <c r="M4805" s="882"/>
      <c r="N4805" s="882"/>
      <c r="O4805" s="882"/>
      <c r="P4805" s="882"/>
      <c r="Q4805" s="503"/>
      <c r="R4805" s="883">
        <f>$A4805*Q4805</f>
        <v>0</v>
      </c>
      <c r="S4805" s="503"/>
      <c r="T4805" s="884">
        <f>$A4805*S4805*$T$1</f>
        <v>0</v>
      </c>
    </row>
    <row r="4806" spans="1:41" s="504" customFormat="1" ht="12.6" thickBot="1">
      <c r="A4806" s="885" t="s">
        <v>142</v>
      </c>
      <c r="B4806" s="886">
        <f>(R4805+T4805)</f>
        <v>0</v>
      </c>
      <c r="C4806" s="887"/>
      <c r="D4806" s="887"/>
      <c r="E4806" s="887"/>
      <c r="F4806" s="888"/>
      <c r="G4806" s="887" t="s">
        <v>143</v>
      </c>
      <c r="H4806" s="887"/>
      <c r="I4806" s="889"/>
      <c r="J4806" s="887"/>
      <c r="K4806" s="887" t="s">
        <v>9</v>
      </c>
      <c r="L4806" s="890" t="s">
        <v>140</v>
      </c>
      <c r="M4806" s="890"/>
      <c r="N4806" s="890"/>
      <c r="O4806" s="890"/>
      <c r="P4806" s="890"/>
      <c r="Q4806" s="891"/>
      <c r="R4806" s="892">
        <f>SUM(R4803:R4805)</f>
        <v>1203.5999999999999</v>
      </c>
      <c r="S4806" s="887"/>
      <c r="T4806" s="892">
        <f>SUM(T4803:T4805)</f>
        <v>0</v>
      </c>
      <c r="U4806" s="514"/>
      <c r="V4806" s="514"/>
      <c r="W4806" s="514"/>
      <c r="X4806" s="514"/>
      <c r="Y4806" s="514"/>
      <c r="Z4806" s="514"/>
      <c r="AA4806" s="514"/>
      <c r="AB4806" s="514"/>
      <c r="AC4806" s="514"/>
      <c r="AD4806" s="514"/>
      <c r="AE4806" s="514"/>
      <c r="AF4806" s="514"/>
      <c r="AG4806" s="514"/>
      <c r="AH4806" s="514"/>
      <c r="AI4806" s="514"/>
      <c r="AJ4806" s="514"/>
      <c r="AK4806" s="514"/>
      <c r="AL4806" s="514"/>
      <c r="AM4806" s="514"/>
      <c r="AN4806" s="514"/>
      <c r="AO4806" s="514"/>
    </row>
    <row r="4807" spans="1:41" s="504" customFormat="1" thickTop="1">
      <c r="A4807" s="50"/>
      <c r="B4807" s="40"/>
      <c r="C4807" s="50"/>
      <c r="E4807" s="41" t="s">
        <v>136</v>
      </c>
      <c r="F4807" s="41" t="s">
        <v>137</v>
      </c>
      <c r="G4807" s="50"/>
      <c r="H4807" s="50"/>
      <c r="I4807" s="50"/>
      <c r="J4807" s="50"/>
      <c r="K4807" s="50" t="s">
        <v>138</v>
      </c>
      <c r="L4807" s="1219"/>
      <c r="M4807" s="50"/>
      <c r="N4807" s="50"/>
      <c r="O4807" s="51"/>
      <c r="P4807" s="50"/>
      <c r="Q4807"/>
      <c r="R4807"/>
      <c r="S4807"/>
      <c r="T4807" s="40"/>
      <c r="AG4807" s="867" t="s">
        <v>241</v>
      </c>
      <c r="AH4807" s="867" t="s">
        <v>242</v>
      </c>
      <c r="AI4807" s="867" t="s">
        <v>243</v>
      </c>
      <c r="AJ4807" s="867" t="s">
        <v>244</v>
      </c>
      <c r="AK4807" s="867" t="s">
        <v>245</v>
      </c>
      <c r="AM4807" s="868" t="s">
        <v>254</v>
      </c>
      <c r="AN4807" s="869" t="s">
        <v>255</v>
      </c>
      <c r="AO4807" s="505" t="s">
        <v>251</v>
      </c>
    </row>
    <row r="4808" spans="1:41" s="504" customFormat="1" ht="13.2">
      <c r="A4808" s="870">
        <v>3</v>
      </c>
      <c r="B4808" s="506" t="s">
        <v>335</v>
      </c>
      <c r="C4808" s="872"/>
      <c r="D4808" s="873" t="s">
        <v>883</v>
      </c>
      <c r="E4808" s="1220">
        <f>IF(AND($A4808=0,$A$1="DIF"),0, ROUND(ROUND(SUMIF($L4810:$L4816,"SUBI",$E4810:$E4816)/$A4808,2)*$C$12,2))</f>
        <v>143.13999999999999</v>
      </c>
      <c r="F4808" s="1221">
        <f>ROUND($A4808*$E4808,2)</f>
        <v>429.42</v>
      </c>
      <c r="G4808" s="876" t="s">
        <v>139</v>
      </c>
      <c r="H4808" s="877"/>
      <c r="I4808" s="878"/>
      <c r="J4808" s="877"/>
      <c r="K4808" s="1222"/>
      <c r="L4808" s="1223" t="s">
        <v>140</v>
      </c>
      <c r="M4808" s="879"/>
      <c r="N4808" s="879"/>
      <c r="O4808" s="879"/>
      <c r="P4808" s="879"/>
      <c r="Q4808"/>
      <c r="R4808"/>
      <c r="S4808"/>
      <c r="T4808" s="1224" t="str">
        <f>IF(AND($R4822=0,$T4822=0),"0.00","mu :" &amp; ROUND($F4808/$C$12/($R4822+$T4822*$D$9),2))</f>
        <v>mu :1.1</v>
      </c>
      <c r="W4808" s="507"/>
      <c r="AG4808" s="1225">
        <f>IF(A4808=0,0,ROUND(SUM(AG4810:AG4822)/A4808,2))</f>
        <v>123.2</v>
      </c>
      <c r="AH4808" s="1225">
        <f>$AG4808*$A4808</f>
        <v>369.6</v>
      </c>
      <c r="AI4808" s="1225">
        <f>$E4808-$AG4808</f>
        <v>19.939999999999984</v>
      </c>
      <c r="AJ4808" s="1225">
        <f>$A4808*$AI4808</f>
        <v>59.819999999999951</v>
      </c>
      <c r="AK4808" s="1226">
        <f>ROUND(($AG4808+$AI4808)*$A4808,2)</f>
        <v>429.42</v>
      </c>
      <c r="AM4808" s="510">
        <f>ROUND(R4822,2)</f>
        <v>342.09</v>
      </c>
      <c r="AN4808" s="511">
        <f>ROUND(T4822,2)</f>
        <v>1.7</v>
      </c>
      <c r="AO4808" s="512">
        <f>ROUND(AM4808+AN4808,2)*A4808</f>
        <v>1031.3700000000001</v>
      </c>
    </row>
    <row r="4809" spans="1:41" s="504" customFormat="1" ht="13.2">
      <c r="A4809" s="872"/>
      <c r="B4809"/>
      <c r="C4809" s="872"/>
      <c r="D4809" s="873" t="s">
        <v>521</v>
      </c>
      <c r="F4809" s="877"/>
      <c r="G4809" s="877"/>
      <c r="H4809" s="877"/>
      <c r="I4809" s="878"/>
      <c r="J4809" s="877"/>
      <c r="K4809" s="877" t="s">
        <v>141</v>
      </c>
      <c r="L4809" s="1227"/>
      <c r="M4809" s="877"/>
      <c r="N4809" s="877"/>
      <c r="O4809" s="877"/>
      <c r="P4809" s="877"/>
      <c r="Q4809" s="50"/>
      <c r="R4809" s="513"/>
      <c r="S4809" s="881"/>
      <c r="T4809" s="877"/>
    </row>
    <row r="4810" spans="1:41" s="504" customFormat="1" ht="12">
      <c r="A4810" s="1228"/>
      <c r="B4810" s="1229"/>
      <c r="C4810" s="882"/>
      <c r="D4810" s="877"/>
      <c r="E4810" s="1230">
        <f>F4808/$C$12-SUMIF($L4807:$L4822,"SUBI",$E4807:$E4822)</f>
        <v>-9.9999999999909051E-3</v>
      </c>
      <c r="F4810" s="1231" t="s">
        <v>1472</v>
      </c>
      <c r="G4810" s="1232"/>
      <c r="H4810" s="1232"/>
      <c r="I4810" s="1233"/>
      <c r="J4810" s="1232"/>
      <c r="K4810" s="1232"/>
      <c r="L4810" s="1234"/>
      <c r="M4810" s="1235"/>
      <c r="N4810" s="1235"/>
      <c r="O4810" s="1235"/>
      <c r="P4810" s="1235"/>
      <c r="Q4810" s="1236"/>
      <c r="R4810" s="1237"/>
      <c r="S4810" s="1236"/>
      <c r="T4810" s="1238"/>
    </row>
    <row r="4811" spans="1:41" s="504" customFormat="1" ht="12" customHeight="1">
      <c r="A4811" s="1239"/>
      <c r="B4811" s="1285"/>
      <c r="C4811" s="1286"/>
      <c r="D4811" s="1286" t="str">
        <f>$F$5</f>
        <v>ELV Sub-Contractor - APCO</v>
      </c>
      <c r="E4811" s="1286">
        <f>ROUND(($R4815*$S$5 + ($T4815*$T$5)),2)</f>
        <v>354.11</v>
      </c>
      <c r="F4811" s="1287">
        <f>$E4811*$C$12</f>
        <v>354.11</v>
      </c>
      <c r="G4811" s="513"/>
      <c r="H4811" s="1241"/>
      <c r="I4811" s="513"/>
      <c r="J4811" s="51"/>
      <c r="K4811" s="1242" t="s">
        <v>9</v>
      </c>
      <c r="L4811" s="1243" t="s">
        <v>1473</v>
      </c>
      <c r="M4811" s="513"/>
      <c r="N4811" s="513"/>
      <c r="O4811" s="51"/>
      <c r="P4811" s="513"/>
      <c r="Q4811" s="513"/>
      <c r="R4811"/>
      <c r="S4811"/>
      <c r="T4811"/>
    </row>
    <row r="4812" spans="1:41" s="504" customFormat="1" ht="13.95" customHeight="1">
      <c r="A4812" s="930"/>
      <c r="B4812" s="1244" t="s">
        <v>1474</v>
      </c>
      <c r="C4812" s="513"/>
      <c r="D4812" s="513"/>
      <c r="E4812" s="513"/>
      <c r="F4812" s="513"/>
      <c r="G4812" s="513"/>
      <c r="H4812" s="1241"/>
      <c r="I4812" s="513"/>
      <c r="J4812" s="51"/>
      <c r="K4812" s="1245"/>
      <c r="L4812" s="1246"/>
      <c r="M4812" s="513"/>
      <c r="N4812" s="513"/>
      <c r="O4812" s="51"/>
      <c r="P4812" s="513"/>
      <c r="Q4812" s="513"/>
      <c r="R4812" s="1247">
        <f>$A4812*Q4812</f>
        <v>0</v>
      </c>
      <c r="S4812" s="513"/>
      <c r="T4812" s="884">
        <f>$A4812*S4812*$T$1</f>
        <v>0</v>
      </c>
    </row>
    <row r="4813" spans="1:41" s="1039" customFormat="1" ht="13.2">
      <c r="A4813" s="112">
        <v>3</v>
      </c>
      <c r="B4813" s="1039" t="s">
        <v>949</v>
      </c>
      <c r="D4813" s="1039" t="s">
        <v>521</v>
      </c>
      <c r="G4813" s="1040" t="s">
        <v>1456</v>
      </c>
      <c r="H4813" s="1041">
        <v>725</v>
      </c>
      <c r="I4813" s="1039" t="s">
        <v>951</v>
      </c>
      <c r="O4813" s="1042">
        <v>3</v>
      </c>
      <c r="P4813" s="1043"/>
      <c r="Q4813" s="1044">
        <v>109.8</v>
      </c>
      <c r="R4813" s="1045">
        <f>$A4813*Q4813</f>
        <v>329.4</v>
      </c>
      <c r="S4813" s="1044"/>
      <c r="T4813" s="1046">
        <f>$A4813*S4813*$T$1</f>
        <v>0</v>
      </c>
    </row>
    <row r="4814" spans="1:41" s="504" customFormat="1" ht="13.95" customHeight="1">
      <c r="A4814" s="930"/>
      <c r="B4814" s="513"/>
      <c r="C4814" s="513"/>
      <c r="D4814" s="513"/>
      <c r="E4814" s="513"/>
      <c r="F4814" s="513"/>
      <c r="G4814" s="513"/>
      <c r="H4814" s="1241"/>
      <c r="I4814" s="513"/>
      <c r="J4814" s="51"/>
      <c r="K4814" s="1245"/>
      <c r="L4814" s="1246"/>
      <c r="M4814" s="513"/>
      <c r="N4814" s="513"/>
      <c r="O4814" s="51"/>
      <c r="P4814" s="513"/>
      <c r="Q4814" s="513"/>
      <c r="R4814" s="1247">
        <f>$A4814*Q4814</f>
        <v>0</v>
      </c>
      <c r="S4814" s="513"/>
      <c r="T4814" s="884">
        <f>$A4814*S4814*$T$1</f>
        <v>0</v>
      </c>
    </row>
    <row r="4815" spans="1:41" s="504" customFormat="1" ht="12">
      <c r="A4815" s="1248" t="s">
        <v>142</v>
      </c>
      <c r="B4815" s="1249">
        <f>(R4814+T4814)</f>
        <v>0</v>
      </c>
      <c r="C4815" s="882"/>
      <c r="G4815" s="1250"/>
      <c r="H4815" s="1250"/>
      <c r="I4815" s="1250"/>
      <c r="J4815" s="1250"/>
      <c r="K4815" s="1251" t="s">
        <v>9</v>
      </c>
      <c r="L4815" s="1252" t="s">
        <v>1473</v>
      </c>
      <c r="M4815" s="1250"/>
      <c r="N4815" s="1250"/>
      <c r="O4815" s="1250"/>
      <c r="P4815" s="1250"/>
      <c r="Q4815" s="1253"/>
      <c r="R4815" s="1254">
        <f>SUM(R4811:R4814)</f>
        <v>329.4</v>
      </c>
      <c r="S4815" s="1255"/>
      <c r="T4815" s="1254">
        <f>SUM(T4811:T4814)</f>
        <v>0</v>
      </c>
      <c r="AG4815" s="1288">
        <f>ROUND($R4815*$S$5,2)</f>
        <v>354.11</v>
      </c>
    </row>
    <row r="4816" spans="1:41" s="504" customFormat="1" ht="12" customHeight="1">
      <c r="A4816" s="1257"/>
      <c r="B4816" s="1289"/>
      <c r="C4816" s="1240"/>
      <c r="D4816" s="1240" t="str">
        <f>$F$2</f>
        <v>Electrical</v>
      </c>
      <c r="E4816" s="1240">
        <f>ROUND(($R4820*$S$2 + ($T4820*$T$2)),2)</f>
        <v>75.319999999999993</v>
      </c>
      <c r="F4816" s="1290">
        <f ca="1">$F4808-SUMIF($L4810:$P4813,"SUBI",$F4810:$F4813)</f>
        <v>75.31</v>
      </c>
      <c r="G4816" s="503"/>
      <c r="H4816" s="503"/>
      <c r="I4816" s="503"/>
      <c r="J4816" s="503"/>
      <c r="K4816" s="1242" t="s">
        <v>3</v>
      </c>
      <c r="L4816" s="1243" t="s">
        <v>1473</v>
      </c>
      <c r="M4816" s="503"/>
      <c r="N4816" s="503"/>
      <c r="O4816" s="503"/>
      <c r="P4816" s="503"/>
      <c r="Q4816" s="503"/>
      <c r="R4816" s="1258"/>
      <c r="S4816" s="503"/>
      <c r="T4816" s="1258"/>
    </row>
    <row r="4817" spans="1:41" s="1271" customFormat="1" ht="14.4" customHeight="1">
      <c r="A4817" s="1259"/>
      <c r="B4817" s="1244" t="s">
        <v>1475</v>
      </c>
      <c r="C4817" s="1260"/>
      <c r="D4817" s="1261"/>
      <c r="E4817" s="1261"/>
      <c r="F4817" s="1261"/>
      <c r="G4817" s="1262"/>
      <c r="H4817" s="1263"/>
      <c r="I4817" s="1263"/>
      <c r="J4817" s="1264"/>
      <c r="K4817" s="1265"/>
      <c r="L4817" s="1260"/>
      <c r="M4817" s="1266"/>
      <c r="N4817" s="1267"/>
      <c r="O4817" s="1268"/>
      <c r="P4817" s="1269"/>
      <c r="Q4817" s="1270"/>
      <c r="R4817" s="1247">
        <f>$A4817*Q4817</f>
        <v>0</v>
      </c>
      <c r="S4817" s="513"/>
      <c r="T4817" s="884">
        <f>$A4817*S4817*$T$1</f>
        <v>0</v>
      </c>
    </row>
    <row r="4818" spans="1:41" s="1039" customFormat="1" ht="13.2">
      <c r="A4818" s="112">
        <f>3*3</f>
        <v>9</v>
      </c>
      <c r="B4818" s="1039" t="s">
        <v>326</v>
      </c>
      <c r="D4818" s="1039" t="s">
        <v>1224</v>
      </c>
      <c r="G4818" s="1040" t="s">
        <v>1221</v>
      </c>
      <c r="H4818" s="1041">
        <v>700</v>
      </c>
      <c r="I4818" s="1039" t="s">
        <v>1132</v>
      </c>
      <c r="J4818" s="1039" t="s">
        <v>1222</v>
      </c>
      <c r="O4818" s="1042">
        <v>1</v>
      </c>
      <c r="P4818" s="1043">
        <v>42213</v>
      </c>
      <c r="Q4818" s="1044">
        <v>1.41</v>
      </c>
      <c r="R4818" s="1045">
        <f>$A4818*Q4818</f>
        <v>12.69</v>
      </c>
      <c r="S4818" s="1044">
        <v>0.18</v>
      </c>
      <c r="T4818" s="1046">
        <f>$A4818*S4818*$T$1</f>
        <v>1.7009999999999998</v>
      </c>
    </row>
    <row r="4819" spans="1:41" s="504" customFormat="1" ht="13.2">
      <c r="A4819" s="930"/>
      <c r="B4819" s="513"/>
      <c r="C4819" s="513"/>
      <c r="D4819" s="3"/>
      <c r="E4819" s="513"/>
      <c r="F4819" s="513"/>
      <c r="G4819" s="513"/>
      <c r="H4819" s="513"/>
      <c r="I4819" s="513"/>
      <c r="J4819" s="513"/>
      <c r="K4819" s="513"/>
      <c r="L4819" s="1246"/>
      <c r="M4819" s="513"/>
      <c r="N4819" s="513"/>
      <c r="O4819" s="513"/>
      <c r="P4819" s="513"/>
      <c r="Q4819" s="513"/>
      <c r="R4819" s="1247">
        <f>$A4819*Q4819</f>
        <v>0</v>
      </c>
      <c r="S4819" s="513"/>
      <c r="T4819" s="884">
        <f>$A4819*S4819*$T$1</f>
        <v>0</v>
      </c>
    </row>
    <row r="4820" spans="1:41" s="504" customFormat="1" ht="12" customHeight="1">
      <c r="A4820" s="1272" t="s">
        <v>142</v>
      </c>
      <c r="B4820" s="1273">
        <f>(R4819+T4819)</f>
        <v>0</v>
      </c>
      <c r="C4820" s="1274"/>
      <c r="D4820" s="1274"/>
      <c r="E4820" s="1274"/>
      <c r="F4820" s="1274"/>
      <c r="G4820" s="1253"/>
      <c r="H4820" s="1253"/>
      <c r="I4820" s="1253"/>
      <c r="J4820" s="1253"/>
      <c r="K4820" s="1275" t="s">
        <v>3</v>
      </c>
      <c r="L4820" s="1276" t="s">
        <v>1473</v>
      </c>
      <c r="M4820" s="1253"/>
      <c r="N4820" s="1253"/>
      <c r="O4820" s="1253"/>
      <c r="P4820" s="1253"/>
      <c r="Q4820" s="1253"/>
      <c r="R4820" s="1254">
        <f>SUM(R4816:R4819)</f>
        <v>12.69</v>
      </c>
      <c r="S4820" s="1255"/>
      <c r="T4820" s="1254">
        <f>SUM(T4816:T4819)</f>
        <v>1.7009999999999998</v>
      </c>
      <c r="AG4820" s="1256">
        <f>ROUND($R4820*$S$2,2)</f>
        <v>15.48</v>
      </c>
    </row>
    <row r="4821" spans="1:41" s="504" customFormat="1" ht="12.75" customHeight="1">
      <c r="A4821" s="1277"/>
      <c r="B4821" s="1278"/>
      <c r="E4821" s="882"/>
      <c r="F4821" s="1279"/>
      <c r="G4821" s="882"/>
      <c r="H4821" s="882"/>
      <c r="I4821" s="503"/>
      <c r="J4821" s="882"/>
      <c r="K4821" s="882"/>
      <c r="L4821" s="1280"/>
      <c r="M4821" s="933"/>
      <c r="N4821" s="933"/>
      <c r="O4821" s="933"/>
      <c r="P4821" s="933"/>
      <c r="Q4821" s="900"/>
      <c r="R4821" s="1258"/>
      <c r="S4821" s="882"/>
      <c r="T4821" s="1258"/>
    </row>
    <row r="4822" spans="1:41" s="504" customFormat="1" ht="13.5" customHeight="1" thickBot="1">
      <c r="A4822" s="1281"/>
      <c r="B4822" s="1282"/>
      <c r="C4822" s="514"/>
      <c r="D4822" s="514"/>
      <c r="E4822" s="887"/>
      <c r="F4822" s="888"/>
      <c r="G4822" s="887" t="s">
        <v>143</v>
      </c>
      <c r="H4822" s="887"/>
      <c r="I4822" s="889"/>
      <c r="J4822" s="887"/>
      <c r="K4822" s="887"/>
      <c r="L4822" s="1283" t="s">
        <v>140</v>
      </c>
      <c r="M4822" s="890"/>
      <c r="N4822" s="890"/>
      <c r="O4822" s="890"/>
      <c r="P4822" s="890"/>
      <c r="Q4822" s="891"/>
      <c r="R4822" s="1284">
        <f>SUMIF($L4809:$L4821,"SUBI",R4809:R4821)</f>
        <v>342.09</v>
      </c>
      <c r="S4822" s="887"/>
      <c r="T4822" s="1284">
        <f>SUMIF($L4809:$L4821,"SUBI",T4809:T4821)</f>
        <v>1.7009999999999998</v>
      </c>
      <c r="U4822" s="514"/>
      <c r="V4822" s="514"/>
      <c r="W4822" s="514"/>
      <c r="X4822" s="514"/>
      <c r="Y4822" s="514"/>
      <c r="Z4822" s="514"/>
      <c r="AA4822" s="514"/>
      <c r="AB4822" s="514"/>
      <c r="AC4822" s="514"/>
      <c r="AD4822" s="514"/>
      <c r="AE4822" s="514"/>
      <c r="AF4822" s="514"/>
      <c r="AG4822" s="514"/>
      <c r="AH4822" s="514"/>
      <c r="AI4822" s="514"/>
      <c r="AJ4822" s="514"/>
      <c r="AK4822" s="514"/>
      <c r="AL4822" s="514"/>
      <c r="AM4822" s="514"/>
      <c r="AN4822" s="514"/>
      <c r="AO4822" s="514"/>
    </row>
    <row r="4823" spans="1:41" s="504" customFormat="1" thickTop="1">
      <c r="A4823" s="50"/>
      <c r="B4823" s="50"/>
      <c r="C4823" s="3"/>
      <c r="D4823" s="3"/>
      <c r="E4823" s="50"/>
      <c r="F4823" s="50"/>
      <c r="G4823" s="50"/>
      <c r="H4823" s="50"/>
      <c r="I4823" s="50"/>
      <c r="J4823" s="50"/>
      <c r="K4823" s="50" t="s">
        <v>133</v>
      </c>
      <c r="L4823" s="50"/>
      <c r="M4823" s="50"/>
      <c r="N4823" s="50"/>
      <c r="O4823" s="51"/>
      <c r="P4823" s="50"/>
      <c r="Q4823" s="50"/>
      <c r="R4823" s="50"/>
      <c r="S4823" s="50"/>
      <c r="T4823" s="50"/>
    </row>
    <row r="4824" spans="1:41" s="504" customFormat="1" ht="12">
      <c r="A4824" s="50"/>
      <c r="B4824" s="50"/>
      <c r="C4824" s="50" t="s">
        <v>134</v>
      </c>
      <c r="D4824" s="37"/>
      <c r="E4824" s="50"/>
      <c r="F4824" s="50"/>
      <c r="G4824" s="50"/>
      <c r="H4824" s="50"/>
      <c r="I4824" s="50"/>
      <c r="J4824" s="50"/>
      <c r="K4824" s="50"/>
      <c r="L4824" s="50"/>
      <c r="M4824" s="50"/>
      <c r="N4824" s="50"/>
      <c r="O4824" s="51"/>
      <c r="P4824" s="50"/>
      <c r="Q4824" s="50"/>
      <c r="R4824" s="50"/>
      <c r="S4824" s="50"/>
      <c r="T4824" s="50"/>
    </row>
    <row r="4825" spans="1:41" s="504" customFormat="1" ht="12">
      <c r="A4825" s="50"/>
      <c r="B4825" s="50"/>
      <c r="C4825" s="50"/>
      <c r="D4825" s="37" t="s">
        <v>462</v>
      </c>
      <c r="E4825" s="50"/>
      <c r="F4825" s="50"/>
      <c r="G4825" s="50"/>
      <c r="H4825" s="50"/>
      <c r="I4825" s="50"/>
      <c r="J4825" s="50"/>
      <c r="K4825" s="50"/>
      <c r="L4825" s="50"/>
      <c r="M4825" s="50"/>
      <c r="N4825" s="50"/>
      <c r="O4825" s="51"/>
      <c r="P4825" s="50"/>
      <c r="Q4825" s="50"/>
      <c r="R4825" s="50"/>
      <c r="S4825" s="38"/>
      <c r="T4825" s="38"/>
    </row>
    <row r="4826" spans="1:41" s="3" customFormat="1" thickBot="1">
      <c r="A4826" s="514"/>
      <c r="O4826" s="103"/>
    </row>
    <row r="4827" spans="1:41" s="504" customFormat="1" ht="12" thickTop="1">
      <c r="A4827" s="50"/>
      <c r="B4827" s="40"/>
      <c r="C4827" s="50"/>
      <c r="E4827" s="41" t="s">
        <v>136</v>
      </c>
      <c r="F4827" s="41" t="s">
        <v>137</v>
      </c>
      <c r="G4827" s="50"/>
      <c r="H4827" s="50"/>
      <c r="I4827" s="50"/>
      <c r="J4827" s="50"/>
      <c r="K4827" s="50" t="s">
        <v>138</v>
      </c>
      <c r="L4827" s="50"/>
      <c r="M4827" s="50"/>
      <c r="N4827" s="50"/>
      <c r="O4827" s="51"/>
      <c r="P4827" s="50"/>
      <c r="Q4827" s="50"/>
      <c r="R4827" s="50"/>
      <c r="S4827" s="50"/>
      <c r="T4827" s="40"/>
      <c r="AG4827" s="867" t="s">
        <v>241</v>
      </c>
      <c r="AH4827" s="867" t="s">
        <v>242</v>
      </c>
      <c r="AI4827" s="867" t="s">
        <v>243</v>
      </c>
      <c r="AJ4827" s="867" t="s">
        <v>244</v>
      </c>
      <c r="AK4827" s="867" t="s">
        <v>245</v>
      </c>
      <c r="AM4827" s="868" t="s">
        <v>254</v>
      </c>
      <c r="AN4827" s="869" t="s">
        <v>255</v>
      </c>
      <c r="AO4827" s="505" t="s">
        <v>251</v>
      </c>
    </row>
    <row r="4828" spans="1:41" s="504" customFormat="1" ht="12" customHeight="1">
      <c r="A4828" s="870">
        <v>12</v>
      </c>
      <c r="B4828" s="506" t="s">
        <v>335</v>
      </c>
      <c r="C4828" s="872"/>
      <c r="D4828" s="873" t="s">
        <v>884</v>
      </c>
      <c r="E4828" s="1027">
        <f>IF(AND($A4828=0,$A$1="DIF"),0, ROUND(ROUND(($R4832*$S$5+($T4832*$T$5))/$A4828,2)*$C$5,2))</f>
        <v>62.88</v>
      </c>
      <c r="F4828" s="1028">
        <f>ROUND($A4828*$E4828,2)</f>
        <v>754.56</v>
      </c>
      <c r="G4828" s="876" t="s">
        <v>139</v>
      </c>
      <c r="H4828" s="877"/>
      <c r="I4828" s="878"/>
      <c r="J4828" s="877"/>
      <c r="K4828" s="877" t="s">
        <v>9</v>
      </c>
      <c r="L4828" s="879" t="s">
        <v>140</v>
      </c>
      <c r="M4828" s="879"/>
      <c r="N4828" s="879"/>
      <c r="O4828" s="879"/>
      <c r="P4828" s="879"/>
      <c r="Q4828" s="50"/>
      <c r="T4828" s="1032" t="str">
        <f>IF(AND($R4832=0,$T4832=0),"0.00","mu: "&amp; ROUND(F4828/$C$5/($R4832+$T4832*$D$9),2))</f>
        <v>mu: 1.08</v>
      </c>
      <c r="W4828" s="507"/>
      <c r="AG4828" s="1029">
        <f>IF($E4828=0,0,ROUND($R4832*$S$5*$C$5/$A4828,2))</f>
        <v>62.88</v>
      </c>
      <c r="AH4828" s="1029">
        <f>$AG4828*$A4828</f>
        <v>754.56000000000006</v>
      </c>
      <c r="AI4828" s="1030">
        <f>$E4828-$AG4828</f>
        <v>0</v>
      </c>
      <c r="AJ4828" s="1030">
        <f>$A4828*$AI4828</f>
        <v>0</v>
      </c>
      <c r="AK4828" s="1031">
        <f>ROUND(($AG4828+$AI4828)*$A4828,2)</f>
        <v>754.56</v>
      </c>
      <c r="AM4828" s="510">
        <f>ROUND(R4832,2)</f>
        <v>701.88</v>
      </c>
      <c r="AN4828" s="511">
        <f>ROUND(T4832,2)</f>
        <v>0</v>
      </c>
      <c r="AO4828" s="512">
        <f>ROUND(AM4828+AN4828,2)*A4828</f>
        <v>8422.56</v>
      </c>
    </row>
    <row r="4829" spans="1:41" s="504" customFormat="1" ht="13.2">
      <c r="A4829" s="872"/>
      <c r="B4829"/>
      <c r="C4829" s="872"/>
      <c r="D4829" s="873" t="s">
        <v>511</v>
      </c>
      <c r="F4829" s="877"/>
      <c r="G4829" s="3"/>
      <c r="H4829" s="877"/>
      <c r="I4829" s="878"/>
      <c r="J4829" s="877"/>
      <c r="K4829" s="877" t="s">
        <v>141</v>
      </c>
      <c r="L4829" s="877"/>
      <c r="M4829" s="877"/>
      <c r="N4829" s="877"/>
      <c r="O4829" s="877"/>
      <c r="P4829" s="877"/>
      <c r="Q4829" s="50"/>
      <c r="R4829" s="513"/>
      <c r="S4829" s="881"/>
      <c r="T4829" s="877"/>
    </row>
    <row r="4830" spans="1:41" s="1039" customFormat="1" ht="13.2">
      <c r="A4830" s="112">
        <v>12</v>
      </c>
      <c r="B4830" s="1039" t="s">
        <v>949</v>
      </c>
      <c r="D4830" s="1039" t="s">
        <v>511</v>
      </c>
      <c r="G4830" s="1040" t="s">
        <v>1456</v>
      </c>
      <c r="H4830" s="1041">
        <v>725</v>
      </c>
      <c r="I4830" s="1039" t="s">
        <v>951</v>
      </c>
      <c r="O4830" s="1042">
        <v>3</v>
      </c>
      <c r="P4830" s="1043"/>
      <c r="Q4830" s="1044">
        <v>58.49</v>
      </c>
      <c r="R4830" s="1045">
        <f>$A4830*Q4830</f>
        <v>701.88</v>
      </c>
      <c r="S4830" s="1044"/>
      <c r="T4830" s="1046">
        <f>$A4830*S4830*$T$1</f>
        <v>0</v>
      </c>
    </row>
    <row r="4831" spans="1:41" s="504" customFormat="1" ht="12">
      <c r="A4831" s="882"/>
      <c r="B4831" s="882"/>
      <c r="C4831" s="882"/>
      <c r="D4831" s="882"/>
      <c r="E4831" s="882"/>
      <c r="F4831" s="877"/>
      <c r="G4831" s="882"/>
      <c r="H4831" s="882"/>
      <c r="I4831" s="503"/>
      <c r="J4831" s="882"/>
      <c r="K4831" s="882"/>
      <c r="L4831" s="882"/>
      <c r="M4831" s="882"/>
      <c r="N4831" s="882"/>
      <c r="O4831" s="882"/>
      <c r="P4831" s="882"/>
      <c r="Q4831" s="503"/>
      <c r="R4831" s="883">
        <f>$A4831*Q4831</f>
        <v>0</v>
      </c>
      <c r="S4831" s="503"/>
      <c r="T4831" s="884">
        <f>$A4831*S4831*$T$1</f>
        <v>0</v>
      </c>
    </row>
    <row r="4832" spans="1:41" s="504" customFormat="1" ht="12.6" thickBot="1">
      <c r="A4832" s="885" t="s">
        <v>142</v>
      </c>
      <c r="B4832" s="886">
        <f>(R4831+T4831)</f>
        <v>0</v>
      </c>
      <c r="C4832" s="887"/>
      <c r="D4832" s="887"/>
      <c r="E4832" s="887"/>
      <c r="F4832" s="888"/>
      <c r="G4832" s="887" t="s">
        <v>143</v>
      </c>
      <c r="H4832" s="887"/>
      <c r="I4832" s="889"/>
      <c r="J4832" s="887"/>
      <c r="K4832" s="887" t="s">
        <v>9</v>
      </c>
      <c r="L4832" s="890" t="s">
        <v>140</v>
      </c>
      <c r="M4832" s="890"/>
      <c r="N4832" s="890"/>
      <c r="O4832" s="890"/>
      <c r="P4832" s="890"/>
      <c r="Q4832" s="891"/>
      <c r="R4832" s="892">
        <f>SUM(R4829:R4831)</f>
        <v>701.88</v>
      </c>
      <c r="S4832" s="887"/>
      <c r="T4832" s="892">
        <f>SUM(T4829:T4831)</f>
        <v>0</v>
      </c>
      <c r="U4832" s="514"/>
      <c r="V4832" s="514"/>
      <c r="W4832" s="514"/>
      <c r="X4832" s="514"/>
      <c r="Y4832" s="514"/>
      <c r="Z4832" s="514"/>
      <c r="AA4832" s="514"/>
      <c r="AB4832" s="514"/>
      <c r="AC4832" s="514"/>
      <c r="AD4832" s="514"/>
      <c r="AE4832" s="514"/>
      <c r="AF4832" s="514"/>
      <c r="AG4832" s="514"/>
      <c r="AH4832" s="514"/>
      <c r="AI4832" s="514"/>
      <c r="AJ4832" s="514"/>
      <c r="AK4832" s="514"/>
      <c r="AL4832" s="514"/>
      <c r="AM4832" s="514"/>
      <c r="AN4832" s="514"/>
      <c r="AO4832" s="514"/>
    </row>
    <row r="4833" spans="1:41" s="504" customFormat="1" ht="12" thickTop="1">
      <c r="A4833" s="50"/>
      <c r="B4833" s="40"/>
      <c r="C4833" s="50"/>
      <c r="E4833" s="41" t="s">
        <v>136</v>
      </c>
      <c r="F4833" s="41" t="s">
        <v>137</v>
      </c>
      <c r="G4833" s="50"/>
      <c r="H4833" s="50"/>
      <c r="I4833" s="50"/>
      <c r="J4833" s="50"/>
      <c r="K4833" s="50" t="s">
        <v>138</v>
      </c>
      <c r="L4833" s="50"/>
      <c r="M4833" s="50"/>
      <c r="N4833" s="50"/>
      <c r="O4833" s="51"/>
      <c r="P4833" s="50"/>
      <c r="Q4833" s="50"/>
      <c r="R4833" s="50"/>
      <c r="S4833" s="50"/>
      <c r="T4833" s="40"/>
      <c r="AG4833" s="867" t="s">
        <v>241</v>
      </c>
      <c r="AH4833" s="867" t="s">
        <v>242</v>
      </c>
      <c r="AI4833" s="867" t="s">
        <v>243</v>
      </c>
      <c r="AJ4833" s="867" t="s">
        <v>244</v>
      </c>
      <c r="AK4833" s="867" t="s">
        <v>245</v>
      </c>
      <c r="AM4833" s="868" t="s">
        <v>254</v>
      </c>
      <c r="AN4833" s="869" t="s">
        <v>255</v>
      </c>
      <c r="AO4833" s="505" t="s">
        <v>251</v>
      </c>
    </row>
    <row r="4834" spans="1:41" s="504" customFormat="1" ht="12" customHeight="1">
      <c r="A4834" s="870">
        <v>2</v>
      </c>
      <c r="B4834" s="506" t="s">
        <v>335</v>
      </c>
      <c r="C4834" s="872"/>
      <c r="D4834" s="873" t="s">
        <v>885</v>
      </c>
      <c r="E4834" s="1027">
        <f>IF(AND($A4834=0,$A$1="DIF"),0, ROUND(ROUND(($R4838*$S$5+($T4838*$T$5))/$A4834,2)*$C$5,2))</f>
        <v>100.53</v>
      </c>
      <c r="F4834" s="1028">
        <f>ROUND($A4834*$E4834,2)</f>
        <v>201.06</v>
      </c>
      <c r="G4834" s="876" t="s">
        <v>139</v>
      </c>
      <c r="H4834" s="877"/>
      <c r="I4834" s="878"/>
      <c r="J4834" s="877"/>
      <c r="K4834" s="877" t="s">
        <v>9</v>
      </c>
      <c r="L4834" s="879" t="s">
        <v>140</v>
      </c>
      <c r="M4834" s="879"/>
      <c r="N4834" s="879"/>
      <c r="O4834" s="879"/>
      <c r="P4834" s="879"/>
      <c r="Q4834" s="50"/>
      <c r="T4834" s="1032" t="str">
        <f>IF(AND($R4838=0,$T4838=0),"0.00","mu: "&amp; ROUND(F4834/$C$5/($R4838+$T4838*$D$9),2))</f>
        <v>mu: 1.07</v>
      </c>
      <c r="W4834" s="507"/>
      <c r="AG4834" s="1029">
        <f>IF($E4834=0,0,ROUND($R4838*$S$5*$C$5/$A4834,2))</f>
        <v>100.53</v>
      </c>
      <c r="AH4834" s="1029">
        <f>$AG4834*$A4834</f>
        <v>201.06</v>
      </c>
      <c r="AI4834" s="1030">
        <f>$E4834-$AG4834</f>
        <v>0</v>
      </c>
      <c r="AJ4834" s="1030">
        <f>$A4834*$AI4834</f>
        <v>0</v>
      </c>
      <c r="AK4834" s="1031">
        <f>ROUND(($AG4834+$AI4834)*$A4834,2)</f>
        <v>201.06</v>
      </c>
      <c r="AM4834" s="510">
        <f>ROUND(R4838,2)</f>
        <v>187.04</v>
      </c>
      <c r="AN4834" s="511">
        <f>ROUND(T4838,2)</f>
        <v>0</v>
      </c>
      <c r="AO4834" s="512">
        <f>ROUND(AM4834+AN4834,2)*A4834</f>
        <v>374.08</v>
      </c>
    </row>
    <row r="4835" spans="1:41" s="504" customFormat="1" ht="13.2">
      <c r="A4835" s="872"/>
      <c r="B4835"/>
      <c r="C4835" s="872"/>
      <c r="D4835" s="873" t="s">
        <v>512</v>
      </c>
      <c r="F4835" s="877"/>
      <c r="G4835" s="3"/>
      <c r="H4835" s="877"/>
      <c r="I4835" s="878"/>
      <c r="J4835" s="877"/>
      <c r="K4835" s="877" t="s">
        <v>141</v>
      </c>
      <c r="L4835" s="877"/>
      <c r="M4835" s="877"/>
      <c r="N4835" s="877"/>
      <c r="O4835" s="877"/>
      <c r="P4835" s="877"/>
      <c r="Q4835" s="50"/>
      <c r="R4835" s="513"/>
      <c r="S4835" s="881"/>
      <c r="T4835" s="877"/>
    </row>
    <row r="4836" spans="1:41" s="1039" customFormat="1" ht="13.2">
      <c r="A4836" s="112">
        <v>2</v>
      </c>
      <c r="B4836" s="1039" t="s">
        <v>949</v>
      </c>
      <c r="D4836" s="1039" t="s">
        <v>512</v>
      </c>
      <c r="G4836" s="1040" t="s">
        <v>1456</v>
      </c>
      <c r="H4836" s="1041">
        <v>725</v>
      </c>
      <c r="I4836" s="1039" t="s">
        <v>951</v>
      </c>
      <c r="O4836" s="1042">
        <v>3</v>
      </c>
      <c r="P4836" s="1043"/>
      <c r="Q4836" s="1044">
        <v>93.52</v>
      </c>
      <c r="R4836" s="1045">
        <f>$A4836*Q4836</f>
        <v>187.04</v>
      </c>
      <c r="S4836" s="1044"/>
      <c r="T4836" s="1046">
        <f>$A4836*S4836*$T$1</f>
        <v>0</v>
      </c>
    </row>
    <row r="4837" spans="1:41" s="504" customFormat="1" ht="12">
      <c r="A4837" s="882"/>
      <c r="B4837" s="882"/>
      <c r="C4837" s="882"/>
      <c r="D4837" s="882"/>
      <c r="E4837" s="882"/>
      <c r="F4837" s="877"/>
      <c r="G4837" s="882"/>
      <c r="H4837" s="882"/>
      <c r="I4837" s="503"/>
      <c r="J4837" s="882"/>
      <c r="K4837" s="882"/>
      <c r="L4837" s="882"/>
      <c r="M4837" s="882"/>
      <c r="N4837" s="882"/>
      <c r="O4837" s="882"/>
      <c r="P4837" s="882"/>
      <c r="Q4837" s="503"/>
      <c r="R4837" s="883">
        <f>$A4837*Q4837</f>
        <v>0</v>
      </c>
      <c r="S4837" s="503"/>
      <c r="T4837" s="884">
        <f>$A4837*S4837*$T$1</f>
        <v>0</v>
      </c>
    </row>
    <row r="4838" spans="1:41" s="504" customFormat="1" ht="12.6" thickBot="1">
      <c r="A4838" s="885" t="s">
        <v>142</v>
      </c>
      <c r="B4838" s="886">
        <f>(R4837+T4837)</f>
        <v>0</v>
      </c>
      <c r="C4838" s="887"/>
      <c r="D4838" s="887"/>
      <c r="E4838" s="887"/>
      <c r="F4838" s="888"/>
      <c r="G4838" s="887" t="s">
        <v>143</v>
      </c>
      <c r="H4838" s="887"/>
      <c r="I4838" s="889"/>
      <c r="J4838" s="887"/>
      <c r="K4838" s="887" t="s">
        <v>9</v>
      </c>
      <c r="L4838" s="890" t="s">
        <v>140</v>
      </c>
      <c r="M4838" s="890"/>
      <c r="N4838" s="890"/>
      <c r="O4838" s="890"/>
      <c r="P4838" s="890"/>
      <c r="Q4838" s="891"/>
      <c r="R4838" s="892">
        <f>SUM(R4835:R4837)</f>
        <v>187.04</v>
      </c>
      <c r="S4838" s="887"/>
      <c r="T4838" s="892">
        <f>SUM(T4835:T4837)</f>
        <v>0</v>
      </c>
      <c r="U4838" s="514"/>
      <c r="V4838" s="514"/>
      <c r="W4838" s="514"/>
      <c r="X4838" s="514"/>
      <c r="Y4838" s="514"/>
      <c r="Z4838" s="514"/>
      <c r="AA4838" s="514"/>
      <c r="AB4838" s="514"/>
      <c r="AC4838" s="514"/>
      <c r="AD4838" s="514"/>
      <c r="AE4838" s="514"/>
      <c r="AF4838" s="514"/>
      <c r="AG4838" s="514"/>
      <c r="AH4838" s="514"/>
      <c r="AI4838" s="514"/>
      <c r="AJ4838" s="514"/>
      <c r="AK4838" s="514"/>
      <c r="AL4838" s="514"/>
      <c r="AM4838" s="514"/>
      <c r="AN4838" s="514"/>
      <c r="AO4838" s="514"/>
    </row>
    <row r="4839" spans="1:41" s="504" customFormat="1" ht="12" thickTop="1">
      <c r="A4839" s="50"/>
      <c r="B4839" s="40"/>
      <c r="C4839" s="50"/>
      <c r="E4839" s="41" t="s">
        <v>136</v>
      </c>
      <c r="F4839" s="41" t="s">
        <v>137</v>
      </c>
      <c r="G4839" s="50"/>
      <c r="H4839" s="50"/>
      <c r="I4839" s="50"/>
      <c r="J4839" s="50"/>
      <c r="K4839" s="50" t="s">
        <v>138</v>
      </c>
      <c r="L4839" s="50"/>
      <c r="M4839" s="50"/>
      <c r="N4839" s="50"/>
      <c r="O4839" s="51"/>
      <c r="P4839" s="50"/>
      <c r="Q4839" s="50"/>
      <c r="R4839" s="50"/>
      <c r="S4839" s="50"/>
      <c r="T4839" s="40"/>
      <c r="AG4839" s="867" t="s">
        <v>241</v>
      </c>
      <c r="AH4839" s="867" t="s">
        <v>242</v>
      </c>
      <c r="AI4839" s="867" t="s">
        <v>243</v>
      </c>
      <c r="AJ4839" s="867" t="s">
        <v>244</v>
      </c>
      <c r="AK4839" s="867" t="s">
        <v>245</v>
      </c>
      <c r="AM4839" s="868" t="s">
        <v>254</v>
      </c>
      <c r="AN4839" s="869" t="s">
        <v>255</v>
      </c>
      <c r="AO4839" s="505" t="s">
        <v>251</v>
      </c>
    </row>
    <row r="4840" spans="1:41" s="504" customFormat="1" ht="12" customHeight="1">
      <c r="A4840" s="870">
        <v>1</v>
      </c>
      <c r="B4840" s="506" t="s">
        <v>335</v>
      </c>
      <c r="C4840" s="872"/>
      <c r="D4840" s="873" t="s">
        <v>886</v>
      </c>
      <c r="E4840" s="1027">
        <f>IF(AND($A4840=0,$A$1="DIF"),0, ROUND(ROUND(($R4844*$S$5+($T4844*$T$5))/$A4840,2)*$C$5,2))</f>
        <v>62.82</v>
      </c>
      <c r="F4840" s="1028">
        <f>ROUND($A4840*$E4840,2)</f>
        <v>62.82</v>
      </c>
      <c r="G4840" s="876" t="s">
        <v>139</v>
      </c>
      <c r="H4840" s="877"/>
      <c r="I4840" s="878"/>
      <c r="J4840" s="877"/>
      <c r="K4840" s="877" t="s">
        <v>9</v>
      </c>
      <c r="L4840" s="879" t="s">
        <v>140</v>
      </c>
      <c r="M4840" s="879"/>
      <c r="N4840" s="879"/>
      <c r="O4840" s="879"/>
      <c r="P4840" s="879"/>
      <c r="Q4840" s="50"/>
      <c r="T4840" s="1032" t="str">
        <f>IF(AND($R4844=0,$T4844=0),"0.00","mu: "&amp; ROUND(F4840/$C$5/($R4844+$T4844*$D$9),2))</f>
        <v>mu: 1.07</v>
      </c>
      <c r="W4840" s="507"/>
      <c r="AG4840" s="1029">
        <f>IF($E4840=0,0,ROUND($R4844*$S$5*$C$5/$A4840,2))</f>
        <v>62.82</v>
      </c>
      <c r="AH4840" s="1029">
        <f>$AG4840*$A4840</f>
        <v>62.82</v>
      </c>
      <c r="AI4840" s="1030">
        <f>$E4840-$AG4840</f>
        <v>0</v>
      </c>
      <c r="AJ4840" s="1030">
        <f>$A4840*$AI4840</f>
        <v>0</v>
      </c>
      <c r="AK4840" s="1031">
        <f>ROUND(($AG4840+$AI4840)*$A4840,2)</f>
        <v>62.82</v>
      </c>
      <c r="AM4840" s="510">
        <f>ROUND(R4844,2)</f>
        <v>58.44</v>
      </c>
      <c r="AN4840" s="511">
        <f>ROUND(T4844,2)</f>
        <v>0</v>
      </c>
      <c r="AO4840" s="512">
        <f>ROUND(AM4840+AN4840,2)*A4840</f>
        <v>58.44</v>
      </c>
    </row>
    <row r="4841" spans="1:41" s="504" customFormat="1" ht="13.2">
      <c r="A4841" s="872"/>
      <c r="B4841"/>
      <c r="C4841" s="872"/>
      <c r="D4841" s="873" t="s">
        <v>513</v>
      </c>
      <c r="F4841" s="877"/>
      <c r="G4841" s="3"/>
      <c r="H4841" s="877"/>
      <c r="I4841" s="878"/>
      <c r="J4841" s="877"/>
      <c r="K4841" s="877" t="s">
        <v>141</v>
      </c>
      <c r="L4841" s="877"/>
      <c r="M4841" s="877"/>
      <c r="N4841" s="877"/>
      <c r="O4841" s="877"/>
      <c r="P4841" s="877"/>
      <c r="Q4841" s="50"/>
      <c r="R4841" s="513"/>
      <c r="S4841" s="881"/>
      <c r="T4841" s="877"/>
    </row>
    <row r="4842" spans="1:41" s="1039" customFormat="1" ht="13.2">
      <c r="A4842" s="112">
        <v>1</v>
      </c>
      <c r="B4842" s="1039" t="s">
        <v>949</v>
      </c>
      <c r="D4842" s="1039" t="s">
        <v>513</v>
      </c>
      <c r="G4842" s="1040" t="s">
        <v>1456</v>
      </c>
      <c r="H4842" s="1041">
        <v>725</v>
      </c>
      <c r="I4842" s="1039" t="s">
        <v>951</v>
      </c>
      <c r="O4842" s="1042">
        <v>3</v>
      </c>
      <c r="P4842" s="1043"/>
      <c r="Q4842" s="1044">
        <v>58.44</v>
      </c>
      <c r="R4842" s="1045">
        <f>$A4842*Q4842</f>
        <v>58.44</v>
      </c>
      <c r="S4842" s="1044"/>
      <c r="T4842" s="1046">
        <f>$A4842*S4842*$T$1</f>
        <v>0</v>
      </c>
    </row>
    <row r="4843" spans="1:41" s="504" customFormat="1" ht="12">
      <c r="A4843" s="882"/>
      <c r="B4843" s="882"/>
      <c r="C4843" s="882"/>
      <c r="D4843" s="882"/>
      <c r="E4843" s="882"/>
      <c r="F4843" s="877"/>
      <c r="G4843" s="882"/>
      <c r="H4843" s="882"/>
      <c r="I4843" s="503"/>
      <c r="J4843" s="882"/>
      <c r="K4843" s="882"/>
      <c r="L4843" s="882"/>
      <c r="M4843" s="882"/>
      <c r="N4843" s="882"/>
      <c r="O4843" s="882"/>
      <c r="P4843" s="882"/>
      <c r="Q4843" s="503"/>
      <c r="R4843" s="883">
        <f>$A4843*Q4843</f>
        <v>0</v>
      </c>
      <c r="S4843" s="503"/>
      <c r="T4843" s="884">
        <f>$A4843*S4843*$T$1</f>
        <v>0</v>
      </c>
    </row>
    <row r="4844" spans="1:41" s="504" customFormat="1" ht="12.6" thickBot="1">
      <c r="A4844" s="885" t="s">
        <v>142</v>
      </c>
      <c r="B4844" s="886">
        <f>(R4843+T4843)</f>
        <v>0</v>
      </c>
      <c r="C4844" s="887"/>
      <c r="D4844" s="887"/>
      <c r="E4844" s="887"/>
      <c r="F4844" s="888"/>
      <c r="G4844" s="887" t="s">
        <v>143</v>
      </c>
      <c r="H4844" s="887"/>
      <c r="I4844" s="889"/>
      <c r="J4844" s="887"/>
      <c r="K4844" s="887" t="s">
        <v>9</v>
      </c>
      <c r="L4844" s="890" t="s">
        <v>140</v>
      </c>
      <c r="M4844" s="890"/>
      <c r="N4844" s="890"/>
      <c r="O4844" s="890"/>
      <c r="P4844" s="890"/>
      <c r="Q4844" s="891"/>
      <c r="R4844" s="892">
        <f>SUM(R4841:R4843)</f>
        <v>58.44</v>
      </c>
      <c r="S4844" s="887"/>
      <c r="T4844" s="892">
        <f>SUM(T4841:T4843)</f>
        <v>0</v>
      </c>
      <c r="U4844" s="514"/>
      <c r="V4844" s="514"/>
      <c r="W4844" s="514"/>
      <c r="X4844" s="514"/>
      <c r="Y4844" s="514"/>
      <c r="Z4844" s="514"/>
      <c r="AA4844" s="514"/>
      <c r="AB4844" s="514"/>
      <c r="AC4844" s="514"/>
      <c r="AD4844" s="514"/>
      <c r="AE4844" s="514"/>
      <c r="AF4844" s="514"/>
      <c r="AG4844" s="514"/>
      <c r="AH4844" s="514"/>
      <c r="AI4844" s="514"/>
      <c r="AJ4844" s="514"/>
      <c r="AK4844" s="514"/>
      <c r="AL4844" s="514"/>
      <c r="AM4844" s="514"/>
      <c r="AN4844" s="514"/>
      <c r="AO4844" s="514"/>
    </row>
    <row r="4845" spans="1:41" s="504" customFormat="1" ht="12" thickTop="1">
      <c r="A4845" s="50"/>
      <c r="B4845" s="40"/>
      <c r="C4845" s="50"/>
      <c r="E4845" s="41" t="s">
        <v>136</v>
      </c>
      <c r="F4845" s="41" t="s">
        <v>137</v>
      </c>
      <c r="G4845" s="50"/>
      <c r="H4845" s="50"/>
      <c r="I4845" s="50"/>
      <c r="J4845" s="50"/>
      <c r="K4845" s="50" t="s">
        <v>138</v>
      </c>
      <c r="L4845" s="50"/>
      <c r="M4845" s="50"/>
      <c r="N4845" s="50"/>
      <c r="O4845" s="51"/>
      <c r="P4845" s="50"/>
      <c r="Q4845" s="50"/>
      <c r="R4845" s="50"/>
      <c r="S4845" s="50"/>
      <c r="T4845" s="40"/>
      <c r="AG4845" s="867" t="s">
        <v>241</v>
      </c>
      <c r="AH4845" s="867" t="s">
        <v>242</v>
      </c>
      <c r="AI4845" s="867" t="s">
        <v>243</v>
      </c>
      <c r="AJ4845" s="867" t="s">
        <v>244</v>
      </c>
      <c r="AK4845" s="867" t="s">
        <v>245</v>
      </c>
      <c r="AM4845" s="868" t="s">
        <v>254</v>
      </c>
      <c r="AN4845" s="869" t="s">
        <v>255</v>
      </c>
      <c r="AO4845" s="505" t="s">
        <v>251</v>
      </c>
    </row>
    <row r="4846" spans="1:41" s="504" customFormat="1" ht="12" customHeight="1">
      <c r="A4846" s="870">
        <v>6</v>
      </c>
      <c r="B4846" s="506" t="s">
        <v>335</v>
      </c>
      <c r="C4846" s="872"/>
      <c r="D4846" s="873" t="s">
        <v>887</v>
      </c>
      <c r="E4846" s="1027">
        <f>IF(AND($A4846=0,$A$1="DIF"),0, ROUND(ROUND(($R4850*$S$5+($T4850*$T$5))/$A4846,2)*$C$5,2))</f>
        <v>32.67</v>
      </c>
      <c r="F4846" s="1028">
        <f>ROUND($A4846*$E4846,2)</f>
        <v>196.02</v>
      </c>
      <c r="G4846" s="876" t="s">
        <v>139</v>
      </c>
      <c r="H4846" s="877"/>
      <c r="I4846" s="878"/>
      <c r="J4846" s="877"/>
      <c r="K4846" s="877" t="s">
        <v>9</v>
      </c>
      <c r="L4846" s="879" t="s">
        <v>140</v>
      </c>
      <c r="M4846" s="879"/>
      <c r="N4846" s="879"/>
      <c r="O4846" s="879"/>
      <c r="P4846" s="879"/>
      <c r="Q4846" s="50"/>
      <c r="T4846" s="1032" t="str">
        <f>IF(AND($R4850=0,$T4850=0),"0.00","mu: "&amp; ROUND(F4846/$C$5/($R4850+$T4850*$D$9),2))</f>
        <v>mu: 1.08</v>
      </c>
      <c r="W4846" s="507"/>
      <c r="AG4846" s="1029">
        <f>IF($E4846=0,0,ROUND($R4850*$S$5*$C$5/$A4846,2))</f>
        <v>32.67</v>
      </c>
      <c r="AH4846" s="1029">
        <f>$AG4846*$A4846</f>
        <v>196.02</v>
      </c>
      <c r="AI4846" s="1030">
        <f>$E4846-$AG4846</f>
        <v>0</v>
      </c>
      <c r="AJ4846" s="1030">
        <f>$A4846*$AI4846</f>
        <v>0</v>
      </c>
      <c r="AK4846" s="1031">
        <f>ROUND(($AG4846+$AI4846)*$A4846,2)</f>
        <v>196.02</v>
      </c>
      <c r="AM4846" s="510">
        <f>ROUND(R4850,2)</f>
        <v>182.34</v>
      </c>
      <c r="AN4846" s="511">
        <f>ROUND(T4850,2)</f>
        <v>0</v>
      </c>
      <c r="AO4846" s="512">
        <f>ROUND(AM4846+AN4846,2)*A4846</f>
        <v>1094.04</v>
      </c>
    </row>
    <row r="4847" spans="1:41" s="504" customFormat="1" ht="13.2">
      <c r="A4847" s="872"/>
      <c r="B4847"/>
      <c r="C4847" s="872"/>
      <c r="D4847" s="873" t="s">
        <v>515</v>
      </c>
      <c r="F4847" s="877"/>
      <c r="G4847" s="3"/>
      <c r="H4847" s="877"/>
      <c r="I4847" s="878"/>
      <c r="J4847" s="877"/>
      <c r="K4847" s="877" t="s">
        <v>141</v>
      </c>
      <c r="L4847" s="877"/>
      <c r="M4847" s="877"/>
      <c r="N4847" s="877"/>
      <c r="O4847" s="877"/>
      <c r="P4847" s="877"/>
      <c r="Q4847" s="50"/>
      <c r="R4847" s="513"/>
      <c r="S4847" s="881"/>
      <c r="T4847" s="877"/>
    </row>
    <row r="4848" spans="1:41" s="1039" customFormat="1" ht="13.2">
      <c r="A4848" s="112">
        <v>6</v>
      </c>
      <c r="B4848" s="1039" t="s">
        <v>949</v>
      </c>
      <c r="D4848" s="1039" t="s">
        <v>515</v>
      </c>
      <c r="G4848" s="1040" t="s">
        <v>1456</v>
      </c>
      <c r="H4848" s="1041">
        <v>725</v>
      </c>
      <c r="I4848" s="1039" t="s">
        <v>951</v>
      </c>
      <c r="O4848" s="1042">
        <v>3</v>
      </c>
      <c r="P4848" s="1043"/>
      <c r="Q4848" s="1044">
        <v>30.39</v>
      </c>
      <c r="R4848" s="1045">
        <f>$A4848*Q4848</f>
        <v>182.34</v>
      </c>
      <c r="S4848" s="1044"/>
      <c r="T4848" s="1046">
        <f>$A4848*S4848*$T$1</f>
        <v>0</v>
      </c>
    </row>
    <row r="4849" spans="1:41" s="504" customFormat="1" ht="12">
      <c r="A4849" s="882"/>
      <c r="B4849" s="882"/>
      <c r="C4849" s="882"/>
      <c r="D4849" s="882"/>
      <c r="E4849" s="882"/>
      <c r="F4849" s="877"/>
      <c r="G4849" s="882"/>
      <c r="H4849" s="882"/>
      <c r="I4849" s="503"/>
      <c r="J4849" s="882"/>
      <c r="K4849" s="882"/>
      <c r="L4849" s="882"/>
      <c r="M4849" s="882"/>
      <c r="N4849" s="882"/>
      <c r="O4849" s="882"/>
      <c r="P4849" s="882"/>
      <c r="Q4849" s="503"/>
      <c r="R4849" s="883">
        <f>$A4849*Q4849</f>
        <v>0</v>
      </c>
      <c r="S4849" s="503"/>
      <c r="T4849" s="884">
        <f>$A4849*S4849*$T$1</f>
        <v>0</v>
      </c>
    </row>
    <row r="4850" spans="1:41" s="504" customFormat="1" ht="12.6" thickBot="1">
      <c r="A4850" s="885" t="s">
        <v>142</v>
      </c>
      <c r="B4850" s="886">
        <f>(R4849+T4849)</f>
        <v>0</v>
      </c>
      <c r="C4850" s="887"/>
      <c r="D4850" s="887"/>
      <c r="E4850" s="887"/>
      <c r="F4850" s="888"/>
      <c r="G4850" s="887" t="s">
        <v>143</v>
      </c>
      <c r="H4850" s="887"/>
      <c r="I4850" s="889"/>
      <c r="J4850" s="887"/>
      <c r="K4850" s="887" t="s">
        <v>9</v>
      </c>
      <c r="L4850" s="890" t="s">
        <v>140</v>
      </c>
      <c r="M4850" s="890"/>
      <c r="N4850" s="890"/>
      <c r="O4850" s="890"/>
      <c r="P4850" s="890"/>
      <c r="Q4850" s="891"/>
      <c r="R4850" s="892">
        <f>SUM(R4847:R4849)</f>
        <v>182.34</v>
      </c>
      <c r="S4850" s="887"/>
      <c r="T4850" s="892">
        <f>SUM(T4847:T4849)</f>
        <v>0</v>
      </c>
      <c r="U4850" s="514"/>
      <c r="V4850" s="514"/>
      <c r="W4850" s="514"/>
      <c r="X4850" s="514"/>
      <c r="Y4850" s="514"/>
      <c r="Z4850" s="514"/>
      <c r="AA4850" s="514"/>
      <c r="AB4850" s="514"/>
      <c r="AC4850" s="514"/>
      <c r="AD4850" s="514"/>
      <c r="AE4850" s="514"/>
      <c r="AF4850" s="514"/>
      <c r="AG4850" s="514"/>
      <c r="AH4850" s="514"/>
      <c r="AI4850" s="514"/>
      <c r="AJ4850" s="514"/>
      <c r="AK4850" s="514"/>
      <c r="AL4850" s="514"/>
      <c r="AM4850" s="514"/>
      <c r="AN4850" s="514"/>
      <c r="AO4850" s="514"/>
    </row>
    <row r="4851" spans="1:41" s="504" customFormat="1" thickTop="1">
      <c r="A4851" s="50"/>
      <c r="B4851" s="40"/>
      <c r="C4851" s="50"/>
      <c r="E4851" s="41" t="s">
        <v>136</v>
      </c>
      <c r="F4851" s="41" t="s">
        <v>137</v>
      </c>
      <c r="G4851" s="50"/>
      <c r="H4851" s="50"/>
      <c r="I4851" s="50"/>
      <c r="J4851" s="50"/>
      <c r="K4851" s="50" t="s">
        <v>138</v>
      </c>
      <c r="L4851" s="1219"/>
      <c r="M4851" s="50"/>
      <c r="N4851" s="50"/>
      <c r="O4851" s="51"/>
      <c r="P4851" s="50"/>
      <c r="Q4851"/>
      <c r="R4851"/>
      <c r="S4851"/>
      <c r="T4851" s="40"/>
      <c r="AG4851" s="867" t="s">
        <v>241</v>
      </c>
      <c r="AH4851" s="867" t="s">
        <v>242</v>
      </c>
      <c r="AI4851" s="867" t="s">
        <v>243</v>
      </c>
      <c r="AJ4851" s="867" t="s">
        <v>244</v>
      </c>
      <c r="AK4851" s="867" t="s">
        <v>245</v>
      </c>
      <c r="AM4851" s="868" t="s">
        <v>254</v>
      </c>
      <c r="AN4851" s="869" t="s">
        <v>255</v>
      </c>
      <c r="AO4851" s="505" t="s">
        <v>251</v>
      </c>
    </row>
    <row r="4852" spans="1:41" s="504" customFormat="1" ht="13.2">
      <c r="A4852" s="870">
        <v>1</v>
      </c>
      <c r="B4852" s="506" t="s">
        <v>335</v>
      </c>
      <c r="C4852" s="872"/>
      <c r="D4852" s="873" t="s">
        <v>888</v>
      </c>
      <c r="E4852" s="1220">
        <f>IF(AND($A4852=0,$A$1="DIF"),0, ROUND(ROUND(SUMIF($L4854:$L4860,"SUBI",$E4854:$E4860)/$A4852,2)*$C$12,2))</f>
        <v>90.3</v>
      </c>
      <c r="F4852" s="1221">
        <f>ROUND($A4852*$E4852,2)</f>
        <v>90.3</v>
      </c>
      <c r="G4852" s="876" t="s">
        <v>139</v>
      </c>
      <c r="H4852" s="877"/>
      <c r="I4852" s="878"/>
      <c r="J4852" s="877"/>
      <c r="K4852" s="1222"/>
      <c r="L4852" s="1223" t="s">
        <v>140</v>
      </c>
      <c r="M4852" s="879"/>
      <c r="N4852" s="879"/>
      <c r="O4852" s="879"/>
      <c r="P4852" s="879"/>
      <c r="Q4852"/>
      <c r="R4852"/>
      <c r="S4852"/>
      <c r="T4852" s="1224" t="str">
        <f>IF(AND($R4866=0,$T4866=0),"0.00","mu :" &amp; ROUND($F4852/$C$12/($R4866+$T4866*$D$9),2))</f>
        <v>mu :1.11</v>
      </c>
      <c r="W4852" s="507"/>
      <c r="AG4852" s="1225">
        <f>IF(A4852=0,0,ROUND(SUM(AG4854:AG4866)/A4852,2))</f>
        <v>70.349999999999994</v>
      </c>
      <c r="AH4852" s="1225">
        <f>$AG4852*$A4852</f>
        <v>70.349999999999994</v>
      </c>
      <c r="AI4852" s="1225">
        <f>$E4852-$AG4852</f>
        <v>19.950000000000003</v>
      </c>
      <c r="AJ4852" s="1225">
        <f>$A4852*$AI4852</f>
        <v>19.950000000000003</v>
      </c>
      <c r="AK4852" s="1226">
        <f>ROUND(($AG4852+$AI4852)*$A4852,2)</f>
        <v>90.3</v>
      </c>
      <c r="AM4852" s="510">
        <f>ROUND(R4866,2)</f>
        <v>64.87</v>
      </c>
      <c r="AN4852" s="511">
        <f>ROUND(T4866,2)</f>
        <v>0.56999999999999995</v>
      </c>
      <c r="AO4852" s="512">
        <f>ROUND(AM4852+AN4852,2)*A4852</f>
        <v>65.44</v>
      </c>
    </row>
    <row r="4853" spans="1:41" s="504" customFormat="1" ht="13.2">
      <c r="A4853" s="872"/>
      <c r="B4853"/>
      <c r="C4853" s="872"/>
      <c r="D4853" s="873" t="s">
        <v>516</v>
      </c>
      <c r="F4853" s="877"/>
      <c r="G4853" s="877"/>
      <c r="H4853" s="877"/>
      <c r="I4853" s="878"/>
      <c r="J4853" s="877"/>
      <c r="K4853" s="877" t="s">
        <v>141</v>
      </c>
      <c r="L4853" s="1227"/>
      <c r="M4853" s="877"/>
      <c r="N4853" s="877"/>
      <c r="O4853" s="877"/>
      <c r="P4853" s="877"/>
      <c r="Q4853" s="50"/>
      <c r="R4853" s="513"/>
      <c r="S4853" s="881"/>
      <c r="T4853" s="877"/>
    </row>
    <row r="4854" spans="1:41" s="504" customFormat="1" ht="12">
      <c r="A4854" s="1228"/>
      <c r="B4854" s="1229"/>
      <c r="C4854" s="882"/>
      <c r="D4854" s="877"/>
      <c r="E4854" s="1230">
        <f>F4852/$C$12-SUMIF($L4851:$L4866,"SUBI",$E4851:$E4866)</f>
        <v>0</v>
      </c>
      <c r="F4854" s="1231" t="s">
        <v>1472</v>
      </c>
      <c r="G4854" s="1232"/>
      <c r="H4854" s="1232"/>
      <c r="I4854" s="1233"/>
      <c r="J4854" s="1232"/>
      <c r="K4854" s="1232"/>
      <c r="L4854" s="1234"/>
      <c r="M4854" s="1235"/>
      <c r="N4854" s="1235"/>
      <c r="O4854" s="1235"/>
      <c r="P4854" s="1235"/>
      <c r="Q4854" s="1236"/>
      <c r="R4854" s="1237"/>
      <c r="S4854" s="1236"/>
      <c r="T4854" s="1238"/>
    </row>
    <row r="4855" spans="1:41" s="504" customFormat="1" ht="12" customHeight="1">
      <c r="A4855" s="1239"/>
      <c r="B4855" s="1285"/>
      <c r="C4855" s="1286"/>
      <c r="D4855" s="1286" t="str">
        <f>$F$5</f>
        <v>ELV Sub-Contractor - APCO</v>
      </c>
      <c r="E4855" s="1286">
        <f>ROUND(($R4859*$S$5 + ($T4859*$T$5)),2)</f>
        <v>65.19</v>
      </c>
      <c r="F4855" s="1287">
        <f>$E4855*$C$12</f>
        <v>65.19</v>
      </c>
      <c r="G4855" s="513"/>
      <c r="H4855" s="1241"/>
      <c r="I4855" s="513"/>
      <c r="J4855" s="51"/>
      <c r="K4855" s="1242" t="s">
        <v>9</v>
      </c>
      <c r="L4855" s="1243" t="s">
        <v>1473</v>
      </c>
      <c r="M4855" s="513"/>
      <c r="N4855" s="513"/>
      <c r="O4855" s="51"/>
      <c r="P4855" s="513"/>
      <c r="Q4855" s="513"/>
      <c r="R4855"/>
      <c r="S4855"/>
      <c r="T4855"/>
    </row>
    <row r="4856" spans="1:41" s="504" customFormat="1" ht="13.95" customHeight="1">
      <c r="A4856" s="930"/>
      <c r="B4856" s="1244" t="s">
        <v>1474</v>
      </c>
      <c r="C4856" s="513"/>
      <c r="D4856" s="513"/>
      <c r="E4856" s="513"/>
      <c r="F4856" s="513"/>
      <c r="G4856" s="513"/>
      <c r="H4856" s="1241"/>
      <c r="I4856" s="513"/>
      <c r="J4856" s="51"/>
      <c r="K4856" s="1245"/>
      <c r="L4856" s="1246"/>
      <c r="M4856" s="513"/>
      <c r="N4856" s="513"/>
      <c r="O4856" s="51"/>
      <c r="P4856" s="513"/>
      <c r="Q4856" s="513"/>
      <c r="R4856" s="1247">
        <f>$A4856*Q4856</f>
        <v>0</v>
      </c>
      <c r="S4856" s="513"/>
      <c r="T4856" s="884">
        <f>$A4856*S4856*$T$1</f>
        <v>0</v>
      </c>
    </row>
    <row r="4857" spans="1:41" s="1039" customFormat="1" ht="13.2">
      <c r="A4857" s="112">
        <v>1</v>
      </c>
      <c r="B4857" s="1039" t="s">
        <v>949</v>
      </c>
      <c r="D4857" s="1039" t="s">
        <v>516</v>
      </c>
      <c r="G4857" s="1040" t="s">
        <v>1456</v>
      </c>
      <c r="H4857" s="1041">
        <v>725</v>
      </c>
      <c r="I4857" s="1039" t="s">
        <v>951</v>
      </c>
      <c r="O4857" s="1042">
        <v>3</v>
      </c>
      <c r="P4857" s="1043"/>
      <c r="Q4857" s="1044">
        <v>60.64</v>
      </c>
      <c r="R4857" s="1045">
        <f>$A4857*Q4857</f>
        <v>60.64</v>
      </c>
      <c r="S4857" s="1044"/>
      <c r="T4857" s="1046">
        <f>$A4857*S4857*$T$1</f>
        <v>0</v>
      </c>
    </row>
    <row r="4858" spans="1:41" s="504" customFormat="1" ht="13.95" customHeight="1">
      <c r="A4858" s="930"/>
      <c r="B4858" s="513"/>
      <c r="C4858" s="513"/>
      <c r="D4858" s="513"/>
      <c r="E4858" s="513"/>
      <c r="F4858" s="513"/>
      <c r="G4858" s="513"/>
      <c r="H4858" s="1241"/>
      <c r="I4858" s="513"/>
      <c r="J4858" s="51"/>
      <c r="K4858" s="1245"/>
      <c r="L4858" s="1246"/>
      <c r="M4858" s="513"/>
      <c r="N4858" s="513"/>
      <c r="O4858" s="51"/>
      <c r="P4858" s="513"/>
      <c r="Q4858" s="513"/>
      <c r="R4858" s="1247">
        <f>$A4858*Q4858</f>
        <v>0</v>
      </c>
      <c r="S4858" s="513"/>
      <c r="T4858" s="884">
        <f>$A4858*S4858*$T$1</f>
        <v>0</v>
      </c>
    </row>
    <row r="4859" spans="1:41" s="504" customFormat="1" ht="12">
      <c r="A4859" s="1248" t="s">
        <v>142</v>
      </c>
      <c r="B4859" s="1249">
        <f>(R4858+T4858)</f>
        <v>0</v>
      </c>
      <c r="C4859" s="882"/>
      <c r="G4859" s="1250"/>
      <c r="H4859" s="1250"/>
      <c r="I4859" s="1250"/>
      <c r="J4859" s="1250"/>
      <c r="K4859" s="1251" t="s">
        <v>9</v>
      </c>
      <c r="L4859" s="1252" t="s">
        <v>1473</v>
      </c>
      <c r="M4859" s="1250"/>
      <c r="N4859" s="1250"/>
      <c r="O4859" s="1250"/>
      <c r="P4859" s="1250"/>
      <c r="Q4859" s="1253"/>
      <c r="R4859" s="1254">
        <f>SUM(R4855:R4858)</f>
        <v>60.64</v>
      </c>
      <c r="S4859" s="1255"/>
      <c r="T4859" s="1254">
        <f>SUM(T4855:T4858)</f>
        <v>0</v>
      </c>
      <c r="AG4859" s="1288">
        <f>ROUND($R4859*$S$5,2)</f>
        <v>65.19</v>
      </c>
    </row>
    <row r="4860" spans="1:41" s="504" customFormat="1" ht="12" customHeight="1">
      <c r="A4860" s="1257"/>
      <c r="B4860" s="1289"/>
      <c r="C4860" s="1240"/>
      <c r="D4860" s="1240" t="str">
        <f>$F$2</f>
        <v>Electrical</v>
      </c>
      <c r="E4860" s="1240">
        <f>ROUND(($R4864*$S$2 + ($T4864*$T$2)),2)</f>
        <v>25.11</v>
      </c>
      <c r="F4860" s="1290">
        <f ca="1">$F4852-SUMIF($L4854:$P4857,"SUBI",$F4854:$F4857)</f>
        <v>25.11</v>
      </c>
      <c r="G4860" s="503"/>
      <c r="H4860" s="503"/>
      <c r="I4860" s="503"/>
      <c r="J4860" s="503"/>
      <c r="K4860" s="1242" t="s">
        <v>3</v>
      </c>
      <c r="L4860" s="1243" t="s">
        <v>1473</v>
      </c>
      <c r="M4860" s="503"/>
      <c r="N4860" s="503"/>
      <c r="O4860" s="503"/>
      <c r="P4860" s="503"/>
      <c r="Q4860" s="503"/>
      <c r="R4860" s="1258"/>
      <c r="S4860" s="503"/>
      <c r="T4860" s="1258"/>
    </row>
    <row r="4861" spans="1:41" s="1271" customFormat="1" ht="14.4" customHeight="1">
      <c r="A4861" s="1259"/>
      <c r="B4861" s="1244" t="s">
        <v>1475</v>
      </c>
      <c r="C4861" s="1260"/>
      <c r="D4861" s="1261"/>
      <c r="E4861" s="1261"/>
      <c r="F4861" s="1261"/>
      <c r="G4861" s="1262"/>
      <c r="H4861" s="1263"/>
      <c r="I4861" s="1263"/>
      <c r="J4861" s="1264"/>
      <c r="K4861" s="1265"/>
      <c r="L4861" s="1260"/>
      <c r="M4861" s="1266"/>
      <c r="N4861" s="1267"/>
      <c r="O4861" s="1268"/>
      <c r="P4861" s="1269"/>
      <c r="Q4861" s="1270"/>
      <c r="R4861" s="1247">
        <f>$A4861*Q4861</f>
        <v>0</v>
      </c>
      <c r="S4861" s="513"/>
      <c r="T4861" s="884">
        <f>$A4861*S4861*$T$1</f>
        <v>0</v>
      </c>
    </row>
    <row r="4862" spans="1:41" s="1039" customFormat="1" ht="13.2">
      <c r="A4862" s="112">
        <f>1*3</f>
        <v>3</v>
      </c>
      <c r="B4862" s="1039" t="s">
        <v>326</v>
      </c>
      <c r="D4862" s="1039" t="s">
        <v>1224</v>
      </c>
      <c r="G4862" s="1040" t="s">
        <v>1221</v>
      </c>
      <c r="H4862" s="1041">
        <v>700</v>
      </c>
      <c r="I4862" s="1039" t="s">
        <v>1132</v>
      </c>
      <c r="J4862" s="1039" t="s">
        <v>1222</v>
      </c>
      <c r="O4862" s="1042">
        <v>1</v>
      </c>
      <c r="P4862" s="1043">
        <v>42213</v>
      </c>
      <c r="Q4862" s="1044">
        <v>1.41</v>
      </c>
      <c r="R4862" s="1045">
        <f>$A4862*Q4862</f>
        <v>4.2299999999999995</v>
      </c>
      <c r="S4862" s="1044">
        <v>0.18</v>
      </c>
      <c r="T4862" s="1046">
        <f>$A4862*S4862*$T$1</f>
        <v>0.56700000000000006</v>
      </c>
    </row>
    <row r="4863" spans="1:41" s="504" customFormat="1" ht="13.2">
      <c r="A4863" s="930"/>
      <c r="B4863" s="513"/>
      <c r="C4863" s="513"/>
      <c r="D4863" s="3"/>
      <c r="E4863" s="513"/>
      <c r="F4863" s="513"/>
      <c r="G4863" s="513"/>
      <c r="H4863" s="513"/>
      <c r="I4863" s="513"/>
      <c r="J4863" s="513"/>
      <c r="K4863" s="513"/>
      <c r="L4863" s="1246"/>
      <c r="M4863" s="513"/>
      <c r="N4863" s="513"/>
      <c r="O4863" s="513"/>
      <c r="P4863" s="513"/>
      <c r="Q4863" s="513"/>
      <c r="R4863" s="1247">
        <f>$A4863*Q4863</f>
        <v>0</v>
      </c>
      <c r="S4863" s="513"/>
      <c r="T4863" s="884">
        <f>$A4863*S4863*$T$1</f>
        <v>0</v>
      </c>
    </row>
    <row r="4864" spans="1:41" s="504" customFormat="1" ht="12" customHeight="1">
      <c r="A4864" s="1272" t="s">
        <v>142</v>
      </c>
      <c r="B4864" s="1273">
        <f>(R4863+T4863)</f>
        <v>0</v>
      </c>
      <c r="C4864" s="1274"/>
      <c r="D4864" s="1274"/>
      <c r="E4864" s="1274"/>
      <c r="F4864" s="1274"/>
      <c r="G4864" s="1253"/>
      <c r="H4864" s="1253"/>
      <c r="I4864" s="1253"/>
      <c r="J4864" s="1253"/>
      <c r="K4864" s="1275" t="s">
        <v>3</v>
      </c>
      <c r="L4864" s="1276" t="s">
        <v>1473</v>
      </c>
      <c r="M4864" s="1253"/>
      <c r="N4864" s="1253"/>
      <c r="O4864" s="1253"/>
      <c r="P4864" s="1253"/>
      <c r="Q4864" s="1253"/>
      <c r="R4864" s="1254">
        <f>SUM(R4860:R4863)</f>
        <v>4.2299999999999995</v>
      </c>
      <c r="S4864" s="1255"/>
      <c r="T4864" s="1254">
        <f>SUM(T4860:T4863)</f>
        <v>0.56700000000000006</v>
      </c>
      <c r="AG4864" s="1256">
        <f>ROUND($R4864*$S$2,2)</f>
        <v>5.16</v>
      </c>
    </row>
    <row r="4865" spans="1:41" s="504" customFormat="1" ht="12.75" customHeight="1">
      <c r="A4865" s="1277"/>
      <c r="B4865" s="1278"/>
      <c r="E4865" s="882"/>
      <c r="F4865" s="1279"/>
      <c r="G4865" s="882"/>
      <c r="H4865" s="882"/>
      <c r="I4865" s="503"/>
      <c r="J4865" s="882"/>
      <c r="K4865" s="882"/>
      <c r="L4865" s="1280"/>
      <c r="M4865" s="933"/>
      <c r="N4865" s="933"/>
      <c r="O4865" s="933"/>
      <c r="P4865" s="933"/>
      <c r="Q4865" s="900"/>
      <c r="R4865" s="1258"/>
      <c r="S4865" s="882"/>
      <c r="T4865" s="1258"/>
    </row>
    <row r="4866" spans="1:41" s="504" customFormat="1" ht="13.5" customHeight="1" thickBot="1">
      <c r="A4866" s="1281"/>
      <c r="B4866" s="1282"/>
      <c r="C4866" s="514"/>
      <c r="D4866" s="514"/>
      <c r="E4866" s="887"/>
      <c r="F4866" s="888"/>
      <c r="G4866" s="887" t="s">
        <v>143</v>
      </c>
      <c r="H4866" s="887"/>
      <c r="I4866" s="889"/>
      <c r="J4866" s="887"/>
      <c r="K4866" s="887"/>
      <c r="L4866" s="1283" t="s">
        <v>140</v>
      </c>
      <c r="M4866" s="890"/>
      <c r="N4866" s="890"/>
      <c r="O4866" s="890"/>
      <c r="P4866" s="890"/>
      <c r="Q4866" s="891"/>
      <c r="R4866" s="1284">
        <f>SUMIF($L4853:$L4865,"SUBI",R4853:R4865)</f>
        <v>64.87</v>
      </c>
      <c r="S4866" s="887"/>
      <c r="T4866" s="1284">
        <f>SUMIF($L4853:$L4865,"SUBI",T4853:T4865)</f>
        <v>0.56700000000000006</v>
      </c>
      <c r="U4866" s="514"/>
      <c r="V4866" s="514"/>
      <c r="W4866" s="514"/>
      <c r="X4866" s="514"/>
      <c r="Y4866" s="514"/>
      <c r="Z4866" s="514"/>
      <c r="AA4866" s="514"/>
      <c r="AB4866" s="514"/>
      <c r="AC4866" s="514"/>
      <c r="AD4866" s="514"/>
      <c r="AE4866" s="514"/>
      <c r="AF4866" s="514"/>
      <c r="AG4866" s="514"/>
      <c r="AH4866" s="514"/>
      <c r="AI4866" s="514"/>
      <c r="AJ4866" s="514"/>
      <c r="AK4866" s="514"/>
      <c r="AL4866" s="514"/>
      <c r="AM4866" s="514"/>
      <c r="AN4866" s="514"/>
      <c r="AO4866" s="514"/>
    </row>
    <row r="4867" spans="1:41" s="504" customFormat="1" ht="12" thickTop="1">
      <c r="A4867" s="47" t="s">
        <v>145</v>
      </c>
      <c r="D4867" s="13"/>
      <c r="E4867" s="41"/>
      <c r="O4867" s="893"/>
    </row>
    <row r="4868" spans="1:41" s="504" customFormat="1" ht="13.2">
      <c r="B4868" s="3"/>
      <c r="O4868" s="893"/>
    </row>
    <row r="4869" spans="1:41" s="504" customFormat="1" ht="12">
      <c r="B4869" s="894">
        <f>$F4869/$C$2-($R4869*$S$2+$T4869*$T$2)</f>
        <v>-822.47474163999868</v>
      </c>
      <c r="D4869" s="895" t="s">
        <v>817</v>
      </c>
      <c r="E4869" s="896"/>
      <c r="F4869" s="897">
        <f>SUMIF($L4725:$L4867,"ITEM",F4725:F4867)</f>
        <v>6311.25</v>
      </c>
      <c r="G4869" s="882"/>
      <c r="H4869" s="882"/>
      <c r="I4869" s="503"/>
      <c r="J4869" s="882"/>
      <c r="K4869" s="882"/>
      <c r="L4869" s="879" t="s">
        <v>154</v>
      </c>
      <c r="M4869" s="879"/>
      <c r="N4869" s="879"/>
      <c r="O4869" s="879"/>
      <c r="P4869" s="879"/>
      <c r="R4869" s="897">
        <f>SUMIF($L4725:$L4867,"ITEM",R4725:R4867)</f>
        <v>5705.6299999999992</v>
      </c>
      <c r="S4869" s="898"/>
      <c r="T4869" s="897">
        <f>SUMIF($L4725:$L4867,"ITEM",T4725:T4867)</f>
        <v>4.9139999999999997</v>
      </c>
    </row>
    <row r="4870" spans="1:41" s="504" customFormat="1" ht="13.2">
      <c r="A4870" s="50"/>
      <c r="B4870" s="48" t="s">
        <v>816</v>
      </c>
      <c r="C4870" s="50"/>
      <c r="D4870" s="3"/>
      <c r="F4870" s="899" t="s">
        <v>155</v>
      </c>
      <c r="G4870" s="882"/>
      <c r="H4870" s="882"/>
      <c r="I4870" s="503"/>
      <c r="J4870" s="882"/>
      <c r="K4870" s="882"/>
      <c r="L4870" s="882"/>
      <c r="M4870" s="882"/>
      <c r="N4870" s="882"/>
      <c r="O4870" s="882"/>
      <c r="P4870" s="882"/>
      <c r="Q4870" s="900"/>
      <c r="R4870" s="899" t="s">
        <v>156</v>
      </c>
      <c r="S4870" s="38"/>
      <c r="T4870" s="899" t="s">
        <v>157</v>
      </c>
    </row>
    <row r="4871" spans="1:41" s="504" customFormat="1" ht="13.2">
      <c r="A4871" s="882"/>
      <c r="B4871" s="3"/>
      <c r="C4871" s="882"/>
      <c r="D4871" s="3"/>
      <c r="E4871" s="3"/>
      <c r="G4871" s="3"/>
      <c r="H4871" s="3"/>
      <c r="I4871" s="3"/>
      <c r="J4871" s="3"/>
      <c r="K4871" s="3"/>
      <c r="L4871" s="3"/>
      <c r="M4871" s="3"/>
      <c r="N4871" s="3"/>
      <c r="O4871" s="103"/>
      <c r="P4871" s="3"/>
      <c r="Q4871" s="3"/>
      <c r="R4871" s="3"/>
      <c r="S4871" s="3"/>
      <c r="T4871" s="3"/>
    </row>
    <row r="4872" spans="1:41" s="504" customFormat="1" ht="12" thickBot="1">
      <c r="A4872" s="514"/>
      <c r="B4872" s="887"/>
      <c r="C4872" s="887"/>
      <c r="D4872" s="514"/>
      <c r="E4872" s="39"/>
      <c r="F4872" s="901"/>
      <c r="G4872" s="887"/>
      <c r="H4872" s="887"/>
      <c r="I4872" s="889"/>
      <c r="J4872" s="887"/>
      <c r="K4872" s="887"/>
      <c r="L4872" s="890"/>
      <c r="M4872" s="890"/>
      <c r="N4872" s="890"/>
      <c r="O4872" s="890"/>
      <c r="P4872" s="890"/>
      <c r="Q4872" s="891"/>
      <c r="R4872" s="901"/>
      <c r="S4872" s="902"/>
      <c r="T4872" s="901"/>
      <c r="U4872" s="514"/>
      <c r="V4872" s="514"/>
      <c r="W4872" s="514"/>
      <c r="X4872" s="514"/>
      <c r="Y4872" s="514"/>
      <c r="Z4872" s="514"/>
      <c r="AA4872" s="514"/>
      <c r="AB4872" s="514"/>
      <c r="AC4872" s="514"/>
      <c r="AD4872" s="514"/>
      <c r="AE4872" s="514"/>
      <c r="AF4872" s="514"/>
      <c r="AG4872" s="514"/>
      <c r="AH4872" s="514"/>
      <c r="AI4872" s="514"/>
      <c r="AJ4872" s="514"/>
      <c r="AK4872" s="514"/>
    </row>
    <row r="4873" spans="1:41" s="504" customFormat="1" thickTop="1">
      <c r="A4873" s="50"/>
      <c r="B4873" s="40"/>
      <c r="C4873" s="50"/>
      <c r="E4873" s="41" t="s">
        <v>136</v>
      </c>
      <c r="F4873" s="41" t="s">
        <v>137</v>
      </c>
      <c r="G4873" s="50"/>
      <c r="H4873" s="50"/>
      <c r="I4873" s="50"/>
      <c r="J4873" s="50"/>
      <c r="K4873" s="50" t="s">
        <v>138</v>
      </c>
      <c r="L4873" s="1219"/>
      <c r="M4873" s="50"/>
      <c r="N4873" s="50"/>
      <c r="O4873" s="51"/>
      <c r="P4873" s="50"/>
      <c r="Q4873"/>
      <c r="R4873"/>
      <c r="S4873"/>
      <c r="T4873" s="40"/>
      <c r="AG4873" s="867" t="s">
        <v>241</v>
      </c>
      <c r="AH4873" s="867" t="s">
        <v>242</v>
      </c>
      <c r="AI4873" s="867" t="s">
        <v>243</v>
      </c>
      <c r="AJ4873" s="867" t="s">
        <v>244</v>
      </c>
      <c r="AK4873" s="867" t="s">
        <v>245</v>
      </c>
      <c r="AM4873" s="868" t="s">
        <v>254</v>
      </c>
      <c r="AN4873" s="869" t="s">
        <v>255</v>
      </c>
      <c r="AO4873" s="505" t="s">
        <v>251</v>
      </c>
    </row>
    <row r="4874" spans="1:41" s="504" customFormat="1" ht="13.2">
      <c r="A4874" s="870">
        <v>2</v>
      </c>
      <c r="B4874" s="506" t="s">
        <v>335</v>
      </c>
      <c r="C4874" s="872"/>
      <c r="D4874" s="873" t="s">
        <v>889</v>
      </c>
      <c r="E4874" s="1220">
        <f>IF(AND($A4874=0,$A$1="DIF"),0, ROUND(ROUND(SUMIF($L4876:$L4882,"SUBI",$E4876:$E4882)/$A4874,2)*$C$12,2))</f>
        <v>341.22</v>
      </c>
      <c r="F4874" s="1221">
        <f>ROUND($A4874*$E4874,2)</f>
        <v>682.44</v>
      </c>
      <c r="G4874" s="876" t="s">
        <v>139</v>
      </c>
      <c r="H4874" s="877"/>
      <c r="I4874" s="878"/>
      <c r="J4874" s="877"/>
      <c r="K4874" s="1222"/>
      <c r="L4874" s="1223" t="s">
        <v>140</v>
      </c>
      <c r="M4874" s="879"/>
      <c r="N4874" s="879"/>
      <c r="O4874" s="879"/>
      <c r="P4874" s="879"/>
      <c r="Q4874"/>
      <c r="R4874"/>
      <c r="S4874"/>
      <c r="T4874" s="1224" t="str">
        <f>IF(AND($R4888=0,$T4888=0),"0.00","mu :" &amp; ROUND($F4874/$C$12/($R4888+$T4888*$D$9),2))</f>
        <v>mu :1.08</v>
      </c>
      <c r="W4874" s="507"/>
      <c r="AG4874" s="1225">
        <f>IF(A4874=0,0,ROUND(SUM(AG4876:AG4888)/A4874,2))</f>
        <v>327.92</v>
      </c>
      <c r="AH4874" s="1225">
        <f>$AG4874*$A4874</f>
        <v>655.84</v>
      </c>
      <c r="AI4874" s="1225">
        <f>$E4874-$AG4874</f>
        <v>13.300000000000011</v>
      </c>
      <c r="AJ4874" s="1225">
        <f>$A4874*$AI4874</f>
        <v>26.600000000000023</v>
      </c>
      <c r="AK4874" s="1226">
        <f>ROUND(($AG4874+$AI4874)*$A4874,2)</f>
        <v>682.44</v>
      </c>
      <c r="AM4874" s="510">
        <f>ROUND(R4888,2)</f>
        <v>609.32000000000005</v>
      </c>
      <c r="AN4874" s="511">
        <f>ROUND(T4888,2)</f>
        <v>0.76</v>
      </c>
      <c r="AO4874" s="512">
        <f>ROUND(AM4874+AN4874,2)*A4874</f>
        <v>1220.1600000000001</v>
      </c>
    </row>
    <row r="4875" spans="1:41" s="504" customFormat="1" ht="13.2">
      <c r="A4875" s="872"/>
      <c r="B4875"/>
      <c r="C4875" s="872"/>
      <c r="D4875" s="873" t="s">
        <v>517</v>
      </c>
      <c r="F4875" s="877"/>
      <c r="G4875" s="877"/>
      <c r="H4875" s="877"/>
      <c r="I4875" s="878"/>
      <c r="J4875" s="877"/>
      <c r="K4875" s="877" t="s">
        <v>141</v>
      </c>
      <c r="L4875" s="1227"/>
      <c r="M4875" s="877"/>
      <c r="N4875" s="877"/>
      <c r="O4875" s="877"/>
      <c r="P4875" s="877"/>
      <c r="Q4875" s="50"/>
      <c r="R4875" s="513"/>
      <c r="S4875" s="881"/>
      <c r="T4875" s="877"/>
    </row>
    <row r="4876" spans="1:41" s="504" customFormat="1" ht="12">
      <c r="A4876" s="1228"/>
      <c r="B4876" s="1229"/>
      <c r="C4876" s="882"/>
      <c r="D4876" s="877"/>
      <c r="E4876" s="1230">
        <f>F4874/$C$12-SUMIF($L4873:$L4888,"SUBI",$E4873:$E4888)</f>
        <v>9.9999999999909051E-3</v>
      </c>
      <c r="F4876" s="1231" t="s">
        <v>1472</v>
      </c>
      <c r="G4876" s="1232"/>
      <c r="H4876" s="1232"/>
      <c r="I4876" s="1233"/>
      <c r="J4876" s="1232"/>
      <c r="K4876" s="1232"/>
      <c r="L4876" s="1234"/>
      <c r="M4876" s="1235"/>
      <c r="N4876" s="1235"/>
      <c r="O4876" s="1235"/>
      <c r="P4876" s="1235"/>
      <c r="Q4876" s="1236"/>
      <c r="R4876" s="1237"/>
      <c r="S4876" s="1236"/>
      <c r="T4876" s="1238"/>
    </row>
    <row r="4877" spans="1:41" s="504" customFormat="1" ht="12" customHeight="1">
      <c r="A4877" s="1239"/>
      <c r="B4877" s="1285"/>
      <c r="C4877" s="1286"/>
      <c r="D4877" s="1286" t="str">
        <f>$F$5</f>
        <v>ELV Sub-Contractor - APCO</v>
      </c>
      <c r="E4877" s="1286">
        <f>ROUND(($R4881*$S$5 + ($T4881*$T$5)),2)</f>
        <v>648.96</v>
      </c>
      <c r="F4877" s="1287">
        <f>$E4877*$C$12</f>
        <v>648.96</v>
      </c>
      <c r="G4877" s="513"/>
      <c r="H4877" s="1241"/>
      <c r="I4877" s="513"/>
      <c r="J4877" s="51"/>
      <c r="K4877" s="1242" t="s">
        <v>9</v>
      </c>
      <c r="L4877" s="1243" t="s">
        <v>1473</v>
      </c>
      <c r="M4877" s="513"/>
      <c r="N4877" s="513"/>
      <c r="O4877" s="51"/>
      <c r="P4877" s="513"/>
      <c r="Q4877" s="513"/>
      <c r="R4877"/>
      <c r="S4877"/>
      <c r="T4877"/>
    </row>
    <row r="4878" spans="1:41" s="504" customFormat="1" ht="13.95" customHeight="1">
      <c r="A4878" s="930"/>
      <c r="B4878" s="1244" t="s">
        <v>1474</v>
      </c>
      <c r="C4878" s="513"/>
      <c r="D4878" s="513"/>
      <c r="E4878" s="513"/>
      <c r="F4878" s="513"/>
      <c r="G4878" s="513"/>
      <c r="H4878" s="1241"/>
      <c r="I4878" s="513"/>
      <c r="J4878" s="51"/>
      <c r="K4878" s="1245"/>
      <c r="L4878" s="1246"/>
      <c r="M4878" s="513"/>
      <c r="N4878" s="513"/>
      <c r="O4878" s="51"/>
      <c r="P4878" s="513"/>
      <c r="Q4878" s="513"/>
      <c r="R4878" s="1247">
        <f>$A4878*Q4878</f>
        <v>0</v>
      </c>
      <c r="S4878" s="513"/>
      <c r="T4878" s="884">
        <f>$A4878*S4878*$T$1</f>
        <v>0</v>
      </c>
    </row>
    <row r="4879" spans="1:41" s="1039" customFormat="1" ht="13.2">
      <c r="A4879" s="112">
        <v>2</v>
      </c>
      <c r="B4879" s="1039" t="s">
        <v>949</v>
      </c>
      <c r="D4879" s="1039" t="s">
        <v>517</v>
      </c>
      <c r="G4879" s="1040" t="s">
        <v>1456</v>
      </c>
      <c r="H4879" s="1041">
        <v>725</v>
      </c>
      <c r="I4879" s="1039" t="s">
        <v>951</v>
      </c>
      <c r="O4879" s="1042">
        <v>3</v>
      </c>
      <c r="P4879" s="1043"/>
      <c r="Q4879" s="1044">
        <v>301.83999999999997</v>
      </c>
      <c r="R4879" s="1045">
        <f>$A4879*Q4879</f>
        <v>603.67999999999995</v>
      </c>
      <c r="S4879" s="1044"/>
      <c r="T4879" s="1046">
        <f>$A4879*S4879*$T$1</f>
        <v>0</v>
      </c>
    </row>
    <row r="4880" spans="1:41" s="504" customFormat="1" ht="13.95" customHeight="1">
      <c r="A4880" s="930"/>
      <c r="B4880" s="513"/>
      <c r="C4880" s="513"/>
      <c r="D4880" s="513"/>
      <c r="E4880" s="513"/>
      <c r="F4880" s="513"/>
      <c r="G4880" s="513"/>
      <c r="H4880" s="1241"/>
      <c r="I4880" s="513"/>
      <c r="J4880" s="51"/>
      <c r="K4880" s="1245"/>
      <c r="L4880" s="1246"/>
      <c r="M4880" s="513"/>
      <c r="N4880" s="513"/>
      <c r="O4880" s="51"/>
      <c r="P4880" s="513"/>
      <c r="Q4880" s="513"/>
      <c r="R4880" s="1247">
        <f>$A4880*Q4880</f>
        <v>0</v>
      </c>
      <c r="S4880" s="513"/>
      <c r="T4880" s="884">
        <f>$A4880*S4880*$T$1</f>
        <v>0</v>
      </c>
    </row>
    <row r="4881" spans="1:41" s="504" customFormat="1" ht="12">
      <c r="A4881" s="1248" t="s">
        <v>142</v>
      </c>
      <c r="B4881" s="1249">
        <f>(R4880+T4880)</f>
        <v>0</v>
      </c>
      <c r="C4881" s="882"/>
      <c r="G4881" s="1250"/>
      <c r="H4881" s="1250"/>
      <c r="I4881" s="1250"/>
      <c r="J4881" s="1250"/>
      <c r="K4881" s="1251" t="s">
        <v>9</v>
      </c>
      <c r="L4881" s="1252" t="s">
        <v>1473</v>
      </c>
      <c r="M4881" s="1250"/>
      <c r="N4881" s="1250"/>
      <c r="O4881" s="1250"/>
      <c r="P4881" s="1250"/>
      <c r="Q4881" s="1253"/>
      <c r="R4881" s="1254">
        <f>SUM(R4877:R4880)</f>
        <v>603.67999999999995</v>
      </c>
      <c r="S4881" s="1255"/>
      <c r="T4881" s="1254">
        <f>SUM(T4877:T4880)</f>
        <v>0</v>
      </c>
      <c r="AG4881" s="1288">
        <f>ROUND($R4881*$S$5,2)</f>
        <v>648.96</v>
      </c>
    </row>
    <row r="4882" spans="1:41" s="504" customFormat="1" ht="12" customHeight="1">
      <c r="A4882" s="1257"/>
      <c r="B4882" s="1289"/>
      <c r="C4882" s="1240"/>
      <c r="D4882" s="1240" t="str">
        <f>$F$2</f>
        <v>Electrical</v>
      </c>
      <c r="E4882" s="1240">
        <f>ROUND(($R4886*$S$2 + ($T4886*$T$2)),2)</f>
        <v>33.47</v>
      </c>
      <c r="F4882" s="1290">
        <f ca="1">$F4874-SUMIF($L4876:$P4879,"SUBI",$F4876:$F4879)</f>
        <v>33.480000000000018</v>
      </c>
      <c r="G4882" s="503"/>
      <c r="H4882" s="503"/>
      <c r="I4882" s="503"/>
      <c r="J4882" s="503"/>
      <c r="K4882" s="1242" t="s">
        <v>3</v>
      </c>
      <c r="L4882" s="1243" t="s">
        <v>1473</v>
      </c>
      <c r="M4882" s="503"/>
      <c r="N4882" s="503"/>
      <c r="O4882" s="503"/>
      <c r="P4882" s="503"/>
      <c r="Q4882" s="503"/>
      <c r="R4882" s="1258"/>
      <c r="S4882" s="503"/>
      <c r="T4882" s="1258"/>
    </row>
    <row r="4883" spans="1:41" s="1271" customFormat="1" ht="14.4" customHeight="1">
      <c r="A4883" s="1259"/>
      <c r="B4883" s="1244" t="s">
        <v>1475</v>
      </c>
      <c r="C4883" s="1260"/>
      <c r="D4883" s="1261"/>
      <c r="E4883" s="1261"/>
      <c r="F4883" s="1261"/>
      <c r="G4883" s="1262"/>
      <c r="H4883" s="1263"/>
      <c r="I4883" s="1263"/>
      <c r="J4883" s="1264"/>
      <c r="K4883" s="1265"/>
      <c r="L4883" s="1260"/>
      <c r="M4883" s="1266"/>
      <c r="N4883" s="1267"/>
      <c r="O4883" s="1268"/>
      <c r="P4883" s="1269"/>
      <c r="Q4883" s="1270"/>
      <c r="R4883" s="1247">
        <f>$A4883*Q4883</f>
        <v>0</v>
      </c>
      <c r="S4883" s="513"/>
      <c r="T4883" s="884">
        <f>$A4883*S4883*$T$1</f>
        <v>0</v>
      </c>
    </row>
    <row r="4884" spans="1:41" s="1039" customFormat="1" ht="13.2">
      <c r="A4884" s="112">
        <f>2*2</f>
        <v>4</v>
      </c>
      <c r="B4884" s="1039" t="s">
        <v>326</v>
      </c>
      <c r="D4884" s="1039" t="s">
        <v>1224</v>
      </c>
      <c r="G4884" s="1040" t="s">
        <v>1221</v>
      </c>
      <c r="H4884" s="1041">
        <v>700</v>
      </c>
      <c r="I4884" s="1039" t="s">
        <v>1132</v>
      </c>
      <c r="J4884" s="1039" t="s">
        <v>1222</v>
      </c>
      <c r="O4884" s="1042">
        <v>1</v>
      </c>
      <c r="P4884" s="1043">
        <v>42213</v>
      </c>
      <c r="Q4884" s="1044">
        <v>1.41</v>
      </c>
      <c r="R4884" s="1045">
        <f>$A4884*Q4884</f>
        <v>5.64</v>
      </c>
      <c r="S4884" s="1044">
        <v>0.18</v>
      </c>
      <c r="T4884" s="1046">
        <f>$A4884*S4884*$T$1</f>
        <v>0.75600000000000001</v>
      </c>
    </row>
    <row r="4885" spans="1:41" s="504" customFormat="1" ht="13.2">
      <c r="A4885" s="930"/>
      <c r="B4885" s="513"/>
      <c r="C4885" s="513"/>
      <c r="D4885" s="3"/>
      <c r="E4885" s="513"/>
      <c r="F4885" s="513"/>
      <c r="G4885" s="513"/>
      <c r="H4885" s="513"/>
      <c r="I4885" s="513"/>
      <c r="J4885" s="513"/>
      <c r="K4885" s="513"/>
      <c r="L4885" s="1246"/>
      <c r="M4885" s="513"/>
      <c r="N4885" s="513"/>
      <c r="O4885" s="513"/>
      <c r="P4885" s="513"/>
      <c r="Q4885" s="513"/>
      <c r="R4885" s="1247">
        <f>$A4885*Q4885</f>
        <v>0</v>
      </c>
      <c r="S4885" s="513"/>
      <c r="T4885" s="884">
        <f>$A4885*S4885*$T$1</f>
        <v>0</v>
      </c>
    </row>
    <row r="4886" spans="1:41" s="504" customFormat="1" ht="12" customHeight="1">
      <c r="A4886" s="1272" t="s">
        <v>142</v>
      </c>
      <c r="B4886" s="1273">
        <f>(R4885+T4885)</f>
        <v>0</v>
      </c>
      <c r="C4886" s="1274"/>
      <c r="D4886" s="1274"/>
      <c r="E4886" s="1274"/>
      <c r="F4886" s="1274"/>
      <c r="G4886" s="1253"/>
      <c r="H4886" s="1253"/>
      <c r="I4886" s="1253"/>
      <c r="J4886" s="1253"/>
      <c r="K4886" s="1275" t="s">
        <v>3</v>
      </c>
      <c r="L4886" s="1276" t="s">
        <v>1473</v>
      </c>
      <c r="M4886" s="1253"/>
      <c r="N4886" s="1253"/>
      <c r="O4886" s="1253"/>
      <c r="P4886" s="1253"/>
      <c r="Q4886" s="1253"/>
      <c r="R4886" s="1254">
        <f>SUM(R4882:R4885)</f>
        <v>5.64</v>
      </c>
      <c r="S4886" s="1255"/>
      <c r="T4886" s="1254">
        <f>SUM(T4882:T4885)</f>
        <v>0.75600000000000001</v>
      </c>
      <c r="AG4886" s="1256">
        <f>ROUND($R4886*$S$2,2)</f>
        <v>6.88</v>
      </c>
    </row>
    <row r="4887" spans="1:41" s="504" customFormat="1" ht="12.75" customHeight="1">
      <c r="A4887" s="1277"/>
      <c r="B4887" s="1278"/>
      <c r="E4887" s="882"/>
      <c r="F4887" s="1279"/>
      <c r="G4887" s="882"/>
      <c r="H4887" s="882"/>
      <c r="I4887" s="503"/>
      <c r="J4887" s="882"/>
      <c r="K4887" s="882"/>
      <c r="L4887" s="1280"/>
      <c r="M4887" s="933"/>
      <c r="N4887" s="933"/>
      <c r="O4887" s="933"/>
      <c r="P4887" s="933"/>
      <c r="Q4887" s="900"/>
      <c r="R4887" s="1258"/>
      <c r="S4887" s="882"/>
      <c r="T4887" s="1258"/>
    </row>
    <row r="4888" spans="1:41" s="504" customFormat="1" ht="13.5" customHeight="1" thickBot="1">
      <c r="A4888" s="1281"/>
      <c r="B4888" s="1282"/>
      <c r="C4888" s="514"/>
      <c r="D4888" s="514"/>
      <c r="E4888" s="887"/>
      <c r="F4888" s="888"/>
      <c r="G4888" s="887" t="s">
        <v>143</v>
      </c>
      <c r="H4888" s="887"/>
      <c r="I4888" s="889"/>
      <c r="J4888" s="887"/>
      <c r="K4888" s="887"/>
      <c r="L4888" s="1283" t="s">
        <v>140</v>
      </c>
      <c r="M4888" s="890"/>
      <c r="N4888" s="890"/>
      <c r="O4888" s="890"/>
      <c r="P4888" s="890"/>
      <c r="Q4888" s="891"/>
      <c r="R4888" s="1284">
        <f>SUMIF($L4875:$L4887,"SUBI",R4875:R4887)</f>
        <v>609.31999999999994</v>
      </c>
      <c r="S4888" s="887"/>
      <c r="T4888" s="1284">
        <f>SUMIF($L4875:$L4887,"SUBI",T4875:T4887)</f>
        <v>0.75600000000000001</v>
      </c>
      <c r="U4888" s="514"/>
      <c r="V4888" s="514"/>
      <c r="W4888" s="514"/>
      <c r="X4888" s="514"/>
      <c r="Y4888" s="514"/>
      <c r="Z4888" s="514"/>
      <c r="AA4888" s="514"/>
      <c r="AB4888" s="514"/>
      <c r="AC4888" s="514"/>
      <c r="AD4888" s="514"/>
      <c r="AE4888" s="514"/>
      <c r="AF4888" s="514"/>
      <c r="AG4888" s="514"/>
      <c r="AH4888" s="514"/>
      <c r="AI4888" s="514"/>
      <c r="AJ4888" s="514"/>
      <c r="AK4888" s="514"/>
      <c r="AL4888" s="514"/>
      <c r="AM4888" s="514"/>
      <c r="AN4888" s="514"/>
      <c r="AO4888" s="514"/>
    </row>
    <row r="4889" spans="1:41" s="504" customFormat="1" ht="12" thickTop="1">
      <c r="A4889" s="50"/>
      <c r="B4889" s="40"/>
      <c r="C4889" s="50"/>
      <c r="E4889" s="41" t="s">
        <v>136</v>
      </c>
      <c r="F4889" s="41" t="s">
        <v>137</v>
      </c>
      <c r="G4889" s="50"/>
      <c r="H4889" s="50"/>
      <c r="I4889" s="50"/>
      <c r="J4889" s="50"/>
      <c r="K4889" s="50" t="s">
        <v>138</v>
      </c>
      <c r="L4889" s="50"/>
      <c r="M4889" s="50"/>
      <c r="N4889" s="50"/>
      <c r="O4889" s="51"/>
      <c r="P4889" s="50"/>
      <c r="Q4889" s="50"/>
      <c r="R4889" s="50"/>
      <c r="S4889" s="50"/>
      <c r="T4889" s="40"/>
      <c r="AG4889" s="867" t="s">
        <v>241</v>
      </c>
      <c r="AH4889" s="867" t="s">
        <v>242</v>
      </c>
      <c r="AI4889" s="867" t="s">
        <v>243</v>
      </c>
      <c r="AJ4889" s="867" t="s">
        <v>244</v>
      </c>
      <c r="AK4889" s="867" t="s">
        <v>245</v>
      </c>
      <c r="AM4889" s="868" t="s">
        <v>254</v>
      </c>
      <c r="AN4889" s="869" t="s">
        <v>255</v>
      </c>
      <c r="AO4889" s="505" t="s">
        <v>251</v>
      </c>
    </row>
    <row r="4890" spans="1:41" s="504" customFormat="1" ht="12" customHeight="1">
      <c r="A4890" s="870">
        <v>100</v>
      </c>
      <c r="B4890" s="506" t="s">
        <v>326</v>
      </c>
      <c r="C4890" s="872"/>
      <c r="D4890" s="873" t="s">
        <v>890</v>
      </c>
      <c r="E4890" s="1027">
        <f>IF(AND($A4890=0,$A$1="DIF"),0, ROUND(ROUND(($R4894*$S$5+($T4894*$T$5))/$A4890,2)*$C$5,2))</f>
        <v>10.78</v>
      </c>
      <c r="F4890" s="1028">
        <f>ROUND($A4890*$E4890,2)</f>
        <v>1078</v>
      </c>
      <c r="G4890" s="876" t="s">
        <v>139</v>
      </c>
      <c r="H4890" s="877"/>
      <c r="I4890" s="878"/>
      <c r="J4890" s="877"/>
      <c r="K4890" s="877" t="s">
        <v>9</v>
      </c>
      <c r="L4890" s="879" t="s">
        <v>140</v>
      </c>
      <c r="M4890" s="879"/>
      <c r="N4890" s="879"/>
      <c r="O4890" s="879"/>
      <c r="P4890" s="879"/>
      <c r="Q4890" s="50"/>
      <c r="T4890" s="1032" t="str">
        <f>IF(AND($R4894=0,$T4894=0),"0.00","mu: "&amp; ROUND(F4890/$C$5/($R4894+$T4894*$D$9),2))</f>
        <v>mu: 1.07</v>
      </c>
      <c r="W4890" s="507"/>
      <c r="AG4890" s="1029">
        <f>IF($E4890=0,0,ROUND($R4894*$S$5*$C$5/$A4890,2))</f>
        <v>10.78</v>
      </c>
      <c r="AH4890" s="1029">
        <f>$AG4890*$A4890</f>
        <v>1078</v>
      </c>
      <c r="AI4890" s="1030">
        <f>$E4890-$AG4890</f>
        <v>0</v>
      </c>
      <c r="AJ4890" s="1030">
        <f>$A4890*$AI4890</f>
        <v>0</v>
      </c>
      <c r="AK4890" s="1031">
        <f>ROUND(($AG4890+$AI4890)*$A4890,2)</f>
        <v>1078</v>
      </c>
      <c r="AM4890" s="510">
        <f>ROUND(R4894,2)</f>
        <v>1003</v>
      </c>
      <c r="AN4890" s="511">
        <f>ROUND(T4894,2)</f>
        <v>0</v>
      </c>
      <c r="AO4890" s="512">
        <f>ROUND(AM4890+AN4890,2)*A4890</f>
        <v>100300</v>
      </c>
    </row>
    <row r="4891" spans="1:41" s="504" customFormat="1" ht="13.2">
      <c r="A4891" s="872"/>
      <c r="B4891"/>
      <c r="C4891" s="872"/>
      <c r="D4891" s="873" t="s">
        <v>518</v>
      </c>
      <c r="F4891" s="877"/>
      <c r="G4891" s="3"/>
      <c r="H4891" s="877"/>
      <c r="I4891" s="878"/>
      <c r="J4891" s="877"/>
      <c r="K4891" s="877" t="s">
        <v>141</v>
      </c>
      <c r="L4891" s="877"/>
      <c r="M4891" s="877"/>
      <c r="N4891" s="877"/>
      <c r="O4891" s="877"/>
      <c r="P4891" s="877"/>
      <c r="Q4891" s="50"/>
      <c r="R4891" s="513"/>
      <c r="S4891" s="881"/>
      <c r="T4891" s="877"/>
    </row>
    <row r="4892" spans="1:41" s="1039" customFormat="1" ht="13.2">
      <c r="A4892" s="112">
        <v>100</v>
      </c>
      <c r="B4892" s="1039" t="s">
        <v>326</v>
      </c>
      <c r="D4892" s="1039" t="s">
        <v>518</v>
      </c>
      <c r="G4892" s="1040" t="s">
        <v>1456</v>
      </c>
      <c r="H4892" s="1041">
        <v>725</v>
      </c>
      <c r="I4892" s="1039" t="s">
        <v>951</v>
      </c>
      <c r="O4892" s="1042">
        <v>3</v>
      </c>
      <c r="P4892" s="1043"/>
      <c r="Q4892" s="1044">
        <v>10.029999999999999</v>
      </c>
      <c r="R4892" s="1045">
        <f>$A4892*Q4892</f>
        <v>1002.9999999999999</v>
      </c>
      <c r="S4892" s="1044"/>
      <c r="T4892" s="1046">
        <f>$A4892*S4892*$T$1</f>
        <v>0</v>
      </c>
    </row>
    <row r="4893" spans="1:41" s="504" customFormat="1" ht="12">
      <c r="A4893" s="882"/>
      <c r="B4893" s="882"/>
      <c r="C4893" s="882"/>
      <c r="D4893" s="882"/>
      <c r="E4893" s="882"/>
      <c r="F4893" s="877"/>
      <c r="G4893" s="882"/>
      <c r="H4893" s="882"/>
      <c r="I4893" s="503"/>
      <c r="J4893" s="882"/>
      <c r="K4893" s="882"/>
      <c r="L4893" s="882"/>
      <c r="M4893" s="882"/>
      <c r="N4893" s="882"/>
      <c r="O4893" s="882"/>
      <c r="P4893" s="882"/>
      <c r="Q4893" s="503"/>
      <c r="R4893" s="883">
        <f>$A4893*Q4893</f>
        <v>0</v>
      </c>
      <c r="S4893" s="503"/>
      <c r="T4893" s="884">
        <f>$A4893*S4893*$T$1</f>
        <v>0</v>
      </c>
    </row>
    <row r="4894" spans="1:41" s="504" customFormat="1" ht="12.6" thickBot="1">
      <c r="A4894" s="885" t="s">
        <v>142</v>
      </c>
      <c r="B4894" s="886">
        <f>(R4893+T4893)</f>
        <v>0</v>
      </c>
      <c r="C4894" s="887"/>
      <c r="D4894" s="887"/>
      <c r="E4894" s="887"/>
      <c r="F4894" s="888"/>
      <c r="G4894" s="887" t="s">
        <v>143</v>
      </c>
      <c r="H4894" s="887"/>
      <c r="I4894" s="889"/>
      <c r="J4894" s="887"/>
      <c r="K4894" s="887" t="s">
        <v>9</v>
      </c>
      <c r="L4894" s="890" t="s">
        <v>140</v>
      </c>
      <c r="M4894" s="890"/>
      <c r="N4894" s="890"/>
      <c r="O4894" s="890"/>
      <c r="P4894" s="890"/>
      <c r="Q4894" s="891"/>
      <c r="R4894" s="892">
        <f>SUM(R4891:R4893)</f>
        <v>1002.9999999999999</v>
      </c>
      <c r="S4894" s="887"/>
      <c r="T4894" s="892">
        <f>SUM(T4891:T4893)</f>
        <v>0</v>
      </c>
      <c r="U4894" s="514"/>
      <c r="V4894" s="514"/>
      <c r="W4894" s="514"/>
      <c r="X4894" s="514"/>
      <c r="Y4894" s="514"/>
      <c r="Z4894" s="514"/>
      <c r="AA4894" s="514"/>
      <c r="AB4894" s="514"/>
      <c r="AC4894" s="514"/>
      <c r="AD4894" s="514"/>
      <c r="AE4894" s="514"/>
      <c r="AF4894" s="514"/>
      <c r="AG4894" s="514"/>
      <c r="AH4894" s="514"/>
      <c r="AI4894" s="514"/>
      <c r="AJ4894" s="514"/>
      <c r="AK4894" s="514"/>
      <c r="AL4894" s="514"/>
      <c r="AM4894" s="514"/>
      <c r="AN4894" s="514"/>
      <c r="AO4894" s="514"/>
    </row>
    <row r="4895" spans="1:41" s="504" customFormat="1" ht="12" thickTop="1">
      <c r="A4895" s="50"/>
      <c r="B4895" s="40"/>
      <c r="C4895" s="50"/>
      <c r="E4895" s="41" t="s">
        <v>136</v>
      </c>
      <c r="F4895" s="41" t="s">
        <v>137</v>
      </c>
      <c r="G4895" s="50"/>
      <c r="H4895" s="50"/>
      <c r="I4895" s="50"/>
      <c r="J4895" s="50"/>
      <c r="K4895" s="50" t="s">
        <v>138</v>
      </c>
      <c r="L4895" s="50"/>
      <c r="M4895" s="50"/>
      <c r="N4895" s="50"/>
      <c r="O4895" s="51"/>
      <c r="P4895" s="50"/>
      <c r="Q4895" s="50"/>
      <c r="R4895" s="50"/>
      <c r="S4895" s="50"/>
      <c r="T4895" s="40"/>
      <c r="AG4895" s="867" t="s">
        <v>241</v>
      </c>
      <c r="AH4895" s="867" t="s">
        <v>242</v>
      </c>
      <c r="AI4895" s="867" t="s">
        <v>243</v>
      </c>
      <c r="AJ4895" s="867" t="s">
        <v>244</v>
      </c>
      <c r="AK4895" s="867" t="s">
        <v>245</v>
      </c>
      <c r="AM4895" s="868" t="s">
        <v>254</v>
      </c>
      <c r="AN4895" s="869" t="s">
        <v>255</v>
      </c>
      <c r="AO4895" s="505" t="s">
        <v>251</v>
      </c>
    </row>
    <row r="4896" spans="1:41" s="504" customFormat="1" ht="12" customHeight="1">
      <c r="A4896" s="870">
        <v>1</v>
      </c>
      <c r="B4896" s="506" t="s">
        <v>335</v>
      </c>
      <c r="C4896" s="872"/>
      <c r="D4896" s="873" t="s">
        <v>891</v>
      </c>
      <c r="E4896" s="1027">
        <f>IF(AND($A4896=0,$A$1="DIF"),0, ROUND(ROUND(($R4900*$S$5+($T4900*$T$5))/$A4896,2)*$C$5,2))</f>
        <v>23.5</v>
      </c>
      <c r="F4896" s="1028">
        <f>ROUND($A4896*$E4896,2)</f>
        <v>23.5</v>
      </c>
      <c r="G4896" s="876" t="s">
        <v>139</v>
      </c>
      <c r="H4896" s="877"/>
      <c r="I4896" s="878"/>
      <c r="J4896" s="877"/>
      <c r="K4896" s="877" t="s">
        <v>9</v>
      </c>
      <c r="L4896" s="879" t="s">
        <v>140</v>
      </c>
      <c r="M4896" s="879"/>
      <c r="N4896" s="879"/>
      <c r="O4896" s="879"/>
      <c r="P4896" s="879"/>
      <c r="Q4896" s="50"/>
      <c r="T4896" s="1032" t="str">
        <f>IF(AND($R4900=0,$T4900=0),"0.00","mu: "&amp; ROUND(F4896/$C$5/($R4900+$T4900*$D$9),2))</f>
        <v>mu: 1.08</v>
      </c>
      <c r="W4896" s="507"/>
      <c r="AG4896" s="1029">
        <f>IF($E4896=0,0,ROUND($R4900*$S$5*$C$5/$A4896,2))</f>
        <v>23.5</v>
      </c>
      <c r="AH4896" s="1029">
        <f>$AG4896*$A4896</f>
        <v>23.5</v>
      </c>
      <c r="AI4896" s="1030">
        <f>$E4896-$AG4896</f>
        <v>0</v>
      </c>
      <c r="AJ4896" s="1030">
        <f>$A4896*$AI4896</f>
        <v>0</v>
      </c>
      <c r="AK4896" s="1031">
        <f>ROUND(($AG4896+$AI4896)*$A4896,2)</f>
        <v>23.5</v>
      </c>
      <c r="AM4896" s="510">
        <f>ROUND(R4900,2)</f>
        <v>21.86</v>
      </c>
      <c r="AN4896" s="511">
        <f>ROUND(T4900,2)</f>
        <v>0</v>
      </c>
      <c r="AO4896" s="512">
        <f>ROUND(AM4896+AN4896,2)*A4896</f>
        <v>21.86</v>
      </c>
    </row>
    <row r="4897" spans="1:41" s="504" customFormat="1" ht="13.2">
      <c r="A4897" s="872"/>
      <c r="B4897"/>
      <c r="C4897" s="872"/>
      <c r="D4897" s="873" t="s">
        <v>519</v>
      </c>
      <c r="F4897" s="877"/>
      <c r="G4897" s="3"/>
      <c r="H4897" s="877"/>
      <c r="I4897" s="878"/>
      <c r="J4897" s="877"/>
      <c r="K4897" s="877" t="s">
        <v>141</v>
      </c>
      <c r="L4897" s="877"/>
      <c r="M4897" s="877"/>
      <c r="N4897" s="877"/>
      <c r="O4897" s="877"/>
      <c r="P4897" s="877"/>
      <c r="Q4897" s="50"/>
      <c r="R4897" s="513"/>
      <c r="S4897" s="881"/>
      <c r="T4897" s="877"/>
    </row>
    <row r="4898" spans="1:41" s="1039" customFormat="1" ht="13.2">
      <c r="A4898" s="112">
        <v>1</v>
      </c>
      <c r="B4898" s="1039" t="s">
        <v>949</v>
      </c>
      <c r="D4898" s="1039" t="s">
        <v>519</v>
      </c>
      <c r="G4898" s="1040" t="s">
        <v>1456</v>
      </c>
      <c r="H4898" s="1041">
        <v>725</v>
      </c>
      <c r="I4898" s="1039" t="s">
        <v>951</v>
      </c>
      <c r="O4898" s="1042">
        <v>3</v>
      </c>
      <c r="P4898" s="1043"/>
      <c r="Q4898" s="1044">
        <v>21.86</v>
      </c>
      <c r="R4898" s="1045">
        <f>$A4898*Q4898</f>
        <v>21.86</v>
      </c>
      <c r="S4898" s="1044"/>
      <c r="T4898" s="1046">
        <f>$A4898*S4898*$T$1</f>
        <v>0</v>
      </c>
    </row>
    <row r="4899" spans="1:41" s="504" customFormat="1" ht="12">
      <c r="A4899" s="882"/>
      <c r="B4899" s="882"/>
      <c r="C4899" s="882"/>
      <c r="D4899" s="882"/>
      <c r="E4899" s="882"/>
      <c r="F4899" s="877"/>
      <c r="G4899" s="882"/>
      <c r="H4899" s="882"/>
      <c r="I4899" s="503"/>
      <c r="J4899" s="882"/>
      <c r="K4899" s="882"/>
      <c r="L4899" s="882"/>
      <c r="M4899" s="882"/>
      <c r="N4899" s="882"/>
      <c r="O4899" s="882"/>
      <c r="P4899" s="882"/>
      <c r="Q4899" s="503"/>
      <c r="R4899" s="883">
        <f>$A4899*Q4899</f>
        <v>0</v>
      </c>
      <c r="S4899" s="503"/>
      <c r="T4899" s="884">
        <f>$A4899*S4899*$T$1</f>
        <v>0</v>
      </c>
    </row>
    <row r="4900" spans="1:41" s="504" customFormat="1" ht="12.6" thickBot="1">
      <c r="A4900" s="885" t="s">
        <v>142</v>
      </c>
      <c r="B4900" s="886">
        <f>(R4899+T4899)</f>
        <v>0</v>
      </c>
      <c r="C4900" s="887"/>
      <c r="D4900" s="887"/>
      <c r="E4900" s="887"/>
      <c r="F4900" s="888"/>
      <c r="G4900" s="887" t="s">
        <v>143</v>
      </c>
      <c r="H4900" s="887"/>
      <c r="I4900" s="889"/>
      <c r="J4900" s="887"/>
      <c r="K4900" s="887" t="s">
        <v>9</v>
      </c>
      <c r="L4900" s="890" t="s">
        <v>140</v>
      </c>
      <c r="M4900" s="890"/>
      <c r="N4900" s="890"/>
      <c r="O4900" s="890"/>
      <c r="P4900" s="890"/>
      <c r="Q4900" s="891"/>
      <c r="R4900" s="892">
        <f>SUM(R4897:R4899)</f>
        <v>21.86</v>
      </c>
      <c r="S4900" s="887"/>
      <c r="T4900" s="892">
        <f>SUM(T4897:T4899)</f>
        <v>0</v>
      </c>
      <c r="U4900" s="514"/>
      <c r="V4900" s="514"/>
      <c r="W4900" s="514"/>
      <c r="X4900" s="514"/>
      <c r="Y4900" s="514"/>
      <c r="Z4900" s="514"/>
      <c r="AA4900" s="514"/>
      <c r="AB4900" s="514"/>
      <c r="AC4900" s="514"/>
      <c r="AD4900" s="514"/>
      <c r="AE4900" s="514"/>
      <c r="AF4900" s="514"/>
      <c r="AG4900" s="514"/>
      <c r="AH4900" s="514"/>
      <c r="AI4900" s="514"/>
      <c r="AJ4900" s="514"/>
      <c r="AK4900" s="514"/>
      <c r="AL4900" s="514"/>
      <c r="AM4900" s="514"/>
      <c r="AN4900" s="514"/>
      <c r="AO4900" s="514"/>
    </row>
    <row r="4901" spans="1:41" s="504" customFormat="1" thickTop="1">
      <c r="A4901" s="50"/>
      <c r="B4901" s="50"/>
      <c r="C4901" s="3"/>
      <c r="D4901" s="3"/>
      <c r="E4901" s="50"/>
      <c r="F4901" s="50"/>
      <c r="G4901" s="50"/>
      <c r="H4901" s="50"/>
      <c r="I4901" s="50"/>
      <c r="J4901" s="50"/>
      <c r="K4901" s="50" t="s">
        <v>133</v>
      </c>
      <c r="L4901" s="50"/>
      <c r="M4901" s="50"/>
      <c r="N4901" s="50"/>
      <c r="O4901" s="51"/>
      <c r="P4901" s="50"/>
      <c r="Q4901" s="50"/>
      <c r="R4901" s="50"/>
      <c r="S4901" s="50"/>
      <c r="T4901" s="50"/>
    </row>
    <row r="4902" spans="1:41" s="504" customFormat="1" ht="12">
      <c r="A4902" s="50"/>
      <c r="B4902" s="50"/>
      <c r="C4902" s="50" t="s">
        <v>134</v>
      </c>
      <c r="D4902" s="37"/>
      <c r="E4902" s="50"/>
      <c r="F4902" s="50"/>
      <c r="G4902" s="50"/>
      <c r="H4902" s="50"/>
      <c r="I4902" s="50"/>
      <c r="J4902" s="50"/>
      <c r="K4902" s="50"/>
      <c r="L4902" s="50"/>
      <c r="M4902" s="50"/>
      <c r="N4902" s="50"/>
      <c r="O4902" s="51"/>
      <c r="P4902" s="50"/>
      <c r="Q4902" s="50"/>
      <c r="R4902" s="50"/>
      <c r="S4902" s="50"/>
      <c r="T4902" s="50"/>
    </row>
    <row r="4903" spans="1:41" s="504" customFormat="1" ht="12">
      <c r="A4903" s="50"/>
      <c r="B4903" s="50"/>
      <c r="C4903" s="50"/>
      <c r="D4903" s="37" t="s">
        <v>522</v>
      </c>
      <c r="E4903" s="50"/>
      <c r="F4903" s="50"/>
      <c r="G4903" s="50"/>
      <c r="H4903" s="50"/>
      <c r="I4903" s="50"/>
      <c r="J4903" s="50"/>
      <c r="K4903" s="50"/>
      <c r="L4903" s="50"/>
      <c r="M4903" s="50"/>
      <c r="N4903" s="50"/>
      <c r="O4903" s="51"/>
      <c r="P4903" s="50"/>
      <c r="Q4903" s="50"/>
      <c r="R4903" s="50"/>
      <c r="S4903" s="38"/>
      <c r="T4903" s="38"/>
    </row>
    <row r="4904" spans="1:41" s="3" customFormat="1" thickBot="1">
      <c r="A4904" s="514"/>
      <c r="O4904" s="103"/>
    </row>
    <row r="4905" spans="1:41" s="504" customFormat="1" thickTop="1">
      <c r="A4905" s="50"/>
      <c r="B4905" s="40"/>
      <c r="C4905" s="50"/>
      <c r="E4905" s="41" t="s">
        <v>136</v>
      </c>
      <c r="F4905" s="41" t="s">
        <v>137</v>
      </c>
      <c r="G4905" s="50"/>
      <c r="H4905" s="50"/>
      <c r="I4905" s="50"/>
      <c r="J4905" s="50"/>
      <c r="K4905" s="50" t="s">
        <v>138</v>
      </c>
      <c r="L4905" s="1219"/>
      <c r="M4905" s="50"/>
      <c r="N4905" s="50"/>
      <c r="O4905" s="51"/>
      <c r="P4905" s="50"/>
      <c r="Q4905"/>
      <c r="R4905"/>
      <c r="S4905"/>
      <c r="T4905" s="40"/>
      <c r="AG4905" s="867" t="s">
        <v>241</v>
      </c>
      <c r="AH4905" s="867" t="s">
        <v>242</v>
      </c>
      <c r="AI4905" s="867" t="s">
        <v>243</v>
      </c>
      <c r="AJ4905" s="867" t="s">
        <v>244</v>
      </c>
      <c r="AK4905" s="867" t="s">
        <v>245</v>
      </c>
      <c r="AM4905" s="868" t="s">
        <v>254</v>
      </c>
      <c r="AN4905" s="869" t="s">
        <v>255</v>
      </c>
      <c r="AO4905" s="505" t="s">
        <v>251</v>
      </c>
    </row>
    <row r="4906" spans="1:41" s="504" customFormat="1" ht="13.2">
      <c r="A4906" s="870">
        <v>2</v>
      </c>
      <c r="B4906" s="506" t="s">
        <v>335</v>
      </c>
      <c r="C4906" s="872"/>
      <c r="D4906" s="873" t="s">
        <v>892</v>
      </c>
      <c r="E4906" s="1220">
        <f>IF(AND($A4906=0,$A$1="DIF"),0, ROUND(ROUND(SUMIF($L4908:$L4914,"SUBI",$E4908:$E4914)/$A4906,2)*$C$12,2))</f>
        <v>636.77</v>
      </c>
      <c r="F4906" s="1221">
        <f>ROUND($A4906*$E4906,2)</f>
        <v>1273.54</v>
      </c>
      <c r="G4906" s="876" t="s">
        <v>139</v>
      </c>
      <c r="H4906" s="877"/>
      <c r="I4906" s="878"/>
      <c r="J4906" s="877"/>
      <c r="K4906" s="1222"/>
      <c r="L4906" s="1223" t="s">
        <v>140</v>
      </c>
      <c r="M4906" s="879"/>
      <c r="N4906" s="879"/>
      <c r="O4906" s="879"/>
      <c r="P4906" s="879"/>
      <c r="Q4906"/>
      <c r="R4906"/>
      <c r="S4906"/>
      <c r="T4906" s="1224" t="str">
        <f>IF(AND($R4920=0,$T4920=0),"0.00","mu :" &amp; ROUND($F4906/$C$12/($R4920+$T4920*$D$9),2))</f>
        <v>mu :1.09</v>
      </c>
      <c r="W4906" s="507"/>
      <c r="AG4906" s="1225">
        <f>IF(A4906=0,0,ROUND(SUM(AG4908:AG4920)/A4906,2))</f>
        <v>583.58000000000004</v>
      </c>
      <c r="AH4906" s="1225">
        <f>$AG4906*$A4906</f>
        <v>1167.1600000000001</v>
      </c>
      <c r="AI4906" s="1225">
        <f>$E4906-$AG4906</f>
        <v>53.189999999999941</v>
      </c>
      <c r="AJ4906" s="1225">
        <f>$A4906*$AI4906</f>
        <v>106.37999999999988</v>
      </c>
      <c r="AK4906" s="1226">
        <f>ROUND(($AG4906+$AI4906)*$A4906,2)</f>
        <v>1273.54</v>
      </c>
      <c r="AM4906" s="510">
        <f>ROUND(R4920,2)</f>
        <v>1082.68</v>
      </c>
      <c r="AN4906" s="511">
        <f>ROUND(T4920,2)</f>
        <v>3.02</v>
      </c>
      <c r="AO4906" s="512">
        <f>ROUND(AM4906+AN4906,2)*A4906</f>
        <v>2171.4</v>
      </c>
    </row>
    <row r="4907" spans="1:41" s="504" customFormat="1" ht="13.2">
      <c r="A4907" s="872"/>
      <c r="B4907"/>
      <c r="C4907" s="872"/>
      <c r="D4907" s="916" t="s">
        <v>523</v>
      </c>
      <c r="E4907" s="917"/>
      <c r="F4907" s="918"/>
      <c r="G4907" s="919"/>
      <c r="H4907" s="918"/>
      <c r="I4907" s="920"/>
      <c r="J4907" s="918"/>
      <c r="K4907" s="918"/>
      <c r="L4907" s="918"/>
      <c r="M4907" s="918"/>
      <c r="N4907" s="918"/>
      <c r="O4907" s="918"/>
      <c r="P4907" s="918"/>
      <c r="Q4907" s="921"/>
      <c r="R4907" s="513"/>
      <c r="S4907" s="881"/>
      <c r="T4907" s="877"/>
    </row>
    <row r="4908" spans="1:41" s="504" customFormat="1" ht="12">
      <c r="A4908" s="1228"/>
      <c r="B4908" s="1229"/>
      <c r="C4908" s="882"/>
      <c r="D4908" s="877"/>
      <c r="E4908" s="1230">
        <f>F4906/$C$12-SUMIF($L4905:$L4920,"SUBI",$E4905:$E4920)</f>
        <v>9.9999999997635314E-3</v>
      </c>
      <c r="F4908" s="1231" t="s">
        <v>1472</v>
      </c>
      <c r="G4908" s="1232"/>
      <c r="H4908" s="1232"/>
      <c r="I4908" s="1233"/>
      <c r="J4908" s="1232"/>
      <c r="K4908" s="1232"/>
      <c r="L4908" s="1234"/>
      <c r="M4908" s="1235"/>
      <c r="N4908" s="1235"/>
      <c r="O4908" s="1235"/>
      <c r="P4908" s="1235"/>
      <c r="Q4908" s="1236"/>
      <c r="R4908" s="1237"/>
      <c r="S4908" s="1236"/>
      <c r="T4908" s="1238"/>
    </row>
    <row r="4909" spans="1:41" s="504" customFormat="1" ht="12" customHeight="1">
      <c r="A4909" s="1239"/>
      <c r="B4909" s="1285"/>
      <c r="C4909" s="1286"/>
      <c r="D4909" s="1286" t="str">
        <f>$F$5</f>
        <v>ELV Sub-Contractor - APCO</v>
      </c>
      <c r="E4909" s="1286">
        <f>ROUND(($R4913*$S$5 + ($T4913*$T$5)),2)</f>
        <v>1139.6300000000001</v>
      </c>
      <c r="F4909" s="1287">
        <f>$E4909*$C$12</f>
        <v>1139.6300000000001</v>
      </c>
      <c r="G4909" s="513"/>
      <c r="H4909" s="1241"/>
      <c r="I4909" s="513"/>
      <c r="J4909" s="51"/>
      <c r="K4909" s="1242" t="s">
        <v>9</v>
      </c>
      <c r="L4909" s="1243" t="s">
        <v>1473</v>
      </c>
      <c r="M4909" s="513"/>
      <c r="N4909" s="513"/>
      <c r="O4909" s="51"/>
      <c r="P4909" s="513"/>
      <c r="Q4909" s="513"/>
      <c r="R4909"/>
      <c r="S4909"/>
      <c r="T4909"/>
    </row>
    <row r="4910" spans="1:41" s="504" customFormat="1" ht="13.95" customHeight="1">
      <c r="A4910" s="930"/>
      <c r="B4910" s="1244" t="s">
        <v>1474</v>
      </c>
      <c r="C4910" s="513"/>
      <c r="D4910" s="513"/>
      <c r="E4910" s="513"/>
      <c r="F4910" s="513"/>
      <c r="G4910" s="513"/>
      <c r="H4910" s="1241"/>
      <c r="I4910" s="513"/>
      <c r="J4910" s="51"/>
      <c r="K4910" s="1245"/>
      <c r="L4910" s="1246"/>
      <c r="M4910" s="513"/>
      <c r="N4910" s="513"/>
      <c r="O4910" s="51"/>
      <c r="P4910" s="513"/>
      <c r="Q4910" s="513"/>
      <c r="R4910" s="1247">
        <f>$A4910*Q4910</f>
        <v>0</v>
      </c>
      <c r="S4910" s="513"/>
      <c r="T4910" s="884">
        <f>$A4910*S4910*$T$1</f>
        <v>0</v>
      </c>
    </row>
    <row r="4911" spans="1:41" s="1039" customFormat="1" ht="21">
      <c r="A4911" s="112">
        <v>2</v>
      </c>
      <c r="B4911" s="1039" t="s">
        <v>949</v>
      </c>
      <c r="D4911" s="1047" t="s">
        <v>523</v>
      </c>
      <c r="E4911" s="1047"/>
      <c r="F4911" s="1047"/>
      <c r="G4911" s="1040" t="s">
        <v>1457</v>
      </c>
      <c r="H4911" s="1041">
        <v>858</v>
      </c>
      <c r="I4911" s="1039" t="s">
        <v>951</v>
      </c>
      <c r="M4911" s="1039">
        <v>0</v>
      </c>
      <c r="N4911" s="1039">
        <v>0</v>
      </c>
      <c r="O4911" s="1042">
        <v>3</v>
      </c>
      <c r="P4911" s="1043">
        <v>41223</v>
      </c>
      <c r="Q4911" s="1044">
        <v>530.05999999999995</v>
      </c>
      <c r="R4911" s="1045">
        <f>$A4911*Q4911</f>
        <v>1060.1199999999999</v>
      </c>
      <c r="S4911" s="1044"/>
      <c r="T4911" s="1046">
        <f>$A4911*S4911*$T$1</f>
        <v>0</v>
      </c>
    </row>
    <row r="4912" spans="1:41" s="504" customFormat="1" ht="13.95" customHeight="1">
      <c r="A4912" s="930"/>
      <c r="B4912" s="513"/>
      <c r="C4912" s="513"/>
      <c r="D4912" s="513"/>
      <c r="E4912" s="513"/>
      <c r="F4912" s="513"/>
      <c r="G4912" s="513"/>
      <c r="H4912" s="1241"/>
      <c r="I4912" s="513"/>
      <c r="J4912" s="51"/>
      <c r="K4912" s="1245"/>
      <c r="L4912" s="1246"/>
      <c r="M4912" s="513"/>
      <c r="N4912" s="513"/>
      <c r="O4912" s="51"/>
      <c r="P4912" s="513"/>
      <c r="Q4912" s="513"/>
      <c r="R4912" s="1247">
        <f>$A4912*Q4912</f>
        <v>0</v>
      </c>
      <c r="S4912" s="513"/>
      <c r="T4912" s="884">
        <f>$A4912*S4912*$T$1</f>
        <v>0</v>
      </c>
    </row>
    <row r="4913" spans="1:41" s="504" customFormat="1" ht="12">
      <c r="A4913" s="1248" t="s">
        <v>142</v>
      </c>
      <c r="B4913" s="1249">
        <f>(R4912+T4912)</f>
        <v>0</v>
      </c>
      <c r="C4913" s="882"/>
      <c r="G4913" s="1250"/>
      <c r="H4913" s="1250"/>
      <c r="I4913" s="1250"/>
      <c r="J4913" s="1250"/>
      <c r="K4913" s="1251" t="s">
        <v>9</v>
      </c>
      <c r="L4913" s="1252" t="s">
        <v>1473</v>
      </c>
      <c r="M4913" s="1250"/>
      <c r="N4913" s="1250"/>
      <c r="O4913" s="1250"/>
      <c r="P4913" s="1250"/>
      <c r="Q4913" s="1253"/>
      <c r="R4913" s="1254">
        <f>SUM(R4909:R4912)</f>
        <v>1060.1199999999999</v>
      </c>
      <c r="S4913" s="1255"/>
      <c r="T4913" s="1254">
        <f>SUM(T4909:T4912)</f>
        <v>0</v>
      </c>
      <c r="AG4913" s="1288">
        <f>ROUND($R4913*$S$5,2)</f>
        <v>1139.6300000000001</v>
      </c>
    </row>
    <row r="4914" spans="1:41" s="504" customFormat="1" ht="12" customHeight="1">
      <c r="A4914" s="1257"/>
      <c r="B4914" s="1289"/>
      <c r="C4914" s="1240"/>
      <c r="D4914" s="1240" t="str">
        <f>$F$2</f>
        <v>Electrical</v>
      </c>
      <c r="E4914" s="1240">
        <f>ROUND(($R4918*$S$2 + ($T4918*$T$2)),2)</f>
        <v>133.9</v>
      </c>
      <c r="F4914" s="1290">
        <f ca="1">$F4906-SUMIF($L4908:$P4911,"SUBI",$F4908:$F4911)</f>
        <v>133.90999999999985</v>
      </c>
      <c r="G4914" s="503"/>
      <c r="H4914" s="503"/>
      <c r="I4914" s="503"/>
      <c r="J4914" s="503"/>
      <c r="K4914" s="1242" t="s">
        <v>3</v>
      </c>
      <c r="L4914" s="1243" t="s">
        <v>1473</v>
      </c>
      <c r="M4914" s="503"/>
      <c r="N4914" s="503"/>
      <c r="O4914" s="503"/>
      <c r="P4914" s="503"/>
      <c r="Q4914" s="503"/>
      <c r="R4914" s="1258"/>
      <c r="S4914" s="503"/>
      <c r="T4914" s="1258"/>
    </row>
    <row r="4915" spans="1:41" s="1271" customFormat="1" ht="14.4" customHeight="1">
      <c r="A4915" s="1259"/>
      <c r="B4915" s="1244" t="s">
        <v>1475</v>
      </c>
      <c r="C4915" s="1260"/>
      <c r="D4915" s="1261"/>
      <c r="E4915" s="1261"/>
      <c r="F4915" s="1261"/>
      <c r="G4915" s="1262"/>
      <c r="H4915" s="1263"/>
      <c r="I4915" s="1263"/>
      <c r="J4915" s="1264"/>
      <c r="K4915" s="1265"/>
      <c r="L4915" s="1260"/>
      <c r="M4915" s="1266"/>
      <c r="N4915" s="1267"/>
      <c r="O4915" s="1268"/>
      <c r="P4915" s="1269"/>
      <c r="Q4915" s="1270"/>
      <c r="R4915" s="1247">
        <f>$A4915*Q4915</f>
        <v>0</v>
      </c>
      <c r="S4915" s="513"/>
      <c r="T4915" s="884">
        <f>$A4915*S4915*$T$1</f>
        <v>0</v>
      </c>
    </row>
    <row r="4916" spans="1:41" s="1039" customFormat="1" ht="13.2">
      <c r="A4916" s="112">
        <f>8*2</f>
        <v>16</v>
      </c>
      <c r="B4916" s="1039" t="s">
        <v>326</v>
      </c>
      <c r="D4916" s="1039" t="s">
        <v>1224</v>
      </c>
      <c r="G4916" s="1040" t="s">
        <v>1221</v>
      </c>
      <c r="H4916" s="1041">
        <v>700</v>
      </c>
      <c r="I4916" s="1039" t="s">
        <v>1132</v>
      </c>
      <c r="J4916" s="1039" t="s">
        <v>1222</v>
      </c>
      <c r="O4916" s="1042">
        <v>1</v>
      </c>
      <c r="P4916" s="1043">
        <v>42213</v>
      </c>
      <c r="Q4916" s="1044">
        <v>1.41</v>
      </c>
      <c r="R4916" s="1045">
        <f>$A4916*Q4916</f>
        <v>22.56</v>
      </c>
      <c r="S4916" s="1044">
        <v>0.18</v>
      </c>
      <c r="T4916" s="1046">
        <f>$A4916*S4916*$T$1</f>
        <v>3.024</v>
      </c>
    </row>
    <row r="4917" spans="1:41" s="504" customFormat="1" ht="13.2">
      <c r="A4917" s="930"/>
      <c r="B4917" s="513"/>
      <c r="C4917" s="513"/>
      <c r="D4917" s="3"/>
      <c r="E4917" s="513"/>
      <c r="F4917" s="513"/>
      <c r="G4917" s="513"/>
      <c r="H4917" s="513"/>
      <c r="I4917" s="513"/>
      <c r="J4917" s="513"/>
      <c r="K4917" s="513"/>
      <c r="L4917" s="1246"/>
      <c r="M4917" s="513"/>
      <c r="N4917" s="513"/>
      <c r="O4917" s="513"/>
      <c r="P4917" s="513"/>
      <c r="Q4917" s="513"/>
      <c r="R4917" s="1247">
        <f>$A4917*Q4917</f>
        <v>0</v>
      </c>
      <c r="S4917" s="513"/>
      <c r="T4917" s="884">
        <f>$A4917*S4917*$T$1</f>
        <v>0</v>
      </c>
    </row>
    <row r="4918" spans="1:41" s="504" customFormat="1" ht="12" customHeight="1">
      <c r="A4918" s="1272" t="s">
        <v>142</v>
      </c>
      <c r="B4918" s="1273">
        <f>(R4917+T4917)</f>
        <v>0</v>
      </c>
      <c r="C4918" s="1274"/>
      <c r="D4918" s="1274"/>
      <c r="E4918" s="1274"/>
      <c r="F4918" s="1274"/>
      <c r="G4918" s="1253"/>
      <c r="H4918" s="1253"/>
      <c r="I4918" s="1253"/>
      <c r="J4918" s="1253"/>
      <c r="K4918" s="1275" t="s">
        <v>3</v>
      </c>
      <c r="L4918" s="1276" t="s">
        <v>1473</v>
      </c>
      <c r="M4918" s="1253"/>
      <c r="N4918" s="1253"/>
      <c r="O4918" s="1253"/>
      <c r="P4918" s="1253"/>
      <c r="Q4918" s="1253"/>
      <c r="R4918" s="1254">
        <f>SUM(R4914:R4917)</f>
        <v>22.56</v>
      </c>
      <c r="S4918" s="1255"/>
      <c r="T4918" s="1254">
        <f>SUM(T4914:T4917)</f>
        <v>3.024</v>
      </c>
      <c r="AG4918" s="1256">
        <f>ROUND($R4918*$S$2,2)</f>
        <v>27.52</v>
      </c>
    </row>
    <row r="4919" spans="1:41" s="504" customFormat="1" ht="12.75" customHeight="1">
      <c r="A4919" s="1277"/>
      <c r="B4919" s="1278"/>
      <c r="E4919" s="882"/>
      <c r="F4919" s="1279"/>
      <c r="G4919" s="882"/>
      <c r="H4919" s="882"/>
      <c r="I4919" s="503"/>
      <c r="J4919" s="882"/>
      <c r="K4919" s="882"/>
      <c r="L4919" s="1280"/>
      <c r="M4919" s="933"/>
      <c r="N4919" s="933"/>
      <c r="O4919" s="933"/>
      <c r="P4919" s="933"/>
      <c r="Q4919" s="900"/>
      <c r="R4919" s="1258"/>
      <c r="S4919" s="882"/>
      <c r="T4919" s="1258"/>
    </row>
    <row r="4920" spans="1:41" s="504" customFormat="1" ht="13.5" customHeight="1" thickBot="1">
      <c r="A4920" s="1281"/>
      <c r="B4920" s="1282"/>
      <c r="C4920" s="514"/>
      <c r="D4920" s="514"/>
      <c r="E4920" s="887"/>
      <c r="F4920" s="888"/>
      <c r="G4920" s="887" t="s">
        <v>143</v>
      </c>
      <c r="H4920" s="887"/>
      <c r="I4920" s="889"/>
      <c r="J4920" s="887"/>
      <c r="K4920" s="887"/>
      <c r="L4920" s="1283" t="s">
        <v>140</v>
      </c>
      <c r="M4920" s="890"/>
      <c r="N4920" s="890"/>
      <c r="O4920" s="890"/>
      <c r="P4920" s="890"/>
      <c r="Q4920" s="891"/>
      <c r="R4920" s="1284">
        <f>SUMIF($L4907:$L4919,"SUBI",R4907:R4919)</f>
        <v>1082.6799999999998</v>
      </c>
      <c r="S4920" s="887"/>
      <c r="T4920" s="1284">
        <f>SUMIF($L4907:$L4919,"SUBI",T4907:T4919)</f>
        <v>3.024</v>
      </c>
      <c r="U4920" s="514"/>
      <c r="V4920" s="514"/>
      <c r="W4920" s="514"/>
      <c r="X4920" s="514"/>
      <c r="Y4920" s="514"/>
      <c r="Z4920" s="514"/>
      <c r="AA4920" s="514"/>
      <c r="AB4920" s="514"/>
      <c r="AC4920" s="514"/>
      <c r="AD4920" s="514"/>
      <c r="AE4920" s="514"/>
      <c r="AF4920" s="514"/>
      <c r="AG4920" s="514"/>
      <c r="AH4920" s="514"/>
      <c r="AI4920" s="514"/>
      <c r="AJ4920" s="514"/>
      <c r="AK4920" s="514"/>
      <c r="AL4920" s="514"/>
      <c r="AM4920" s="514"/>
      <c r="AN4920" s="514"/>
      <c r="AO4920" s="514"/>
    </row>
    <row r="4921" spans="1:41" s="504" customFormat="1" ht="12" thickTop="1">
      <c r="A4921" s="47" t="s">
        <v>145</v>
      </c>
      <c r="D4921" s="13"/>
      <c r="E4921" s="41"/>
      <c r="O4921" s="893"/>
    </row>
    <row r="4922" spans="1:41" s="504" customFormat="1" ht="13.2">
      <c r="B4922" s="3"/>
      <c r="O4922" s="893"/>
    </row>
    <row r="4923" spans="1:41" s="504" customFormat="1" ht="12">
      <c r="B4923" s="894">
        <f>$F4923/$C$2-($R4923*$S$2+$T4923*$T$2)</f>
        <v>-390.05546279999953</v>
      </c>
      <c r="D4923" s="895" t="s">
        <v>817</v>
      </c>
      <c r="E4923" s="896"/>
      <c r="F4923" s="897">
        <f>SUMIF($L4873:$L4921,"ITEM",F4873:F4921)</f>
        <v>3057.48</v>
      </c>
      <c r="G4923" s="882"/>
      <c r="H4923" s="882"/>
      <c r="I4923" s="503"/>
      <c r="J4923" s="882"/>
      <c r="K4923" s="882"/>
      <c r="L4923" s="879" t="s">
        <v>154</v>
      </c>
      <c r="M4923" s="879"/>
      <c r="N4923" s="879"/>
      <c r="O4923" s="879"/>
      <c r="P4923" s="879"/>
      <c r="R4923" s="897">
        <f>SUMIF($L4873:$L4921,"ITEM",R4873:R4921)</f>
        <v>2716.8599999999997</v>
      </c>
      <c r="S4923" s="898"/>
      <c r="T4923" s="897">
        <f>SUMIF($L4873:$L4921,"ITEM",T4873:T4921)</f>
        <v>3.7800000000000002</v>
      </c>
    </row>
    <row r="4924" spans="1:41" s="504" customFormat="1" ht="13.2">
      <c r="A4924" s="50"/>
      <c r="B4924" s="48" t="s">
        <v>816</v>
      </c>
      <c r="C4924" s="50"/>
      <c r="D4924" s="3"/>
      <c r="F4924" s="899" t="s">
        <v>155</v>
      </c>
      <c r="G4924" s="882"/>
      <c r="H4924" s="882"/>
      <c r="I4924" s="503"/>
      <c r="J4924" s="882"/>
      <c r="K4924" s="882"/>
      <c r="L4924" s="882"/>
      <c r="M4924" s="882"/>
      <c r="N4924" s="882"/>
      <c r="O4924" s="882"/>
      <c r="P4924" s="882"/>
      <c r="Q4924" s="900"/>
      <c r="R4924" s="899" t="s">
        <v>156</v>
      </c>
      <c r="S4924" s="38"/>
      <c r="T4924" s="899" t="s">
        <v>157</v>
      </c>
    </row>
    <row r="4925" spans="1:41" s="504" customFormat="1" ht="13.2">
      <c r="A4925" s="882"/>
      <c r="B4925" s="3"/>
      <c r="C4925" s="882"/>
      <c r="D4925" s="3"/>
      <c r="E4925" s="3"/>
      <c r="G4925" s="3"/>
      <c r="H4925" s="3"/>
      <c r="I4925" s="3"/>
      <c r="J4925" s="3"/>
      <c r="K4925" s="3"/>
      <c r="L4925" s="3"/>
      <c r="M4925" s="3"/>
      <c r="N4925" s="3"/>
      <c r="O4925" s="103"/>
      <c r="P4925" s="3"/>
      <c r="Q4925" s="3"/>
      <c r="R4925" s="3"/>
      <c r="S4925" s="3"/>
      <c r="T4925" s="3"/>
    </row>
    <row r="4926" spans="1:41" s="504" customFormat="1" ht="12" thickBot="1">
      <c r="A4926" s="514"/>
      <c r="B4926" s="887"/>
      <c r="C4926" s="887"/>
      <c r="D4926" s="514"/>
      <c r="E4926" s="39"/>
      <c r="F4926" s="901"/>
      <c r="G4926" s="887"/>
      <c r="H4926" s="887"/>
      <c r="I4926" s="889"/>
      <c r="J4926" s="887"/>
      <c r="K4926" s="887"/>
      <c r="L4926" s="890"/>
      <c r="M4926" s="890"/>
      <c r="N4926" s="890"/>
      <c r="O4926" s="890"/>
      <c r="P4926" s="890"/>
      <c r="Q4926" s="891"/>
      <c r="R4926" s="901"/>
      <c r="S4926" s="902"/>
      <c r="T4926" s="901"/>
      <c r="U4926" s="514"/>
      <c r="V4926" s="514"/>
      <c r="W4926" s="514"/>
      <c r="X4926" s="514"/>
      <c r="Y4926" s="514"/>
      <c r="Z4926" s="514"/>
      <c r="AA4926" s="514"/>
      <c r="AB4926" s="514"/>
      <c r="AC4926" s="514"/>
      <c r="AD4926" s="514"/>
      <c r="AE4926" s="514"/>
      <c r="AF4926" s="514"/>
      <c r="AG4926" s="514"/>
      <c r="AH4926" s="514"/>
      <c r="AI4926" s="514"/>
      <c r="AJ4926" s="514"/>
      <c r="AK4926" s="514"/>
    </row>
    <row r="4927" spans="1:41" s="504" customFormat="1" thickTop="1">
      <c r="A4927" s="47" t="s">
        <v>145</v>
      </c>
      <c r="B4927" s="3"/>
      <c r="C4927" s="50"/>
      <c r="D4927" s="50"/>
      <c r="E4927" s="50"/>
      <c r="F4927" s="50"/>
      <c r="G4927" s="50"/>
      <c r="H4927" s="50"/>
      <c r="I4927" s="50"/>
      <c r="J4927" s="50"/>
      <c r="K4927" s="50"/>
      <c r="L4927" s="50"/>
      <c r="M4927" s="50"/>
      <c r="N4927" s="50"/>
      <c r="O4927" s="51"/>
      <c r="P4927" s="50"/>
      <c r="Q4927" s="50"/>
      <c r="R4927" s="50"/>
      <c r="S4927" s="50"/>
      <c r="T4927" s="50"/>
    </row>
    <row r="4928" spans="1:41" s="504" customFormat="1" ht="13.2">
      <c r="A4928" s="50"/>
      <c r="B4928" s="3"/>
      <c r="C4928" s="3"/>
      <c r="E4928" s="3"/>
      <c r="F4928" s="3"/>
      <c r="G4928" s="3"/>
      <c r="H4928" s="3"/>
      <c r="I4928" s="3"/>
      <c r="J4928" s="3"/>
      <c r="K4928" s="3"/>
      <c r="L4928" s="3"/>
      <c r="M4928" s="3"/>
      <c r="N4928" s="3"/>
      <c r="O4928" s="103"/>
      <c r="P4928" s="3"/>
      <c r="Q4928" s="3"/>
      <c r="R4928" s="3"/>
      <c r="S4928" s="3"/>
      <c r="T4928" s="3"/>
    </row>
    <row r="4929" spans="1:37" s="504" customFormat="1" ht="12">
      <c r="A4929" s="50"/>
      <c r="B4929" s="894">
        <f>$F4929/$C$2-($R4929*$S$2+$T4929*$T$2)</f>
        <v>-4445.8225527399991</v>
      </c>
      <c r="C4929" s="50"/>
      <c r="D4929" s="913" t="s">
        <v>926</v>
      </c>
      <c r="E4929" s="896"/>
      <c r="F4929" s="914">
        <f>SUMIF($L4317:$L4927,"PAGE",F4317:F4927)</f>
        <v>34127.15</v>
      </c>
      <c r="G4929" s="882"/>
      <c r="H4929" s="882"/>
      <c r="I4929" s="503"/>
      <c r="J4929" s="882"/>
      <c r="K4929" s="882"/>
      <c r="L4929" s="117" t="s">
        <v>918</v>
      </c>
      <c r="M4929" s="117"/>
      <c r="N4929" s="117"/>
      <c r="O4929" s="118"/>
      <c r="P4929" s="117"/>
      <c r="Q4929" s="50"/>
      <c r="R4929" s="914">
        <f>SUMIF($L4317:$L4927,"PAGE",R4317:R4927)</f>
        <v>30848.82</v>
      </c>
      <c r="S4929" s="50"/>
      <c r="T4929" s="914">
        <f>SUMIF($L4317:$L4927,"PAGE",T4317:T4927)</f>
        <v>26.649000000000001</v>
      </c>
    </row>
    <row r="4930" spans="1:37" s="504" customFormat="1" ht="12">
      <c r="A4930" s="50"/>
      <c r="B4930" s="48" t="s">
        <v>816</v>
      </c>
      <c r="C4930" s="50"/>
      <c r="D4930" s="913"/>
      <c r="F4930" s="915" t="s">
        <v>919</v>
      </c>
      <c r="G4930" s="882"/>
      <c r="H4930" s="882"/>
      <c r="I4930" s="503"/>
      <c r="J4930" s="882"/>
      <c r="K4930" s="882"/>
      <c r="L4930" s="50"/>
      <c r="M4930" s="50"/>
      <c r="N4930" s="50"/>
      <c r="O4930" s="51"/>
      <c r="P4930" s="50"/>
      <c r="Q4930" s="50"/>
      <c r="R4930" s="915" t="s">
        <v>920</v>
      </c>
      <c r="S4930" s="38"/>
      <c r="T4930" s="915" t="s">
        <v>921</v>
      </c>
    </row>
    <row r="4931" spans="1:37" s="504" customFormat="1" ht="11.4">
      <c r="O4931" s="893"/>
    </row>
    <row r="4932" spans="1:37" s="504" customFormat="1" ht="12" thickBot="1">
      <c r="A4932" s="887"/>
      <c r="B4932" s="887"/>
      <c r="C4932" s="887"/>
      <c r="D4932" s="887"/>
      <c r="E4932" s="887"/>
      <c r="F4932" s="39"/>
      <c r="G4932" s="514"/>
      <c r="H4932" s="514"/>
      <c r="I4932" s="514"/>
      <c r="J4932" s="514"/>
      <c r="K4932" s="514"/>
      <c r="L4932" s="887"/>
      <c r="M4932" s="887"/>
      <c r="N4932" s="887"/>
      <c r="O4932" s="887"/>
      <c r="P4932" s="887"/>
      <c r="Q4932" s="891"/>
      <c r="R4932" s="39"/>
      <c r="S4932" s="39"/>
      <c r="T4932" s="39"/>
      <c r="U4932" s="514"/>
      <c r="V4932" s="514"/>
      <c r="W4932" s="514"/>
      <c r="X4932" s="514"/>
      <c r="Y4932" s="514"/>
      <c r="Z4932" s="514"/>
      <c r="AA4932" s="514"/>
      <c r="AB4932" s="514"/>
      <c r="AC4932" s="514"/>
      <c r="AD4932" s="514"/>
      <c r="AE4932" s="514"/>
      <c r="AF4932" s="514"/>
      <c r="AG4932" s="514"/>
      <c r="AH4932" s="514"/>
      <c r="AI4932" s="514"/>
      <c r="AJ4932" s="514"/>
      <c r="AK4932" s="514"/>
    </row>
    <row r="4933" spans="1:37" s="504" customFormat="1" thickTop="1">
      <c r="A4933" s="906"/>
      <c r="B4933" s="906"/>
      <c r="C4933" s="907"/>
      <c r="D4933" s="907"/>
      <c r="E4933" s="906"/>
      <c r="F4933" s="906"/>
      <c r="G4933" s="906"/>
      <c r="H4933" s="906"/>
      <c r="I4933" s="906"/>
      <c r="J4933" s="906"/>
      <c r="K4933" s="906" t="s">
        <v>133</v>
      </c>
      <c r="L4933" s="906"/>
      <c r="M4933" s="906"/>
      <c r="N4933" s="906"/>
      <c r="O4933" s="908"/>
      <c r="P4933" s="906"/>
      <c r="Q4933" s="906"/>
      <c r="R4933" s="906"/>
      <c r="S4933" s="906"/>
      <c r="T4933" s="906"/>
    </row>
    <row r="4934" spans="1:37" s="504" customFormat="1" ht="12">
      <c r="A4934" s="906"/>
      <c r="B4934" s="906"/>
      <c r="C4934" s="906" t="s">
        <v>134</v>
      </c>
      <c r="D4934" s="909" t="s">
        <v>135</v>
      </c>
      <c r="E4934" s="906"/>
      <c r="F4934" s="906"/>
      <c r="G4934" s="906"/>
      <c r="H4934" s="906"/>
      <c r="I4934" s="906"/>
      <c r="J4934" s="906"/>
      <c r="K4934" s="906"/>
      <c r="L4934" s="906"/>
      <c r="M4934" s="906"/>
      <c r="N4934" s="906"/>
      <c r="O4934" s="908"/>
      <c r="P4934" s="906"/>
      <c r="Q4934" s="906"/>
      <c r="R4934" s="906"/>
      <c r="S4934" s="906"/>
      <c r="T4934" s="906"/>
    </row>
    <row r="4935" spans="1:37" s="504" customFormat="1" ht="12">
      <c r="A4935" s="906"/>
      <c r="B4935" s="906"/>
      <c r="C4935" s="906"/>
      <c r="D4935" s="909" t="s">
        <v>524</v>
      </c>
      <c r="E4935" s="906"/>
      <c r="F4935" s="906"/>
      <c r="G4935" s="906"/>
      <c r="H4935" s="906"/>
      <c r="I4935" s="906"/>
      <c r="J4935" s="906"/>
      <c r="K4935" s="906"/>
      <c r="L4935" s="906"/>
      <c r="M4935" s="906"/>
      <c r="N4935" s="906"/>
      <c r="O4935" s="908"/>
      <c r="P4935" s="906"/>
      <c r="Q4935" s="906"/>
      <c r="R4935" s="906"/>
      <c r="S4935" s="910"/>
      <c r="T4935" s="910"/>
    </row>
    <row r="4936" spans="1:37" s="3" customFormat="1" thickBot="1">
      <c r="A4936" s="911"/>
      <c r="B4936" s="907"/>
      <c r="C4936" s="907"/>
      <c r="D4936" s="907"/>
      <c r="E4936" s="907"/>
      <c r="F4936" s="907"/>
      <c r="G4936" s="907"/>
      <c r="H4936" s="907"/>
      <c r="I4936" s="907"/>
      <c r="J4936" s="907"/>
      <c r="K4936" s="907"/>
      <c r="L4936" s="907"/>
      <c r="M4936" s="907"/>
      <c r="N4936" s="907"/>
      <c r="O4936" s="912"/>
      <c r="P4936" s="907"/>
      <c r="Q4936" s="907"/>
      <c r="R4936" s="907"/>
      <c r="S4936" s="907"/>
      <c r="T4936" s="907"/>
    </row>
    <row r="4937" spans="1:37" s="504" customFormat="1" thickTop="1">
      <c r="A4937" s="50"/>
      <c r="B4937" s="50"/>
      <c r="C4937" s="3"/>
      <c r="D4937" s="3"/>
      <c r="E4937" s="50"/>
      <c r="F4937" s="50"/>
      <c r="G4937" s="50"/>
      <c r="H4937" s="50"/>
      <c r="I4937" s="50"/>
      <c r="J4937" s="50"/>
      <c r="K4937" s="50" t="s">
        <v>133</v>
      </c>
      <c r="L4937" s="50"/>
      <c r="M4937" s="50"/>
      <c r="N4937" s="50"/>
      <c r="O4937" s="51"/>
      <c r="P4937" s="50"/>
      <c r="Q4937" s="50"/>
      <c r="R4937" s="50"/>
      <c r="S4937" s="50"/>
      <c r="T4937" s="50"/>
    </row>
    <row r="4938" spans="1:37" s="504" customFormat="1" ht="12">
      <c r="A4938" s="50"/>
      <c r="B4938" s="50"/>
      <c r="C4938" s="50" t="s">
        <v>134</v>
      </c>
      <c r="D4938" s="37"/>
      <c r="E4938" s="50"/>
      <c r="F4938" s="50"/>
      <c r="G4938" s="50"/>
      <c r="H4938" s="50"/>
      <c r="I4938" s="50"/>
      <c r="J4938" s="50"/>
      <c r="K4938" s="50"/>
      <c r="L4938" s="50"/>
      <c r="M4938" s="50"/>
      <c r="N4938" s="50"/>
      <c r="O4938" s="51"/>
      <c r="P4938" s="50"/>
      <c r="Q4938" s="50"/>
      <c r="R4938" s="50"/>
      <c r="S4938" s="50"/>
      <c r="T4938" s="50"/>
    </row>
    <row r="4939" spans="1:37" s="504" customFormat="1" ht="12">
      <c r="A4939" s="50"/>
      <c r="B4939" s="50"/>
      <c r="C4939" s="50"/>
      <c r="D4939" s="37" t="s">
        <v>525</v>
      </c>
      <c r="E4939" s="50"/>
      <c r="F4939" s="50"/>
      <c r="G4939" s="50"/>
      <c r="H4939" s="50"/>
      <c r="I4939" s="50"/>
      <c r="J4939" s="50"/>
      <c r="K4939" s="50"/>
      <c r="L4939" s="50"/>
      <c r="M4939" s="50"/>
      <c r="N4939" s="50"/>
      <c r="O4939" s="51"/>
      <c r="P4939" s="50"/>
      <c r="Q4939" s="50"/>
      <c r="R4939" s="50"/>
      <c r="S4939" s="38"/>
      <c r="T4939" s="38"/>
    </row>
    <row r="4940" spans="1:37" s="3" customFormat="1" thickBot="1">
      <c r="A4940" s="514"/>
      <c r="O4940" s="103"/>
    </row>
    <row r="4941" spans="1:37" s="504" customFormat="1" thickTop="1">
      <c r="A4941" s="50"/>
      <c r="B4941" s="50"/>
      <c r="C4941" s="3"/>
      <c r="D4941" s="3"/>
      <c r="E4941" s="50"/>
      <c r="F4941" s="50"/>
      <c r="G4941" s="50"/>
      <c r="H4941" s="50"/>
      <c r="I4941" s="50"/>
      <c r="J4941" s="50"/>
      <c r="K4941" s="50" t="s">
        <v>133</v>
      </c>
      <c r="L4941" s="50"/>
      <c r="M4941" s="50"/>
      <c r="N4941" s="50"/>
      <c r="O4941" s="51"/>
      <c r="P4941" s="50"/>
      <c r="Q4941" s="50"/>
      <c r="R4941" s="50"/>
      <c r="S4941" s="50"/>
      <c r="T4941" s="50"/>
    </row>
    <row r="4942" spans="1:37" s="504" customFormat="1" ht="12">
      <c r="A4942" s="50"/>
      <c r="B4942" s="50"/>
      <c r="C4942" s="50" t="s">
        <v>134</v>
      </c>
      <c r="D4942" s="37"/>
      <c r="E4942" s="50"/>
      <c r="F4942" s="50"/>
      <c r="G4942" s="50"/>
      <c r="H4942" s="50"/>
      <c r="I4942" s="50"/>
      <c r="J4942" s="50"/>
      <c r="K4942" s="50"/>
      <c r="L4942" s="50"/>
      <c r="M4942" s="50"/>
      <c r="N4942" s="50"/>
      <c r="O4942" s="51"/>
      <c r="P4942" s="50"/>
      <c r="Q4942" s="50"/>
      <c r="R4942" s="50"/>
      <c r="S4942" s="50"/>
      <c r="T4942" s="50"/>
    </row>
    <row r="4943" spans="1:37" s="504" customFormat="1" ht="12">
      <c r="A4943" s="50"/>
      <c r="B4943" s="50"/>
      <c r="C4943" s="50"/>
      <c r="D4943" s="37" t="s">
        <v>509</v>
      </c>
      <c r="E4943" s="50"/>
      <c r="F4943" s="50"/>
      <c r="G4943" s="50"/>
      <c r="H4943" s="50"/>
      <c r="I4943" s="50"/>
      <c r="J4943" s="50"/>
      <c r="K4943" s="50"/>
      <c r="L4943" s="50"/>
      <c r="M4943" s="50"/>
      <c r="N4943" s="50"/>
      <c r="O4943" s="51"/>
      <c r="P4943" s="50"/>
      <c r="Q4943" s="50"/>
      <c r="R4943" s="50"/>
      <c r="S4943" s="38"/>
      <c r="T4943" s="38"/>
    </row>
    <row r="4944" spans="1:37" s="3" customFormat="1" thickBot="1">
      <c r="A4944" s="514"/>
      <c r="O4944" s="103"/>
    </row>
    <row r="4945" spans="1:41" s="504" customFormat="1" thickTop="1">
      <c r="A4945" s="50"/>
      <c r="B4945" s="50"/>
      <c r="C4945" s="3"/>
      <c r="D4945" s="3"/>
      <c r="E4945" s="50"/>
      <c r="F4945" s="50"/>
      <c r="G4945" s="50"/>
      <c r="H4945" s="50"/>
      <c r="I4945" s="50"/>
      <c r="J4945" s="50"/>
      <c r="K4945" s="50" t="s">
        <v>133</v>
      </c>
      <c r="L4945" s="50"/>
      <c r="M4945" s="50"/>
      <c r="N4945" s="50"/>
      <c r="O4945" s="51"/>
      <c r="P4945" s="50"/>
      <c r="Q4945" s="50"/>
      <c r="R4945" s="50"/>
      <c r="S4945" s="50"/>
      <c r="T4945" s="50"/>
    </row>
    <row r="4946" spans="1:41" s="504" customFormat="1" ht="12">
      <c r="A4946" s="50"/>
      <c r="B4946" s="50"/>
      <c r="C4946" s="50" t="s">
        <v>134</v>
      </c>
      <c r="D4946" s="37"/>
      <c r="E4946" s="50"/>
      <c r="F4946" s="50"/>
      <c r="G4946" s="50"/>
      <c r="H4946" s="50"/>
      <c r="I4946" s="50"/>
      <c r="J4946" s="50"/>
      <c r="K4946" s="50"/>
      <c r="L4946" s="50"/>
      <c r="M4946" s="50"/>
      <c r="N4946" s="50"/>
      <c r="O4946" s="51"/>
      <c r="P4946" s="50"/>
      <c r="Q4946" s="50"/>
      <c r="R4946" s="50"/>
      <c r="S4946" s="50"/>
      <c r="T4946" s="50"/>
    </row>
    <row r="4947" spans="1:41" s="504" customFormat="1" ht="12">
      <c r="A4947" s="50"/>
      <c r="B4947" s="50"/>
      <c r="C4947" s="50"/>
      <c r="D4947" s="37" t="s">
        <v>510</v>
      </c>
      <c r="E4947" s="50"/>
      <c r="F4947" s="50"/>
      <c r="G4947" s="50"/>
      <c r="H4947" s="50"/>
      <c r="I4947" s="50"/>
      <c r="J4947" s="50"/>
      <c r="K4947" s="50"/>
      <c r="L4947" s="50"/>
      <c r="M4947" s="50"/>
      <c r="N4947" s="50"/>
      <c r="O4947" s="51"/>
      <c r="P4947" s="50"/>
      <c r="Q4947" s="50"/>
      <c r="R4947" s="50"/>
      <c r="S4947" s="38"/>
      <c r="T4947" s="38"/>
    </row>
    <row r="4948" spans="1:41" s="3" customFormat="1" thickBot="1">
      <c r="A4948" s="514"/>
      <c r="O4948" s="103"/>
    </row>
    <row r="4949" spans="1:41" s="504" customFormat="1" ht="12" thickTop="1">
      <c r="A4949" s="50"/>
      <c r="B4949" s="40"/>
      <c r="C4949" s="50"/>
      <c r="E4949" s="41" t="s">
        <v>136</v>
      </c>
      <c r="F4949" s="41" t="s">
        <v>137</v>
      </c>
      <c r="G4949" s="50"/>
      <c r="H4949" s="50"/>
      <c r="I4949" s="50"/>
      <c r="J4949" s="50"/>
      <c r="K4949" s="50" t="s">
        <v>138</v>
      </c>
      <c r="L4949" s="50"/>
      <c r="M4949" s="50"/>
      <c r="N4949" s="50"/>
      <c r="O4949" s="51"/>
      <c r="P4949" s="50"/>
      <c r="Q4949" s="50"/>
      <c r="R4949" s="50"/>
      <c r="S4949" s="50"/>
      <c r="T4949" s="40"/>
      <c r="AG4949" s="867" t="s">
        <v>241</v>
      </c>
      <c r="AH4949" s="867" t="s">
        <v>242</v>
      </c>
      <c r="AI4949" s="867" t="s">
        <v>243</v>
      </c>
      <c r="AJ4949" s="867" t="s">
        <v>244</v>
      </c>
      <c r="AK4949" s="867" t="s">
        <v>245</v>
      </c>
      <c r="AM4949" s="868" t="s">
        <v>254</v>
      </c>
      <c r="AN4949" s="869" t="s">
        <v>255</v>
      </c>
      <c r="AO4949" s="505" t="s">
        <v>251</v>
      </c>
    </row>
    <row r="4950" spans="1:41" s="504" customFormat="1" ht="12" customHeight="1">
      <c r="A4950" s="870">
        <v>1</v>
      </c>
      <c r="B4950" s="871" t="s">
        <v>335</v>
      </c>
      <c r="C4950" s="872"/>
      <c r="D4950" s="873" t="s">
        <v>803</v>
      </c>
      <c r="E4950" s="1027">
        <f>IF(AND($A4950=0,$A$1="DIF"),0, ROUND(ROUND(($R4954*$S$5+($T4954*$T$5))/$A4950,2)*$C$5,2))</f>
        <v>183.5</v>
      </c>
      <c r="F4950" s="1028">
        <f>ROUND($A4950*$E4950,2)</f>
        <v>183.5</v>
      </c>
      <c r="G4950" s="876" t="s">
        <v>139</v>
      </c>
      <c r="H4950" s="877"/>
      <c r="I4950" s="878"/>
      <c r="J4950" s="877"/>
      <c r="K4950" s="877" t="s">
        <v>9</v>
      </c>
      <c r="L4950" s="879" t="s">
        <v>140</v>
      </c>
      <c r="M4950" s="879"/>
      <c r="N4950" s="879"/>
      <c r="O4950" s="879"/>
      <c r="P4950" s="879"/>
      <c r="Q4950" s="50"/>
      <c r="T4950" s="1032" t="str">
        <f>IF(AND($R4954=0,$T4954=0),"0.00","mu: "&amp; ROUND(F4950/$C$5/($R4954+$T4954*$D$9),2))</f>
        <v>mu: 1.07</v>
      </c>
      <c r="W4950" s="507"/>
      <c r="AG4950" s="1029">
        <f>IF($E4950=0,0,ROUND($R4954*$S$5*$C$5/$A4950,2))</f>
        <v>183.5</v>
      </c>
      <c r="AH4950" s="1029">
        <f>$AG4950*$A4950</f>
        <v>183.5</v>
      </c>
      <c r="AI4950" s="1030">
        <f>$E4950-$AG4950</f>
        <v>0</v>
      </c>
      <c r="AJ4950" s="1030">
        <f>$A4950*$AI4950</f>
        <v>0</v>
      </c>
      <c r="AK4950" s="1031">
        <f>ROUND(($AG4950+$AI4950)*$A4950,2)</f>
        <v>183.5</v>
      </c>
      <c r="AM4950" s="510">
        <f>ROUND(R4954,2)</f>
        <v>170.7</v>
      </c>
      <c r="AN4950" s="511">
        <f>ROUND(T4954,2)</f>
        <v>0</v>
      </c>
      <c r="AO4950" s="512">
        <f>ROUND(AM4950+AN4950,2)*A4950</f>
        <v>170.7</v>
      </c>
    </row>
    <row r="4951" spans="1:41" s="504" customFormat="1" ht="13.2">
      <c r="A4951" s="872"/>
      <c r="B4951"/>
      <c r="C4951" s="872"/>
      <c r="D4951" s="873" t="s">
        <v>526</v>
      </c>
      <c r="F4951" s="877"/>
      <c r="G4951" s="3"/>
      <c r="H4951" s="877"/>
      <c r="I4951" s="878"/>
      <c r="J4951" s="877"/>
      <c r="K4951" s="877" t="s">
        <v>141</v>
      </c>
      <c r="L4951" s="877"/>
      <c r="M4951" s="877"/>
      <c r="N4951" s="877"/>
      <c r="O4951" s="877"/>
      <c r="P4951" s="877"/>
      <c r="Q4951" s="50"/>
      <c r="R4951" s="513"/>
      <c r="S4951" s="881"/>
      <c r="T4951" s="877"/>
    </row>
    <row r="4952" spans="1:41" s="1039" customFormat="1" ht="13.2">
      <c r="A4952" s="112">
        <v>1</v>
      </c>
      <c r="B4952" s="1039" t="s">
        <v>949</v>
      </c>
      <c r="D4952" s="1039" t="s">
        <v>526</v>
      </c>
      <c r="G4952" s="1040" t="s">
        <v>1458</v>
      </c>
      <c r="H4952" s="1041">
        <v>865</v>
      </c>
      <c r="I4952" s="1039" t="s">
        <v>1459</v>
      </c>
      <c r="O4952" s="1042">
        <v>3</v>
      </c>
      <c r="P4952" s="1043">
        <v>36342</v>
      </c>
      <c r="Q4952" s="503">
        <v>170.7</v>
      </c>
      <c r="R4952" s="1045">
        <f>$A4952*Q4952</f>
        <v>170.7</v>
      </c>
      <c r="S4952" s="1044"/>
      <c r="T4952" s="1046">
        <f>$A4952*S4952*$T$1</f>
        <v>0</v>
      </c>
    </row>
    <row r="4953" spans="1:41" s="504" customFormat="1" ht="12">
      <c r="A4953" s="882"/>
      <c r="B4953" s="882"/>
      <c r="C4953" s="882"/>
      <c r="D4953" s="882"/>
      <c r="E4953" s="882"/>
      <c r="F4953" s="877"/>
      <c r="G4953" s="882"/>
      <c r="H4953" s="882"/>
      <c r="I4953" s="503"/>
      <c r="J4953" s="882"/>
      <c r="K4953" s="882"/>
      <c r="L4953" s="882"/>
      <c r="M4953" s="882"/>
      <c r="N4953" s="882"/>
      <c r="O4953" s="882"/>
      <c r="P4953" s="882"/>
      <c r="Q4953" s="503"/>
      <c r="R4953" s="883">
        <f>$A4953*Q4953</f>
        <v>0</v>
      </c>
      <c r="S4953" s="503"/>
      <c r="T4953" s="884">
        <f>$A4953*S4953*$T$1</f>
        <v>0</v>
      </c>
    </row>
    <row r="4954" spans="1:41" s="504" customFormat="1" ht="12.6" thickBot="1">
      <c r="A4954" s="885" t="s">
        <v>142</v>
      </c>
      <c r="B4954" s="886">
        <f>(R4953+T4953)</f>
        <v>0</v>
      </c>
      <c r="C4954" s="887"/>
      <c r="D4954" s="887"/>
      <c r="E4954" s="887"/>
      <c r="F4954" s="888"/>
      <c r="G4954" s="887" t="s">
        <v>143</v>
      </c>
      <c r="H4954" s="887"/>
      <c r="I4954" s="889"/>
      <c r="J4954" s="887"/>
      <c r="K4954" s="887" t="s">
        <v>9</v>
      </c>
      <c r="L4954" s="890" t="s">
        <v>140</v>
      </c>
      <c r="M4954" s="890"/>
      <c r="N4954" s="890"/>
      <c r="O4954" s="890"/>
      <c r="P4954" s="890"/>
      <c r="Q4954" s="891"/>
      <c r="R4954" s="892">
        <f>SUM(R4951:R4953)</f>
        <v>170.7</v>
      </c>
      <c r="S4954" s="887"/>
      <c r="T4954" s="892">
        <f>SUM(T4951:T4953)</f>
        <v>0</v>
      </c>
      <c r="U4954" s="514"/>
      <c r="V4954" s="514"/>
      <c r="W4954" s="514"/>
      <c r="X4954" s="514"/>
      <c r="Y4954" s="514"/>
      <c r="Z4954" s="514"/>
      <c r="AA4954" s="514"/>
      <c r="AB4954" s="514"/>
      <c r="AC4954" s="514"/>
      <c r="AD4954" s="514"/>
      <c r="AE4954" s="514"/>
      <c r="AF4954" s="514"/>
      <c r="AG4954" s="514"/>
      <c r="AH4954" s="514"/>
      <c r="AI4954" s="514"/>
      <c r="AJ4954" s="514"/>
      <c r="AK4954" s="514"/>
      <c r="AL4954" s="514"/>
      <c r="AM4954" s="514"/>
      <c r="AN4954" s="514"/>
      <c r="AO4954" s="514"/>
    </row>
    <row r="4955" spans="1:41" s="504" customFormat="1" thickTop="1">
      <c r="A4955" s="50"/>
      <c r="B4955" s="50"/>
      <c r="C4955" s="3"/>
      <c r="D4955" s="3"/>
      <c r="E4955" s="50"/>
      <c r="F4955" s="50"/>
      <c r="G4955" s="50"/>
      <c r="H4955" s="50"/>
      <c r="I4955" s="50"/>
      <c r="J4955" s="50"/>
      <c r="K4955" s="50" t="s">
        <v>133</v>
      </c>
      <c r="L4955" s="50"/>
      <c r="M4955" s="50"/>
      <c r="N4955" s="50"/>
      <c r="O4955" s="51"/>
      <c r="P4955" s="50"/>
      <c r="Q4955" s="50"/>
      <c r="R4955" s="50"/>
      <c r="S4955" s="50"/>
      <c r="T4955" s="50"/>
    </row>
    <row r="4956" spans="1:41" s="504" customFormat="1" ht="12">
      <c r="A4956" s="50"/>
      <c r="B4956" s="50"/>
      <c r="C4956" s="50" t="s">
        <v>134</v>
      </c>
      <c r="D4956" s="37"/>
      <c r="E4956" s="50"/>
      <c r="F4956" s="50"/>
      <c r="G4956" s="50"/>
      <c r="H4956" s="50"/>
      <c r="I4956" s="50"/>
      <c r="J4956" s="50"/>
      <c r="K4956" s="50"/>
      <c r="L4956" s="50"/>
      <c r="M4956" s="50"/>
      <c r="N4956" s="50"/>
      <c r="O4956" s="51"/>
      <c r="P4956" s="50"/>
      <c r="Q4956" s="50"/>
      <c r="R4956" s="50"/>
      <c r="S4956" s="50"/>
      <c r="T4956" s="50"/>
    </row>
    <row r="4957" spans="1:41" s="504" customFormat="1" ht="12">
      <c r="A4957" s="50"/>
      <c r="B4957" s="50"/>
      <c r="C4957" s="50"/>
      <c r="D4957" s="37" t="s">
        <v>527</v>
      </c>
      <c r="E4957" s="50"/>
      <c r="F4957" s="50"/>
      <c r="G4957" s="50"/>
      <c r="H4957" s="50"/>
      <c r="I4957" s="50"/>
      <c r="J4957" s="50"/>
      <c r="K4957" s="50"/>
      <c r="L4957" s="50"/>
      <c r="M4957" s="50"/>
      <c r="N4957" s="50"/>
      <c r="O4957" s="51"/>
      <c r="P4957" s="50"/>
      <c r="Q4957" s="50"/>
      <c r="R4957" s="50"/>
      <c r="S4957" s="38"/>
      <c r="T4957" s="38"/>
    </row>
    <row r="4958" spans="1:41" s="3" customFormat="1" thickBot="1">
      <c r="A4958" s="514"/>
      <c r="O4958" s="103"/>
    </row>
    <row r="4959" spans="1:41" s="504" customFormat="1" ht="12" thickTop="1">
      <c r="A4959" s="50"/>
      <c r="B4959" s="40"/>
      <c r="C4959" s="50"/>
      <c r="E4959" s="41" t="s">
        <v>136</v>
      </c>
      <c r="F4959" s="41" t="s">
        <v>137</v>
      </c>
      <c r="G4959" s="50"/>
      <c r="H4959" s="50"/>
      <c r="I4959" s="50"/>
      <c r="J4959" s="50"/>
      <c r="K4959" s="50" t="s">
        <v>138</v>
      </c>
      <c r="L4959" s="50"/>
      <c r="M4959" s="50"/>
      <c r="N4959" s="50"/>
      <c r="O4959" s="51"/>
      <c r="P4959" s="50"/>
      <c r="Q4959" s="50"/>
      <c r="R4959" s="50"/>
      <c r="S4959" s="50"/>
      <c r="T4959" s="40"/>
      <c r="AG4959" s="867" t="s">
        <v>241</v>
      </c>
      <c r="AH4959" s="867" t="s">
        <v>242</v>
      </c>
      <c r="AI4959" s="867" t="s">
        <v>243</v>
      </c>
      <c r="AJ4959" s="867" t="s">
        <v>244</v>
      </c>
      <c r="AK4959" s="867" t="s">
        <v>245</v>
      </c>
      <c r="AM4959" s="868" t="s">
        <v>254</v>
      </c>
      <c r="AN4959" s="869" t="s">
        <v>255</v>
      </c>
      <c r="AO4959" s="505" t="s">
        <v>251</v>
      </c>
    </row>
    <row r="4960" spans="1:41" s="504" customFormat="1" ht="12" customHeight="1">
      <c r="A4960" s="870">
        <v>3</v>
      </c>
      <c r="B4960" s="871" t="s">
        <v>335</v>
      </c>
      <c r="C4960" s="872"/>
      <c r="D4960" s="873" t="s">
        <v>814</v>
      </c>
      <c r="E4960" s="1027">
        <f>IF(AND($A4960=0,$A$1="DIF"),0, ROUND(ROUND(($R4964*$S$5+($T4964*$T$5))/$A4960,2)*$C$5,2))</f>
        <v>183.5</v>
      </c>
      <c r="F4960" s="1028">
        <f>ROUND($A4960*$E4960,2)</f>
        <v>550.5</v>
      </c>
      <c r="G4960" s="876" t="s">
        <v>139</v>
      </c>
      <c r="H4960" s="877"/>
      <c r="I4960" s="878"/>
      <c r="J4960" s="877"/>
      <c r="K4960" s="877" t="s">
        <v>9</v>
      </c>
      <c r="L4960" s="879" t="s">
        <v>140</v>
      </c>
      <c r="M4960" s="879"/>
      <c r="N4960" s="879"/>
      <c r="O4960" s="879"/>
      <c r="P4960" s="879"/>
      <c r="Q4960" s="50"/>
      <c r="T4960" s="1032" t="str">
        <f>IF(AND($R4964=0,$T4964=0),"0.00","mu: "&amp; ROUND(F4960/$C$5/($R4964+$T4964*$D$9),2))</f>
        <v>mu: 1.07</v>
      </c>
      <c r="W4960" s="507"/>
      <c r="AG4960" s="1029">
        <f>IF($E4960=0,0,ROUND($R4964*$S$5*$C$5/$A4960,2))</f>
        <v>183.5</v>
      </c>
      <c r="AH4960" s="1029">
        <f>$AG4960*$A4960</f>
        <v>550.5</v>
      </c>
      <c r="AI4960" s="1030">
        <f>$E4960-$AG4960</f>
        <v>0</v>
      </c>
      <c r="AJ4960" s="1030">
        <f>$A4960*$AI4960</f>
        <v>0</v>
      </c>
      <c r="AK4960" s="1031">
        <f>ROUND(($AG4960+$AI4960)*$A4960,2)</f>
        <v>550.5</v>
      </c>
      <c r="AM4960" s="510">
        <f>ROUND(R4964,2)</f>
        <v>512.1</v>
      </c>
      <c r="AN4960" s="511">
        <f>ROUND(T4964,2)</f>
        <v>0</v>
      </c>
      <c r="AO4960" s="512">
        <f>ROUND(AM4960+AN4960,2)*A4960</f>
        <v>1536.3000000000002</v>
      </c>
    </row>
    <row r="4961" spans="1:41" s="504" customFormat="1" ht="13.2">
      <c r="A4961" s="872"/>
      <c r="B4961"/>
      <c r="C4961" s="872"/>
      <c r="D4961" s="873" t="s">
        <v>526</v>
      </c>
      <c r="F4961" s="877"/>
      <c r="G4961" s="3"/>
      <c r="H4961" s="877"/>
      <c r="I4961" s="878"/>
      <c r="J4961" s="877"/>
      <c r="K4961" s="877" t="s">
        <v>141</v>
      </c>
      <c r="L4961" s="877"/>
      <c r="M4961" s="877"/>
      <c r="N4961" s="877"/>
      <c r="O4961" s="877"/>
      <c r="P4961" s="877"/>
      <c r="Q4961" s="50"/>
      <c r="R4961" s="513"/>
      <c r="S4961" s="881"/>
      <c r="T4961" s="877"/>
    </row>
    <row r="4962" spans="1:41" s="1039" customFormat="1" ht="13.2">
      <c r="A4962" s="112">
        <v>3</v>
      </c>
      <c r="B4962" s="1039" t="s">
        <v>949</v>
      </c>
      <c r="D4962" s="1039" t="s">
        <v>526</v>
      </c>
      <c r="G4962" s="1040" t="s">
        <v>1458</v>
      </c>
      <c r="H4962" s="1041">
        <v>865</v>
      </c>
      <c r="I4962" s="1039" t="s">
        <v>1459</v>
      </c>
      <c r="O4962" s="1042">
        <v>3</v>
      </c>
      <c r="P4962" s="1043">
        <v>36342</v>
      </c>
      <c r="Q4962" s="503">
        <v>170.7</v>
      </c>
      <c r="R4962" s="1045">
        <f>$A4962*Q4962</f>
        <v>512.09999999999991</v>
      </c>
      <c r="S4962" s="1044"/>
      <c r="T4962" s="1046">
        <f>$A4962*S4962*$T$1</f>
        <v>0</v>
      </c>
    </row>
    <row r="4963" spans="1:41" s="504" customFormat="1" ht="12">
      <c r="A4963" s="882"/>
      <c r="B4963" s="882"/>
      <c r="C4963" s="882"/>
      <c r="D4963" s="882"/>
      <c r="E4963" s="882"/>
      <c r="F4963" s="877"/>
      <c r="G4963" s="882"/>
      <c r="H4963" s="882"/>
      <c r="I4963" s="503"/>
      <c r="J4963" s="882"/>
      <c r="K4963" s="882"/>
      <c r="L4963" s="882"/>
      <c r="M4963" s="882"/>
      <c r="N4963" s="882"/>
      <c r="O4963" s="882"/>
      <c r="P4963" s="882"/>
      <c r="Q4963" s="503"/>
      <c r="R4963" s="883">
        <f>$A4963*Q4963</f>
        <v>0</v>
      </c>
      <c r="S4963" s="503"/>
      <c r="T4963" s="884">
        <f>$A4963*S4963*$T$1</f>
        <v>0</v>
      </c>
    </row>
    <row r="4964" spans="1:41" s="504" customFormat="1" ht="12.6" thickBot="1">
      <c r="A4964" s="885" t="s">
        <v>142</v>
      </c>
      <c r="B4964" s="886">
        <f>(R4963+T4963)</f>
        <v>0</v>
      </c>
      <c r="C4964" s="887"/>
      <c r="D4964" s="887"/>
      <c r="E4964" s="887"/>
      <c r="F4964" s="888"/>
      <c r="G4964" s="887" t="s">
        <v>143</v>
      </c>
      <c r="H4964" s="887"/>
      <c r="I4964" s="889"/>
      <c r="J4964" s="887"/>
      <c r="K4964" s="887" t="s">
        <v>9</v>
      </c>
      <c r="L4964" s="890" t="s">
        <v>140</v>
      </c>
      <c r="M4964" s="890"/>
      <c r="N4964" s="890"/>
      <c r="O4964" s="890"/>
      <c r="P4964" s="890"/>
      <c r="Q4964" s="891"/>
      <c r="R4964" s="892">
        <f>SUM(R4961:R4963)</f>
        <v>512.09999999999991</v>
      </c>
      <c r="S4964" s="887"/>
      <c r="T4964" s="892">
        <f>SUM(T4961:T4963)</f>
        <v>0</v>
      </c>
      <c r="U4964" s="514"/>
      <c r="V4964" s="514"/>
      <c r="W4964" s="514"/>
      <c r="X4964" s="514"/>
      <c r="Y4964" s="514"/>
      <c r="Z4964" s="514"/>
      <c r="AA4964" s="514"/>
      <c r="AB4964" s="514"/>
      <c r="AC4964" s="514"/>
      <c r="AD4964" s="514"/>
      <c r="AE4964" s="514"/>
      <c r="AF4964" s="514"/>
      <c r="AG4964" s="514"/>
      <c r="AH4964" s="514"/>
      <c r="AI4964" s="514"/>
      <c r="AJ4964" s="514"/>
      <c r="AK4964" s="514"/>
      <c r="AL4964" s="514"/>
      <c r="AM4964" s="514"/>
      <c r="AN4964" s="514"/>
      <c r="AO4964" s="514"/>
    </row>
    <row r="4965" spans="1:41" s="504" customFormat="1" ht="12" thickTop="1">
      <c r="A4965" s="50"/>
      <c r="B4965" s="40"/>
      <c r="C4965" s="50"/>
      <c r="E4965" s="41" t="s">
        <v>136</v>
      </c>
      <c r="F4965" s="41" t="s">
        <v>137</v>
      </c>
      <c r="G4965" s="50"/>
      <c r="H4965" s="50"/>
      <c r="I4965" s="50"/>
      <c r="J4965" s="50"/>
      <c r="K4965" s="50" t="s">
        <v>138</v>
      </c>
      <c r="L4965" s="50"/>
      <c r="M4965" s="50"/>
      <c r="N4965" s="50"/>
      <c r="O4965" s="51"/>
      <c r="P4965" s="50"/>
      <c r="Q4965" s="50"/>
      <c r="R4965" s="50"/>
      <c r="S4965" s="50"/>
      <c r="T4965" s="40"/>
      <c r="AG4965" s="867" t="s">
        <v>241</v>
      </c>
      <c r="AH4965" s="867" t="s">
        <v>242</v>
      </c>
      <c r="AI4965" s="867" t="s">
        <v>243</v>
      </c>
      <c r="AJ4965" s="867" t="s">
        <v>244</v>
      </c>
      <c r="AK4965" s="867" t="s">
        <v>245</v>
      </c>
      <c r="AM4965" s="868" t="s">
        <v>254</v>
      </c>
      <c r="AN4965" s="869" t="s">
        <v>255</v>
      </c>
      <c r="AO4965" s="505" t="s">
        <v>251</v>
      </c>
    </row>
    <row r="4966" spans="1:41" s="504" customFormat="1" ht="12" customHeight="1">
      <c r="A4966" s="870">
        <v>2</v>
      </c>
      <c r="B4966" s="871" t="s">
        <v>335</v>
      </c>
      <c r="C4966" s="872"/>
      <c r="D4966" s="873" t="s">
        <v>818</v>
      </c>
      <c r="E4966" s="1027">
        <f>IF(AND($A4966=0,$A$1="DIF"),0, ROUND(ROUND(($R4970*$S$5+($T4970*$T$5))/$A4966,2)*$C$5,2))</f>
        <v>202.32</v>
      </c>
      <c r="F4966" s="1028">
        <f>ROUND($A4966*$E4966,2)</f>
        <v>404.64</v>
      </c>
      <c r="G4966" s="876" t="s">
        <v>139</v>
      </c>
      <c r="H4966" s="877"/>
      <c r="I4966" s="878"/>
      <c r="J4966" s="877"/>
      <c r="K4966" s="877" t="s">
        <v>9</v>
      </c>
      <c r="L4966" s="879" t="s">
        <v>140</v>
      </c>
      <c r="M4966" s="879"/>
      <c r="N4966" s="879"/>
      <c r="O4966" s="879"/>
      <c r="P4966" s="879"/>
      <c r="Q4966" s="50"/>
      <c r="T4966" s="1032" t="str">
        <f>IF(AND($R4970=0,$T4970=0),"0.00","mu: "&amp; ROUND(F4966/$C$5/($R4970+$T4970*$D$9),2))</f>
        <v>mu: 1.08</v>
      </c>
      <c r="W4966" s="507"/>
      <c r="AG4966" s="1029">
        <f>IF($E4966=0,0,ROUND($R4970*$S$5*$C$5/$A4966,2))</f>
        <v>202.32</v>
      </c>
      <c r="AH4966" s="1029">
        <f>$AG4966*$A4966</f>
        <v>404.64</v>
      </c>
      <c r="AI4966" s="1030">
        <f>$E4966-$AG4966</f>
        <v>0</v>
      </c>
      <c r="AJ4966" s="1030">
        <f>$A4966*$AI4966</f>
        <v>0</v>
      </c>
      <c r="AK4966" s="1031">
        <f>ROUND(($AG4966+$AI4966)*$A4966,2)</f>
        <v>404.64</v>
      </c>
      <c r="AM4966" s="510">
        <f>ROUND(R4970,2)</f>
        <v>376.4</v>
      </c>
      <c r="AN4966" s="511">
        <f>ROUND(T4970,2)</f>
        <v>0</v>
      </c>
      <c r="AO4966" s="512">
        <f>ROUND(AM4966+AN4966,2)*A4966</f>
        <v>752.8</v>
      </c>
    </row>
    <row r="4967" spans="1:41" s="504" customFormat="1" ht="13.2">
      <c r="A4967" s="872"/>
      <c r="B4967"/>
      <c r="C4967" s="872"/>
      <c r="D4967" s="873" t="s">
        <v>528</v>
      </c>
      <c r="F4967" s="877"/>
      <c r="G4967" s="3"/>
      <c r="H4967" s="877"/>
      <c r="I4967" s="878"/>
      <c r="J4967" s="877"/>
      <c r="K4967" s="877" t="s">
        <v>141</v>
      </c>
      <c r="L4967" s="877"/>
      <c r="M4967" s="877"/>
      <c r="N4967" s="877"/>
      <c r="O4967" s="877"/>
      <c r="P4967" s="877"/>
      <c r="Q4967" s="50"/>
      <c r="R4967" s="513"/>
      <c r="S4967" s="881"/>
      <c r="T4967" s="877"/>
    </row>
    <row r="4968" spans="1:41" s="1039" customFormat="1" ht="13.2">
      <c r="A4968" s="112">
        <v>2</v>
      </c>
      <c r="B4968" s="1039" t="s">
        <v>949</v>
      </c>
      <c r="D4968" s="1039" t="s">
        <v>528</v>
      </c>
      <c r="G4968" s="1040" t="s">
        <v>1458</v>
      </c>
      <c r="H4968" s="1041">
        <v>865</v>
      </c>
      <c r="I4968" s="1039" t="s">
        <v>1459</v>
      </c>
      <c r="O4968" s="1042">
        <v>3</v>
      </c>
      <c r="P4968" s="1043">
        <v>36342</v>
      </c>
      <c r="Q4968" s="503">
        <v>188.2</v>
      </c>
      <c r="R4968" s="1045">
        <f>$A4968*Q4968</f>
        <v>376.4</v>
      </c>
      <c r="S4968" s="1044"/>
      <c r="T4968" s="1046">
        <f>$A4968*S4968*$T$1</f>
        <v>0</v>
      </c>
    </row>
    <row r="4969" spans="1:41" s="504" customFormat="1" ht="12">
      <c r="A4969" s="882"/>
      <c r="B4969" s="882"/>
      <c r="C4969" s="882"/>
      <c r="D4969" s="882"/>
      <c r="E4969" s="882"/>
      <c r="F4969" s="877"/>
      <c r="G4969" s="882"/>
      <c r="H4969" s="882"/>
      <c r="I4969" s="503"/>
      <c r="J4969" s="882"/>
      <c r="K4969" s="882"/>
      <c r="L4969" s="882"/>
      <c r="M4969" s="882"/>
      <c r="N4969" s="882"/>
      <c r="O4969" s="882"/>
      <c r="P4969" s="882"/>
      <c r="Q4969" s="503"/>
      <c r="R4969" s="883">
        <f>$A4969*Q4969</f>
        <v>0</v>
      </c>
      <c r="S4969" s="503"/>
      <c r="T4969" s="884">
        <f>$A4969*S4969*$T$1</f>
        <v>0</v>
      </c>
    </row>
    <row r="4970" spans="1:41" s="504" customFormat="1" ht="12.6" thickBot="1">
      <c r="A4970" s="885" t="s">
        <v>142</v>
      </c>
      <c r="B4970" s="886">
        <f>(R4969+T4969)</f>
        <v>0</v>
      </c>
      <c r="C4970" s="887"/>
      <c r="D4970" s="887"/>
      <c r="E4970" s="887"/>
      <c r="F4970" s="888"/>
      <c r="G4970" s="887" t="s">
        <v>143</v>
      </c>
      <c r="H4970" s="887"/>
      <c r="I4970" s="889"/>
      <c r="J4970" s="887"/>
      <c r="K4970" s="887" t="s">
        <v>9</v>
      </c>
      <c r="L4970" s="890" t="s">
        <v>140</v>
      </c>
      <c r="M4970" s="890"/>
      <c r="N4970" s="890"/>
      <c r="O4970" s="890"/>
      <c r="P4970" s="890"/>
      <c r="Q4970" s="891"/>
      <c r="R4970" s="892">
        <f>SUM(R4967:R4969)</f>
        <v>376.4</v>
      </c>
      <c r="S4970" s="887"/>
      <c r="T4970" s="892">
        <f>SUM(T4967:T4969)</f>
        <v>0</v>
      </c>
      <c r="U4970" s="514"/>
      <c r="V4970" s="514"/>
      <c r="W4970" s="514"/>
      <c r="X4970" s="514"/>
      <c r="Y4970" s="514"/>
      <c r="Z4970" s="514"/>
      <c r="AA4970" s="514"/>
      <c r="AB4970" s="514"/>
      <c r="AC4970" s="514"/>
      <c r="AD4970" s="514"/>
      <c r="AE4970" s="514"/>
      <c r="AF4970" s="514"/>
      <c r="AG4970" s="514"/>
      <c r="AH4970" s="514"/>
      <c r="AI4970" s="514"/>
      <c r="AJ4970" s="514"/>
      <c r="AK4970" s="514"/>
      <c r="AL4970" s="514"/>
      <c r="AM4970" s="514"/>
      <c r="AN4970" s="514"/>
      <c r="AO4970" s="514"/>
    </row>
    <row r="4971" spans="1:41" s="504" customFormat="1" ht="12" thickTop="1">
      <c r="A4971" s="50"/>
      <c r="B4971" s="40"/>
      <c r="C4971" s="50"/>
      <c r="E4971" s="41" t="s">
        <v>136</v>
      </c>
      <c r="F4971" s="41" t="s">
        <v>137</v>
      </c>
      <c r="G4971" s="50"/>
      <c r="H4971" s="50"/>
      <c r="I4971" s="50"/>
      <c r="J4971" s="50"/>
      <c r="K4971" s="50" t="s">
        <v>138</v>
      </c>
      <c r="L4971" s="50"/>
      <c r="M4971" s="50"/>
      <c r="N4971" s="50"/>
      <c r="O4971" s="51"/>
      <c r="P4971" s="50"/>
      <c r="Q4971" s="50"/>
      <c r="R4971" s="50"/>
      <c r="S4971" s="50"/>
      <c r="T4971" s="40"/>
      <c r="AG4971" s="867" t="s">
        <v>241</v>
      </c>
      <c r="AH4971" s="867" t="s">
        <v>242</v>
      </c>
      <c r="AI4971" s="867" t="s">
        <v>243</v>
      </c>
      <c r="AJ4971" s="867" t="s">
        <v>244</v>
      </c>
      <c r="AK4971" s="867" t="s">
        <v>245</v>
      </c>
      <c r="AM4971" s="868" t="s">
        <v>254</v>
      </c>
      <c r="AN4971" s="869" t="s">
        <v>255</v>
      </c>
      <c r="AO4971" s="505" t="s">
        <v>251</v>
      </c>
    </row>
    <row r="4972" spans="1:41" s="504" customFormat="1" ht="12" customHeight="1">
      <c r="A4972" s="870">
        <v>1</v>
      </c>
      <c r="B4972" s="871" t="s">
        <v>335</v>
      </c>
      <c r="C4972" s="872"/>
      <c r="D4972" s="873" t="s">
        <v>836</v>
      </c>
      <c r="E4972" s="1027">
        <f>IF(AND($A4972=0,$A$1="DIF"),0, ROUND(ROUND(($R4976*$S$5+($T4976*$T$5))/$A4972,2)*$C$5,2))</f>
        <v>803.46</v>
      </c>
      <c r="F4972" s="1028">
        <f>ROUND($A4972*$E4972,2)</f>
        <v>803.46</v>
      </c>
      <c r="G4972" s="876" t="s">
        <v>139</v>
      </c>
      <c r="H4972" s="877"/>
      <c r="I4972" s="878"/>
      <c r="J4972" s="877"/>
      <c r="K4972" s="877" t="s">
        <v>9</v>
      </c>
      <c r="L4972" s="879" t="s">
        <v>140</v>
      </c>
      <c r="M4972" s="879"/>
      <c r="N4972" s="879"/>
      <c r="O4972" s="879"/>
      <c r="P4972" s="879"/>
      <c r="Q4972" s="50"/>
      <c r="T4972" s="1032" t="str">
        <f>IF(AND($R4976=0,$T4976=0),"0.00","mu: "&amp; ROUND(F4972/$C$5/($R4976+$T4976*$D$9),2))</f>
        <v>mu: 1.08</v>
      </c>
      <c r="W4972" s="507"/>
      <c r="AG4972" s="1029">
        <f>IF($E4972=0,0,ROUND($R4976*$S$5*$C$5/$A4972,2))</f>
        <v>803.46</v>
      </c>
      <c r="AH4972" s="1029">
        <f>$AG4972*$A4972</f>
        <v>803.46</v>
      </c>
      <c r="AI4972" s="1030">
        <f>$E4972-$AG4972</f>
        <v>0</v>
      </c>
      <c r="AJ4972" s="1030">
        <f>$A4972*$AI4972</f>
        <v>0</v>
      </c>
      <c r="AK4972" s="1031">
        <f>ROUND(($AG4972+$AI4972)*$A4972,2)</f>
        <v>803.46</v>
      </c>
      <c r="AM4972" s="510">
        <f>ROUND(R4976,2)</f>
        <v>747.4</v>
      </c>
      <c r="AN4972" s="511">
        <f>ROUND(T4976,2)</f>
        <v>0</v>
      </c>
      <c r="AO4972" s="512">
        <f>ROUND(AM4972+AN4972,2)*A4972</f>
        <v>747.4</v>
      </c>
    </row>
    <row r="4973" spans="1:41" s="504" customFormat="1" ht="13.2">
      <c r="A4973" s="872"/>
      <c r="B4973"/>
      <c r="C4973" s="872"/>
      <c r="D4973" s="873" t="s">
        <v>529</v>
      </c>
      <c r="F4973" s="877"/>
      <c r="G4973" s="3"/>
      <c r="H4973" s="877"/>
      <c r="I4973" s="878"/>
      <c r="J4973" s="877"/>
      <c r="K4973" s="877" t="s">
        <v>141</v>
      </c>
      <c r="L4973" s="877"/>
      <c r="M4973" s="877"/>
      <c r="N4973" s="877"/>
      <c r="O4973" s="877"/>
      <c r="P4973" s="877"/>
      <c r="Q4973" s="50"/>
      <c r="R4973" s="513"/>
      <c r="S4973" s="881"/>
      <c r="T4973" s="877"/>
    </row>
    <row r="4974" spans="1:41" s="1039" customFormat="1" ht="13.2">
      <c r="A4974" s="112">
        <v>1</v>
      </c>
      <c r="B4974" s="1039" t="s">
        <v>949</v>
      </c>
      <c r="D4974" s="1039" t="s">
        <v>529</v>
      </c>
      <c r="G4974" s="1040" t="s">
        <v>1458</v>
      </c>
      <c r="H4974" s="1041">
        <v>865</v>
      </c>
      <c r="I4974" s="1039" t="s">
        <v>1459</v>
      </c>
      <c r="O4974" s="1042">
        <v>3</v>
      </c>
      <c r="P4974" s="1043">
        <v>36342</v>
      </c>
      <c r="Q4974" s="503">
        <v>747.4</v>
      </c>
      <c r="R4974" s="1045">
        <f>$A4974*Q4974</f>
        <v>747.4</v>
      </c>
      <c r="S4974" s="1044"/>
      <c r="T4974" s="1046">
        <f>$A4974*S4974*$T$1</f>
        <v>0</v>
      </c>
    </row>
    <row r="4975" spans="1:41" s="504" customFormat="1" ht="12">
      <c r="A4975" s="882"/>
      <c r="B4975" s="882"/>
      <c r="C4975" s="882"/>
      <c r="D4975" s="882"/>
      <c r="E4975" s="882"/>
      <c r="F4975" s="877"/>
      <c r="G4975" s="882"/>
      <c r="H4975" s="882"/>
      <c r="I4975" s="503"/>
      <c r="J4975" s="882"/>
      <c r="K4975" s="882"/>
      <c r="L4975" s="882"/>
      <c r="M4975" s="882"/>
      <c r="N4975" s="882"/>
      <c r="O4975" s="882"/>
      <c r="P4975" s="882"/>
      <c r="Q4975" s="503"/>
      <c r="R4975" s="883">
        <f>$A4975*Q4975</f>
        <v>0</v>
      </c>
      <c r="S4975" s="503"/>
      <c r="T4975" s="884">
        <f>$A4975*S4975*$T$1</f>
        <v>0</v>
      </c>
    </row>
    <row r="4976" spans="1:41" s="504" customFormat="1" ht="12.6" thickBot="1">
      <c r="A4976" s="885" t="s">
        <v>142</v>
      </c>
      <c r="B4976" s="886">
        <f>(R4975+T4975)</f>
        <v>0</v>
      </c>
      <c r="C4976" s="887"/>
      <c r="D4976" s="887"/>
      <c r="E4976" s="887"/>
      <c r="F4976" s="888"/>
      <c r="G4976" s="887" t="s">
        <v>143</v>
      </c>
      <c r="H4976" s="887"/>
      <c r="I4976" s="889"/>
      <c r="J4976" s="887"/>
      <c r="K4976" s="887" t="s">
        <v>9</v>
      </c>
      <c r="L4976" s="890" t="s">
        <v>140</v>
      </c>
      <c r="M4976" s="890"/>
      <c r="N4976" s="890"/>
      <c r="O4976" s="890"/>
      <c r="P4976" s="890"/>
      <c r="Q4976" s="891"/>
      <c r="R4976" s="892">
        <f>SUM(R4973:R4975)</f>
        <v>747.4</v>
      </c>
      <c r="S4976" s="887"/>
      <c r="T4976" s="892">
        <f>SUM(T4973:T4975)</f>
        <v>0</v>
      </c>
      <c r="U4976" s="514"/>
      <c r="V4976" s="514"/>
      <c r="W4976" s="514"/>
      <c r="X4976" s="514"/>
      <c r="Y4976" s="514"/>
      <c r="Z4976" s="514"/>
      <c r="AA4976" s="514"/>
      <c r="AB4976" s="514"/>
      <c r="AC4976" s="514"/>
      <c r="AD4976" s="514"/>
      <c r="AE4976" s="514"/>
      <c r="AF4976" s="514"/>
      <c r="AG4976" s="514"/>
      <c r="AH4976" s="514"/>
      <c r="AI4976" s="514"/>
      <c r="AJ4976" s="514"/>
      <c r="AK4976" s="514"/>
      <c r="AL4976" s="514"/>
      <c r="AM4976" s="514"/>
      <c r="AN4976" s="514"/>
      <c r="AO4976" s="514"/>
    </row>
    <row r="4977" spans="1:41" s="504" customFormat="1" thickTop="1">
      <c r="A4977" s="50"/>
      <c r="B4977" s="50"/>
      <c r="C4977" s="3"/>
      <c r="D4977" s="3"/>
      <c r="E4977" s="50"/>
      <c r="F4977" s="50"/>
      <c r="G4977" s="50"/>
      <c r="H4977" s="50"/>
      <c r="I4977" s="50"/>
      <c r="J4977" s="50"/>
      <c r="K4977" s="50" t="s">
        <v>133</v>
      </c>
      <c r="L4977" s="50"/>
      <c r="M4977" s="50"/>
      <c r="N4977" s="50"/>
      <c r="O4977" s="51"/>
      <c r="P4977" s="50"/>
      <c r="Q4977" s="50"/>
      <c r="R4977" s="50"/>
      <c r="S4977" s="50"/>
      <c r="T4977" s="50"/>
    </row>
    <row r="4978" spans="1:41" s="504" customFormat="1" ht="12">
      <c r="A4978" s="50"/>
      <c r="B4978" s="50"/>
      <c r="C4978" s="50" t="s">
        <v>134</v>
      </c>
      <c r="D4978" s="37"/>
      <c r="E4978" s="50"/>
      <c r="F4978" s="50"/>
      <c r="G4978" s="50"/>
      <c r="H4978" s="50"/>
      <c r="I4978" s="50"/>
      <c r="J4978" s="50"/>
      <c r="K4978" s="50"/>
      <c r="L4978" s="50"/>
      <c r="M4978" s="50"/>
      <c r="N4978" s="50"/>
      <c r="O4978" s="51"/>
      <c r="P4978" s="50"/>
      <c r="Q4978" s="50"/>
      <c r="R4978" s="50"/>
      <c r="S4978" s="50"/>
      <c r="T4978" s="50"/>
    </row>
    <row r="4979" spans="1:41" s="504" customFormat="1" ht="12">
      <c r="A4979" s="50"/>
      <c r="B4979" s="50"/>
      <c r="C4979" s="50"/>
      <c r="D4979" s="37" t="s">
        <v>530</v>
      </c>
      <c r="E4979" s="50"/>
      <c r="F4979" s="50"/>
      <c r="G4979" s="50"/>
      <c r="H4979" s="50"/>
      <c r="I4979" s="50"/>
      <c r="J4979" s="50"/>
      <c r="K4979" s="50"/>
      <c r="L4979" s="50"/>
      <c r="M4979" s="50"/>
      <c r="N4979" s="50"/>
      <c r="O4979" s="51"/>
      <c r="P4979" s="50"/>
      <c r="Q4979" s="50"/>
      <c r="R4979" s="50"/>
      <c r="S4979" s="38"/>
      <c r="T4979" s="38"/>
    </row>
    <row r="4980" spans="1:41" s="3" customFormat="1" thickBot="1">
      <c r="A4980" s="514"/>
      <c r="O4980" s="103"/>
    </row>
    <row r="4981" spans="1:41" s="504" customFormat="1" ht="12" thickTop="1">
      <c r="A4981" s="50"/>
      <c r="B4981" s="40"/>
      <c r="C4981" s="50"/>
      <c r="E4981" s="41" t="s">
        <v>136</v>
      </c>
      <c r="F4981" s="41" t="s">
        <v>137</v>
      </c>
      <c r="G4981" s="50"/>
      <c r="H4981" s="50"/>
      <c r="I4981" s="50"/>
      <c r="J4981" s="50"/>
      <c r="K4981" s="50" t="s">
        <v>138</v>
      </c>
      <c r="L4981" s="50"/>
      <c r="M4981" s="50"/>
      <c r="N4981" s="50"/>
      <c r="O4981" s="51"/>
      <c r="P4981" s="50"/>
      <c r="Q4981" s="50"/>
      <c r="R4981" s="50"/>
      <c r="S4981" s="50"/>
      <c r="T4981" s="40"/>
      <c r="AG4981" s="867" t="s">
        <v>241</v>
      </c>
      <c r="AH4981" s="867" t="s">
        <v>242</v>
      </c>
      <c r="AI4981" s="867" t="s">
        <v>243</v>
      </c>
      <c r="AJ4981" s="867" t="s">
        <v>244</v>
      </c>
      <c r="AK4981" s="867" t="s">
        <v>245</v>
      </c>
      <c r="AM4981" s="868" t="s">
        <v>254</v>
      </c>
      <c r="AN4981" s="869" t="s">
        <v>255</v>
      </c>
      <c r="AO4981" s="505" t="s">
        <v>251</v>
      </c>
    </row>
    <row r="4982" spans="1:41" s="504" customFormat="1" ht="12" customHeight="1">
      <c r="A4982" s="870">
        <v>2</v>
      </c>
      <c r="B4982" s="871" t="s">
        <v>335</v>
      </c>
      <c r="C4982" s="872"/>
      <c r="D4982" s="873" t="s">
        <v>838</v>
      </c>
      <c r="E4982" s="1027">
        <f>IF(AND($A4982=0,$A$1="DIF"),0, ROUND(ROUND(($R4986*$S$5+($T4986*$T$5))/$A4982,2)*$C$5,2))</f>
        <v>202.32</v>
      </c>
      <c r="F4982" s="1028">
        <f>ROUND($A4982*$E4982,2)</f>
        <v>404.64</v>
      </c>
      <c r="G4982" s="876" t="s">
        <v>139</v>
      </c>
      <c r="H4982" s="877"/>
      <c r="I4982" s="878"/>
      <c r="J4982" s="877"/>
      <c r="K4982" s="877" t="s">
        <v>9</v>
      </c>
      <c r="L4982" s="879" t="s">
        <v>140</v>
      </c>
      <c r="M4982" s="879"/>
      <c r="N4982" s="879"/>
      <c r="O4982" s="879"/>
      <c r="P4982" s="879"/>
      <c r="Q4982" s="50"/>
      <c r="T4982" s="1032" t="str">
        <f>IF(AND($R4986=0,$T4986=0),"0.00","mu: "&amp; ROUND(F4982/$C$5/($R4986+$T4986*$D$9),2))</f>
        <v>mu: 1.08</v>
      </c>
      <c r="W4982" s="507"/>
      <c r="AG4982" s="1029">
        <f>IF($E4982=0,0,ROUND($R4986*$S$5*$C$5/$A4982,2))</f>
        <v>202.32</v>
      </c>
      <c r="AH4982" s="1029">
        <f>$AG4982*$A4982</f>
        <v>404.64</v>
      </c>
      <c r="AI4982" s="1030">
        <f>$E4982-$AG4982</f>
        <v>0</v>
      </c>
      <c r="AJ4982" s="1030">
        <f>$A4982*$AI4982</f>
        <v>0</v>
      </c>
      <c r="AK4982" s="1031">
        <f>ROUND(($AG4982+$AI4982)*$A4982,2)</f>
        <v>404.64</v>
      </c>
      <c r="AM4982" s="510">
        <f>ROUND(R4986,2)</f>
        <v>376.4</v>
      </c>
      <c r="AN4982" s="511">
        <f>ROUND(T4986,2)</f>
        <v>0</v>
      </c>
      <c r="AO4982" s="512">
        <f>ROUND(AM4982+AN4982,2)*A4982</f>
        <v>752.8</v>
      </c>
    </row>
    <row r="4983" spans="1:41" s="504" customFormat="1" ht="13.2">
      <c r="A4983" s="872"/>
      <c r="B4983"/>
      <c r="C4983" s="872"/>
      <c r="D4983" s="873" t="s">
        <v>528</v>
      </c>
      <c r="F4983" s="877"/>
      <c r="G4983" s="3"/>
      <c r="H4983" s="877"/>
      <c r="I4983" s="878"/>
      <c r="J4983" s="877"/>
      <c r="K4983" s="877" t="s">
        <v>141</v>
      </c>
      <c r="L4983" s="877"/>
      <c r="M4983" s="877"/>
      <c r="N4983" s="877"/>
      <c r="O4983" s="877"/>
      <c r="P4983" s="877"/>
      <c r="Q4983" s="50"/>
      <c r="R4983" s="513"/>
      <c r="S4983" s="881"/>
      <c r="T4983" s="877"/>
    </row>
    <row r="4984" spans="1:41" s="1039" customFormat="1" ht="13.2">
      <c r="A4984" s="112">
        <v>2</v>
      </c>
      <c r="B4984" s="1039" t="s">
        <v>949</v>
      </c>
      <c r="D4984" s="1039" t="s">
        <v>528</v>
      </c>
      <c r="G4984" s="1040" t="s">
        <v>1458</v>
      </c>
      <c r="H4984" s="1041">
        <v>865</v>
      </c>
      <c r="I4984" s="1039" t="s">
        <v>1459</v>
      </c>
      <c r="O4984" s="1042">
        <v>3</v>
      </c>
      <c r="P4984" s="1043">
        <v>36342</v>
      </c>
      <c r="Q4984" s="503">
        <v>188.2</v>
      </c>
      <c r="R4984" s="1045">
        <f>$A4984*Q4984</f>
        <v>376.4</v>
      </c>
      <c r="S4984" s="1044"/>
      <c r="T4984" s="1046">
        <f>$A4984*S4984*$T$1</f>
        <v>0</v>
      </c>
    </row>
    <row r="4985" spans="1:41" s="504" customFormat="1" ht="12">
      <c r="A4985" s="882"/>
      <c r="B4985" s="882"/>
      <c r="C4985" s="882"/>
      <c r="D4985" s="882"/>
      <c r="E4985" s="882"/>
      <c r="F4985" s="877"/>
      <c r="G4985" s="882"/>
      <c r="H4985" s="882"/>
      <c r="I4985" s="503"/>
      <c r="J4985" s="882"/>
      <c r="K4985" s="882"/>
      <c r="L4985" s="882"/>
      <c r="M4985" s="882"/>
      <c r="N4985" s="882"/>
      <c r="O4985" s="882"/>
      <c r="P4985" s="882"/>
      <c r="Q4985" s="503"/>
      <c r="R4985" s="883">
        <f>$A4985*Q4985</f>
        <v>0</v>
      </c>
      <c r="S4985" s="503"/>
      <c r="T4985" s="884">
        <f>$A4985*S4985*$T$1</f>
        <v>0</v>
      </c>
    </row>
    <row r="4986" spans="1:41" s="504" customFormat="1" ht="12.6" thickBot="1">
      <c r="A4986" s="885" t="s">
        <v>142</v>
      </c>
      <c r="B4986" s="886">
        <f>(R4985+T4985)</f>
        <v>0</v>
      </c>
      <c r="C4986" s="887"/>
      <c r="D4986" s="887"/>
      <c r="E4986" s="887"/>
      <c r="F4986" s="888"/>
      <c r="G4986" s="887" t="s">
        <v>143</v>
      </c>
      <c r="H4986" s="887"/>
      <c r="I4986" s="889"/>
      <c r="J4986" s="887"/>
      <c r="K4986" s="887" t="s">
        <v>9</v>
      </c>
      <c r="L4986" s="890" t="s">
        <v>140</v>
      </c>
      <c r="M4986" s="890"/>
      <c r="N4986" s="890"/>
      <c r="O4986" s="890"/>
      <c r="P4986" s="890"/>
      <c r="Q4986" s="891"/>
      <c r="R4986" s="892">
        <f>SUM(R4983:R4985)</f>
        <v>376.4</v>
      </c>
      <c r="S4986" s="887"/>
      <c r="T4986" s="892">
        <f>SUM(T4983:T4985)</f>
        <v>0</v>
      </c>
      <c r="U4986" s="514"/>
      <c r="V4986" s="514"/>
      <c r="W4986" s="514"/>
      <c r="X4986" s="514"/>
      <c r="Y4986" s="514"/>
      <c r="Z4986" s="514"/>
      <c r="AA4986" s="514"/>
      <c r="AB4986" s="514"/>
      <c r="AC4986" s="514"/>
      <c r="AD4986" s="514"/>
      <c r="AE4986" s="514"/>
      <c r="AF4986" s="514"/>
      <c r="AG4986" s="514"/>
      <c r="AH4986" s="514"/>
      <c r="AI4986" s="514"/>
      <c r="AJ4986" s="514"/>
      <c r="AK4986" s="514"/>
      <c r="AL4986" s="514"/>
      <c r="AM4986" s="514"/>
      <c r="AN4986" s="514"/>
      <c r="AO4986" s="514"/>
    </row>
    <row r="4987" spans="1:41" s="504" customFormat="1" thickTop="1">
      <c r="A4987" s="50"/>
      <c r="B4987" s="50"/>
      <c r="C4987" s="3"/>
      <c r="D4987" s="3"/>
      <c r="E4987" s="50"/>
      <c r="F4987" s="50"/>
      <c r="G4987" s="50"/>
      <c r="H4987" s="50"/>
      <c r="I4987" s="50"/>
      <c r="J4987" s="50"/>
      <c r="K4987" s="50" t="s">
        <v>133</v>
      </c>
      <c r="L4987" s="50"/>
      <c r="M4987" s="50"/>
      <c r="N4987" s="50"/>
      <c r="O4987" s="51"/>
      <c r="P4987" s="50"/>
      <c r="Q4987" s="50"/>
      <c r="R4987" s="50"/>
      <c r="S4987" s="50"/>
      <c r="T4987" s="50"/>
    </row>
    <row r="4988" spans="1:41" s="504" customFormat="1" ht="12">
      <c r="A4988" s="50"/>
      <c r="B4988" s="50"/>
      <c r="C4988" s="50" t="s">
        <v>134</v>
      </c>
      <c r="D4988" s="37"/>
      <c r="E4988" s="50"/>
      <c r="F4988" s="50"/>
      <c r="G4988" s="50"/>
      <c r="H4988" s="50"/>
      <c r="I4988" s="50"/>
      <c r="J4988" s="50"/>
      <c r="K4988" s="50"/>
      <c r="L4988" s="50"/>
      <c r="M4988" s="50"/>
      <c r="N4988" s="50"/>
      <c r="O4988" s="51"/>
      <c r="P4988" s="50"/>
      <c r="Q4988" s="50"/>
      <c r="R4988" s="50"/>
      <c r="S4988" s="50"/>
      <c r="T4988" s="50"/>
    </row>
    <row r="4989" spans="1:41" s="504" customFormat="1" ht="12">
      <c r="A4989" s="50"/>
      <c r="B4989" s="50"/>
      <c r="C4989" s="50"/>
      <c r="D4989" s="37" t="s">
        <v>531</v>
      </c>
      <c r="E4989" s="50"/>
      <c r="F4989" s="50"/>
      <c r="G4989" s="50"/>
      <c r="H4989" s="50"/>
      <c r="I4989" s="50"/>
      <c r="J4989" s="50"/>
      <c r="K4989" s="50"/>
      <c r="L4989" s="50"/>
      <c r="M4989" s="50"/>
      <c r="N4989" s="50"/>
      <c r="O4989" s="51"/>
      <c r="P4989" s="50"/>
      <c r="Q4989" s="50"/>
      <c r="R4989" s="50"/>
      <c r="S4989" s="38"/>
      <c r="T4989" s="38"/>
    </row>
    <row r="4990" spans="1:41" s="3" customFormat="1" thickBot="1">
      <c r="A4990" s="514"/>
      <c r="O4990" s="103"/>
    </row>
    <row r="4991" spans="1:41" s="504" customFormat="1" ht="12" thickTop="1">
      <c r="A4991" s="50"/>
      <c r="B4991" s="40"/>
      <c r="C4991" s="50"/>
      <c r="E4991" s="41" t="s">
        <v>136</v>
      </c>
      <c r="F4991" s="41" t="s">
        <v>137</v>
      </c>
      <c r="G4991" s="50"/>
      <c r="H4991" s="50"/>
      <c r="I4991" s="50"/>
      <c r="J4991" s="50"/>
      <c r="K4991" s="50" t="s">
        <v>138</v>
      </c>
      <c r="L4991" s="50"/>
      <c r="M4991" s="50"/>
      <c r="N4991" s="50"/>
      <c r="O4991" s="51"/>
      <c r="P4991" s="50"/>
      <c r="Q4991" s="50"/>
      <c r="R4991" s="50"/>
      <c r="S4991" s="50"/>
      <c r="T4991" s="40"/>
      <c r="AG4991" s="867" t="s">
        <v>241</v>
      </c>
      <c r="AH4991" s="867" t="s">
        <v>242</v>
      </c>
      <c r="AI4991" s="867" t="s">
        <v>243</v>
      </c>
      <c r="AJ4991" s="867" t="s">
        <v>244</v>
      </c>
      <c r="AK4991" s="867" t="s">
        <v>245</v>
      </c>
      <c r="AM4991" s="868" t="s">
        <v>254</v>
      </c>
      <c r="AN4991" s="869" t="s">
        <v>255</v>
      </c>
      <c r="AO4991" s="505" t="s">
        <v>251</v>
      </c>
    </row>
    <row r="4992" spans="1:41" s="504" customFormat="1" ht="12" customHeight="1">
      <c r="A4992" s="870">
        <v>1</v>
      </c>
      <c r="B4992" s="871" t="s">
        <v>335</v>
      </c>
      <c r="C4992" s="872"/>
      <c r="D4992" s="873" t="s">
        <v>840</v>
      </c>
      <c r="E4992" s="1027">
        <f>IF(AND($A4992=0,$A$1="DIF"),0, ROUND(ROUND(($R4996*$S$5+($T4996*$T$5))/$A4992,2)*$C$5,2))</f>
        <v>183.5</v>
      </c>
      <c r="F4992" s="1028">
        <f>ROUND($A4992*$E4992,2)</f>
        <v>183.5</v>
      </c>
      <c r="G4992" s="876" t="s">
        <v>139</v>
      </c>
      <c r="H4992" s="877"/>
      <c r="I4992" s="878"/>
      <c r="J4992" s="877"/>
      <c r="K4992" s="877" t="s">
        <v>9</v>
      </c>
      <c r="L4992" s="879" t="s">
        <v>140</v>
      </c>
      <c r="M4992" s="879"/>
      <c r="N4992" s="879"/>
      <c r="O4992" s="879"/>
      <c r="P4992" s="879"/>
      <c r="Q4992" s="50"/>
      <c r="T4992" s="1032" t="str">
        <f>IF(AND($R4996=0,$T4996=0),"0.00","mu: "&amp; ROUND(F4992/$C$5/($R4996+$T4996*$D$9),2))</f>
        <v>mu: 1.07</v>
      </c>
      <c r="W4992" s="507"/>
      <c r="AG4992" s="1029">
        <f>IF($E4992=0,0,ROUND($R4996*$S$5*$C$5/$A4992,2))</f>
        <v>183.5</v>
      </c>
      <c r="AH4992" s="1029">
        <f>$AG4992*$A4992</f>
        <v>183.5</v>
      </c>
      <c r="AI4992" s="1030">
        <f>$E4992-$AG4992</f>
        <v>0</v>
      </c>
      <c r="AJ4992" s="1030">
        <f>$A4992*$AI4992</f>
        <v>0</v>
      </c>
      <c r="AK4992" s="1031">
        <f>ROUND(($AG4992+$AI4992)*$A4992,2)</f>
        <v>183.5</v>
      </c>
      <c r="AM4992" s="510">
        <f>ROUND(R4996,2)</f>
        <v>170.7</v>
      </c>
      <c r="AN4992" s="511">
        <f>ROUND(T4996,2)</f>
        <v>0</v>
      </c>
      <c r="AO4992" s="512">
        <f>ROUND(AM4992+AN4992,2)*A4992</f>
        <v>170.7</v>
      </c>
    </row>
    <row r="4993" spans="1:41" s="504" customFormat="1" ht="13.2">
      <c r="A4993" s="872"/>
      <c r="B4993"/>
      <c r="C4993" s="872"/>
      <c r="D4993" s="873" t="s">
        <v>526</v>
      </c>
      <c r="F4993" s="877"/>
      <c r="G4993" s="3"/>
      <c r="H4993" s="877"/>
      <c r="I4993" s="878"/>
      <c r="J4993" s="877"/>
      <c r="K4993" s="877" t="s">
        <v>141</v>
      </c>
      <c r="L4993" s="877"/>
      <c r="M4993" s="877"/>
      <c r="N4993" s="877"/>
      <c r="O4993" s="877"/>
      <c r="P4993" s="877"/>
      <c r="Q4993" s="50"/>
      <c r="R4993" s="513"/>
      <c r="S4993" s="881"/>
      <c r="T4993" s="877"/>
    </row>
    <row r="4994" spans="1:41" s="1039" customFormat="1" ht="13.2">
      <c r="A4994" s="112">
        <v>1</v>
      </c>
      <c r="B4994" s="1039" t="s">
        <v>949</v>
      </c>
      <c r="D4994" s="1039" t="s">
        <v>526</v>
      </c>
      <c r="G4994" s="1040" t="s">
        <v>1458</v>
      </c>
      <c r="H4994" s="1041">
        <v>865</v>
      </c>
      <c r="I4994" s="1039" t="s">
        <v>1459</v>
      </c>
      <c r="O4994" s="1042">
        <v>3</v>
      </c>
      <c r="P4994" s="1043">
        <v>36342</v>
      </c>
      <c r="Q4994" s="503">
        <v>170.7</v>
      </c>
      <c r="R4994" s="1045">
        <f>$A4994*Q4994</f>
        <v>170.7</v>
      </c>
      <c r="S4994" s="1044"/>
      <c r="T4994" s="1046">
        <f>$A4994*S4994*$T$1</f>
        <v>0</v>
      </c>
    </row>
    <row r="4995" spans="1:41" s="504" customFormat="1" ht="12">
      <c r="A4995" s="882"/>
      <c r="B4995" s="882"/>
      <c r="C4995" s="882"/>
      <c r="D4995" s="882"/>
      <c r="E4995" s="882"/>
      <c r="F4995" s="877"/>
      <c r="G4995" s="882"/>
      <c r="H4995" s="882"/>
      <c r="I4995" s="503"/>
      <c r="J4995" s="882"/>
      <c r="K4995" s="882"/>
      <c r="L4995" s="882"/>
      <c r="M4995" s="882"/>
      <c r="N4995" s="882"/>
      <c r="O4995" s="882"/>
      <c r="P4995" s="882"/>
      <c r="Q4995" s="503"/>
      <c r="R4995" s="883">
        <f>$A4995*Q4995</f>
        <v>0</v>
      </c>
      <c r="S4995" s="503"/>
      <c r="T4995" s="884">
        <f>$A4995*S4995*$T$1</f>
        <v>0</v>
      </c>
    </row>
    <row r="4996" spans="1:41" s="504" customFormat="1" ht="12.6" thickBot="1">
      <c r="A4996" s="885" t="s">
        <v>142</v>
      </c>
      <c r="B4996" s="886">
        <f>(R4995+T4995)</f>
        <v>0</v>
      </c>
      <c r="C4996" s="887"/>
      <c r="D4996" s="887"/>
      <c r="E4996" s="887"/>
      <c r="F4996" s="888"/>
      <c r="G4996" s="887" t="s">
        <v>143</v>
      </c>
      <c r="H4996" s="887"/>
      <c r="I4996" s="889"/>
      <c r="J4996" s="887"/>
      <c r="K4996" s="887" t="s">
        <v>9</v>
      </c>
      <c r="L4996" s="890" t="s">
        <v>140</v>
      </c>
      <c r="M4996" s="890"/>
      <c r="N4996" s="890"/>
      <c r="O4996" s="890"/>
      <c r="P4996" s="890"/>
      <c r="Q4996" s="891"/>
      <c r="R4996" s="892">
        <f>SUM(R4993:R4995)</f>
        <v>170.7</v>
      </c>
      <c r="S4996" s="887"/>
      <c r="T4996" s="892">
        <f>SUM(T4993:T4995)</f>
        <v>0</v>
      </c>
      <c r="U4996" s="514"/>
      <c r="V4996" s="514"/>
      <c r="W4996" s="514"/>
      <c r="X4996" s="514"/>
      <c r="Y4996" s="514"/>
      <c r="Z4996" s="514"/>
      <c r="AA4996" s="514"/>
      <c r="AB4996" s="514"/>
      <c r="AC4996" s="514"/>
      <c r="AD4996" s="514"/>
      <c r="AE4996" s="514"/>
      <c r="AF4996" s="514"/>
      <c r="AG4996" s="514"/>
      <c r="AH4996" s="514"/>
      <c r="AI4996" s="514"/>
      <c r="AJ4996" s="514"/>
      <c r="AK4996" s="514"/>
      <c r="AL4996" s="514"/>
      <c r="AM4996" s="514"/>
      <c r="AN4996" s="514"/>
      <c r="AO4996" s="514"/>
    </row>
    <row r="4997" spans="1:41" s="504" customFormat="1" thickTop="1">
      <c r="A4997" s="50"/>
      <c r="B4997" s="50"/>
      <c r="C4997" s="3"/>
      <c r="D4997" s="3"/>
      <c r="E4997" s="50"/>
      <c r="F4997" s="50"/>
      <c r="G4997" s="50"/>
      <c r="H4997" s="50"/>
      <c r="I4997" s="50"/>
      <c r="J4997" s="50"/>
      <c r="K4997" s="50" t="s">
        <v>133</v>
      </c>
      <c r="L4997" s="50"/>
      <c r="M4997" s="50"/>
      <c r="N4997" s="50"/>
      <c r="O4997" s="51"/>
      <c r="P4997" s="50"/>
      <c r="Q4997" s="50"/>
      <c r="R4997" s="50"/>
      <c r="S4997" s="50"/>
      <c r="T4997" s="50"/>
    </row>
    <row r="4998" spans="1:41" s="504" customFormat="1" ht="12">
      <c r="A4998" s="50"/>
      <c r="B4998" s="50"/>
      <c r="C4998" s="50" t="s">
        <v>134</v>
      </c>
      <c r="D4998" s="37"/>
      <c r="E4998" s="50"/>
      <c r="F4998" s="50"/>
      <c r="G4998" s="50"/>
      <c r="H4998" s="50"/>
      <c r="I4998" s="50"/>
      <c r="J4998" s="50"/>
      <c r="K4998" s="50"/>
      <c r="L4998" s="50"/>
      <c r="M4998" s="50"/>
      <c r="N4998" s="50"/>
      <c r="O4998" s="51"/>
      <c r="P4998" s="50"/>
      <c r="Q4998" s="50"/>
      <c r="R4998" s="50"/>
      <c r="S4998" s="50"/>
      <c r="T4998" s="50"/>
    </row>
    <row r="4999" spans="1:41" s="504" customFormat="1" ht="12">
      <c r="A4999" s="50"/>
      <c r="B4999" s="50"/>
      <c r="C4999" s="50"/>
      <c r="D4999" s="37" t="s">
        <v>532</v>
      </c>
      <c r="E4999" s="50"/>
      <c r="F4999" s="50"/>
      <c r="G4999" s="50"/>
      <c r="H4999" s="50"/>
      <c r="I4999" s="50"/>
      <c r="J4999" s="50"/>
      <c r="K4999" s="50"/>
      <c r="L4999" s="50"/>
      <c r="M4999" s="50"/>
      <c r="N4999" s="50"/>
      <c r="O4999" s="51"/>
      <c r="P4999" s="50"/>
      <c r="Q4999" s="50"/>
      <c r="R4999" s="50"/>
      <c r="S4999" s="38"/>
      <c r="T4999" s="38"/>
    </row>
    <row r="5000" spans="1:41" s="3" customFormat="1" thickBot="1">
      <c r="A5000" s="514"/>
      <c r="O5000" s="103"/>
    </row>
    <row r="5001" spans="1:41" s="504" customFormat="1" ht="12" thickTop="1">
      <c r="A5001" s="47" t="s">
        <v>145</v>
      </c>
      <c r="D5001" s="13"/>
      <c r="E5001" s="41"/>
      <c r="O5001" s="893"/>
    </row>
    <row r="5002" spans="1:41" s="504" customFormat="1" ht="13.2">
      <c r="B5002" s="3"/>
      <c r="O5002" s="893"/>
    </row>
    <row r="5003" spans="1:41" s="504" customFormat="1" ht="12">
      <c r="B5003" s="894">
        <f>$F5003/$C$2-($R5003*$S$2+$T5003*$T$2)</f>
        <v>-341.27399999999989</v>
      </c>
      <c r="D5003" s="895" t="s">
        <v>817</v>
      </c>
      <c r="E5003" s="896"/>
      <c r="F5003" s="897">
        <f>SUMIF($L4927:$L5001,"ITEM",F4927:F5001)</f>
        <v>2530.2399999999998</v>
      </c>
      <c r="G5003" s="882"/>
      <c r="H5003" s="882"/>
      <c r="I5003" s="503"/>
      <c r="J5003" s="882"/>
      <c r="K5003" s="882"/>
      <c r="L5003" s="879" t="s">
        <v>154</v>
      </c>
      <c r="M5003" s="879"/>
      <c r="N5003" s="879"/>
      <c r="O5003" s="879"/>
      <c r="P5003" s="879"/>
      <c r="R5003" s="897">
        <f>SUMIF($L4927:$L5001,"ITEM",R4927:R5001)</f>
        <v>2353.6999999999998</v>
      </c>
      <c r="S5003" s="898"/>
      <c r="T5003" s="897">
        <f>SUMIF($L4927:$L5001,"ITEM",T4927:T5001)</f>
        <v>0</v>
      </c>
    </row>
    <row r="5004" spans="1:41" s="504" customFormat="1" ht="13.2">
      <c r="A5004" s="50"/>
      <c r="B5004" s="48" t="s">
        <v>816</v>
      </c>
      <c r="C5004" s="50"/>
      <c r="D5004" s="3"/>
      <c r="F5004" s="899" t="s">
        <v>155</v>
      </c>
      <c r="G5004" s="882"/>
      <c r="H5004" s="882"/>
      <c r="I5004" s="503"/>
      <c r="J5004" s="882"/>
      <c r="K5004" s="882"/>
      <c r="L5004" s="882"/>
      <c r="M5004" s="882"/>
      <c r="N5004" s="882"/>
      <c r="O5004" s="882"/>
      <c r="P5004" s="882"/>
      <c r="Q5004" s="900"/>
      <c r="R5004" s="899" t="s">
        <v>156</v>
      </c>
      <c r="S5004" s="38"/>
      <c r="T5004" s="899" t="s">
        <v>157</v>
      </c>
    </row>
    <row r="5005" spans="1:41" s="504" customFormat="1" ht="13.2">
      <c r="A5005" s="882"/>
      <c r="B5005" s="3"/>
      <c r="C5005" s="882"/>
      <c r="D5005" s="3"/>
      <c r="E5005" s="3"/>
      <c r="G5005" s="3"/>
      <c r="H5005" s="3"/>
      <c r="I5005" s="3"/>
      <c r="J5005" s="3"/>
      <c r="K5005" s="3"/>
      <c r="L5005" s="3"/>
      <c r="M5005" s="3"/>
      <c r="N5005" s="3"/>
      <c r="O5005" s="103"/>
      <c r="P5005" s="3"/>
      <c r="Q5005" s="3"/>
      <c r="R5005" s="3"/>
      <c r="S5005" s="3"/>
      <c r="T5005" s="3"/>
    </row>
    <row r="5006" spans="1:41" s="504" customFormat="1" ht="12" thickBot="1">
      <c r="A5006" s="514"/>
      <c r="B5006" s="887"/>
      <c r="C5006" s="887"/>
      <c r="D5006" s="514"/>
      <c r="E5006" s="39"/>
      <c r="F5006" s="901"/>
      <c r="G5006" s="887"/>
      <c r="H5006" s="887"/>
      <c r="I5006" s="889"/>
      <c r="J5006" s="887"/>
      <c r="K5006" s="887"/>
      <c r="L5006" s="890"/>
      <c r="M5006" s="890"/>
      <c r="N5006" s="890"/>
      <c r="O5006" s="890"/>
      <c r="P5006" s="890"/>
      <c r="Q5006" s="891"/>
      <c r="R5006" s="901"/>
      <c r="S5006" s="902"/>
      <c r="T5006" s="901"/>
      <c r="U5006" s="514"/>
      <c r="V5006" s="514"/>
      <c r="W5006" s="514"/>
      <c r="X5006" s="514"/>
      <c r="Y5006" s="514"/>
      <c r="Z5006" s="514"/>
      <c r="AA5006" s="514"/>
      <c r="AB5006" s="514"/>
      <c r="AC5006" s="514"/>
      <c r="AD5006" s="514"/>
      <c r="AE5006" s="514"/>
      <c r="AF5006" s="514"/>
      <c r="AG5006" s="514"/>
      <c r="AH5006" s="514"/>
      <c r="AI5006" s="514"/>
      <c r="AJ5006" s="514"/>
      <c r="AK5006" s="514"/>
    </row>
    <row r="5007" spans="1:41" s="504" customFormat="1" thickTop="1">
      <c r="A5007" s="47" t="s">
        <v>145</v>
      </c>
      <c r="B5007" s="3"/>
      <c r="C5007" s="50"/>
      <c r="D5007" s="50"/>
      <c r="E5007" s="50"/>
      <c r="F5007" s="50"/>
      <c r="G5007" s="50"/>
      <c r="H5007" s="50"/>
      <c r="I5007" s="50"/>
      <c r="J5007" s="50"/>
      <c r="K5007" s="50"/>
      <c r="L5007" s="50"/>
      <c r="M5007" s="50"/>
      <c r="N5007" s="50"/>
      <c r="O5007" s="51"/>
      <c r="P5007" s="50"/>
      <c r="Q5007" s="50"/>
      <c r="R5007" s="50"/>
      <c r="S5007" s="50"/>
      <c r="T5007" s="50"/>
    </row>
    <row r="5008" spans="1:41" s="504" customFormat="1" ht="13.2">
      <c r="A5008" s="50"/>
      <c r="B5008" s="3"/>
      <c r="C5008" s="3"/>
      <c r="E5008" s="3"/>
      <c r="F5008" s="3"/>
      <c r="G5008" s="3"/>
      <c r="H5008" s="3"/>
      <c r="I5008" s="3"/>
      <c r="J5008" s="3"/>
      <c r="K5008" s="3"/>
      <c r="L5008" s="3"/>
      <c r="M5008" s="3"/>
      <c r="N5008" s="3"/>
      <c r="O5008" s="103"/>
      <c r="P5008" s="3"/>
      <c r="Q5008" s="3"/>
      <c r="R5008" s="3"/>
      <c r="S5008" s="3"/>
      <c r="T5008" s="3"/>
    </row>
    <row r="5009" spans="1:37" s="504" customFormat="1" ht="12">
      <c r="A5009" s="50"/>
      <c r="B5009" s="894">
        <f>$F5009/$C$2-($R5009*$S$2+$T5009*$T$2)</f>
        <v>-341.27399999999989</v>
      </c>
      <c r="C5009" s="50"/>
      <c r="D5009" s="913" t="s">
        <v>927</v>
      </c>
      <c r="E5009" s="896"/>
      <c r="F5009" s="914">
        <f>SUMIF($L4933:$L5007,"PAGE",F4933:F5007)</f>
        <v>2530.2399999999998</v>
      </c>
      <c r="G5009" s="882"/>
      <c r="H5009" s="882"/>
      <c r="I5009" s="503"/>
      <c r="J5009" s="882"/>
      <c r="K5009" s="882"/>
      <c r="L5009" s="117" t="s">
        <v>918</v>
      </c>
      <c r="M5009" s="117"/>
      <c r="N5009" s="117"/>
      <c r="O5009" s="118"/>
      <c r="P5009" s="117"/>
      <c r="Q5009" s="50"/>
      <c r="R5009" s="914">
        <f>SUMIF($L4933:$L5007,"PAGE",R4933:R5007)</f>
        <v>2353.6999999999998</v>
      </c>
      <c r="S5009" s="50"/>
      <c r="T5009" s="914">
        <f>SUMIF($L4933:$L5007,"PAGE",T4933:T5007)</f>
        <v>0</v>
      </c>
    </row>
    <row r="5010" spans="1:37" s="504" customFormat="1" ht="12">
      <c r="A5010" s="50"/>
      <c r="B5010" s="48" t="s">
        <v>816</v>
      </c>
      <c r="C5010" s="50"/>
      <c r="D5010" s="913"/>
      <c r="F5010" s="915" t="s">
        <v>919</v>
      </c>
      <c r="G5010" s="882"/>
      <c r="H5010" s="882"/>
      <c r="I5010" s="503"/>
      <c r="J5010" s="882"/>
      <c r="K5010" s="882"/>
      <c r="L5010" s="50"/>
      <c r="M5010" s="50"/>
      <c r="N5010" s="50"/>
      <c r="O5010" s="51"/>
      <c r="P5010" s="50"/>
      <c r="Q5010" s="50"/>
      <c r="R5010" s="915" t="s">
        <v>920</v>
      </c>
      <c r="S5010" s="38"/>
      <c r="T5010" s="915" t="s">
        <v>921</v>
      </c>
    </row>
    <row r="5011" spans="1:37" s="504" customFormat="1" ht="11.4">
      <c r="O5011" s="893"/>
    </row>
    <row r="5012" spans="1:37" s="504" customFormat="1" ht="12" thickBot="1">
      <c r="A5012" s="887"/>
      <c r="B5012" s="887"/>
      <c r="C5012" s="887"/>
      <c r="D5012" s="887"/>
      <c r="E5012" s="887"/>
      <c r="F5012" s="39"/>
      <c r="G5012" s="514"/>
      <c r="H5012" s="514"/>
      <c r="I5012" s="514"/>
      <c r="J5012" s="514"/>
      <c r="K5012" s="514"/>
      <c r="L5012" s="887"/>
      <c r="M5012" s="887"/>
      <c r="N5012" s="887"/>
      <c r="O5012" s="887"/>
      <c r="P5012" s="887"/>
      <c r="Q5012" s="891"/>
      <c r="R5012" s="39"/>
      <c r="S5012" s="39"/>
      <c r="T5012" s="39"/>
      <c r="U5012" s="514"/>
      <c r="V5012" s="514"/>
      <c r="W5012" s="514"/>
      <c r="X5012" s="514"/>
      <c r="Y5012" s="514"/>
      <c r="Z5012" s="514"/>
      <c r="AA5012" s="514"/>
      <c r="AB5012" s="514"/>
      <c r="AC5012" s="514"/>
      <c r="AD5012" s="514"/>
      <c r="AE5012" s="514"/>
      <c r="AF5012" s="514"/>
      <c r="AG5012" s="514"/>
      <c r="AH5012" s="514"/>
      <c r="AI5012" s="514"/>
      <c r="AJ5012" s="514"/>
      <c r="AK5012" s="514"/>
    </row>
    <row r="5013" spans="1:37" s="504" customFormat="1" thickTop="1">
      <c r="A5013" s="906"/>
      <c r="B5013" s="906"/>
      <c r="C5013" s="907"/>
      <c r="D5013" s="907"/>
      <c r="E5013" s="906"/>
      <c r="F5013" s="906"/>
      <c r="G5013" s="906"/>
      <c r="H5013" s="906"/>
      <c r="I5013" s="906"/>
      <c r="J5013" s="906"/>
      <c r="K5013" s="906" t="s">
        <v>133</v>
      </c>
      <c r="L5013" s="906"/>
      <c r="M5013" s="906"/>
      <c r="N5013" s="906"/>
      <c r="O5013" s="908"/>
      <c r="P5013" s="906"/>
      <c r="Q5013" s="906"/>
      <c r="R5013" s="906"/>
      <c r="S5013" s="906"/>
      <c r="T5013" s="906"/>
    </row>
    <row r="5014" spans="1:37" s="504" customFormat="1" ht="12">
      <c r="A5014" s="906"/>
      <c r="B5014" s="906"/>
      <c r="C5014" s="906" t="s">
        <v>134</v>
      </c>
      <c r="D5014" s="909"/>
      <c r="E5014" s="906"/>
      <c r="F5014" s="906"/>
      <c r="G5014" s="906"/>
      <c r="H5014" s="906"/>
      <c r="I5014" s="906"/>
      <c r="J5014" s="906"/>
      <c r="K5014" s="906"/>
      <c r="L5014" s="906"/>
      <c r="M5014" s="906"/>
      <c r="N5014" s="906"/>
      <c r="O5014" s="908"/>
      <c r="P5014" s="906"/>
      <c r="Q5014" s="906"/>
      <c r="R5014" s="906"/>
      <c r="S5014" s="906"/>
      <c r="T5014" s="906"/>
    </row>
    <row r="5015" spans="1:37" s="504" customFormat="1" ht="12">
      <c r="A5015" s="906"/>
      <c r="B5015" s="906"/>
      <c r="C5015" s="906"/>
      <c r="D5015" s="909" t="s">
        <v>533</v>
      </c>
      <c r="E5015" s="906"/>
      <c r="F5015" s="906"/>
      <c r="G5015" s="906"/>
      <c r="H5015" s="906"/>
      <c r="I5015" s="906"/>
      <c r="J5015" s="906"/>
      <c r="K5015" s="906"/>
      <c r="L5015" s="906"/>
      <c r="M5015" s="906"/>
      <c r="N5015" s="906"/>
      <c r="O5015" s="908"/>
      <c r="P5015" s="906"/>
      <c r="Q5015" s="906"/>
      <c r="R5015" s="906"/>
      <c r="S5015" s="910"/>
      <c r="T5015" s="910"/>
    </row>
    <row r="5016" spans="1:37" s="3" customFormat="1" thickBot="1">
      <c r="A5016" s="911"/>
      <c r="B5016" s="907"/>
      <c r="C5016" s="907"/>
      <c r="D5016" s="907"/>
      <c r="E5016" s="907"/>
      <c r="F5016" s="907"/>
      <c r="G5016" s="907"/>
      <c r="H5016" s="907"/>
      <c r="I5016" s="907"/>
      <c r="J5016" s="907"/>
      <c r="K5016" s="907"/>
      <c r="L5016" s="907"/>
      <c r="M5016" s="907"/>
      <c r="N5016" s="907"/>
      <c r="O5016" s="912"/>
      <c r="P5016" s="907"/>
      <c r="Q5016" s="907"/>
      <c r="R5016" s="907"/>
      <c r="S5016" s="907"/>
      <c r="T5016" s="907"/>
    </row>
    <row r="5017" spans="1:37" s="504" customFormat="1" thickTop="1">
      <c r="A5017" s="50"/>
      <c r="B5017" s="50"/>
      <c r="C5017" s="3"/>
      <c r="D5017" s="3"/>
      <c r="E5017" s="50"/>
      <c r="F5017" s="50"/>
      <c r="G5017" s="50"/>
      <c r="H5017" s="50"/>
      <c r="I5017" s="50"/>
      <c r="J5017" s="50"/>
      <c r="K5017" s="50" t="s">
        <v>133</v>
      </c>
      <c r="L5017" s="50"/>
      <c r="M5017" s="50"/>
      <c r="N5017" s="50"/>
      <c r="O5017" s="51"/>
      <c r="P5017" s="50"/>
      <c r="Q5017" s="50"/>
      <c r="R5017" s="50"/>
      <c r="S5017" s="50"/>
      <c r="T5017" s="50"/>
    </row>
    <row r="5018" spans="1:37" s="504" customFormat="1" ht="12">
      <c r="A5018" s="50"/>
      <c r="B5018" s="50"/>
      <c r="C5018" s="50" t="s">
        <v>134</v>
      </c>
      <c r="D5018" s="37"/>
      <c r="E5018" s="50"/>
      <c r="F5018" s="50"/>
      <c r="G5018" s="50"/>
      <c r="H5018" s="50"/>
      <c r="I5018" s="50"/>
      <c r="J5018" s="50"/>
      <c r="K5018" s="50"/>
      <c r="L5018" s="50"/>
      <c r="M5018" s="50"/>
      <c r="N5018" s="50"/>
      <c r="O5018" s="51"/>
      <c r="P5018" s="50"/>
      <c r="Q5018" s="50"/>
      <c r="R5018" s="50"/>
      <c r="S5018" s="50"/>
      <c r="T5018" s="50"/>
    </row>
    <row r="5019" spans="1:37" s="504" customFormat="1" ht="12">
      <c r="A5019" s="50"/>
      <c r="B5019" s="50"/>
      <c r="C5019" s="50"/>
      <c r="D5019" s="37" t="s">
        <v>509</v>
      </c>
      <c r="E5019" s="50"/>
      <c r="F5019" s="50"/>
      <c r="G5019" s="50"/>
      <c r="H5019" s="50"/>
      <c r="I5019" s="50"/>
      <c r="J5019" s="50"/>
      <c r="K5019" s="50"/>
      <c r="L5019" s="50"/>
      <c r="M5019" s="50"/>
      <c r="N5019" s="50"/>
      <c r="O5019" s="51"/>
      <c r="P5019" s="50"/>
      <c r="Q5019" s="50"/>
      <c r="R5019" s="50"/>
      <c r="S5019" s="38"/>
      <c r="T5019" s="38"/>
    </row>
    <row r="5020" spans="1:37" s="3" customFormat="1" thickBot="1">
      <c r="A5020" s="514"/>
      <c r="O5020" s="103"/>
    </row>
    <row r="5021" spans="1:37" s="504" customFormat="1" thickTop="1">
      <c r="A5021" s="50"/>
      <c r="B5021" s="50"/>
      <c r="C5021" s="3"/>
      <c r="D5021" s="3"/>
      <c r="E5021" s="50"/>
      <c r="F5021" s="50"/>
      <c r="G5021" s="50"/>
      <c r="H5021" s="50"/>
      <c r="I5021" s="50"/>
      <c r="J5021" s="50"/>
      <c r="K5021" s="50" t="s">
        <v>133</v>
      </c>
      <c r="L5021" s="50"/>
      <c r="M5021" s="50"/>
      <c r="N5021" s="50"/>
      <c r="O5021" s="51"/>
      <c r="P5021" s="50"/>
      <c r="Q5021" s="50"/>
      <c r="R5021" s="50"/>
      <c r="S5021" s="50"/>
      <c r="T5021" s="50"/>
    </row>
    <row r="5022" spans="1:37" s="504" customFormat="1" ht="12">
      <c r="A5022" s="50"/>
      <c r="B5022" s="50"/>
      <c r="C5022" s="50" t="s">
        <v>134</v>
      </c>
      <c r="D5022" s="37"/>
      <c r="E5022" s="50"/>
      <c r="F5022" s="50"/>
      <c r="G5022" s="50"/>
      <c r="H5022" s="50"/>
      <c r="I5022" s="50"/>
      <c r="J5022" s="50"/>
      <c r="K5022" s="50"/>
      <c r="L5022" s="50"/>
      <c r="M5022" s="50"/>
      <c r="N5022" s="50"/>
      <c r="O5022" s="51"/>
      <c r="P5022" s="50"/>
      <c r="Q5022" s="50"/>
      <c r="R5022" s="50"/>
      <c r="S5022" s="50"/>
      <c r="T5022" s="50"/>
    </row>
    <row r="5023" spans="1:37" s="504" customFormat="1" ht="12">
      <c r="A5023" s="50"/>
      <c r="B5023" s="50"/>
      <c r="C5023" s="50"/>
      <c r="D5023" s="37" t="s">
        <v>510</v>
      </c>
      <c r="E5023" s="50"/>
      <c r="F5023" s="50"/>
      <c r="G5023" s="50"/>
      <c r="H5023" s="50"/>
      <c r="I5023" s="50"/>
      <c r="J5023" s="50"/>
      <c r="K5023" s="50"/>
      <c r="L5023" s="50"/>
      <c r="M5023" s="50"/>
      <c r="N5023" s="50"/>
      <c r="O5023" s="51"/>
      <c r="P5023" s="50"/>
      <c r="Q5023" s="50"/>
      <c r="R5023" s="50"/>
      <c r="S5023" s="38"/>
      <c r="T5023" s="38"/>
    </row>
    <row r="5024" spans="1:37" s="3" customFormat="1" thickBot="1">
      <c r="A5024" s="514"/>
      <c r="O5024" s="103"/>
    </row>
    <row r="5025" spans="1:41" s="504" customFormat="1" thickTop="1">
      <c r="A5025" s="50"/>
      <c r="B5025" s="40"/>
      <c r="C5025" s="50"/>
      <c r="E5025" s="41" t="s">
        <v>136</v>
      </c>
      <c r="F5025" s="41" t="s">
        <v>137</v>
      </c>
      <c r="G5025" s="50"/>
      <c r="H5025" s="50"/>
      <c r="I5025" s="50"/>
      <c r="J5025" s="50"/>
      <c r="K5025" s="50" t="s">
        <v>138</v>
      </c>
      <c r="L5025" s="1219"/>
      <c r="M5025" s="50"/>
      <c r="N5025" s="50"/>
      <c r="O5025" s="51"/>
      <c r="P5025" s="50"/>
      <c r="Q5025"/>
      <c r="R5025"/>
      <c r="S5025"/>
      <c r="T5025" s="40"/>
      <c r="AG5025" s="867" t="s">
        <v>241</v>
      </c>
      <c r="AH5025" s="867" t="s">
        <v>242</v>
      </c>
      <c r="AI5025" s="867" t="s">
        <v>243</v>
      </c>
      <c r="AJ5025" s="867" t="s">
        <v>244</v>
      </c>
      <c r="AK5025" s="867" t="s">
        <v>245</v>
      </c>
      <c r="AM5025" s="868" t="s">
        <v>254</v>
      </c>
      <c r="AN5025" s="869" t="s">
        <v>255</v>
      </c>
      <c r="AO5025" s="505" t="s">
        <v>251</v>
      </c>
    </row>
    <row r="5026" spans="1:41" s="504" customFormat="1" ht="13.2">
      <c r="A5026" s="870">
        <v>2</v>
      </c>
      <c r="B5026" s="506" t="s">
        <v>335</v>
      </c>
      <c r="C5026" s="872"/>
      <c r="D5026" s="873" t="s">
        <v>803</v>
      </c>
      <c r="E5026" s="1220">
        <f>IF(AND($A5026=0,$A$1="DIF"),0, ROUND(ROUND(SUMIF($L5028:$L5034,"SUBI",$E5028:$E5034)/$A5026,2)*$C$12,2))</f>
        <v>66.709999999999994</v>
      </c>
      <c r="F5026" s="1221">
        <f>ROUND($A5026*$E5026,2)</f>
        <v>133.41999999999999</v>
      </c>
      <c r="G5026" s="876" t="s">
        <v>139</v>
      </c>
      <c r="H5026" s="877"/>
      <c r="I5026" s="878"/>
      <c r="J5026" s="877"/>
      <c r="K5026" s="1222"/>
      <c r="L5026" s="1223" t="s">
        <v>140</v>
      </c>
      <c r="M5026" s="879"/>
      <c r="N5026" s="879"/>
      <c r="O5026" s="879"/>
      <c r="P5026" s="879"/>
      <c r="Q5026"/>
      <c r="R5026"/>
      <c r="S5026"/>
      <c r="T5026" s="1224" t="str">
        <f>IF(AND($R5040=0,$T5040=0),"0.00","mu :" &amp; ROUND($F5026/$C$12/($R5040+$T5040*$D$9),2))</f>
        <v>mu :1.19</v>
      </c>
      <c r="W5026" s="507"/>
      <c r="AG5026" s="1225">
        <f>IF(A5026=0,0,ROUND(SUM(AG5028:AG5040)/A5026,2))</f>
        <v>26.82</v>
      </c>
      <c r="AH5026" s="1225">
        <f>$AG5026*$A5026</f>
        <v>53.64</v>
      </c>
      <c r="AI5026" s="1225">
        <f>$E5026-$AG5026</f>
        <v>39.889999999999993</v>
      </c>
      <c r="AJ5026" s="1225">
        <f>$A5026*$AI5026</f>
        <v>79.779999999999987</v>
      </c>
      <c r="AK5026" s="1226">
        <f>ROUND(($AG5026+$AI5026)*$A5026,2)</f>
        <v>133.41999999999999</v>
      </c>
      <c r="AM5026" s="510">
        <f>ROUND(R5040,2)</f>
        <v>46.92</v>
      </c>
      <c r="AN5026" s="511">
        <f>ROUND(T5040,2)</f>
        <v>2.27</v>
      </c>
      <c r="AO5026" s="512">
        <f>ROUND(AM5026+AN5026,2)*A5026</f>
        <v>98.38</v>
      </c>
    </row>
    <row r="5027" spans="1:41" s="504" customFormat="1" ht="13.2">
      <c r="A5027" s="872"/>
      <c r="B5027"/>
      <c r="C5027" s="872"/>
      <c r="D5027" s="873" t="s">
        <v>534</v>
      </c>
      <c r="F5027" s="877"/>
      <c r="G5027" s="877"/>
      <c r="H5027" s="877"/>
      <c r="I5027" s="878"/>
      <c r="J5027" s="877"/>
      <c r="K5027" s="877" t="s">
        <v>141</v>
      </c>
      <c r="L5027" s="1227"/>
      <c r="M5027" s="877"/>
      <c r="N5027" s="877"/>
      <c r="O5027" s="877"/>
      <c r="P5027" s="877"/>
      <c r="Q5027" s="50"/>
      <c r="R5027" s="513"/>
      <c r="S5027" s="881"/>
      <c r="T5027" s="877"/>
    </row>
    <row r="5028" spans="1:41" s="504" customFormat="1" ht="12">
      <c r="A5028" s="1228"/>
      <c r="B5028" s="1229"/>
      <c r="C5028" s="882"/>
      <c r="D5028" s="877"/>
      <c r="E5028" s="1230">
        <f>F5026/$C$12-SUMIF($L5025:$L5040,"SUBI",$E5025:$E5040)</f>
        <v>0</v>
      </c>
      <c r="F5028" s="1231" t="s">
        <v>1472</v>
      </c>
      <c r="G5028" s="1232"/>
      <c r="H5028" s="1232"/>
      <c r="I5028" s="1233"/>
      <c r="J5028" s="1232"/>
      <c r="K5028" s="1232"/>
      <c r="L5028" s="1234"/>
      <c r="M5028" s="1235"/>
      <c r="N5028" s="1235"/>
      <c r="O5028" s="1235"/>
      <c r="P5028" s="1235"/>
      <c r="Q5028" s="1236"/>
      <c r="R5028" s="1237"/>
      <c r="S5028" s="1236"/>
      <c r="T5028" s="1238"/>
    </row>
    <row r="5029" spans="1:41" s="504" customFormat="1" ht="12" customHeight="1">
      <c r="A5029" s="1239"/>
      <c r="B5029" s="1291"/>
      <c r="C5029" s="1292"/>
      <c r="D5029" s="1292" t="str">
        <f>$F$6</f>
        <v>ELV Sub-Contractor - DATA</v>
      </c>
      <c r="E5029" s="1292">
        <f>ROUND(($R5033*$S$6 + ($T5033*$T$6)),2)</f>
        <v>33</v>
      </c>
      <c r="F5029" s="1293">
        <f>$E5029*$C$12</f>
        <v>33</v>
      </c>
      <c r="G5029" s="513"/>
      <c r="H5029" s="1241"/>
      <c r="I5029" s="513"/>
      <c r="J5029" s="51"/>
      <c r="K5029" s="1242" t="s">
        <v>10</v>
      </c>
      <c r="L5029" s="1243" t="s">
        <v>1473</v>
      </c>
      <c r="M5029" s="513"/>
      <c r="N5029" s="513"/>
      <c r="O5029" s="51"/>
      <c r="P5029" s="513"/>
      <c r="Q5029" s="513"/>
      <c r="R5029"/>
      <c r="S5029"/>
      <c r="T5029"/>
    </row>
    <row r="5030" spans="1:41" s="504" customFormat="1" ht="13.95" customHeight="1">
      <c r="A5030" s="930"/>
      <c r="B5030" s="1244" t="s">
        <v>1474</v>
      </c>
      <c r="C5030" s="513"/>
      <c r="D5030" s="513"/>
      <c r="E5030" s="513"/>
      <c r="F5030" s="513"/>
      <c r="G5030" s="513"/>
      <c r="H5030" s="1241"/>
      <c r="I5030" s="513"/>
      <c r="J5030" s="51"/>
      <c r="K5030" s="1245"/>
      <c r="L5030" s="1246"/>
      <c r="M5030" s="513"/>
      <c r="N5030" s="513"/>
      <c r="O5030" s="51"/>
      <c r="P5030" s="513"/>
      <c r="Q5030" s="513"/>
      <c r="R5030" s="1247">
        <f>$A5030*Q5030</f>
        <v>0</v>
      </c>
      <c r="S5030" s="513"/>
      <c r="T5030" s="884">
        <f>$A5030*S5030*$T$1</f>
        <v>0</v>
      </c>
    </row>
    <row r="5031" spans="1:41" s="1039" customFormat="1" ht="13.2">
      <c r="A5031" s="112">
        <v>2</v>
      </c>
      <c r="B5031" s="1039" t="s">
        <v>949</v>
      </c>
      <c r="D5031" s="1039" t="s">
        <v>534</v>
      </c>
      <c r="G5031" s="1040" t="s">
        <v>1462</v>
      </c>
      <c r="H5031" s="1041">
        <v>821</v>
      </c>
      <c r="I5031" s="1039" t="s">
        <v>951</v>
      </c>
      <c r="O5031" s="1042">
        <v>3</v>
      </c>
      <c r="P5031" s="1043"/>
      <c r="Q5031" s="1044">
        <v>15</v>
      </c>
      <c r="R5031" s="1045">
        <f>$A5031*Q5031</f>
        <v>30</v>
      </c>
      <c r="S5031" s="1044"/>
      <c r="T5031" s="1046">
        <f>$A5031*S5031*$T$1</f>
        <v>0</v>
      </c>
    </row>
    <row r="5032" spans="1:41" s="504" customFormat="1" ht="13.95" customHeight="1">
      <c r="A5032" s="930"/>
      <c r="B5032" s="513"/>
      <c r="C5032" s="513"/>
      <c r="D5032" s="513"/>
      <c r="E5032" s="513"/>
      <c r="F5032" s="513"/>
      <c r="G5032" s="513"/>
      <c r="H5032" s="1241"/>
      <c r="I5032" s="513"/>
      <c r="J5032" s="51"/>
      <c r="K5032" s="1245"/>
      <c r="L5032" s="1246"/>
      <c r="M5032" s="513"/>
      <c r="N5032" s="513"/>
      <c r="O5032" s="51"/>
      <c r="P5032" s="513"/>
      <c r="Q5032" s="513"/>
      <c r="R5032" s="1247">
        <f>$A5032*Q5032</f>
        <v>0</v>
      </c>
      <c r="S5032" s="513"/>
      <c r="T5032" s="884">
        <f>$A5032*S5032*$T$1</f>
        <v>0</v>
      </c>
    </row>
    <row r="5033" spans="1:41" s="504" customFormat="1" ht="12">
      <c r="A5033" s="1248" t="s">
        <v>142</v>
      </c>
      <c r="B5033" s="1249">
        <f>(R5032+T5032)</f>
        <v>0</v>
      </c>
      <c r="C5033" s="882"/>
      <c r="G5033" s="1250"/>
      <c r="H5033" s="1250"/>
      <c r="I5033" s="1250"/>
      <c r="J5033" s="1250"/>
      <c r="K5033" s="1251" t="s">
        <v>10</v>
      </c>
      <c r="L5033" s="1252" t="s">
        <v>1473</v>
      </c>
      <c r="M5033" s="1250"/>
      <c r="N5033" s="1250"/>
      <c r="O5033" s="1250"/>
      <c r="P5033" s="1250"/>
      <c r="Q5033" s="1253"/>
      <c r="R5033" s="1254">
        <f>SUM(R5029:R5032)</f>
        <v>30</v>
      </c>
      <c r="S5033" s="1255"/>
      <c r="T5033" s="1254">
        <f>SUM(T5029:T5032)</f>
        <v>0</v>
      </c>
      <c r="AG5033" s="1294">
        <f>ROUND($R5033*$S$6,2)</f>
        <v>33</v>
      </c>
    </row>
    <row r="5034" spans="1:41" s="504" customFormat="1" ht="12" customHeight="1">
      <c r="A5034" s="1257"/>
      <c r="B5034" s="1289"/>
      <c r="C5034" s="1240"/>
      <c r="D5034" s="1240" t="str">
        <f>$F$2</f>
        <v>Electrical</v>
      </c>
      <c r="E5034" s="1240">
        <f>ROUND(($R5038*$S$2 + ($T5038*$T$2)),2)</f>
        <v>100.42</v>
      </c>
      <c r="F5034" s="1290">
        <f ca="1">$F5026-SUMIF($L5028:$P5031,"SUBI",$F5028:$F5031)</f>
        <v>100.41999999999999</v>
      </c>
      <c r="G5034" s="503"/>
      <c r="H5034" s="503"/>
      <c r="I5034" s="503"/>
      <c r="J5034" s="503"/>
      <c r="K5034" s="1242" t="s">
        <v>3</v>
      </c>
      <c r="L5034" s="1243" t="s">
        <v>1473</v>
      </c>
      <c r="M5034" s="503"/>
      <c r="N5034" s="503"/>
      <c r="O5034" s="503"/>
      <c r="P5034" s="503"/>
      <c r="Q5034" s="503"/>
      <c r="R5034" s="1258"/>
      <c r="S5034" s="503"/>
      <c r="T5034" s="1258"/>
    </row>
    <row r="5035" spans="1:41" s="1271" customFormat="1" ht="14.4" customHeight="1">
      <c r="A5035" s="1259"/>
      <c r="B5035" s="1244" t="s">
        <v>1475</v>
      </c>
      <c r="C5035" s="1260"/>
      <c r="D5035" s="1261"/>
      <c r="E5035" s="1261"/>
      <c r="F5035" s="1261"/>
      <c r="G5035" s="1262"/>
      <c r="H5035" s="1263"/>
      <c r="I5035" s="1263"/>
      <c r="J5035" s="1264"/>
      <c r="K5035" s="1265"/>
      <c r="L5035" s="1260"/>
      <c r="M5035" s="1266"/>
      <c r="N5035" s="1267"/>
      <c r="O5035" s="1268"/>
      <c r="P5035" s="1269"/>
      <c r="Q5035" s="1270"/>
      <c r="R5035" s="1247">
        <f>$A5035*Q5035</f>
        <v>0</v>
      </c>
      <c r="S5035" s="513"/>
      <c r="T5035" s="884">
        <f>$A5035*S5035*$T$1</f>
        <v>0</v>
      </c>
    </row>
    <row r="5036" spans="1:41" s="1039" customFormat="1" ht="13.2">
      <c r="A5036" s="112">
        <f>2*6</f>
        <v>12</v>
      </c>
      <c r="B5036" s="1039" t="s">
        <v>326</v>
      </c>
      <c r="D5036" s="1039" t="s">
        <v>1224</v>
      </c>
      <c r="G5036" s="1040" t="s">
        <v>1221</v>
      </c>
      <c r="H5036" s="1041">
        <v>700</v>
      </c>
      <c r="I5036" s="1039" t="s">
        <v>1132</v>
      </c>
      <c r="J5036" s="1039" t="s">
        <v>1222</v>
      </c>
      <c r="O5036" s="1042">
        <v>1</v>
      </c>
      <c r="P5036" s="1043">
        <v>42213</v>
      </c>
      <c r="Q5036" s="1044">
        <v>1.41</v>
      </c>
      <c r="R5036" s="1045">
        <f>$A5036*Q5036</f>
        <v>16.919999999999998</v>
      </c>
      <c r="S5036" s="1044">
        <v>0.18</v>
      </c>
      <c r="T5036" s="1046">
        <f>$A5036*S5036*$T$1</f>
        <v>2.2680000000000002</v>
      </c>
    </row>
    <row r="5037" spans="1:41" s="504" customFormat="1" ht="13.2">
      <c r="A5037" s="930"/>
      <c r="B5037" s="513"/>
      <c r="C5037" s="513"/>
      <c r="D5037" s="3"/>
      <c r="E5037" s="513"/>
      <c r="F5037" s="513"/>
      <c r="G5037" s="513"/>
      <c r="H5037" s="513"/>
      <c r="I5037" s="513"/>
      <c r="J5037" s="513"/>
      <c r="K5037" s="513"/>
      <c r="L5037" s="1246"/>
      <c r="M5037" s="513"/>
      <c r="N5037" s="513"/>
      <c r="O5037" s="513"/>
      <c r="P5037" s="513"/>
      <c r="Q5037" s="513"/>
      <c r="R5037" s="1247">
        <f>$A5037*Q5037</f>
        <v>0</v>
      </c>
      <c r="S5037" s="513"/>
      <c r="T5037" s="884">
        <f>$A5037*S5037*$T$1</f>
        <v>0</v>
      </c>
    </row>
    <row r="5038" spans="1:41" s="504" customFormat="1" ht="12" customHeight="1">
      <c r="A5038" s="1272" t="s">
        <v>142</v>
      </c>
      <c r="B5038" s="1273">
        <f>(R5037+T5037)</f>
        <v>0</v>
      </c>
      <c r="C5038" s="1274"/>
      <c r="D5038" s="1274"/>
      <c r="E5038" s="1274"/>
      <c r="F5038" s="1274"/>
      <c r="G5038" s="1253"/>
      <c r="H5038" s="1253"/>
      <c r="I5038" s="1253"/>
      <c r="J5038" s="1253"/>
      <c r="K5038" s="1275" t="s">
        <v>3</v>
      </c>
      <c r="L5038" s="1276" t="s">
        <v>1473</v>
      </c>
      <c r="M5038" s="1253"/>
      <c r="N5038" s="1253"/>
      <c r="O5038" s="1253"/>
      <c r="P5038" s="1253"/>
      <c r="Q5038" s="1253"/>
      <c r="R5038" s="1254">
        <f>SUM(R5034:R5037)</f>
        <v>16.919999999999998</v>
      </c>
      <c r="S5038" s="1255"/>
      <c r="T5038" s="1254">
        <f>SUM(T5034:T5037)</f>
        <v>2.2680000000000002</v>
      </c>
      <c r="AG5038" s="1256">
        <f>ROUND($R5038*$S$2,2)</f>
        <v>20.64</v>
      </c>
    </row>
    <row r="5039" spans="1:41" s="504" customFormat="1" ht="12.75" customHeight="1">
      <c r="A5039" s="1277"/>
      <c r="B5039" s="1278"/>
      <c r="E5039" s="882"/>
      <c r="F5039" s="1279"/>
      <c r="G5039" s="882"/>
      <c r="H5039" s="882"/>
      <c r="I5039" s="503"/>
      <c r="J5039" s="882"/>
      <c r="K5039" s="882"/>
      <c r="L5039" s="1280"/>
      <c r="M5039" s="933"/>
      <c r="N5039" s="933"/>
      <c r="O5039" s="933"/>
      <c r="P5039" s="933"/>
      <c r="Q5039" s="900"/>
      <c r="R5039" s="1258"/>
      <c r="S5039" s="882"/>
      <c r="T5039" s="1258"/>
    </row>
    <row r="5040" spans="1:41" s="504" customFormat="1" ht="13.5" customHeight="1" thickBot="1">
      <c r="A5040" s="1281"/>
      <c r="B5040" s="1282"/>
      <c r="C5040" s="514"/>
      <c r="D5040" s="514"/>
      <c r="E5040" s="887"/>
      <c r="F5040" s="888"/>
      <c r="G5040" s="887" t="s">
        <v>143</v>
      </c>
      <c r="H5040" s="887"/>
      <c r="I5040" s="889"/>
      <c r="J5040" s="887"/>
      <c r="K5040" s="887"/>
      <c r="L5040" s="1283" t="s">
        <v>140</v>
      </c>
      <c r="M5040" s="890"/>
      <c r="N5040" s="890"/>
      <c r="O5040" s="890"/>
      <c r="P5040" s="890"/>
      <c r="Q5040" s="891"/>
      <c r="R5040" s="1284">
        <f>SUMIF($L5027:$L5039,"SUBI",R5027:R5039)</f>
        <v>46.92</v>
      </c>
      <c r="S5040" s="887"/>
      <c r="T5040" s="1284">
        <f>SUMIF($L5027:$L5039,"SUBI",T5027:T5039)</f>
        <v>2.2680000000000002</v>
      </c>
      <c r="U5040" s="514"/>
      <c r="V5040" s="514"/>
      <c r="W5040" s="514"/>
      <c r="X5040" s="514"/>
      <c r="Y5040" s="514"/>
      <c r="Z5040" s="514"/>
      <c r="AA5040" s="514"/>
      <c r="AB5040" s="514"/>
      <c r="AC5040" s="514"/>
      <c r="AD5040" s="514"/>
      <c r="AE5040" s="514"/>
      <c r="AF5040" s="514"/>
      <c r="AG5040" s="514"/>
      <c r="AH5040" s="514"/>
      <c r="AI5040" s="514"/>
      <c r="AJ5040" s="514"/>
      <c r="AK5040" s="514"/>
      <c r="AL5040" s="514"/>
      <c r="AM5040" s="514"/>
      <c r="AN5040" s="514"/>
      <c r="AO5040" s="514"/>
    </row>
    <row r="5041" spans="1:41" s="504" customFormat="1" thickTop="1">
      <c r="A5041" s="50"/>
      <c r="B5041" s="40"/>
      <c r="C5041" s="50"/>
      <c r="E5041" s="41" t="s">
        <v>136</v>
      </c>
      <c r="F5041" s="41" t="s">
        <v>137</v>
      </c>
      <c r="G5041" s="50"/>
      <c r="H5041" s="50"/>
      <c r="I5041" s="50"/>
      <c r="J5041" s="50"/>
      <c r="K5041" s="50" t="s">
        <v>138</v>
      </c>
      <c r="L5041" s="1219"/>
      <c r="M5041" s="50"/>
      <c r="N5041" s="50"/>
      <c r="O5041" s="51"/>
      <c r="P5041" s="50"/>
      <c r="Q5041"/>
      <c r="R5041"/>
      <c r="S5041"/>
      <c r="T5041" s="40"/>
      <c r="AG5041" s="867" t="s">
        <v>241</v>
      </c>
      <c r="AH5041" s="867" t="s">
        <v>242</v>
      </c>
      <c r="AI5041" s="867" t="s">
        <v>243</v>
      </c>
      <c r="AJ5041" s="867" t="s">
        <v>244</v>
      </c>
      <c r="AK5041" s="867" t="s">
        <v>245</v>
      </c>
      <c r="AM5041" s="868" t="s">
        <v>254</v>
      </c>
      <c r="AN5041" s="869" t="s">
        <v>255</v>
      </c>
      <c r="AO5041" s="505" t="s">
        <v>251</v>
      </c>
    </row>
    <row r="5042" spans="1:41" s="504" customFormat="1" ht="13.2">
      <c r="A5042" s="870">
        <v>1</v>
      </c>
      <c r="B5042" s="506" t="s">
        <v>335</v>
      </c>
      <c r="C5042" s="872"/>
      <c r="D5042" s="873" t="s">
        <v>814</v>
      </c>
      <c r="E5042" s="1220">
        <f>IF(AND($A5042=0,$A$1="DIF"),0, ROUND(ROUND(SUMIF($L5044:$L5050,"SUBI",$E5044:$E5050)/$A5042,2)*$C$12,2))</f>
        <v>77.709999999999994</v>
      </c>
      <c r="F5042" s="1221">
        <f>ROUND($A5042*$E5042,2)</f>
        <v>77.709999999999994</v>
      </c>
      <c r="G5042" s="876" t="s">
        <v>139</v>
      </c>
      <c r="H5042" s="877"/>
      <c r="I5042" s="878"/>
      <c r="J5042" s="877"/>
      <c r="K5042" s="1222"/>
      <c r="L5042" s="1223" t="s">
        <v>140</v>
      </c>
      <c r="M5042" s="879"/>
      <c r="N5042" s="879"/>
      <c r="O5042" s="879"/>
      <c r="P5042" s="879"/>
      <c r="Q5042"/>
      <c r="R5042"/>
      <c r="S5042"/>
      <c r="T5042" s="1224" t="str">
        <f>IF(AND($R5056=0,$T5056=0),"0.00","mu :" &amp; ROUND($F5042/$C$12/($R5056+$T5056*$D$9),2))</f>
        <v>mu :1.17</v>
      </c>
      <c r="W5042" s="507"/>
      <c r="AG5042" s="1225">
        <f>IF(A5042=0,0,ROUND(SUM(AG5044:AG5056)/A5042,2))</f>
        <v>37.82</v>
      </c>
      <c r="AH5042" s="1225">
        <f>$AG5042*$A5042</f>
        <v>37.82</v>
      </c>
      <c r="AI5042" s="1225">
        <f>$E5042-$AG5042</f>
        <v>39.889999999999993</v>
      </c>
      <c r="AJ5042" s="1225">
        <f>$A5042*$AI5042</f>
        <v>39.889999999999993</v>
      </c>
      <c r="AK5042" s="1226">
        <f>ROUND(($AG5042+$AI5042)*$A5042,2)</f>
        <v>77.709999999999994</v>
      </c>
      <c r="AM5042" s="510">
        <f>ROUND(R5056,2)</f>
        <v>33.46</v>
      </c>
      <c r="AN5042" s="511">
        <f>ROUND(T5056,2)</f>
        <v>1.1299999999999999</v>
      </c>
      <c r="AO5042" s="512">
        <f>ROUND(AM5042+AN5042,2)*A5042</f>
        <v>34.590000000000003</v>
      </c>
    </row>
    <row r="5043" spans="1:41" s="504" customFormat="1" ht="13.2">
      <c r="A5043" s="872"/>
      <c r="B5043"/>
      <c r="C5043" s="872"/>
      <c r="D5043" s="873" t="s">
        <v>535</v>
      </c>
      <c r="F5043" s="877"/>
      <c r="G5043" s="877"/>
      <c r="H5043" s="877"/>
      <c r="I5043" s="878"/>
      <c r="J5043" s="877"/>
      <c r="K5043" s="877" t="s">
        <v>141</v>
      </c>
      <c r="L5043" s="1227"/>
      <c r="M5043" s="877"/>
      <c r="N5043" s="877"/>
      <c r="O5043" s="877"/>
      <c r="P5043" s="877"/>
      <c r="Q5043" s="50"/>
      <c r="R5043" s="513"/>
      <c r="S5043" s="881"/>
      <c r="T5043" s="877"/>
    </row>
    <row r="5044" spans="1:41" s="504" customFormat="1" ht="12">
      <c r="A5044" s="1228"/>
      <c r="B5044" s="1229"/>
      <c r="C5044" s="882"/>
      <c r="D5044" s="877"/>
      <c r="E5044" s="1230">
        <f>F5042/$C$12-SUMIF($L5041:$L5056,"SUBI",$E5041:$E5056)</f>
        <v>0</v>
      </c>
      <c r="F5044" s="1231" t="s">
        <v>1472</v>
      </c>
      <c r="G5044" s="1232"/>
      <c r="H5044" s="1232"/>
      <c r="I5044" s="1233"/>
      <c r="J5044" s="1232"/>
      <c r="K5044" s="1232"/>
      <c r="L5044" s="1234"/>
      <c r="M5044" s="1235"/>
      <c r="N5044" s="1235"/>
      <c r="O5044" s="1235"/>
      <c r="P5044" s="1235"/>
      <c r="Q5044" s="1236"/>
      <c r="R5044" s="1237"/>
      <c r="S5044" s="1236"/>
      <c r="T5044" s="1238"/>
    </row>
    <row r="5045" spans="1:41" s="504" customFormat="1" ht="12" customHeight="1">
      <c r="A5045" s="1239"/>
      <c r="B5045" s="1291"/>
      <c r="C5045" s="1292"/>
      <c r="D5045" s="1292" t="str">
        <f>$F$6</f>
        <v>ELV Sub-Contractor - DATA</v>
      </c>
      <c r="E5045" s="1292">
        <f>ROUND(($R5049*$S$6 + ($T5049*$T$6)),2)</f>
        <v>27.5</v>
      </c>
      <c r="F5045" s="1293">
        <f>$E5045*$C$12</f>
        <v>27.5</v>
      </c>
      <c r="G5045" s="513"/>
      <c r="H5045" s="1241"/>
      <c r="I5045" s="513"/>
      <c r="J5045" s="51"/>
      <c r="K5045" s="1242" t="s">
        <v>10</v>
      </c>
      <c r="L5045" s="1243" t="s">
        <v>1473</v>
      </c>
      <c r="M5045" s="513"/>
      <c r="N5045" s="513"/>
      <c r="O5045" s="51"/>
      <c r="P5045" s="513"/>
      <c r="Q5045" s="513"/>
      <c r="R5045"/>
      <c r="S5045"/>
      <c r="T5045"/>
    </row>
    <row r="5046" spans="1:41" s="504" customFormat="1" ht="13.95" customHeight="1">
      <c r="A5046" s="930"/>
      <c r="B5046" s="1244" t="s">
        <v>1474</v>
      </c>
      <c r="C5046" s="513"/>
      <c r="D5046" s="513"/>
      <c r="E5046" s="513"/>
      <c r="F5046" s="513"/>
      <c r="G5046" s="513"/>
      <c r="H5046" s="1241"/>
      <c r="I5046" s="513"/>
      <c r="J5046" s="51"/>
      <c r="K5046" s="1245"/>
      <c r="L5046" s="1246"/>
      <c r="M5046" s="513"/>
      <c r="N5046" s="513"/>
      <c r="O5046" s="51"/>
      <c r="P5046" s="513"/>
      <c r="Q5046" s="513"/>
      <c r="R5046" s="1247">
        <f>$A5046*Q5046</f>
        <v>0</v>
      </c>
      <c r="S5046" s="513"/>
      <c r="T5046" s="884">
        <f>$A5046*S5046*$T$1</f>
        <v>0</v>
      </c>
    </row>
    <row r="5047" spans="1:41" s="1039" customFormat="1" ht="12.6" customHeight="1">
      <c r="A5047" s="112">
        <v>1</v>
      </c>
      <c r="B5047" s="1039" t="s">
        <v>949</v>
      </c>
      <c r="D5047" s="1039" t="s">
        <v>535</v>
      </c>
      <c r="G5047" s="1040" t="s">
        <v>1462</v>
      </c>
      <c r="H5047" s="1041">
        <v>821</v>
      </c>
      <c r="I5047" s="1039" t="s">
        <v>951</v>
      </c>
      <c r="O5047" s="1042">
        <v>3</v>
      </c>
      <c r="P5047" s="1043"/>
      <c r="Q5047" s="1044">
        <v>25</v>
      </c>
      <c r="R5047" s="1045">
        <f>$A5047*Q5047</f>
        <v>25</v>
      </c>
      <c r="S5047" s="1044"/>
      <c r="T5047" s="1046">
        <f>$A5047*S5047*$T$1</f>
        <v>0</v>
      </c>
    </row>
    <row r="5048" spans="1:41" s="504" customFormat="1" ht="13.95" customHeight="1">
      <c r="A5048" s="930"/>
      <c r="B5048" s="513"/>
      <c r="C5048" s="513"/>
      <c r="D5048" s="513"/>
      <c r="E5048" s="513"/>
      <c r="F5048" s="513"/>
      <c r="G5048" s="513"/>
      <c r="H5048" s="1241"/>
      <c r="I5048" s="513"/>
      <c r="J5048" s="51"/>
      <c r="K5048" s="1245"/>
      <c r="L5048" s="1246"/>
      <c r="M5048" s="513"/>
      <c r="N5048" s="513"/>
      <c r="O5048" s="51"/>
      <c r="P5048" s="513"/>
      <c r="Q5048" s="513"/>
      <c r="R5048" s="1247">
        <f>$A5048*Q5048</f>
        <v>0</v>
      </c>
      <c r="S5048" s="513"/>
      <c r="T5048" s="884">
        <f>$A5048*S5048*$T$1</f>
        <v>0</v>
      </c>
    </row>
    <row r="5049" spans="1:41" s="504" customFormat="1" ht="12">
      <c r="A5049" s="1248" t="s">
        <v>142</v>
      </c>
      <c r="B5049" s="1249">
        <f>(R5048+T5048)</f>
        <v>0</v>
      </c>
      <c r="C5049" s="882"/>
      <c r="G5049" s="1250"/>
      <c r="H5049" s="1250"/>
      <c r="I5049" s="1250"/>
      <c r="J5049" s="1250"/>
      <c r="K5049" s="1251" t="s">
        <v>10</v>
      </c>
      <c r="L5049" s="1252" t="s">
        <v>1473</v>
      </c>
      <c r="M5049" s="1250"/>
      <c r="N5049" s="1250"/>
      <c r="O5049" s="1250"/>
      <c r="P5049" s="1250"/>
      <c r="Q5049" s="1253"/>
      <c r="R5049" s="1254">
        <f>SUM(R5045:R5048)</f>
        <v>25</v>
      </c>
      <c r="S5049" s="1255"/>
      <c r="T5049" s="1254">
        <f>SUM(T5045:T5048)</f>
        <v>0</v>
      </c>
      <c r="AG5049" s="1294">
        <f>ROUND($R5049*$S$6,2)</f>
        <v>27.5</v>
      </c>
    </row>
    <row r="5050" spans="1:41" s="504" customFormat="1" ht="12" customHeight="1">
      <c r="A5050" s="1257"/>
      <c r="B5050" s="1289"/>
      <c r="C5050" s="1240"/>
      <c r="D5050" s="1240" t="str">
        <f>$F$2</f>
        <v>Electrical</v>
      </c>
      <c r="E5050" s="1240">
        <f>ROUND(($R5054*$S$2 + ($T5054*$T$2)),2)</f>
        <v>50.21</v>
      </c>
      <c r="F5050" s="1290">
        <f ca="1">$F5042-SUMIF($L5044:$P5047,"SUBI",$F5044:$F5047)</f>
        <v>50.209999999999994</v>
      </c>
      <c r="G5050" s="503"/>
      <c r="H5050" s="503"/>
      <c r="I5050" s="503"/>
      <c r="J5050" s="503"/>
      <c r="K5050" s="1242" t="s">
        <v>3</v>
      </c>
      <c r="L5050" s="1243" t="s">
        <v>1473</v>
      </c>
      <c r="M5050" s="503"/>
      <c r="N5050" s="503"/>
      <c r="O5050" s="503"/>
      <c r="P5050" s="503"/>
      <c r="Q5050" s="503"/>
      <c r="R5050" s="1258"/>
      <c r="S5050" s="503"/>
      <c r="T5050" s="1258"/>
    </row>
    <row r="5051" spans="1:41" s="1271" customFormat="1" ht="14.4" customHeight="1">
      <c r="A5051" s="1259"/>
      <c r="B5051" s="1244" t="s">
        <v>1475</v>
      </c>
      <c r="C5051" s="1260"/>
      <c r="D5051" s="1261"/>
      <c r="E5051" s="1261"/>
      <c r="F5051" s="1261"/>
      <c r="G5051" s="1262"/>
      <c r="H5051" s="1263"/>
      <c r="I5051" s="1263"/>
      <c r="J5051" s="1264"/>
      <c r="K5051" s="1265"/>
      <c r="L5051" s="1260"/>
      <c r="M5051" s="1266"/>
      <c r="N5051" s="1267"/>
      <c r="O5051" s="1268"/>
      <c r="P5051" s="1269"/>
      <c r="Q5051" s="1270"/>
      <c r="R5051" s="1247">
        <f>$A5051*Q5051</f>
        <v>0</v>
      </c>
      <c r="S5051" s="513"/>
      <c r="T5051" s="884">
        <f>$A5051*S5051*$T$1</f>
        <v>0</v>
      </c>
    </row>
    <row r="5052" spans="1:41" s="1039" customFormat="1" ht="13.2">
      <c r="A5052" s="112">
        <f>1*6</f>
        <v>6</v>
      </c>
      <c r="B5052" s="1039" t="s">
        <v>326</v>
      </c>
      <c r="D5052" s="1039" t="s">
        <v>1224</v>
      </c>
      <c r="G5052" s="1040" t="s">
        <v>1221</v>
      </c>
      <c r="H5052" s="1041">
        <v>700</v>
      </c>
      <c r="I5052" s="1039" t="s">
        <v>1132</v>
      </c>
      <c r="J5052" s="1039" t="s">
        <v>1222</v>
      </c>
      <c r="O5052" s="1042">
        <v>1</v>
      </c>
      <c r="P5052" s="1043">
        <v>42213</v>
      </c>
      <c r="Q5052" s="1044">
        <v>1.41</v>
      </c>
      <c r="R5052" s="1045">
        <f>$A5052*Q5052</f>
        <v>8.4599999999999991</v>
      </c>
      <c r="S5052" s="1044">
        <v>0.18</v>
      </c>
      <c r="T5052" s="1046">
        <f>$A5052*S5052*$T$1</f>
        <v>1.1340000000000001</v>
      </c>
    </row>
    <row r="5053" spans="1:41" s="504" customFormat="1" ht="13.2">
      <c r="A5053" s="930"/>
      <c r="B5053" s="513"/>
      <c r="C5053" s="513"/>
      <c r="D5053" s="3"/>
      <c r="E5053" s="513"/>
      <c r="F5053" s="513"/>
      <c r="G5053" s="513"/>
      <c r="H5053" s="513"/>
      <c r="I5053" s="513"/>
      <c r="J5053" s="513"/>
      <c r="K5053" s="513"/>
      <c r="L5053" s="1246"/>
      <c r="M5053" s="513"/>
      <c r="N5053" s="513"/>
      <c r="O5053" s="513"/>
      <c r="P5053" s="513"/>
      <c r="Q5053" s="513"/>
      <c r="R5053" s="1247">
        <f>$A5053*Q5053</f>
        <v>0</v>
      </c>
      <c r="S5053" s="513"/>
      <c r="T5053" s="884">
        <f>$A5053*S5053*$T$1</f>
        <v>0</v>
      </c>
    </row>
    <row r="5054" spans="1:41" s="504" customFormat="1" ht="12" customHeight="1">
      <c r="A5054" s="1272" t="s">
        <v>142</v>
      </c>
      <c r="B5054" s="1273">
        <f>(R5053+T5053)</f>
        <v>0</v>
      </c>
      <c r="C5054" s="1274"/>
      <c r="D5054" s="1274"/>
      <c r="E5054" s="1274"/>
      <c r="F5054" s="1274"/>
      <c r="G5054" s="1253"/>
      <c r="H5054" s="1253"/>
      <c r="I5054" s="1253"/>
      <c r="J5054" s="1253"/>
      <c r="K5054" s="1275" t="s">
        <v>3</v>
      </c>
      <c r="L5054" s="1276" t="s">
        <v>1473</v>
      </c>
      <c r="M5054" s="1253"/>
      <c r="N5054" s="1253"/>
      <c r="O5054" s="1253"/>
      <c r="P5054" s="1253"/>
      <c r="Q5054" s="1253"/>
      <c r="R5054" s="1254">
        <f>SUM(R5050:R5053)</f>
        <v>8.4599999999999991</v>
      </c>
      <c r="S5054" s="1255"/>
      <c r="T5054" s="1254">
        <f>SUM(T5050:T5053)</f>
        <v>1.1340000000000001</v>
      </c>
      <c r="AG5054" s="1256">
        <f>ROUND($R5054*$S$2,2)</f>
        <v>10.32</v>
      </c>
    </row>
    <row r="5055" spans="1:41" s="504" customFormat="1" ht="12.75" customHeight="1">
      <c r="A5055" s="1277"/>
      <c r="B5055" s="1278"/>
      <c r="E5055" s="882"/>
      <c r="F5055" s="1279"/>
      <c r="G5055" s="882"/>
      <c r="H5055" s="882"/>
      <c r="I5055" s="503"/>
      <c r="J5055" s="882"/>
      <c r="K5055" s="882"/>
      <c r="L5055" s="1280"/>
      <c r="M5055" s="933"/>
      <c r="N5055" s="933"/>
      <c r="O5055" s="933"/>
      <c r="P5055" s="933"/>
      <c r="Q5055" s="900"/>
      <c r="R5055" s="1258"/>
      <c r="S5055" s="882"/>
      <c r="T5055" s="1258"/>
    </row>
    <row r="5056" spans="1:41" s="504" customFormat="1" ht="13.5" customHeight="1" thickBot="1">
      <c r="A5056" s="1281"/>
      <c r="B5056" s="1282"/>
      <c r="C5056" s="514"/>
      <c r="D5056" s="514"/>
      <c r="E5056" s="887"/>
      <c r="F5056" s="888"/>
      <c r="G5056" s="887" t="s">
        <v>143</v>
      </c>
      <c r="H5056" s="887"/>
      <c r="I5056" s="889"/>
      <c r="J5056" s="887"/>
      <c r="K5056" s="887"/>
      <c r="L5056" s="1283" t="s">
        <v>140</v>
      </c>
      <c r="M5056" s="890"/>
      <c r="N5056" s="890"/>
      <c r="O5056" s="890"/>
      <c r="P5056" s="890"/>
      <c r="Q5056" s="891"/>
      <c r="R5056" s="1284">
        <f>SUMIF($L5043:$L5055,"SUBI",R5043:R5055)</f>
        <v>33.46</v>
      </c>
      <c r="S5056" s="887"/>
      <c r="T5056" s="1284">
        <f>SUMIF($L5043:$L5055,"SUBI",T5043:T5055)</f>
        <v>1.1340000000000001</v>
      </c>
      <c r="U5056" s="514"/>
      <c r="V5056" s="514"/>
      <c r="W5056" s="514"/>
      <c r="X5056" s="514"/>
      <c r="Y5056" s="514"/>
      <c r="Z5056" s="514"/>
      <c r="AA5056" s="514"/>
      <c r="AB5056" s="514"/>
      <c r="AC5056" s="514"/>
      <c r="AD5056" s="514"/>
      <c r="AE5056" s="514"/>
      <c r="AF5056" s="514"/>
      <c r="AG5056" s="514"/>
      <c r="AH5056" s="514"/>
      <c r="AI5056" s="514"/>
      <c r="AJ5056" s="514"/>
      <c r="AK5056" s="514"/>
      <c r="AL5056" s="514"/>
      <c r="AM5056" s="514"/>
      <c r="AN5056" s="514"/>
      <c r="AO5056" s="514"/>
    </row>
    <row r="5057" spans="1:41" s="504" customFormat="1" ht="12" thickTop="1">
      <c r="A5057" s="50"/>
      <c r="B5057" s="40"/>
      <c r="C5057" s="50"/>
      <c r="E5057" s="41" t="s">
        <v>136</v>
      </c>
      <c r="F5057" s="41" t="s">
        <v>137</v>
      </c>
      <c r="G5057" s="50"/>
      <c r="H5057" s="50"/>
      <c r="I5057" s="50"/>
      <c r="J5057" s="50"/>
      <c r="K5057" s="50" t="s">
        <v>138</v>
      </c>
      <c r="L5057" s="50"/>
      <c r="M5057" s="50"/>
      <c r="N5057" s="50"/>
      <c r="O5057" s="51"/>
      <c r="P5057" s="50"/>
      <c r="Q5057" s="50"/>
      <c r="R5057" s="50"/>
      <c r="S5057" s="50"/>
      <c r="T5057" s="40"/>
      <c r="AG5057" s="867" t="s">
        <v>241</v>
      </c>
      <c r="AH5057" s="867" t="s">
        <v>242</v>
      </c>
      <c r="AI5057" s="867" t="s">
        <v>243</v>
      </c>
      <c r="AJ5057" s="867" t="s">
        <v>244</v>
      </c>
      <c r="AK5057" s="867" t="s">
        <v>245</v>
      </c>
      <c r="AM5057" s="868" t="s">
        <v>254</v>
      </c>
      <c r="AN5057" s="869" t="s">
        <v>255</v>
      </c>
      <c r="AO5057" s="505" t="s">
        <v>251</v>
      </c>
    </row>
    <row r="5058" spans="1:41" s="504" customFormat="1" ht="12" customHeight="1">
      <c r="A5058" s="870">
        <v>60</v>
      </c>
      <c r="B5058" s="506" t="s">
        <v>326</v>
      </c>
      <c r="C5058" s="872"/>
      <c r="D5058" s="873" t="s">
        <v>818</v>
      </c>
      <c r="E5058" s="1033">
        <f>IF(AND($A5058=0,$A$1="DIF"),0, ROUND(ROUND(($R5062*$S$6+($T5062*$T$6))/$A5058,2)*$C$6,2))</f>
        <v>1.1000000000000001</v>
      </c>
      <c r="F5058" s="1034">
        <f>ROUND($A5058*$E5058,2)</f>
        <v>66</v>
      </c>
      <c r="G5058" s="876" t="s">
        <v>139</v>
      </c>
      <c r="H5058" s="877"/>
      <c r="I5058" s="878"/>
      <c r="J5058" s="877"/>
      <c r="K5058" s="877" t="s">
        <v>10</v>
      </c>
      <c r="L5058" s="879" t="s">
        <v>140</v>
      </c>
      <c r="M5058" s="879"/>
      <c r="N5058" s="879"/>
      <c r="O5058" s="879"/>
      <c r="P5058" s="879"/>
      <c r="Q5058" s="50"/>
      <c r="T5058" s="1038" t="str">
        <f>IF(AND($R5062=0,$T5062=0),"0.00","mu: "&amp; ROUND(F5058/$C$6/($R5062+$T5062*$D$9),2))</f>
        <v>mu: 1.1</v>
      </c>
      <c r="W5058" s="507"/>
      <c r="AG5058" s="1035">
        <f>IF($E5058=0,0,ROUND($R5062*$S$6*$C$6/$A5058,2))</f>
        <v>1.1000000000000001</v>
      </c>
      <c r="AH5058" s="1035">
        <f>$AG5058*$A5058</f>
        <v>66</v>
      </c>
      <c r="AI5058" s="1036">
        <f>$E5058-$AG5058</f>
        <v>0</v>
      </c>
      <c r="AJ5058" s="1036">
        <f>$A5058*$AI5058</f>
        <v>0</v>
      </c>
      <c r="AK5058" s="1037">
        <f>ROUND(($AG5058+$AI5058)*$A5058,2)</f>
        <v>66</v>
      </c>
      <c r="AM5058" s="510">
        <f>ROUND(R5062,2)</f>
        <v>60</v>
      </c>
      <c r="AN5058" s="511">
        <f>ROUND(T5062,2)</f>
        <v>0</v>
      </c>
      <c r="AO5058" s="512">
        <f>ROUND(AM5058+AN5058,2)*A5058</f>
        <v>3600</v>
      </c>
    </row>
    <row r="5059" spans="1:41" s="504" customFormat="1" ht="13.2">
      <c r="A5059" s="872"/>
      <c r="B5059"/>
      <c r="C5059" s="872"/>
      <c r="D5059" s="873" t="s">
        <v>536</v>
      </c>
      <c r="F5059" s="877"/>
      <c r="G5059" s="3"/>
      <c r="H5059" s="877"/>
      <c r="I5059" s="878"/>
      <c r="J5059" s="877"/>
      <c r="K5059" s="877" t="s">
        <v>141</v>
      </c>
      <c r="L5059" s="877"/>
      <c r="M5059" s="877"/>
      <c r="N5059" s="877"/>
      <c r="O5059" s="877"/>
      <c r="P5059" s="877"/>
      <c r="Q5059" s="50"/>
      <c r="R5059" s="513"/>
      <c r="S5059" s="881"/>
      <c r="T5059" s="877"/>
    </row>
    <row r="5060" spans="1:41" s="1039" customFormat="1" ht="13.2">
      <c r="A5060" s="112">
        <v>60</v>
      </c>
      <c r="B5060" s="1039" t="s">
        <v>326</v>
      </c>
      <c r="D5060" s="1039" t="s">
        <v>536</v>
      </c>
      <c r="G5060" s="1040" t="s">
        <v>1462</v>
      </c>
      <c r="H5060" s="1041">
        <v>821</v>
      </c>
      <c r="I5060" s="1039" t="s">
        <v>951</v>
      </c>
      <c r="O5060" s="1042">
        <v>3</v>
      </c>
      <c r="P5060" s="1043"/>
      <c r="Q5060" s="1044">
        <v>1</v>
      </c>
      <c r="R5060" s="1045">
        <f>$A5060*Q5060</f>
        <v>60</v>
      </c>
      <c r="S5060" s="1044"/>
      <c r="T5060" s="1046">
        <f>$A5060*S5060*$T$1</f>
        <v>0</v>
      </c>
    </row>
    <row r="5061" spans="1:41" s="504" customFormat="1" ht="12">
      <c r="A5061" s="882"/>
      <c r="B5061" s="882"/>
      <c r="C5061" s="882"/>
      <c r="D5061" s="882"/>
      <c r="E5061" s="882"/>
      <c r="F5061" s="877"/>
      <c r="G5061" s="882"/>
      <c r="H5061" s="882"/>
      <c r="I5061" s="503"/>
      <c r="J5061" s="882"/>
      <c r="K5061" s="882"/>
      <c r="L5061" s="882"/>
      <c r="M5061" s="882"/>
      <c r="N5061" s="882"/>
      <c r="O5061" s="882"/>
      <c r="P5061" s="882"/>
      <c r="Q5061" s="503"/>
      <c r="R5061" s="883">
        <f>$A5061*Q5061</f>
        <v>0</v>
      </c>
      <c r="S5061" s="503"/>
      <c r="T5061" s="884">
        <f>$A5061*S5061*$T$1</f>
        <v>0</v>
      </c>
    </row>
    <row r="5062" spans="1:41" s="504" customFormat="1" ht="12.6" thickBot="1">
      <c r="A5062" s="885" t="s">
        <v>142</v>
      </c>
      <c r="B5062" s="886">
        <f>(R5061+T5061)</f>
        <v>0</v>
      </c>
      <c r="C5062" s="887"/>
      <c r="D5062" s="887"/>
      <c r="E5062" s="887"/>
      <c r="F5062" s="888"/>
      <c r="G5062" s="887" t="s">
        <v>143</v>
      </c>
      <c r="H5062" s="887"/>
      <c r="I5062" s="889"/>
      <c r="J5062" s="887"/>
      <c r="K5062" s="887" t="s">
        <v>10</v>
      </c>
      <c r="L5062" s="890" t="s">
        <v>140</v>
      </c>
      <c r="M5062" s="890"/>
      <c r="N5062" s="890"/>
      <c r="O5062" s="890"/>
      <c r="P5062" s="890"/>
      <c r="Q5062" s="891"/>
      <c r="R5062" s="892">
        <f>SUM(R5059:R5061)</f>
        <v>60</v>
      </c>
      <c r="S5062" s="887"/>
      <c r="T5062" s="892">
        <f>SUM(T5059:T5061)</f>
        <v>0</v>
      </c>
      <c r="U5062" s="514"/>
      <c r="V5062" s="514"/>
      <c r="W5062" s="514"/>
      <c r="X5062" s="514"/>
      <c r="Y5062" s="514"/>
      <c r="Z5062" s="514"/>
      <c r="AA5062" s="514"/>
      <c r="AB5062" s="514"/>
      <c r="AC5062" s="514"/>
      <c r="AD5062" s="514"/>
      <c r="AE5062" s="514"/>
      <c r="AF5062" s="514"/>
      <c r="AG5062" s="514"/>
      <c r="AH5062" s="514"/>
      <c r="AI5062" s="514"/>
      <c r="AJ5062" s="514"/>
      <c r="AK5062" s="514"/>
      <c r="AL5062" s="514"/>
      <c r="AM5062" s="514"/>
      <c r="AN5062" s="514"/>
      <c r="AO5062" s="514"/>
    </row>
    <row r="5063" spans="1:41" s="504" customFormat="1" thickTop="1">
      <c r="A5063" s="50"/>
      <c r="B5063" s="50"/>
      <c r="C5063" s="3"/>
      <c r="D5063" s="3"/>
      <c r="E5063" s="50"/>
      <c r="F5063" s="50"/>
      <c r="G5063" s="50"/>
      <c r="H5063" s="50"/>
      <c r="I5063" s="50"/>
      <c r="J5063" s="50"/>
      <c r="K5063" s="50" t="s">
        <v>133</v>
      </c>
      <c r="L5063" s="50"/>
      <c r="M5063" s="50"/>
      <c r="N5063" s="50"/>
      <c r="O5063" s="51"/>
      <c r="P5063" s="50"/>
      <c r="Q5063" s="50"/>
      <c r="R5063" s="50"/>
      <c r="S5063" s="50"/>
      <c r="T5063" s="50"/>
    </row>
    <row r="5064" spans="1:41" s="504" customFormat="1" ht="12">
      <c r="A5064" s="50"/>
      <c r="B5064" s="50"/>
      <c r="C5064" s="50" t="s">
        <v>134</v>
      </c>
      <c r="D5064" s="37"/>
      <c r="E5064" s="50"/>
      <c r="F5064" s="50"/>
      <c r="G5064" s="50"/>
      <c r="H5064" s="50"/>
      <c r="I5064" s="50"/>
      <c r="J5064" s="50"/>
      <c r="K5064" s="50"/>
      <c r="L5064" s="50"/>
      <c r="M5064" s="50"/>
      <c r="N5064" s="50"/>
      <c r="O5064" s="51"/>
      <c r="P5064" s="50"/>
      <c r="Q5064" s="50"/>
      <c r="R5064" s="50"/>
      <c r="S5064" s="50"/>
      <c r="T5064" s="50"/>
    </row>
    <row r="5065" spans="1:41" s="504" customFormat="1" ht="12">
      <c r="A5065" s="50"/>
      <c r="B5065" s="50"/>
      <c r="C5065" s="50"/>
      <c r="D5065" s="37" t="s">
        <v>527</v>
      </c>
      <c r="E5065" s="50"/>
      <c r="F5065" s="50"/>
      <c r="G5065" s="50"/>
      <c r="H5065" s="50"/>
      <c r="I5065" s="50"/>
      <c r="J5065" s="50"/>
      <c r="K5065" s="50"/>
      <c r="L5065" s="50"/>
      <c r="M5065" s="50"/>
      <c r="N5065" s="50"/>
      <c r="O5065" s="51"/>
      <c r="P5065" s="50"/>
      <c r="Q5065" s="50"/>
      <c r="R5065" s="50"/>
      <c r="S5065" s="38"/>
      <c r="T5065" s="38"/>
    </row>
    <row r="5066" spans="1:41" s="3" customFormat="1" thickBot="1">
      <c r="A5066" s="514"/>
      <c r="O5066" s="103"/>
    </row>
    <row r="5067" spans="1:41" s="504" customFormat="1" ht="12" thickTop="1">
      <c r="A5067" s="50"/>
      <c r="B5067" s="40"/>
      <c r="C5067" s="50"/>
      <c r="E5067" s="41" t="s">
        <v>136</v>
      </c>
      <c r="F5067" s="41" t="s">
        <v>137</v>
      </c>
      <c r="G5067" s="50"/>
      <c r="H5067" s="50"/>
      <c r="I5067" s="50"/>
      <c r="J5067" s="50"/>
      <c r="K5067" s="50" t="s">
        <v>138</v>
      </c>
      <c r="L5067" s="50"/>
      <c r="M5067" s="50"/>
      <c r="N5067" s="50"/>
      <c r="O5067" s="51"/>
      <c r="P5067" s="50"/>
      <c r="Q5067" s="50"/>
      <c r="R5067" s="50"/>
      <c r="S5067" s="50"/>
      <c r="T5067" s="40"/>
      <c r="AG5067" s="867" t="s">
        <v>241</v>
      </c>
      <c r="AH5067" s="867" t="s">
        <v>242</v>
      </c>
      <c r="AI5067" s="867" t="s">
        <v>243</v>
      </c>
      <c r="AJ5067" s="867" t="s">
        <v>244</v>
      </c>
      <c r="AK5067" s="867" t="s">
        <v>245</v>
      </c>
      <c r="AM5067" s="868" t="s">
        <v>254</v>
      </c>
      <c r="AN5067" s="869" t="s">
        <v>255</v>
      </c>
      <c r="AO5067" s="505" t="s">
        <v>251</v>
      </c>
    </row>
    <row r="5068" spans="1:41" s="504" customFormat="1" ht="12" customHeight="1">
      <c r="A5068" s="870">
        <v>1</v>
      </c>
      <c r="B5068" s="506" t="s">
        <v>335</v>
      </c>
      <c r="C5068" s="872"/>
      <c r="D5068" s="873" t="s">
        <v>836</v>
      </c>
      <c r="E5068" s="1033">
        <f>IF(AND($A5068=0,$A$1="DIF"),0, ROUND(ROUND(($R5072*$S$6+($T5072*$T$6))/$A5068,2)*$C$6,2))</f>
        <v>990</v>
      </c>
      <c r="F5068" s="1034">
        <f>ROUND($A5068*$E5068,2)</f>
        <v>990</v>
      </c>
      <c r="G5068" s="876" t="s">
        <v>139</v>
      </c>
      <c r="H5068" s="877"/>
      <c r="I5068" s="878"/>
      <c r="J5068" s="877"/>
      <c r="K5068" s="877" t="s">
        <v>10</v>
      </c>
      <c r="L5068" s="879" t="s">
        <v>140</v>
      </c>
      <c r="M5068" s="879"/>
      <c r="N5068" s="879"/>
      <c r="O5068" s="879"/>
      <c r="P5068" s="879"/>
      <c r="Q5068" s="50"/>
      <c r="T5068" s="1038" t="str">
        <f>IF(AND($R5072=0,$T5072=0),"0.00","mu: "&amp; ROUND(F5068/$C$6/($R5072+$T5072*$D$9),2))</f>
        <v>mu: 1.1</v>
      </c>
      <c r="W5068" s="507"/>
      <c r="AG5068" s="1035">
        <f>IF($E5068=0,0,ROUND($R5072*$S$6*$C$6/$A5068,2))</f>
        <v>990</v>
      </c>
      <c r="AH5068" s="1035">
        <f>$AG5068*$A5068</f>
        <v>990</v>
      </c>
      <c r="AI5068" s="1036">
        <f>$E5068-$AG5068</f>
        <v>0</v>
      </c>
      <c r="AJ5068" s="1036">
        <f>$A5068*$AI5068</f>
        <v>0</v>
      </c>
      <c r="AK5068" s="1037">
        <f>ROUND(($AG5068+$AI5068)*$A5068,2)</f>
        <v>990</v>
      </c>
      <c r="AM5068" s="510">
        <f>ROUND(R5072,2)</f>
        <v>900</v>
      </c>
      <c r="AN5068" s="511">
        <f>ROUND(T5072,2)</f>
        <v>0</v>
      </c>
      <c r="AO5068" s="512">
        <f>ROUND(AM5068+AN5068,2)*A5068</f>
        <v>900</v>
      </c>
    </row>
    <row r="5069" spans="1:41" s="504" customFormat="1" ht="13.2">
      <c r="A5069" s="872"/>
      <c r="B5069"/>
      <c r="C5069" s="872"/>
      <c r="D5069" s="873" t="s">
        <v>537</v>
      </c>
      <c r="F5069" s="877"/>
      <c r="G5069" s="3"/>
      <c r="H5069" s="877"/>
      <c r="I5069" s="878"/>
      <c r="J5069" s="877"/>
      <c r="K5069" s="877" t="s">
        <v>141</v>
      </c>
      <c r="L5069" s="877"/>
      <c r="M5069" s="877"/>
      <c r="N5069" s="877"/>
      <c r="O5069" s="877"/>
      <c r="P5069" s="877"/>
      <c r="Q5069" s="50"/>
      <c r="R5069" s="513"/>
      <c r="S5069" s="881"/>
      <c r="T5069" s="877"/>
    </row>
    <row r="5070" spans="1:41" s="1039" customFormat="1" ht="13.2">
      <c r="A5070" s="112">
        <v>1</v>
      </c>
      <c r="B5070" s="1039" t="s">
        <v>949</v>
      </c>
      <c r="D5070" s="1039" t="s">
        <v>537</v>
      </c>
      <c r="G5070" s="1040" t="s">
        <v>1462</v>
      </c>
      <c r="H5070" s="1041">
        <v>821</v>
      </c>
      <c r="I5070" s="1039" t="s">
        <v>951</v>
      </c>
      <c r="O5070" s="1042">
        <v>3</v>
      </c>
      <c r="P5070" s="1043"/>
      <c r="Q5070" s="1044">
        <v>900</v>
      </c>
      <c r="R5070" s="1045">
        <f>$A5070*Q5070</f>
        <v>900</v>
      </c>
      <c r="S5070" s="1044"/>
      <c r="T5070" s="1046">
        <f>$A5070*S5070*$T$1</f>
        <v>0</v>
      </c>
    </row>
    <row r="5071" spans="1:41" s="504" customFormat="1" ht="12">
      <c r="A5071" s="882"/>
      <c r="B5071" s="882"/>
      <c r="C5071" s="882"/>
      <c r="D5071" s="882"/>
      <c r="E5071" s="882"/>
      <c r="F5071" s="877"/>
      <c r="G5071" s="882"/>
      <c r="H5071" s="882"/>
      <c r="I5071" s="503"/>
      <c r="J5071" s="882"/>
      <c r="K5071" s="882"/>
      <c r="L5071" s="882"/>
      <c r="M5071" s="882"/>
      <c r="N5071" s="882"/>
      <c r="O5071" s="882"/>
      <c r="P5071" s="882"/>
      <c r="Q5071" s="503"/>
      <c r="R5071" s="883">
        <f>$A5071*Q5071</f>
        <v>0</v>
      </c>
      <c r="S5071" s="503"/>
      <c r="T5071" s="884">
        <f>$A5071*S5071*$T$1</f>
        <v>0</v>
      </c>
    </row>
    <row r="5072" spans="1:41" s="504" customFormat="1" ht="12.6" thickBot="1">
      <c r="A5072" s="885" t="s">
        <v>142</v>
      </c>
      <c r="B5072" s="886">
        <f>(R5071+T5071)</f>
        <v>0</v>
      </c>
      <c r="C5072" s="887"/>
      <c r="D5072" s="887"/>
      <c r="E5072" s="887"/>
      <c r="F5072" s="888"/>
      <c r="G5072" s="887" t="s">
        <v>143</v>
      </c>
      <c r="H5072" s="887"/>
      <c r="I5072" s="889"/>
      <c r="J5072" s="887"/>
      <c r="K5072" s="887" t="s">
        <v>10</v>
      </c>
      <c r="L5072" s="890" t="s">
        <v>140</v>
      </c>
      <c r="M5072" s="890"/>
      <c r="N5072" s="890"/>
      <c r="O5072" s="890"/>
      <c r="P5072" s="890"/>
      <c r="Q5072" s="891"/>
      <c r="R5072" s="892">
        <f>SUM(R5069:R5071)</f>
        <v>900</v>
      </c>
      <c r="S5072" s="887"/>
      <c r="T5072" s="892">
        <f>SUM(T5069:T5071)</f>
        <v>0</v>
      </c>
      <c r="U5072" s="514"/>
      <c r="V5072" s="514"/>
      <c r="W5072" s="514"/>
      <c r="X5072" s="514"/>
      <c r="Y5072" s="514"/>
      <c r="Z5072" s="514"/>
      <c r="AA5072" s="514"/>
      <c r="AB5072" s="514"/>
      <c r="AC5072" s="514"/>
      <c r="AD5072" s="514"/>
      <c r="AE5072" s="514"/>
      <c r="AF5072" s="514"/>
      <c r="AG5072" s="514"/>
      <c r="AH5072" s="514"/>
      <c r="AI5072" s="514"/>
      <c r="AJ5072" s="514"/>
      <c r="AK5072" s="514"/>
      <c r="AL5072" s="514"/>
      <c r="AM5072" s="514"/>
      <c r="AN5072" s="514"/>
      <c r="AO5072" s="514"/>
    </row>
    <row r="5073" spans="1:41" s="504" customFormat="1" ht="12" thickTop="1">
      <c r="A5073" s="50"/>
      <c r="B5073" s="40"/>
      <c r="C5073" s="50"/>
      <c r="E5073" s="41" t="s">
        <v>136</v>
      </c>
      <c r="F5073" s="41" t="s">
        <v>137</v>
      </c>
      <c r="G5073" s="50"/>
      <c r="H5073" s="50"/>
      <c r="I5073" s="50"/>
      <c r="J5073" s="50"/>
      <c r="K5073" s="50" t="s">
        <v>138</v>
      </c>
      <c r="L5073" s="50"/>
      <c r="M5073" s="50"/>
      <c r="N5073" s="50"/>
      <c r="O5073" s="51"/>
      <c r="P5073" s="50"/>
      <c r="Q5073" s="50"/>
      <c r="R5073" s="50"/>
      <c r="S5073" s="50"/>
      <c r="T5073" s="40"/>
      <c r="AG5073" s="867" t="s">
        <v>241</v>
      </c>
      <c r="AH5073" s="867" t="s">
        <v>242</v>
      </c>
      <c r="AI5073" s="867" t="s">
        <v>243</v>
      </c>
      <c r="AJ5073" s="867" t="s">
        <v>244</v>
      </c>
      <c r="AK5073" s="867" t="s">
        <v>245</v>
      </c>
      <c r="AM5073" s="868" t="s">
        <v>254</v>
      </c>
      <c r="AN5073" s="869" t="s">
        <v>255</v>
      </c>
      <c r="AO5073" s="505" t="s">
        <v>251</v>
      </c>
    </row>
    <row r="5074" spans="1:41" s="504" customFormat="1" ht="12" customHeight="1">
      <c r="A5074" s="870">
        <v>4</v>
      </c>
      <c r="B5074" s="506" t="s">
        <v>335</v>
      </c>
      <c r="C5074" s="872"/>
      <c r="D5074" s="873" t="s">
        <v>838</v>
      </c>
      <c r="E5074" s="1033">
        <f>IF(AND($A5074=0,$A$1="DIF"),0, ROUND(ROUND(($R5078*$S$6+($T5078*$T$6))/$A5074,2)*$C$6,2))</f>
        <v>82.5</v>
      </c>
      <c r="F5074" s="1034">
        <f>ROUND($A5074*$E5074,2)</f>
        <v>330</v>
      </c>
      <c r="G5074" s="876" t="s">
        <v>139</v>
      </c>
      <c r="H5074" s="877"/>
      <c r="I5074" s="878"/>
      <c r="J5074" s="877"/>
      <c r="K5074" s="877" t="s">
        <v>10</v>
      </c>
      <c r="L5074" s="879" t="s">
        <v>140</v>
      </c>
      <c r="M5074" s="879"/>
      <c r="N5074" s="879"/>
      <c r="O5074" s="879"/>
      <c r="P5074" s="879"/>
      <c r="Q5074" s="50"/>
      <c r="T5074" s="1038" t="str">
        <f>IF(AND($R5078=0,$T5078=0),"0.00","mu: "&amp; ROUND(F5074/$C$6/($R5078+$T5078*$D$9),2))</f>
        <v>mu: 1.1</v>
      </c>
      <c r="W5074" s="507"/>
      <c r="AG5074" s="1035">
        <f>IF($E5074=0,0,ROUND($R5078*$S$6*$C$6/$A5074,2))</f>
        <v>82.5</v>
      </c>
      <c r="AH5074" s="1035">
        <f>$AG5074*$A5074</f>
        <v>330</v>
      </c>
      <c r="AI5074" s="1036">
        <f>$E5074-$AG5074</f>
        <v>0</v>
      </c>
      <c r="AJ5074" s="1036">
        <f>$A5074*$AI5074</f>
        <v>0</v>
      </c>
      <c r="AK5074" s="1037">
        <f>ROUND(($AG5074+$AI5074)*$A5074,2)</f>
        <v>330</v>
      </c>
      <c r="AM5074" s="510">
        <f>ROUND(R5078,2)</f>
        <v>300</v>
      </c>
      <c r="AN5074" s="511">
        <f>ROUND(T5078,2)</f>
        <v>0</v>
      </c>
      <c r="AO5074" s="512">
        <f>ROUND(AM5074+AN5074,2)*A5074</f>
        <v>1200</v>
      </c>
    </row>
    <row r="5075" spans="1:41" s="504" customFormat="1" ht="13.2">
      <c r="A5075" s="872"/>
      <c r="B5075"/>
      <c r="C5075" s="872"/>
      <c r="D5075" s="873" t="s">
        <v>538</v>
      </c>
      <c r="F5075" s="877"/>
      <c r="G5075" s="3"/>
      <c r="H5075" s="877"/>
      <c r="I5075" s="878"/>
      <c r="J5075" s="877"/>
      <c r="K5075" s="877" t="s">
        <v>141</v>
      </c>
      <c r="L5075" s="877"/>
      <c r="M5075" s="877"/>
      <c r="N5075" s="877"/>
      <c r="O5075" s="877"/>
      <c r="P5075" s="877"/>
      <c r="Q5075" s="50"/>
      <c r="R5075" s="513"/>
      <c r="S5075" s="881"/>
      <c r="T5075" s="877"/>
    </row>
    <row r="5076" spans="1:41" s="1039" customFormat="1" ht="13.2">
      <c r="A5076" s="112">
        <v>4</v>
      </c>
      <c r="B5076" s="1039" t="s">
        <v>949</v>
      </c>
      <c r="D5076" s="1039" t="s">
        <v>538</v>
      </c>
      <c r="G5076" s="1040" t="s">
        <v>1462</v>
      </c>
      <c r="H5076" s="1041">
        <v>821</v>
      </c>
      <c r="I5076" s="1039" t="s">
        <v>951</v>
      </c>
      <c r="O5076" s="1042">
        <v>3</v>
      </c>
      <c r="P5076" s="1043"/>
      <c r="Q5076" s="1044">
        <v>75</v>
      </c>
      <c r="R5076" s="1045">
        <f>$A5076*Q5076</f>
        <v>300</v>
      </c>
      <c r="S5076" s="1044"/>
      <c r="T5076" s="1046">
        <f>$A5076*S5076*$T$1</f>
        <v>0</v>
      </c>
    </row>
    <row r="5077" spans="1:41" s="504" customFormat="1" ht="12">
      <c r="A5077" s="882"/>
      <c r="B5077" s="882"/>
      <c r="C5077" s="882"/>
      <c r="D5077" s="882"/>
      <c r="E5077" s="882"/>
      <c r="F5077" s="877"/>
      <c r="G5077" s="882"/>
      <c r="H5077" s="882"/>
      <c r="I5077" s="503"/>
      <c r="J5077" s="882"/>
      <c r="K5077" s="882"/>
      <c r="L5077" s="882"/>
      <c r="M5077" s="882"/>
      <c r="N5077" s="882"/>
      <c r="O5077" s="882"/>
      <c r="P5077" s="882"/>
      <c r="Q5077" s="503"/>
      <c r="R5077" s="883">
        <f>$A5077*Q5077</f>
        <v>0</v>
      </c>
      <c r="S5077" s="503"/>
      <c r="T5077" s="884">
        <f>$A5077*S5077*$T$1</f>
        <v>0</v>
      </c>
    </row>
    <row r="5078" spans="1:41" s="504" customFormat="1" ht="12.6" thickBot="1">
      <c r="A5078" s="885" t="s">
        <v>142</v>
      </c>
      <c r="B5078" s="886">
        <f>(R5077+T5077)</f>
        <v>0</v>
      </c>
      <c r="C5078" s="887"/>
      <c r="D5078" s="887"/>
      <c r="E5078" s="887"/>
      <c r="F5078" s="888"/>
      <c r="G5078" s="887" t="s">
        <v>143</v>
      </c>
      <c r="H5078" s="887"/>
      <c r="I5078" s="889"/>
      <c r="J5078" s="887"/>
      <c r="K5078" s="887" t="s">
        <v>10</v>
      </c>
      <c r="L5078" s="890" t="s">
        <v>140</v>
      </c>
      <c r="M5078" s="890"/>
      <c r="N5078" s="890"/>
      <c r="O5078" s="890"/>
      <c r="P5078" s="890"/>
      <c r="Q5078" s="891"/>
      <c r="R5078" s="892">
        <f>SUM(R5075:R5077)</f>
        <v>300</v>
      </c>
      <c r="S5078" s="887"/>
      <c r="T5078" s="892">
        <f>SUM(T5075:T5077)</f>
        <v>0</v>
      </c>
      <c r="U5078" s="514"/>
      <c r="V5078" s="514"/>
      <c r="W5078" s="514"/>
      <c r="X5078" s="514"/>
      <c r="Y5078" s="514"/>
      <c r="Z5078" s="514"/>
      <c r="AA5078" s="514"/>
      <c r="AB5078" s="514"/>
      <c r="AC5078" s="514"/>
      <c r="AD5078" s="514"/>
      <c r="AE5078" s="514"/>
      <c r="AF5078" s="514"/>
      <c r="AG5078" s="514"/>
      <c r="AH5078" s="514"/>
      <c r="AI5078" s="514"/>
      <c r="AJ5078" s="514"/>
      <c r="AK5078" s="514"/>
      <c r="AL5078" s="514"/>
      <c r="AM5078" s="514"/>
      <c r="AN5078" s="514"/>
      <c r="AO5078" s="514"/>
    </row>
    <row r="5079" spans="1:41" s="504" customFormat="1" ht="12" thickTop="1">
      <c r="A5079" s="50"/>
      <c r="B5079" s="40"/>
      <c r="C5079" s="50"/>
      <c r="E5079" s="41" t="s">
        <v>136</v>
      </c>
      <c r="F5079" s="41" t="s">
        <v>137</v>
      </c>
      <c r="G5079" s="50"/>
      <c r="H5079" s="50"/>
      <c r="I5079" s="50"/>
      <c r="J5079" s="50"/>
      <c r="K5079" s="50" t="s">
        <v>138</v>
      </c>
      <c r="L5079" s="50"/>
      <c r="M5079" s="50"/>
      <c r="N5079" s="50"/>
      <c r="O5079" s="51"/>
      <c r="P5079" s="50"/>
      <c r="Q5079" s="50"/>
      <c r="R5079" s="50"/>
      <c r="S5079" s="50"/>
      <c r="T5079" s="40"/>
      <c r="AG5079" s="867" t="s">
        <v>241</v>
      </c>
      <c r="AH5079" s="867" t="s">
        <v>242</v>
      </c>
      <c r="AI5079" s="867" t="s">
        <v>243</v>
      </c>
      <c r="AJ5079" s="867" t="s">
        <v>244</v>
      </c>
      <c r="AK5079" s="867" t="s">
        <v>245</v>
      </c>
      <c r="AM5079" s="868" t="s">
        <v>254</v>
      </c>
      <c r="AN5079" s="869" t="s">
        <v>255</v>
      </c>
      <c r="AO5079" s="505" t="s">
        <v>251</v>
      </c>
    </row>
    <row r="5080" spans="1:41" s="504" customFormat="1" ht="12" customHeight="1">
      <c r="A5080" s="870">
        <v>7</v>
      </c>
      <c r="B5080" s="506" t="s">
        <v>335</v>
      </c>
      <c r="C5080" s="872"/>
      <c r="D5080" s="873" t="s">
        <v>840</v>
      </c>
      <c r="E5080" s="1033">
        <f>IF(AND($A5080=0,$A$1="DIF"),0, ROUND(ROUND(($R5084*$S$6+($T5084*$T$6))/$A5080,2)*$C$6,2))</f>
        <v>16.5</v>
      </c>
      <c r="F5080" s="1034">
        <f>ROUND($A5080*$E5080,2)</f>
        <v>115.5</v>
      </c>
      <c r="G5080" s="876" t="s">
        <v>139</v>
      </c>
      <c r="H5080" s="877"/>
      <c r="I5080" s="878"/>
      <c r="J5080" s="877"/>
      <c r="K5080" s="877" t="s">
        <v>10</v>
      </c>
      <c r="L5080" s="879" t="s">
        <v>140</v>
      </c>
      <c r="M5080" s="879"/>
      <c r="N5080" s="879"/>
      <c r="O5080" s="879"/>
      <c r="P5080" s="879"/>
      <c r="Q5080" s="50"/>
      <c r="T5080" s="1038" t="str">
        <f>IF(AND($R5084=0,$T5084=0),"0.00","mu: "&amp; ROUND(F5080/$C$6/($R5084+$T5084*$D$9),2))</f>
        <v>mu: 1.1</v>
      </c>
      <c r="W5080" s="507"/>
      <c r="AG5080" s="1035">
        <f>IF($E5080=0,0,ROUND($R5084*$S$6*$C$6/$A5080,2))</f>
        <v>16.5</v>
      </c>
      <c r="AH5080" s="1035">
        <f>$AG5080*$A5080</f>
        <v>115.5</v>
      </c>
      <c r="AI5080" s="1036">
        <f>$E5080-$AG5080</f>
        <v>0</v>
      </c>
      <c r="AJ5080" s="1036">
        <f>$A5080*$AI5080</f>
        <v>0</v>
      </c>
      <c r="AK5080" s="1037">
        <f>ROUND(($AG5080+$AI5080)*$A5080,2)</f>
        <v>115.5</v>
      </c>
      <c r="AM5080" s="510">
        <f>ROUND(R5084,2)</f>
        <v>105</v>
      </c>
      <c r="AN5080" s="511">
        <f>ROUND(T5084,2)</f>
        <v>0</v>
      </c>
      <c r="AO5080" s="512">
        <f>ROUND(AM5080+AN5080,2)*A5080</f>
        <v>735</v>
      </c>
    </row>
    <row r="5081" spans="1:41" s="504" customFormat="1" ht="13.2">
      <c r="A5081" s="872"/>
      <c r="B5081"/>
      <c r="C5081" s="872"/>
      <c r="D5081" s="873" t="s">
        <v>539</v>
      </c>
      <c r="F5081" s="877"/>
      <c r="G5081" s="3"/>
      <c r="H5081" s="877"/>
      <c r="I5081" s="878"/>
      <c r="J5081" s="877"/>
      <c r="K5081" s="877" t="s">
        <v>141</v>
      </c>
      <c r="L5081" s="877"/>
      <c r="M5081" s="877"/>
      <c r="N5081" s="877"/>
      <c r="O5081" s="877"/>
      <c r="P5081" s="877"/>
      <c r="Q5081" s="50"/>
      <c r="R5081" s="513"/>
      <c r="S5081" s="881"/>
      <c r="T5081" s="877"/>
    </row>
    <row r="5082" spans="1:41" s="1039" customFormat="1" ht="13.2">
      <c r="A5082" s="112">
        <v>7</v>
      </c>
      <c r="B5082" s="1039" t="s">
        <v>949</v>
      </c>
      <c r="D5082" s="1039" t="s">
        <v>539</v>
      </c>
      <c r="G5082" s="1040" t="s">
        <v>1462</v>
      </c>
      <c r="H5082" s="1041">
        <v>821</v>
      </c>
      <c r="I5082" s="1039" t="s">
        <v>951</v>
      </c>
      <c r="O5082" s="1042">
        <v>3</v>
      </c>
      <c r="P5082" s="1043"/>
      <c r="Q5082" s="1044">
        <v>15</v>
      </c>
      <c r="R5082" s="1045">
        <f>$A5082*Q5082</f>
        <v>105</v>
      </c>
      <c r="S5082" s="1044"/>
      <c r="T5082" s="1046">
        <f>$A5082*S5082*$T$1</f>
        <v>0</v>
      </c>
    </row>
    <row r="5083" spans="1:41" s="504" customFormat="1" ht="12">
      <c r="A5083" s="882"/>
      <c r="B5083" s="882"/>
      <c r="C5083" s="882"/>
      <c r="D5083" s="882"/>
      <c r="E5083" s="882"/>
      <c r="F5083" s="877"/>
      <c r="G5083" s="882"/>
      <c r="H5083" s="882"/>
      <c r="I5083" s="503"/>
      <c r="J5083" s="882"/>
      <c r="K5083" s="882"/>
      <c r="L5083" s="882"/>
      <c r="M5083" s="882"/>
      <c r="N5083" s="882"/>
      <c r="O5083" s="882"/>
      <c r="P5083" s="882"/>
      <c r="Q5083" s="503"/>
      <c r="R5083" s="883">
        <f>$A5083*Q5083</f>
        <v>0</v>
      </c>
      <c r="S5083" s="503"/>
      <c r="T5083" s="884">
        <f>$A5083*S5083*$T$1</f>
        <v>0</v>
      </c>
    </row>
    <row r="5084" spans="1:41" s="504" customFormat="1" ht="12.6" thickBot="1">
      <c r="A5084" s="885" t="s">
        <v>142</v>
      </c>
      <c r="B5084" s="886">
        <f>(R5083+T5083)</f>
        <v>0</v>
      </c>
      <c r="C5084" s="887"/>
      <c r="D5084" s="887"/>
      <c r="E5084" s="887"/>
      <c r="F5084" s="888"/>
      <c r="G5084" s="887" t="s">
        <v>143</v>
      </c>
      <c r="H5084" s="887"/>
      <c r="I5084" s="889"/>
      <c r="J5084" s="887"/>
      <c r="K5084" s="887" t="s">
        <v>10</v>
      </c>
      <c r="L5084" s="890" t="s">
        <v>140</v>
      </c>
      <c r="M5084" s="890"/>
      <c r="N5084" s="890"/>
      <c r="O5084" s="890"/>
      <c r="P5084" s="890"/>
      <c r="Q5084" s="891"/>
      <c r="R5084" s="892">
        <f>SUM(R5081:R5083)</f>
        <v>105</v>
      </c>
      <c r="S5084" s="887"/>
      <c r="T5084" s="892">
        <f>SUM(T5081:T5083)</f>
        <v>0</v>
      </c>
      <c r="U5084" s="514"/>
      <c r="V5084" s="514"/>
      <c r="W5084" s="514"/>
      <c r="X5084" s="514"/>
      <c r="Y5084" s="514"/>
      <c r="Z5084" s="514"/>
      <c r="AA5084" s="514"/>
      <c r="AB5084" s="514"/>
      <c r="AC5084" s="514"/>
      <c r="AD5084" s="514"/>
      <c r="AE5084" s="514"/>
      <c r="AF5084" s="514"/>
      <c r="AG5084" s="514"/>
      <c r="AH5084" s="514"/>
      <c r="AI5084" s="514"/>
      <c r="AJ5084" s="514"/>
      <c r="AK5084" s="514"/>
      <c r="AL5084" s="514"/>
      <c r="AM5084" s="514"/>
      <c r="AN5084" s="514"/>
      <c r="AO5084" s="514"/>
    </row>
    <row r="5085" spans="1:41" s="504" customFormat="1" ht="12" thickTop="1">
      <c r="A5085" s="50"/>
      <c r="B5085" s="40"/>
      <c r="C5085" s="50"/>
      <c r="E5085" s="41" t="s">
        <v>136</v>
      </c>
      <c r="F5085" s="41" t="s">
        <v>137</v>
      </c>
      <c r="G5085" s="50"/>
      <c r="H5085" s="50"/>
      <c r="I5085" s="50"/>
      <c r="J5085" s="50"/>
      <c r="K5085" s="50" t="s">
        <v>138</v>
      </c>
      <c r="L5085" s="50"/>
      <c r="M5085" s="50"/>
      <c r="N5085" s="50"/>
      <c r="O5085" s="51"/>
      <c r="P5085" s="50"/>
      <c r="Q5085" s="50"/>
      <c r="R5085" s="50"/>
      <c r="S5085" s="50"/>
      <c r="T5085" s="40"/>
      <c r="AG5085" s="867" t="s">
        <v>241</v>
      </c>
      <c r="AH5085" s="867" t="s">
        <v>242</v>
      </c>
      <c r="AI5085" s="867" t="s">
        <v>243</v>
      </c>
      <c r="AJ5085" s="867" t="s">
        <v>244</v>
      </c>
      <c r="AK5085" s="867" t="s">
        <v>245</v>
      </c>
      <c r="AM5085" s="868" t="s">
        <v>254</v>
      </c>
      <c r="AN5085" s="869" t="s">
        <v>255</v>
      </c>
      <c r="AO5085" s="505" t="s">
        <v>251</v>
      </c>
    </row>
    <row r="5086" spans="1:41" s="504" customFormat="1" ht="12" customHeight="1">
      <c r="A5086" s="870">
        <v>1</v>
      </c>
      <c r="B5086" s="506" t="s">
        <v>335</v>
      </c>
      <c r="C5086" s="872"/>
      <c r="D5086" s="873" t="s">
        <v>842</v>
      </c>
      <c r="E5086" s="1033">
        <f>IF(AND($A5086=0,$A$1="DIF"),0, ROUND(ROUND(($R5090*$S$6+($T5090*$T$6))/$A5086,2)*$C$6,2))</f>
        <v>71.5</v>
      </c>
      <c r="F5086" s="1034">
        <f>ROUND($A5086*$E5086,2)</f>
        <v>71.5</v>
      </c>
      <c r="G5086" s="876" t="s">
        <v>139</v>
      </c>
      <c r="H5086" s="877"/>
      <c r="I5086" s="878"/>
      <c r="J5086" s="877"/>
      <c r="K5086" s="877" t="s">
        <v>10</v>
      </c>
      <c r="L5086" s="879" t="s">
        <v>140</v>
      </c>
      <c r="M5086" s="879"/>
      <c r="N5086" s="879"/>
      <c r="O5086" s="879"/>
      <c r="P5086" s="879"/>
      <c r="Q5086" s="50"/>
      <c r="T5086" s="1038" t="str">
        <f>IF(AND($R5090=0,$T5090=0),"0.00","mu: "&amp; ROUND(F5086/$C$6/($R5090+$T5090*$D$9),2))</f>
        <v>mu: 1.1</v>
      </c>
      <c r="W5086" s="507"/>
      <c r="AG5086" s="1035">
        <f>IF($E5086=0,0,ROUND($R5090*$S$6*$C$6/$A5086,2))</f>
        <v>71.5</v>
      </c>
      <c r="AH5086" s="1035">
        <f>$AG5086*$A5086</f>
        <v>71.5</v>
      </c>
      <c r="AI5086" s="1036">
        <f>$E5086-$AG5086</f>
        <v>0</v>
      </c>
      <c r="AJ5086" s="1036">
        <f>$A5086*$AI5086</f>
        <v>0</v>
      </c>
      <c r="AK5086" s="1037">
        <f>ROUND(($AG5086+$AI5086)*$A5086,2)</f>
        <v>71.5</v>
      </c>
      <c r="AM5086" s="510">
        <f>ROUND(R5090,2)</f>
        <v>65</v>
      </c>
      <c r="AN5086" s="511">
        <f>ROUND(T5090,2)</f>
        <v>0</v>
      </c>
      <c r="AO5086" s="512">
        <f>ROUND(AM5086+AN5086,2)*A5086</f>
        <v>65</v>
      </c>
    </row>
    <row r="5087" spans="1:41" s="504" customFormat="1" ht="13.2">
      <c r="A5087" s="872"/>
      <c r="B5087"/>
      <c r="C5087" s="872"/>
      <c r="D5087" s="916" t="s">
        <v>540</v>
      </c>
      <c r="E5087" s="917"/>
      <c r="F5087" s="918"/>
      <c r="G5087" s="919"/>
      <c r="H5087" s="918"/>
      <c r="I5087" s="920"/>
      <c r="J5087" s="918"/>
      <c r="K5087" s="918"/>
      <c r="L5087" s="918"/>
      <c r="M5087" s="918"/>
      <c r="N5087" s="918"/>
      <c r="O5087" s="918"/>
      <c r="P5087" s="918"/>
      <c r="Q5087" s="921"/>
      <c r="R5087" s="513"/>
      <c r="S5087" s="881"/>
      <c r="T5087" s="877"/>
    </row>
    <row r="5088" spans="1:41" s="1039" customFormat="1" ht="21">
      <c r="A5088" s="112">
        <v>1</v>
      </c>
      <c r="B5088" s="1039" t="s">
        <v>949</v>
      </c>
      <c r="D5088" s="1047" t="s">
        <v>540</v>
      </c>
      <c r="E5088" s="1047"/>
      <c r="F5088" s="1047"/>
      <c r="G5088" s="1040" t="s">
        <v>1462</v>
      </c>
      <c r="H5088" s="1041">
        <v>821</v>
      </c>
      <c r="I5088" s="1039" t="s">
        <v>951</v>
      </c>
      <c r="O5088" s="1042">
        <v>3</v>
      </c>
      <c r="P5088" s="1043"/>
      <c r="Q5088" s="1044">
        <v>65</v>
      </c>
      <c r="R5088" s="1045">
        <f>$A5088*Q5088</f>
        <v>65</v>
      </c>
      <c r="S5088" s="1044"/>
      <c r="T5088" s="1046">
        <f>$A5088*S5088*$T$1</f>
        <v>0</v>
      </c>
    </row>
    <row r="5089" spans="1:41" s="504" customFormat="1" ht="12">
      <c r="A5089" s="882"/>
      <c r="B5089" s="882"/>
      <c r="C5089" s="882"/>
      <c r="D5089" s="882"/>
      <c r="E5089" s="882"/>
      <c r="F5089" s="877"/>
      <c r="G5089" s="882"/>
      <c r="H5089" s="882"/>
      <c r="I5089" s="503"/>
      <c r="J5089" s="882"/>
      <c r="K5089" s="882"/>
      <c r="L5089" s="882"/>
      <c r="M5089" s="882"/>
      <c r="N5089" s="882"/>
      <c r="O5089" s="882"/>
      <c r="P5089" s="882"/>
      <c r="Q5089" s="503"/>
      <c r="R5089" s="883">
        <f>$A5089*Q5089</f>
        <v>0</v>
      </c>
      <c r="S5089" s="503"/>
      <c r="T5089" s="884">
        <f>$A5089*S5089*$T$1</f>
        <v>0</v>
      </c>
    </row>
    <row r="5090" spans="1:41" s="504" customFormat="1" ht="12.6" thickBot="1">
      <c r="A5090" s="885" t="s">
        <v>142</v>
      </c>
      <c r="B5090" s="886">
        <f>(R5089+T5089)</f>
        <v>0</v>
      </c>
      <c r="C5090" s="887"/>
      <c r="D5090" s="887"/>
      <c r="E5090" s="887"/>
      <c r="F5090" s="888"/>
      <c r="G5090" s="887" t="s">
        <v>143</v>
      </c>
      <c r="H5090" s="887"/>
      <c r="I5090" s="889"/>
      <c r="J5090" s="887"/>
      <c r="K5090" s="887" t="s">
        <v>10</v>
      </c>
      <c r="L5090" s="890" t="s">
        <v>140</v>
      </c>
      <c r="M5090" s="890"/>
      <c r="N5090" s="890"/>
      <c r="O5090" s="890"/>
      <c r="P5090" s="890"/>
      <c r="Q5090" s="891"/>
      <c r="R5090" s="892">
        <f>SUM(R5087:R5089)</f>
        <v>65</v>
      </c>
      <c r="S5090" s="887"/>
      <c r="T5090" s="892">
        <f>SUM(T5087:T5089)</f>
        <v>0</v>
      </c>
      <c r="U5090" s="514"/>
      <c r="V5090" s="514"/>
      <c r="W5090" s="514"/>
      <c r="X5090" s="514"/>
      <c r="Y5090" s="514"/>
      <c r="Z5090" s="514"/>
      <c r="AA5090" s="514"/>
      <c r="AB5090" s="514"/>
      <c r="AC5090" s="514"/>
      <c r="AD5090" s="514"/>
      <c r="AE5090" s="514"/>
      <c r="AF5090" s="514"/>
      <c r="AG5090" s="514"/>
      <c r="AH5090" s="514"/>
      <c r="AI5090" s="514"/>
      <c r="AJ5090" s="514"/>
      <c r="AK5090" s="514"/>
      <c r="AL5090" s="514"/>
      <c r="AM5090" s="514"/>
      <c r="AN5090" s="514"/>
      <c r="AO5090" s="514"/>
    </row>
    <row r="5091" spans="1:41" s="504" customFormat="1" thickTop="1">
      <c r="A5091" s="50"/>
      <c r="B5091" s="40"/>
      <c r="C5091" s="50"/>
      <c r="E5091" s="41" t="s">
        <v>136</v>
      </c>
      <c r="F5091" s="41" t="s">
        <v>137</v>
      </c>
      <c r="G5091" s="50"/>
      <c r="H5091" s="50"/>
      <c r="I5091" s="50"/>
      <c r="J5091" s="50"/>
      <c r="K5091" s="50" t="s">
        <v>138</v>
      </c>
      <c r="L5091" s="1219"/>
      <c r="M5091" s="50"/>
      <c r="N5091" s="50"/>
      <c r="O5091" s="51"/>
      <c r="P5091" s="50"/>
      <c r="Q5091"/>
      <c r="R5091"/>
      <c r="S5091"/>
      <c r="T5091" s="40"/>
      <c r="AG5091" s="867" t="s">
        <v>241</v>
      </c>
      <c r="AH5091" s="867" t="s">
        <v>242</v>
      </c>
      <c r="AI5091" s="867" t="s">
        <v>243</v>
      </c>
      <c r="AJ5091" s="867" t="s">
        <v>244</v>
      </c>
      <c r="AK5091" s="867" t="s">
        <v>245</v>
      </c>
      <c r="AM5091" s="868" t="s">
        <v>254</v>
      </c>
      <c r="AN5091" s="869" t="s">
        <v>255</v>
      </c>
      <c r="AO5091" s="505" t="s">
        <v>251</v>
      </c>
    </row>
    <row r="5092" spans="1:41" s="504" customFormat="1" ht="13.2">
      <c r="A5092" s="870">
        <v>7</v>
      </c>
      <c r="B5092" s="506" t="s">
        <v>335</v>
      </c>
      <c r="C5092" s="872"/>
      <c r="D5092" s="873" t="s">
        <v>843</v>
      </c>
      <c r="E5092" s="1220">
        <f>IF(AND($A5092=0,$A$1="DIF"),0, ROUND(ROUND(SUMIF($L5094:$L5100,"SUBI",$E5094:$E5100)/$A5092,2)*$C$12,2))</f>
        <v>66.709999999999994</v>
      </c>
      <c r="F5092" s="1221">
        <f>ROUND($A5092*$E5092,2)</f>
        <v>466.97</v>
      </c>
      <c r="G5092" s="876" t="s">
        <v>139</v>
      </c>
      <c r="H5092" s="877"/>
      <c r="I5092" s="878"/>
      <c r="J5092" s="877"/>
      <c r="K5092" s="1222"/>
      <c r="L5092" s="1223" t="s">
        <v>140</v>
      </c>
      <c r="M5092" s="879"/>
      <c r="N5092" s="879"/>
      <c r="O5092" s="879"/>
      <c r="P5092" s="879"/>
      <c r="Q5092"/>
      <c r="R5092"/>
      <c r="S5092"/>
      <c r="T5092" s="1224" t="str">
        <f>IF(AND($R5106=0,$T5106=0),"0.00","mu :" &amp; ROUND($F5092/$C$12/($R5106+$T5106*$D$9),2))</f>
        <v>mu :1.19</v>
      </c>
      <c r="W5092" s="507"/>
      <c r="AG5092" s="1225">
        <f>IF(A5092=0,0,ROUND(SUM(AG5094:AG5106)/A5092,2))</f>
        <v>26.82</v>
      </c>
      <c r="AH5092" s="1225">
        <f>$AG5092*$A5092</f>
        <v>187.74</v>
      </c>
      <c r="AI5092" s="1225">
        <f>$E5092-$AG5092</f>
        <v>39.889999999999993</v>
      </c>
      <c r="AJ5092" s="1225">
        <f>$A5092*$AI5092</f>
        <v>279.22999999999996</v>
      </c>
      <c r="AK5092" s="1226">
        <f>ROUND(($AG5092+$AI5092)*$A5092,2)</f>
        <v>466.97</v>
      </c>
      <c r="AM5092" s="510">
        <f>ROUND(R5106,2)</f>
        <v>164.22</v>
      </c>
      <c r="AN5092" s="511">
        <f>ROUND(T5106,2)</f>
        <v>7.94</v>
      </c>
      <c r="AO5092" s="512">
        <f>ROUND(AM5092+AN5092,2)*A5092</f>
        <v>1205.1199999999999</v>
      </c>
    </row>
    <row r="5093" spans="1:41" s="504" customFormat="1" ht="13.2">
      <c r="A5093" s="872"/>
      <c r="B5093"/>
      <c r="C5093" s="872"/>
      <c r="D5093" s="873" t="s">
        <v>534</v>
      </c>
      <c r="F5093" s="877"/>
      <c r="G5093" s="877"/>
      <c r="H5093" s="877"/>
      <c r="I5093" s="878"/>
      <c r="J5093" s="877"/>
      <c r="K5093" s="877" t="s">
        <v>141</v>
      </c>
      <c r="L5093" s="1227"/>
      <c r="M5093" s="877"/>
      <c r="N5093" s="877"/>
      <c r="O5093" s="877"/>
      <c r="P5093" s="877"/>
      <c r="Q5093" s="50"/>
      <c r="R5093" s="513"/>
      <c r="S5093" s="881"/>
      <c r="T5093" s="877"/>
    </row>
    <row r="5094" spans="1:41" s="504" customFormat="1" ht="12">
      <c r="A5094" s="1228"/>
      <c r="B5094" s="1229"/>
      <c r="C5094" s="882"/>
      <c r="D5094" s="877"/>
      <c r="E5094" s="1230">
        <f>F5092/$C$12-SUMIF($L5091:$L5106,"SUBI",$E5091:$E5106)</f>
        <v>-9.9999999999909051E-3</v>
      </c>
      <c r="F5094" s="1231" t="s">
        <v>1472</v>
      </c>
      <c r="G5094" s="1232"/>
      <c r="H5094" s="1232"/>
      <c r="I5094" s="1233"/>
      <c r="J5094" s="1232"/>
      <c r="K5094" s="1232"/>
      <c r="L5094" s="1234"/>
      <c r="M5094" s="1235"/>
      <c r="N5094" s="1235"/>
      <c r="O5094" s="1235"/>
      <c r="P5094" s="1235"/>
      <c r="Q5094" s="1236"/>
      <c r="R5094" s="1237"/>
      <c r="S5094" s="1236"/>
      <c r="T5094" s="1238"/>
    </row>
    <row r="5095" spans="1:41" s="504" customFormat="1" ht="12" customHeight="1">
      <c r="A5095" s="1239"/>
      <c r="B5095" s="1291"/>
      <c r="C5095" s="1292"/>
      <c r="D5095" s="1292" t="str">
        <f>$F$6</f>
        <v>ELV Sub-Contractor - DATA</v>
      </c>
      <c r="E5095" s="1292">
        <f>ROUND(($R5099*$S$6 + ($T5099*$T$6)),2)</f>
        <v>115.5</v>
      </c>
      <c r="F5095" s="1293">
        <f>$E5095*$C$12</f>
        <v>115.5</v>
      </c>
      <c r="G5095" s="513"/>
      <c r="H5095" s="1241"/>
      <c r="I5095" s="513"/>
      <c r="J5095" s="51"/>
      <c r="K5095" s="1242" t="s">
        <v>10</v>
      </c>
      <c r="L5095" s="1243" t="s">
        <v>1473</v>
      </c>
      <c r="M5095" s="513"/>
      <c r="N5095" s="513"/>
      <c r="O5095" s="51"/>
      <c r="P5095" s="513"/>
      <c r="Q5095" s="513"/>
      <c r="R5095"/>
      <c r="S5095"/>
      <c r="T5095"/>
    </row>
    <row r="5096" spans="1:41" s="504" customFormat="1" ht="13.95" customHeight="1">
      <c r="A5096" s="930"/>
      <c r="B5096" s="1244" t="s">
        <v>1474</v>
      </c>
      <c r="C5096" s="513"/>
      <c r="D5096" s="513"/>
      <c r="E5096" s="513"/>
      <c r="F5096" s="513"/>
      <c r="G5096" s="513"/>
      <c r="H5096" s="1241"/>
      <c r="I5096" s="513"/>
      <c r="J5096" s="51"/>
      <c r="K5096" s="1245"/>
      <c r="L5096" s="1246"/>
      <c r="M5096" s="513"/>
      <c r="N5096" s="513"/>
      <c r="O5096" s="51"/>
      <c r="P5096" s="513"/>
      <c r="Q5096" s="513"/>
      <c r="R5096" s="1247">
        <f>$A5096*Q5096</f>
        <v>0</v>
      </c>
      <c r="S5096" s="513"/>
      <c r="T5096" s="884">
        <f>$A5096*S5096*$T$1</f>
        <v>0</v>
      </c>
    </row>
    <row r="5097" spans="1:41" s="1039" customFormat="1" ht="13.2">
      <c r="A5097" s="112">
        <v>7</v>
      </c>
      <c r="B5097" s="1039" t="s">
        <v>949</v>
      </c>
      <c r="D5097" s="1039" t="s">
        <v>534</v>
      </c>
      <c r="G5097" s="1040" t="s">
        <v>1462</v>
      </c>
      <c r="H5097" s="1041">
        <v>821</v>
      </c>
      <c r="I5097" s="1039" t="s">
        <v>951</v>
      </c>
      <c r="O5097" s="1042">
        <v>3</v>
      </c>
      <c r="P5097" s="1043"/>
      <c r="Q5097" s="1044">
        <v>15</v>
      </c>
      <c r="R5097" s="1045">
        <f>$A5097*Q5097</f>
        <v>105</v>
      </c>
      <c r="S5097" s="1044"/>
      <c r="T5097" s="1046">
        <f>$A5097*S5097*$T$1</f>
        <v>0</v>
      </c>
    </row>
    <row r="5098" spans="1:41" s="504" customFormat="1" ht="13.95" customHeight="1">
      <c r="A5098" s="930"/>
      <c r="B5098" s="513"/>
      <c r="C5098" s="513"/>
      <c r="D5098" s="513"/>
      <c r="E5098" s="513"/>
      <c r="F5098" s="513"/>
      <c r="G5098" s="513"/>
      <c r="H5098" s="1241"/>
      <c r="I5098" s="513"/>
      <c r="J5098" s="51"/>
      <c r="K5098" s="1245"/>
      <c r="L5098" s="1246"/>
      <c r="M5098" s="513"/>
      <c r="N5098" s="513"/>
      <c r="O5098" s="51"/>
      <c r="P5098" s="513"/>
      <c r="Q5098" s="513"/>
      <c r="R5098" s="1247">
        <f>$A5098*Q5098</f>
        <v>0</v>
      </c>
      <c r="S5098" s="513"/>
      <c r="T5098" s="884">
        <f>$A5098*S5098*$T$1</f>
        <v>0</v>
      </c>
    </row>
    <row r="5099" spans="1:41" s="504" customFormat="1" ht="12">
      <c r="A5099" s="1248" t="s">
        <v>142</v>
      </c>
      <c r="B5099" s="1249">
        <f>(R5098+T5098)</f>
        <v>0</v>
      </c>
      <c r="C5099" s="882"/>
      <c r="G5099" s="1250"/>
      <c r="H5099" s="1250"/>
      <c r="I5099" s="1250"/>
      <c r="J5099" s="1250"/>
      <c r="K5099" s="1251" t="s">
        <v>10</v>
      </c>
      <c r="L5099" s="1252" t="s">
        <v>1473</v>
      </c>
      <c r="M5099" s="1250"/>
      <c r="N5099" s="1250"/>
      <c r="O5099" s="1250"/>
      <c r="P5099" s="1250"/>
      <c r="Q5099" s="1253"/>
      <c r="R5099" s="1254">
        <f>SUM(R5095:R5098)</f>
        <v>105</v>
      </c>
      <c r="S5099" s="1255"/>
      <c r="T5099" s="1254">
        <f>SUM(T5095:T5098)</f>
        <v>0</v>
      </c>
      <c r="AG5099" s="1294">
        <f>ROUND($R5099*$S$6,2)</f>
        <v>115.5</v>
      </c>
    </row>
    <row r="5100" spans="1:41" s="504" customFormat="1" ht="12" customHeight="1">
      <c r="A5100" s="1257"/>
      <c r="B5100" s="1289"/>
      <c r="C5100" s="1240"/>
      <c r="D5100" s="1240" t="str">
        <f>$F$2</f>
        <v>Electrical</v>
      </c>
      <c r="E5100" s="1240">
        <f>ROUND(($R5104*$S$2 + ($T5104*$T$2)),2)</f>
        <v>351.48</v>
      </c>
      <c r="F5100" s="1290">
        <f ca="1">$F5092-SUMIF($L5094:$P5097,"SUBI",$F5094:$F5097)</f>
        <v>351.47</v>
      </c>
      <c r="G5100" s="503"/>
      <c r="H5100" s="503"/>
      <c r="I5100" s="503"/>
      <c r="J5100" s="503"/>
      <c r="K5100" s="1242" t="s">
        <v>3</v>
      </c>
      <c r="L5100" s="1243" t="s">
        <v>1473</v>
      </c>
      <c r="M5100" s="503"/>
      <c r="N5100" s="503"/>
      <c r="O5100" s="503"/>
      <c r="P5100" s="503"/>
      <c r="Q5100" s="503"/>
      <c r="R5100" s="1258"/>
      <c r="S5100" s="503"/>
      <c r="T5100" s="1258"/>
    </row>
    <row r="5101" spans="1:41" s="1271" customFormat="1" ht="14.4" customHeight="1">
      <c r="A5101" s="1259"/>
      <c r="B5101" s="1244" t="s">
        <v>1475</v>
      </c>
      <c r="C5101" s="1260"/>
      <c r="D5101" s="1261"/>
      <c r="E5101" s="1261"/>
      <c r="F5101" s="1261"/>
      <c r="G5101" s="1262"/>
      <c r="H5101" s="1263"/>
      <c r="I5101" s="1263"/>
      <c r="J5101" s="1264"/>
      <c r="K5101" s="1265"/>
      <c r="L5101" s="1260"/>
      <c r="M5101" s="1266"/>
      <c r="N5101" s="1267"/>
      <c r="O5101" s="1268"/>
      <c r="P5101" s="1269"/>
      <c r="Q5101" s="1270"/>
      <c r="R5101" s="1247">
        <f>$A5101*Q5101</f>
        <v>0</v>
      </c>
      <c r="S5101" s="513"/>
      <c r="T5101" s="884">
        <f>$A5101*S5101*$T$1</f>
        <v>0</v>
      </c>
    </row>
    <row r="5102" spans="1:41" s="1039" customFormat="1" ht="13.2">
      <c r="A5102" s="112">
        <f>7*6</f>
        <v>42</v>
      </c>
      <c r="B5102" s="1039" t="s">
        <v>326</v>
      </c>
      <c r="D5102" s="1039" t="s">
        <v>1224</v>
      </c>
      <c r="G5102" s="1040" t="s">
        <v>1221</v>
      </c>
      <c r="H5102" s="1041">
        <v>700</v>
      </c>
      <c r="I5102" s="1039" t="s">
        <v>1132</v>
      </c>
      <c r="J5102" s="1039" t="s">
        <v>1222</v>
      </c>
      <c r="O5102" s="1042">
        <v>1</v>
      </c>
      <c r="P5102" s="1043">
        <v>42213</v>
      </c>
      <c r="Q5102" s="1044">
        <v>1.41</v>
      </c>
      <c r="R5102" s="1045">
        <f>$A5102*Q5102</f>
        <v>59.22</v>
      </c>
      <c r="S5102" s="1044">
        <v>0.18</v>
      </c>
      <c r="T5102" s="1046">
        <f>$A5102*S5102*$T$1</f>
        <v>7.9379999999999997</v>
      </c>
    </row>
    <row r="5103" spans="1:41" s="504" customFormat="1" ht="13.2">
      <c r="A5103" s="930"/>
      <c r="B5103" s="513"/>
      <c r="C5103" s="513"/>
      <c r="D5103" s="3"/>
      <c r="E5103" s="513"/>
      <c r="F5103" s="513"/>
      <c r="G5103" s="513"/>
      <c r="H5103" s="513"/>
      <c r="I5103" s="513"/>
      <c r="J5103" s="513"/>
      <c r="K5103" s="513"/>
      <c r="L5103" s="1246"/>
      <c r="M5103" s="513"/>
      <c r="N5103" s="513"/>
      <c r="O5103" s="513"/>
      <c r="P5103" s="513"/>
      <c r="Q5103" s="513"/>
      <c r="R5103" s="1247">
        <f>$A5103*Q5103</f>
        <v>0</v>
      </c>
      <c r="S5103" s="513"/>
      <c r="T5103" s="884">
        <f>$A5103*S5103*$T$1</f>
        <v>0</v>
      </c>
    </row>
    <row r="5104" spans="1:41" s="504" customFormat="1" ht="12" customHeight="1">
      <c r="A5104" s="1272" t="s">
        <v>142</v>
      </c>
      <c r="B5104" s="1273">
        <f>(R5103+T5103)</f>
        <v>0</v>
      </c>
      <c r="C5104" s="1274"/>
      <c r="D5104" s="1274"/>
      <c r="E5104" s="1274"/>
      <c r="F5104" s="1274"/>
      <c r="G5104" s="1253"/>
      <c r="H5104" s="1253"/>
      <c r="I5104" s="1253"/>
      <c r="J5104" s="1253"/>
      <c r="K5104" s="1275" t="s">
        <v>3</v>
      </c>
      <c r="L5104" s="1276" t="s">
        <v>1473</v>
      </c>
      <c r="M5104" s="1253"/>
      <c r="N5104" s="1253"/>
      <c r="O5104" s="1253"/>
      <c r="P5104" s="1253"/>
      <c r="Q5104" s="1253"/>
      <c r="R5104" s="1254">
        <f>SUM(R5100:R5103)</f>
        <v>59.22</v>
      </c>
      <c r="S5104" s="1255"/>
      <c r="T5104" s="1254">
        <f>SUM(T5100:T5103)</f>
        <v>7.9379999999999997</v>
      </c>
      <c r="AG5104" s="1256">
        <f>ROUND($R5104*$S$2,2)</f>
        <v>72.25</v>
      </c>
    </row>
    <row r="5105" spans="1:41" s="504" customFormat="1" ht="12.75" customHeight="1">
      <c r="A5105" s="1277"/>
      <c r="B5105" s="1278"/>
      <c r="E5105" s="882"/>
      <c r="F5105" s="1279"/>
      <c r="G5105" s="882"/>
      <c r="H5105" s="882"/>
      <c r="I5105" s="503"/>
      <c r="J5105" s="882"/>
      <c r="K5105" s="882"/>
      <c r="L5105" s="1280"/>
      <c r="M5105" s="933"/>
      <c r="N5105" s="933"/>
      <c r="O5105" s="933"/>
      <c r="P5105" s="933"/>
      <c r="Q5105" s="900"/>
      <c r="R5105" s="1258"/>
      <c r="S5105" s="882"/>
      <c r="T5105" s="1258"/>
    </row>
    <row r="5106" spans="1:41" s="504" customFormat="1" ht="13.5" customHeight="1" thickBot="1">
      <c r="A5106" s="1281"/>
      <c r="B5106" s="1282"/>
      <c r="C5106" s="514"/>
      <c r="D5106" s="514"/>
      <c r="E5106" s="887"/>
      <c r="F5106" s="888"/>
      <c r="G5106" s="887" t="s">
        <v>143</v>
      </c>
      <c r="H5106" s="887"/>
      <c r="I5106" s="889"/>
      <c r="J5106" s="887"/>
      <c r="K5106" s="887"/>
      <c r="L5106" s="1283" t="s">
        <v>140</v>
      </c>
      <c r="M5106" s="890"/>
      <c r="N5106" s="890"/>
      <c r="O5106" s="890"/>
      <c r="P5106" s="890"/>
      <c r="Q5106" s="891"/>
      <c r="R5106" s="1284">
        <f>SUMIF($L5093:$L5105,"SUBI",R5093:R5105)</f>
        <v>164.22</v>
      </c>
      <c r="S5106" s="887"/>
      <c r="T5106" s="1284">
        <f>SUMIF($L5093:$L5105,"SUBI",T5093:T5105)</f>
        <v>7.9379999999999997</v>
      </c>
      <c r="U5106" s="514"/>
      <c r="V5106" s="514"/>
      <c r="W5106" s="514"/>
      <c r="X5106" s="514"/>
      <c r="Y5106" s="514"/>
      <c r="Z5106" s="514"/>
      <c r="AA5106" s="514"/>
      <c r="AB5106" s="514"/>
      <c r="AC5106" s="514"/>
      <c r="AD5106" s="514"/>
      <c r="AE5106" s="514"/>
      <c r="AF5106" s="514"/>
      <c r="AG5106" s="514"/>
      <c r="AH5106" s="514"/>
      <c r="AI5106" s="514"/>
      <c r="AJ5106" s="514"/>
      <c r="AK5106" s="514"/>
      <c r="AL5106" s="514"/>
      <c r="AM5106" s="514"/>
      <c r="AN5106" s="514"/>
      <c r="AO5106" s="514"/>
    </row>
    <row r="5107" spans="1:41" s="504" customFormat="1" thickTop="1">
      <c r="A5107" s="50"/>
      <c r="B5107" s="40"/>
      <c r="C5107" s="50"/>
      <c r="E5107" s="41" t="s">
        <v>136</v>
      </c>
      <c r="F5107" s="41" t="s">
        <v>137</v>
      </c>
      <c r="G5107" s="50"/>
      <c r="H5107" s="50"/>
      <c r="I5107" s="50"/>
      <c r="J5107" s="50"/>
      <c r="K5107" s="50" t="s">
        <v>138</v>
      </c>
      <c r="L5107" s="1219"/>
      <c r="M5107" s="50"/>
      <c r="N5107" s="50"/>
      <c r="O5107" s="51"/>
      <c r="P5107" s="50"/>
      <c r="Q5107"/>
      <c r="R5107"/>
      <c r="S5107"/>
      <c r="T5107" s="40"/>
      <c r="AG5107" s="867" t="s">
        <v>241</v>
      </c>
      <c r="AH5107" s="867" t="s">
        <v>242</v>
      </c>
      <c r="AI5107" s="867" t="s">
        <v>243</v>
      </c>
      <c r="AJ5107" s="867" t="s">
        <v>244</v>
      </c>
      <c r="AK5107" s="867" t="s">
        <v>245</v>
      </c>
      <c r="AM5107" s="868" t="s">
        <v>254</v>
      </c>
      <c r="AN5107" s="869" t="s">
        <v>255</v>
      </c>
      <c r="AO5107" s="505" t="s">
        <v>251</v>
      </c>
    </row>
    <row r="5108" spans="1:41" s="504" customFormat="1" ht="13.2">
      <c r="A5108" s="870">
        <v>2</v>
      </c>
      <c r="B5108" s="506" t="s">
        <v>335</v>
      </c>
      <c r="C5108" s="872"/>
      <c r="D5108" s="873" t="s">
        <v>844</v>
      </c>
      <c r="E5108" s="1220">
        <f>IF(AND($A5108=0,$A$1="DIF"),0, ROUND(ROUND(SUMIF($L5110:$L5116,"SUBI",$E5110:$E5116)/$A5108,2)*$C$12,2))</f>
        <v>77.709999999999994</v>
      </c>
      <c r="F5108" s="1221">
        <f>ROUND($A5108*$E5108,2)</f>
        <v>155.41999999999999</v>
      </c>
      <c r="G5108" s="876" t="s">
        <v>139</v>
      </c>
      <c r="H5108" s="877"/>
      <c r="I5108" s="878"/>
      <c r="J5108" s="877"/>
      <c r="K5108" s="1222"/>
      <c r="L5108" s="1223" t="s">
        <v>140</v>
      </c>
      <c r="M5108" s="879"/>
      <c r="N5108" s="879"/>
      <c r="O5108" s="879"/>
      <c r="P5108" s="879"/>
      <c r="Q5108"/>
      <c r="R5108"/>
      <c r="S5108"/>
      <c r="T5108" s="1224" t="str">
        <f>IF(AND($R5122=0,$T5122=0),"0.00","mu :" &amp; ROUND($F5108/$C$12/($R5122+$T5122*$D$9),2))</f>
        <v>mu :1.17</v>
      </c>
      <c r="W5108" s="507"/>
      <c r="AG5108" s="1225">
        <f>IF(A5108=0,0,ROUND(SUM(AG5110:AG5122)/A5108,2))</f>
        <v>37.82</v>
      </c>
      <c r="AH5108" s="1225">
        <f>$AG5108*$A5108</f>
        <v>75.64</v>
      </c>
      <c r="AI5108" s="1225">
        <f>$E5108-$AG5108</f>
        <v>39.889999999999993</v>
      </c>
      <c r="AJ5108" s="1225">
        <f>$A5108*$AI5108</f>
        <v>79.779999999999987</v>
      </c>
      <c r="AK5108" s="1226">
        <f>ROUND(($AG5108+$AI5108)*$A5108,2)</f>
        <v>155.41999999999999</v>
      </c>
      <c r="AM5108" s="510">
        <f>ROUND(R5122,2)</f>
        <v>66.92</v>
      </c>
      <c r="AN5108" s="511">
        <f>ROUND(T5122,2)</f>
        <v>2.27</v>
      </c>
      <c r="AO5108" s="512">
        <f>ROUND(AM5108+AN5108,2)*A5108</f>
        <v>138.38</v>
      </c>
    </row>
    <row r="5109" spans="1:41" s="504" customFormat="1" ht="13.2">
      <c r="A5109" s="872"/>
      <c r="B5109"/>
      <c r="C5109" s="872"/>
      <c r="D5109" s="873" t="s">
        <v>535</v>
      </c>
      <c r="F5109" s="877"/>
      <c r="G5109" s="877"/>
      <c r="H5109" s="877"/>
      <c r="I5109" s="878"/>
      <c r="J5109" s="877"/>
      <c r="K5109" s="877" t="s">
        <v>141</v>
      </c>
      <c r="L5109" s="1227"/>
      <c r="M5109" s="877"/>
      <c r="N5109" s="877"/>
      <c r="O5109" s="877"/>
      <c r="P5109" s="877"/>
      <c r="Q5109" s="50"/>
      <c r="R5109" s="513"/>
      <c r="S5109" s="881"/>
      <c r="T5109" s="877"/>
    </row>
    <row r="5110" spans="1:41" s="504" customFormat="1" ht="12">
      <c r="A5110" s="1228"/>
      <c r="B5110" s="1229"/>
      <c r="C5110" s="882"/>
      <c r="D5110" s="877"/>
      <c r="E5110" s="1230">
        <f>F5108/$C$12-SUMIF($L5107:$L5122,"SUBI",$E5107:$E5122)</f>
        <v>0</v>
      </c>
      <c r="F5110" s="1231" t="s">
        <v>1472</v>
      </c>
      <c r="G5110" s="1232"/>
      <c r="H5110" s="1232"/>
      <c r="I5110" s="1233"/>
      <c r="J5110" s="1232"/>
      <c r="K5110" s="1232"/>
      <c r="L5110" s="1234"/>
      <c r="M5110" s="1235"/>
      <c r="N5110" s="1235"/>
      <c r="O5110" s="1235"/>
      <c r="P5110" s="1235"/>
      <c r="Q5110" s="1236"/>
      <c r="R5110" s="1237"/>
      <c r="S5110" s="1236"/>
      <c r="T5110" s="1238"/>
    </row>
    <row r="5111" spans="1:41" s="504" customFormat="1" ht="12" customHeight="1">
      <c r="A5111" s="1239"/>
      <c r="B5111" s="1291"/>
      <c r="C5111" s="1292"/>
      <c r="D5111" s="1292" t="str">
        <f>$F$6</f>
        <v>ELV Sub-Contractor - DATA</v>
      </c>
      <c r="E5111" s="1292">
        <f>ROUND(($R5115*$S$6 + ($T5115*$T$6)),2)</f>
        <v>55</v>
      </c>
      <c r="F5111" s="1293">
        <f>$E5111*$C$12</f>
        <v>55</v>
      </c>
      <c r="G5111" s="513"/>
      <c r="H5111" s="1241"/>
      <c r="I5111" s="513"/>
      <c r="J5111" s="51"/>
      <c r="K5111" s="1242" t="s">
        <v>10</v>
      </c>
      <c r="L5111" s="1243" t="s">
        <v>1473</v>
      </c>
      <c r="M5111" s="513"/>
      <c r="N5111" s="513"/>
      <c r="O5111" s="51"/>
      <c r="P5111" s="513"/>
      <c r="Q5111" s="513"/>
      <c r="R5111"/>
      <c r="S5111"/>
      <c r="T5111"/>
    </row>
    <row r="5112" spans="1:41" s="504" customFormat="1" ht="13.95" customHeight="1">
      <c r="A5112" s="930"/>
      <c r="B5112" s="1244" t="s">
        <v>1474</v>
      </c>
      <c r="C5112" s="513"/>
      <c r="D5112" s="513"/>
      <c r="E5112" s="513"/>
      <c r="F5112" s="513"/>
      <c r="G5112" s="513"/>
      <c r="H5112" s="1241"/>
      <c r="I5112" s="513"/>
      <c r="J5112" s="51"/>
      <c r="K5112" s="1245"/>
      <c r="L5112" s="1246"/>
      <c r="M5112" s="513"/>
      <c r="N5112" s="513"/>
      <c r="O5112" s="51"/>
      <c r="P5112" s="513"/>
      <c r="Q5112" s="513"/>
      <c r="R5112" s="1247">
        <f>$A5112*Q5112</f>
        <v>0</v>
      </c>
      <c r="S5112" s="513"/>
      <c r="T5112" s="884">
        <f>$A5112*S5112*$T$1</f>
        <v>0</v>
      </c>
    </row>
    <row r="5113" spans="1:41" s="1039" customFormat="1" ht="12.6" customHeight="1">
      <c r="A5113" s="112">
        <v>2</v>
      </c>
      <c r="B5113" s="1039" t="s">
        <v>949</v>
      </c>
      <c r="D5113" s="1039" t="s">
        <v>535</v>
      </c>
      <c r="G5113" s="1040" t="s">
        <v>1462</v>
      </c>
      <c r="H5113" s="1041">
        <v>821</v>
      </c>
      <c r="I5113" s="1039" t="s">
        <v>951</v>
      </c>
      <c r="O5113" s="1042">
        <v>3</v>
      </c>
      <c r="P5113" s="1043"/>
      <c r="Q5113" s="1044">
        <v>25</v>
      </c>
      <c r="R5113" s="1045">
        <f>$A5113*Q5113</f>
        <v>50</v>
      </c>
      <c r="S5113" s="1044"/>
      <c r="T5113" s="1046">
        <f>$A5113*S5113*$T$1</f>
        <v>0</v>
      </c>
    </row>
    <row r="5114" spans="1:41" s="504" customFormat="1" ht="13.95" customHeight="1">
      <c r="A5114" s="930"/>
      <c r="B5114" s="513"/>
      <c r="C5114" s="513"/>
      <c r="D5114" s="513"/>
      <c r="E5114" s="513"/>
      <c r="F5114" s="513"/>
      <c r="G5114" s="513"/>
      <c r="H5114" s="1241"/>
      <c r="I5114" s="513"/>
      <c r="J5114" s="51"/>
      <c r="K5114" s="1245"/>
      <c r="L5114" s="1246"/>
      <c r="M5114" s="513"/>
      <c r="N5114" s="513"/>
      <c r="O5114" s="51"/>
      <c r="P5114" s="513"/>
      <c r="Q5114" s="513"/>
      <c r="R5114" s="1247">
        <f>$A5114*Q5114</f>
        <v>0</v>
      </c>
      <c r="S5114" s="513"/>
      <c r="T5114" s="884">
        <f>$A5114*S5114*$T$1</f>
        <v>0</v>
      </c>
    </row>
    <row r="5115" spans="1:41" s="504" customFormat="1" ht="12">
      <c r="A5115" s="1248" t="s">
        <v>142</v>
      </c>
      <c r="B5115" s="1249">
        <f>(R5114+T5114)</f>
        <v>0</v>
      </c>
      <c r="C5115" s="882"/>
      <c r="G5115" s="1250"/>
      <c r="H5115" s="1250"/>
      <c r="I5115" s="1250"/>
      <c r="J5115" s="1250"/>
      <c r="K5115" s="1251" t="s">
        <v>10</v>
      </c>
      <c r="L5115" s="1252" t="s">
        <v>1473</v>
      </c>
      <c r="M5115" s="1250"/>
      <c r="N5115" s="1250"/>
      <c r="O5115" s="1250"/>
      <c r="P5115" s="1250"/>
      <c r="Q5115" s="1253"/>
      <c r="R5115" s="1254">
        <f>SUM(R5111:R5114)</f>
        <v>50</v>
      </c>
      <c r="S5115" s="1255"/>
      <c r="T5115" s="1254">
        <f>SUM(T5111:T5114)</f>
        <v>0</v>
      </c>
      <c r="AG5115" s="1294">
        <f>ROUND($R5115*$S$6,2)</f>
        <v>55</v>
      </c>
    </row>
    <row r="5116" spans="1:41" s="504" customFormat="1" ht="12" customHeight="1">
      <c r="A5116" s="1257"/>
      <c r="B5116" s="1289"/>
      <c r="C5116" s="1240"/>
      <c r="D5116" s="1240" t="str">
        <f>$F$2</f>
        <v>Electrical</v>
      </c>
      <c r="E5116" s="1240">
        <f>ROUND(($R5120*$S$2 + ($T5120*$T$2)),2)</f>
        <v>100.42</v>
      </c>
      <c r="F5116" s="1290">
        <f ca="1">$F5108-SUMIF($L5110:$P5113,"SUBI",$F5110:$F5113)</f>
        <v>100.41999999999999</v>
      </c>
      <c r="G5116" s="503"/>
      <c r="H5116" s="503"/>
      <c r="I5116" s="503"/>
      <c r="J5116" s="503"/>
      <c r="K5116" s="1242" t="s">
        <v>3</v>
      </c>
      <c r="L5116" s="1243" t="s">
        <v>1473</v>
      </c>
      <c r="M5116" s="503"/>
      <c r="N5116" s="503"/>
      <c r="O5116" s="503"/>
      <c r="P5116" s="503"/>
      <c r="Q5116" s="503"/>
      <c r="R5116" s="1258"/>
      <c r="S5116" s="503"/>
      <c r="T5116" s="1258"/>
    </row>
    <row r="5117" spans="1:41" s="1271" customFormat="1" ht="14.4" customHeight="1">
      <c r="A5117" s="1259"/>
      <c r="B5117" s="1244" t="s">
        <v>1475</v>
      </c>
      <c r="C5117" s="1260"/>
      <c r="D5117" s="1261"/>
      <c r="E5117" s="1261"/>
      <c r="F5117" s="1261"/>
      <c r="G5117" s="1262"/>
      <c r="H5117" s="1263"/>
      <c r="I5117" s="1263"/>
      <c r="J5117" s="1264"/>
      <c r="K5117" s="1265"/>
      <c r="L5117" s="1260"/>
      <c r="M5117" s="1266"/>
      <c r="N5117" s="1267"/>
      <c r="O5117" s="1268"/>
      <c r="P5117" s="1269"/>
      <c r="Q5117" s="1270"/>
      <c r="R5117" s="1247">
        <f>$A5117*Q5117</f>
        <v>0</v>
      </c>
      <c r="S5117" s="513"/>
      <c r="T5117" s="884">
        <f>$A5117*S5117*$T$1</f>
        <v>0</v>
      </c>
    </row>
    <row r="5118" spans="1:41" s="1039" customFormat="1" ht="13.2">
      <c r="A5118" s="112">
        <f>2*6</f>
        <v>12</v>
      </c>
      <c r="B5118" s="1039" t="s">
        <v>326</v>
      </c>
      <c r="D5118" s="1039" t="s">
        <v>1224</v>
      </c>
      <c r="G5118" s="1040" t="s">
        <v>1221</v>
      </c>
      <c r="H5118" s="1041">
        <v>700</v>
      </c>
      <c r="I5118" s="1039" t="s">
        <v>1132</v>
      </c>
      <c r="J5118" s="1039" t="s">
        <v>1222</v>
      </c>
      <c r="O5118" s="1042">
        <v>1</v>
      </c>
      <c r="P5118" s="1043">
        <v>42213</v>
      </c>
      <c r="Q5118" s="1044">
        <v>1.41</v>
      </c>
      <c r="R5118" s="1045">
        <f>$A5118*Q5118</f>
        <v>16.919999999999998</v>
      </c>
      <c r="S5118" s="1044">
        <v>0.18</v>
      </c>
      <c r="T5118" s="1046">
        <f>$A5118*S5118*$T$1</f>
        <v>2.2680000000000002</v>
      </c>
    </row>
    <row r="5119" spans="1:41" s="504" customFormat="1" ht="13.2">
      <c r="A5119" s="930"/>
      <c r="B5119" s="513"/>
      <c r="C5119" s="513"/>
      <c r="D5119" s="3"/>
      <c r="E5119" s="513"/>
      <c r="F5119" s="513"/>
      <c r="G5119" s="513"/>
      <c r="H5119" s="513"/>
      <c r="I5119" s="513"/>
      <c r="J5119" s="513"/>
      <c r="K5119" s="513"/>
      <c r="L5119" s="1246"/>
      <c r="M5119" s="513"/>
      <c r="N5119" s="513"/>
      <c r="O5119" s="513"/>
      <c r="P5119" s="513"/>
      <c r="Q5119" s="513"/>
      <c r="R5119" s="1247">
        <f>$A5119*Q5119</f>
        <v>0</v>
      </c>
      <c r="S5119" s="513"/>
      <c r="T5119" s="884">
        <f>$A5119*S5119*$T$1</f>
        <v>0</v>
      </c>
    </row>
    <row r="5120" spans="1:41" s="504" customFormat="1" ht="12" customHeight="1">
      <c r="A5120" s="1272" t="s">
        <v>142</v>
      </c>
      <c r="B5120" s="1273">
        <f>(R5119+T5119)</f>
        <v>0</v>
      </c>
      <c r="C5120" s="1274"/>
      <c r="D5120" s="1274"/>
      <c r="E5120" s="1274"/>
      <c r="F5120" s="1274"/>
      <c r="G5120" s="1253"/>
      <c r="H5120" s="1253"/>
      <c r="I5120" s="1253"/>
      <c r="J5120" s="1253"/>
      <c r="K5120" s="1275" t="s">
        <v>3</v>
      </c>
      <c r="L5120" s="1276" t="s">
        <v>1473</v>
      </c>
      <c r="M5120" s="1253"/>
      <c r="N5120" s="1253"/>
      <c r="O5120" s="1253"/>
      <c r="P5120" s="1253"/>
      <c r="Q5120" s="1253"/>
      <c r="R5120" s="1254">
        <f>SUM(R5116:R5119)</f>
        <v>16.919999999999998</v>
      </c>
      <c r="S5120" s="1255"/>
      <c r="T5120" s="1254">
        <f>SUM(T5116:T5119)</f>
        <v>2.2680000000000002</v>
      </c>
      <c r="AG5120" s="1256">
        <f>ROUND($R5120*$S$2,2)</f>
        <v>20.64</v>
      </c>
    </row>
    <row r="5121" spans="1:41" s="504" customFormat="1" ht="12.75" customHeight="1">
      <c r="A5121" s="1277"/>
      <c r="B5121" s="1278"/>
      <c r="E5121" s="882"/>
      <c r="F5121" s="1279"/>
      <c r="G5121" s="882"/>
      <c r="H5121" s="882"/>
      <c r="I5121" s="503"/>
      <c r="J5121" s="882"/>
      <c r="K5121" s="882"/>
      <c r="L5121" s="1280"/>
      <c r="M5121" s="933"/>
      <c r="N5121" s="933"/>
      <c r="O5121" s="933"/>
      <c r="P5121" s="933"/>
      <c r="Q5121" s="900"/>
      <c r="R5121" s="1258"/>
      <c r="S5121" s="882"/>
      <c r="T5121" s="1258"/>
    </row>
    <row r="5122" spans="1:41" s="504" customFormat="1" ht="13.5" customHeight="1" thickBot="1">
      <c r="A5122" s="1281"/>
      <c r="B5122" s="1282"/>
      <c r="C5122" s="514"/>
      <c r="D5122" s="514"/>
      <c r="E5122" s="887"/>
      <c r="F5122" s="888"/>
      <c r="G5122" s="887" t="s">
        <v>143</v>
      </c>
      <c r="H5122" s="887"/>
      <c r="I5122" s="889"/>
      <c r="J5122" s="887"/>
      <c r="K5122" s="887"/>
      <c r="L5122" s="1283" t="s">
        <v>140</v>
      </c>
      <c r="M5122" s="890"/>
      <c r="N5122" s="890"/>
      <c r="O5122" s="890"/>
      <c r="P5122" s="890"/>
      <c r="Q5122" s="891"/>
      <c r="R5122" s="1284">
        <f>SUMIF($L5109:$L5121,"SUBI",R5109:R5121)</f>
        <v>66.92</v>
      </c>
      <c r="S5122" s="887"/>
      <c r="T5122" s="1284">
        <f>SUMIF($L5109:$L5121,"SUBI",T5109:T5121)</f>
        <v>2.2680000000000002</v>
      </c>
      <c r="U5122" s="514"/>
      <c r="V5122" s="514"/>
      <c r="W5122" s="514"/>
      <c r="X5122" s="514"/>
      <c r="Y5122" s="514"/>
      <c r="Z5122" s="514"/>
      <c r="AA5122" s="514"/>
      <c r="AB5122" s="514"/>
      <c r="AC5122" s="514"/>
      <c r="AD5122" s="514"/>
      <c r="AE5122" s="514"/>
      <c r="AF5122" s="514"/>
      <c r="AG5122" s="514"/>
      <c r="AH5122" s="514"/>
      <c r="AI5122" s="514"/>
      <c r="AJ5122" s="514"/>
      <c r="AK5122" s="514"/>
      <c r="AL5122" s="514"/>
      <c r="AM5122" s="514"/>
      <c r="AN5122" s="514"/>
      <c r="AO5122" s="514"/>
    </row>
    <row r="5123" spans="1:41" s="504" customFormat="1" ht="12" thickTop="1">
      <c r="A5123" s="50"/>
      <c r="B5123" s="40"/>
      <c r="C5123" s="50"/>
      <c r="E5123" s="41" t="s">
        <v>136</v>
      </c>
      <c r="F5123" s="41" t="s">
        <v>137</v>
      </c>
      <c r="G5123" s="50"/>
      <c r="H5123" s="50"/>
      <c r="I5123" s="50"/>
      <c r="J5123" s="50"/>
      <c r="K5123" s="50" t="s">
        <v>138</v>
      </c>
      <c r="L5123" s="50"/>
      <c r="M5123" s="50"/>
      <c r="N5123" s="50"/>
      <c r="O5123" s="51"/>
      <c r="P5123" s="50"/>
      <c r="Q5123" s="50"/>
      <c r="R5123" s="50"/>
      <c r="S5123" s="50"/>
      <c r="T5123" s="40"/>
      <c r="AG5123" s="867" t="s">
        <v>241</v>
      </c>
      <c r="AH5123" s="867" t="s">
        <v>242</v>
      </c>
      <c r="AI5123" s="867" t="s">
        <v>243</v>
      </c>
      <c r="AJ5123" s="867" t="s">
        <v>244</v>
      </c>
      <c r="AK5123" s="867" t="s">
        <v>245</v>
      </c>
      <c r="AM5123" s="868" t="s">
        <v>254</v>
      </c>
      <c r="AN5123" s="869" t="s">
        <v>255</v>
      </c>
      <c r="AO5123" s="505" t="s">
        <v>251</v>
      </c>
    </row>
    <row r="5124" spans="1:41" s="504" customFormat="1" ht="12" customHeight="1">
      <c r="A5124" s="870">
        <v>320</v>
      </c>
      <c r="B5124" s="506" t="s">
        <v>326</v>
      </c>
      <c r="C5124" s="872"/>
      <c r="D5124" s="873" t="s">
        <v>845</v>
      </c>
      <c r="E5124" s="1033">
        <f>IF(AND($A5124=0,$A$1="DIF"),0, ROUND(ROUND(($R5128*$S$6+($T5128*$T$6))/$A5124,2)*$C$6,2))</f>
        <v>1.1000000000000001</v>
      </c>
      <c r="F5124" s="1034">
        <f>ROUND($A5124*$E5124,2)</f>
        <v>352</v>
      </c>
      <c r="G5124" s="876" t="s">
        <v>139</v>
      </c>
      <c r="H5124" s="877"/>
      <c r="I5124" s="878"/>
      <c r="J5124" s="877"/>
      <c r="K5124" s="877" t="s">
        <v>10</v>
      </c>
      <c r="L5124" s="879" t="s">
        <v>140</v>
      </c>
      <c r="M5124" s="879"/>
      <c r="N5124" s="879"/>
      <c r="O5124" s="879"/>
      <c r="P5124" s="879"/>
      <c r="Q5124" s="50"/>
      <c r="T5124" s="1038" t="str">
        <f>IF(AND($R5128=0,$T5128=0),"0.00","mu: "&amp; ROUND(F5124/$C$6/($R5128+$T5128*$D$9),2))</f>
        <v>mu: 1.1</v>
      </c>
      <c r="W5124" s="507"/>
      <c r="AG5124" s="1035">
        <f>IF($E5124=0,0,ROUND($R5128*$S$6*$C$6/$A5124,2))</f>
        <v>1.1000000000000001</v>
      </c>
      <c r="AH5124" s="1035">
        <f>$AG5124*$A5124</f>
        <v>352</v>
      </c>
      <c r="AI5124" s="1036">
        <f>$E5124-$AG5124</f>
        <v>0</v>
      </c>
      <c r="AJ5124" s="1036">
        <f>$A5124*$AI5124</f>
        <v>0</v>
      </c>
      <c r="AK5124" s="1037">
        <f>ROUND(($AG5124+$AI5124)*$A5124,2)</f>
        <v>352</v>
      </c>
      <c r="AM5124" s="510">
        <f>ROUND(R5128,2)</f>
        <v>320</v>
      </c>
      <c r="AN5124" s="511">
        <f>ROUND(T5128,2)</f>
        <v>0</v>
      </c>
      <c r="AO5124" s="512">
        <f>ROUND(AM5124+AN5124,2)*A5124</f>
        <v>102400</v>
      </c>
    </row>
    <row r="5125" spans="1:41" s="504" customFormat="1" ht="13.2">
      <c r="A5125" s="872"/>
      <c r="B5125"/>
      <c r="C5125" s="872"/>
      <c r="D5125" s="873" t="s">
        <v>536</v>
      </c>
      <c r="F5125" s="877"/>
      <c r="G5125" s="3"/>
      <c r="H5125" s="877"/>
      <c r="I5125" s="878"/>
      <c r="J5125" s="877"/>
      <c r="K5125" s="877" t="s">
        <v>141</v>
      </c>
      <c r="L5125" s="877"/>
      <c r="M5125" s="877"/>
      <c r="N5125" s="877"/>
      <c r="O5125" s="877"/>
      <c r="P5125" s="877"/>
      <c r="Q5125" s="50"/>
      <c r="R5125" s="513"/>
      <c r="S5125" s="881"/>
      <c r="T5125" s="877"/>
    </row>
    <row r="5126" spans="1:41" s="1039" customFormat="1" ht="13.2">
      <c r="A5126" s="112">
        <v>320</v>
      </c>
      <c r="B5126" s="1039" t="s">
        <v>326</v>
      </c>
      <c r="D5126" s="1039" t="s">
        <v>536</v>
      </c>
      <c r="G5126" s="1040" t="s">
        <v>1462</v>
      </c>
      <c r="H5126" s="1041">
        <v>821</v>
      </c>
      <c r="I5126" s="1039" t="s">
        <v>951</v>
      </c>
      <c r="O5126" s="1042">
        <v>3</v>
      </c>
      <c r="P5126" s="1043"/>
      <c r="Q5126" s="1044">
        <v>1</v>
      </c>
      <c r="R5126" s="1045">
        <f>$A5126*Q5126</f>
        <v>320</v>
      </c>
      <c r="S5126" s="1044"/>
      <c r="T5126" s="1046">
        <f>$A5126*S5126*$T$1</f>
        <v>0</v>
      </c>
    </row>
    <row r="5127" spans="1:41" s="504" customFormat="1" ht="12">
      <c r="A5127" s="882"/>
      <c r="B5127" s="882"/>
      <c r="C5127" s="882"/>
      <c r="D5127" s="882"/>
      <c r="E5127" s="882"/>
      <c r="F5127" s="877"/>
      <c r="G5127" s="882"/>
      <c r="H5127" s="882"/>
      <c r="I5127" s="503"/>
      <c r="J5127" s="882"/>
      <c r="K5127" s="882"/>
      <c r="L5127" s="882"/>
      <c r="M5127" s="882"/>
      <c r="N5127" s="882"/>
      <c r="O5127" s="882"/>
      <c r="P5127" s="882"/>
      <c r="Q5127" s="503"/>
      <c r="R5127" s="883">
        <f>$A5127*Q5127</f>
        <v>0</v>
      </c>
      <c r="S5127" s="503"/>
      <c r="T5127" s="884">
        <f>$A5127*S5127*$T$1</f>
        <v>0</v>
      </c>
    </row>
    <row r="5128" spans="1:41" s="504" customFormat="1" ht="12.6" thickBot="1">
      <c r="A5128" s="885" t="s">
        <v>142</v>
      </c>
      <c r="B5128" s="886">
        <f>(R5127+T5127)</f>
        <v>0</v>
      </c>
      <c r="C5128" s="887"/>
      <c r="D5128" s="887"/>
      <c r="E5128" s="887"/>
      <c r="F5128" s="888"/>
      <c r="G5128" s="887" t="s">
        <v>143</v>
      </c>
      <c r="H5128" s="887"/>
      <c r="I5128" s="889"/>
      <c r="J5128" s="887"/>
      <c r="K5128" s="887" t="s">
        <v>10</v>
      </c>
      <c r="L5128" s="890" t="s">
        <v>140</v>
      </c>
      <c r="M5128" s="890"/>
      <c r="N5128" s="890"/>
      <c r="O5128" s="890"/>
      <c r="P5128" s="890"/>
      <c r="Q5128" s="891"/>
      <c r="R5128" s="892">
        <f>SUM(R5125:R5127)</f>
        <v>320</v>
      </c>
      <c r="S5128" s="887"/>
      <c r="T5128" s="892">
        <f>SUM(T5125:T5127)</f>
        <v>0</v>
      </c>
      <c r="U5128" s="514"/>
      <c r="V5128" s="514"/>
      <c r="W5128" s="514"/>
      <c r="X5128" s="514"/>
      <c r="Y5128" s="514"/>
      <c r="Z5128" s="514"/>
      <c r="AA5128" s="514"/>
      <c r="AB5128" s="514"/>
      <c r="AC5128" s="514"/>
      <c r="AD5128" s="514"/>
      <c r="AE5128" s="514"/>
      <c r="AF5128" s="514"/>
      <c r="AG5128" s="514"/>
      <c r="AH5128" s="514"/>
      <c r="AI5128" s="514"/>
      <c r="AJ5128" s="514"/>
      <c r="AK5128" s="514"/>
      <c r="AL5128" s="514"/>
      <c r="AM5128" s="514"/>
      <c r="AN5128" s="514"/>
      <c r="AO5128" s="514"/>
    </row>
    <row r="5129" spans="1:41" s="504" customFormat="1" ht="12" thickTop="1">
      <c r="A5129" s="47" t="s">
        <v>145</v>
      </c>
      <c r="D5129" s="13"/>
      <c r="E5129" s="41"/>
      <c r="O5129" s="893"/>
    </row>
    <row r="5130" spans="1:41" s="504" customFormat="1" ht="13.2">
      <c r="B5130" s="3"/>
      <c r="O5130" s="893"/>
    </row>
    <row r="5131" spans="1:41" s="504" customFormat="1" ht="12">
      <c r="B5131" s="894">
        <f>$F5131/$C$2-($R5131*$S$2+$T5131*$T$2)</f>
        <v>-235.21294608000017</v>
      </c>
      <c r="D5131" s="895" t="s">
        <v>817</v>
      </c>
      <c r="E5131" s="896"/>
      <c r="F5131" s="897">
        <f>SUMIF($L5007:$L5129,"ITEM",F5007:F5129)</f>
        <v>2758.5200000000004</v>
      </c>
      <c r="G5131" s="882"/>
      <c r="H5131" s="882"/>
      <c r="I5131" s="503"/>
      <c r="J5131" s="882"/>
      <c r="K5131" s="882"/>
      <c r="L5131" s="879" t="s">
        <v>154</v>
      </c>
      <c r="M5131" s="879"/>
      <c r="N5131" s="879"/>
      <c r="O5131" s="879"/>
      <c r="P5131" s="879"/>
      <c r="R5131" s="897">
        <f>SUMIF($L5007:$L5129,"ITEM",R5007:R5129)</f>
        <v>2061.5200000000004</v>
      </c>
      <c r="S5131" s="898"/>
      <c r="T5131" s="897">
        <f>SUMIF($L5007:$L5129,"ITEM",T5007:T5129)</f>
        <v>13.608000000000001</v>
      </c>
    </row>
    <row r="5132" spans="1:41" s="504" customFormat="1" ht="13.2">
      <c r="A5132" s="50"/>
      <c r="B5132" s="48" t="s">
        <v>816</v>
      </c>
      <c r="C5132" s="50"/>
      <c r="D5132" s="3"/>
      <c r="F5132" s="899" t="s">
        <v>155</v>
      </c>
      <c r="G5132" s="882"/>
      <c r="H5132" s="882"/>
      <c r="I5132" s="503"/>
      <c r="J5132" s="882"/>
      <c r="K5132" s="882"/>
      <c r="L5132" s="882"/>
      <c r="M5132" s="882"/>
      <c r="N5132" s="882"/>
      <c r="O5132" s="882"/>
      <c r="P5132" s="882"/>
      <c r="Q5132" s="900"/>
      <c r="R5132" s="899" t="s">
        <v>156</v>
      </c>
      <c r="S5132" s="38"/>
      <c r="T5132" s="899" t="s">
        <v>157</v>
      </c>
    </row>
    <row r="5133" spans="1:41" s="504" customFormat="1" ht="13.2">
      <c r="A5133" s="882"/>
      <c r="B5133" s="3"/>
      <c r="C5133" s="882"/>
      <c r="D5133" s="3"/>
      <c r="E5133" s="3"/>
      <c r="G5133" s="3"/>
      <c r="H5133" s="3"/>
      <c r="I5133" s="3"/>
      <c r="J5133" s="3"/>
      <c r="K5133" s="3"/>
      <c r="L5133" s="3"/>
      <c r="M5133" s="3"/>
      <c r="N5133" s="3"/>
      <c r="O5133" s="103"/>
      <c r="P5133" s="3"/>
      <c r="Q5133" s="3"/>
      <c r="R5133" s="3"/>
      <c r="S5133" s="3"/>
      <c r="T5133" s="3"/>
    </row>
    <row r="5134" spans="1:41" s="504" customFormat="1" ht="12" thickBot="1">
      <c r="A5134" s="514"/>
      <c r="B5134" s="887"/>
      <c r="C5134" s="887"/>
      <c r="D5134" s="514"/>
      <c r="E5134" s="39"/>
      <c r="F5134" s="901"/>
      <c r="G5134" s="887"/>
      <c r="H5134" s="887"/>
      <c r="I5134" s="889"/>
      <c r="J5134" s="887"/>
      <c r="K5134" s="887"/>
      <c r="L5134" s="890"/>
      <c r="M5134" s="890"/>
      <c r="N5134" s="890"/>
      <c r="O5134" s="890"/>
      <c r="P5134" s="890"/>
      <c r="Q5134" s="891"/>
      <c r="R5134" s="901"/>
      <c r="S5134" s="902"/>
      <c r="T5134" s="901"/>
      <c r="U5134" s="514"/>
      <c r="V5134" s="514"/>
      <c r="W5134" s="514"/>
      <c r="X5134" s="514"/>
      <c r="Y5134" s="514"/>
      <c r="Z5134" s="514"/>
      <c r="AA5134" s="514"/>
      <c r="AB5134" s="514"/>
      <c r="AC5134" s="514"/>
      <c r="AD5134" s="514"/>
      <c r="AE5134" s="514"/>
      <c r="AF5134" s="514"/>
      <c r="AG5134" s="514"/>
      <c r="AH5134" s="514"/>
      <c r="AI5134" s="514"/>
      <c r="AJ5134" s="514"/>
      <c r="AK5134" s="514"/>
    </row>
    <row r="5135" spans="1:41" s="504" customFormat="1" thickTop="1">
      <c r="A5135" s="50"/>
      <c r="B5135" s="50"/>
      <c r="C5135" s="3"/>
      <c r="D5135" s="3"/>
      <c r="E5135" s="50"/>
      <c r="F5135" s="50"/>
      <c r="G5135" s="50"/>
      <c r="H5135" s="50"/>
      <c r="I5135" s="50"/>
      <c r="J5135" s="50"/>
      <c r="K5135" s="50" t="s">
        <v>133</v>
      </c>
      <c r="L5135" s="50"/>
      <c r="M5135" s="50"/>
      <c r="N5135" s="50"/>
      <c r="O5135" s="51"/>
      <c r="P5135" s="50"/>
      <c r="Q5135" s="50"/>
      <c r="R5135" s="50"/>
      <c r="S5135" s="50"/>
      <c r="T5135" s="50"/>
    </row>
    <row r="5136" spans="1:41" s="504" customFormat="1" ht="12">
      <c r="A5136" s="50"/>
      <c r="B5136" s="50"/>
      <c r="C5136" s="50" t="s">
        <v>134</v>
      </c>
      <c r="D5136" s="37"/>
      <c r="E5136" s="50"/>
      <c r="F5136" s="50"/>
      <c r="G5136" s="50"/>
      <c r="H5136" s="50"/>
      <c r="I5136" s="50"/>
      <c r="J5136" s="50"/>
      <c r="K5136" s="50"/>
      <c r="L5136" s="50"/>
      <c r="M5136" s="50"/>
      <c r="N5136" s="50"/>
      <c r="O5136" s="51"/>
      <c r="P5136" s="50"/>
      <c r="Q5136" s="50"/>
      <c r="R5136" s="50"/>
      <c r="S5136" s="50"/>
      <c r="T5136" s="50"/>
    </row>
    <row r="5137" spans="1:41" s="504" customFormat="1" ht="12">
      <c r="A5137" s="50"/>
      <c r="B5137" s="50"/>
      <c r="C5137" s="50"/>
      <c r="D5137" s="37" t="s">
        <v>530</v>
      </c>
      <c r="E5137" s="50"/>
      <c r="F5137" s="50"/>
      <c r="G5137" s="50"/>
      <c r="H5137" s="50"/>
      <c r="I5137" s="50"/>
      <c r="J5137" s="50"/>
      <c r="K5137" s="50"/>
      <c r="L5137" s="50"/>
      <c r="M5137" s="50"/>
      <c r="N5137" s="50"/>
      <c r="O5137" s="51"/>
      <c r="P5137" s="50"/>
      <c r="Q5137" s="50"/>
      <c r="R5137" s="50"/>
      <c r="S5137" s="38"/>
      <c r="T5137" s="38"/>
    </row>
    <row r="5138" spans="1:41" s="3" customFormat="1" thickBot="1">
      <c r="A5138" s="514"/>
      <c r="O5138" s="103"/>
    </row>
    <row r="5139" spans="1:41" s="504" customFormat="1" thickTop="1">
      <c r="A5139" s="50"/>
      <c r="B5139" s="40"/>
      <c r="C5139" s="50"/>
      <c r="E5139" s="41" t="s">
        <v>136</v>
      </c>
      <c r="F5139" s="41" t="s">
        <v>137</v>
      </c>
      <c r="G5139" s="50"/>
      <c r="H5139" s="50"/>
      <c r="I5139" s="50"/>
      <c r="J5139" s="50"/>
      <c r="K5139" s="50" t="s">
        <v>138</v>
      </c>
      <c r="L5139" s="1219"/>
      <c r="M5139" s="50"/>
      <c r="N5139" s="50"/>
      <c r="O5139" s="51"/>
      <c r="P5139" s="50"/>
      <c r="Q5139"/>
      <c r="R5139"/>
      <c r="S5139"/>
      <c r="T5139" s="40"/>
      <c r="AG5139" s="867" t="s">
        <v>241</v>
      </c>
      <c r="AH5139" s="867" t="s">
        <v>242</v>
      </c>
      <c r="AI5139" s="867" t="s">
        <v>243</v>
      </c>
      <c r="AJ5139" s="867" t="s">
        <v>244</v>
      </c>
      <c r="AK5139" s="867" t="s">
        <v>245</v>
      </c>
      <c r="AM5139" s="868" t="s">
        <v>254</v>
      </c>
      <c r="AN5139" s="869" t="s">
        <v>255</v>
      </c>
      <c r="AO5139" s="505" t="s">
        <v>251</v>
      </c>
    </row>
    <row r="5140" spans="1:41" s="504" customFormat="1" ht="13.2">
      <c r="A5140" s="870">
        <v>14</v>
      </c>
      <c r="B5140" s="506" t="s">
        <v>335</v>
      </c>
      <c r="C5140" s="872"/>
      <c r="D5140" s="873" t="s">
        <v>846</v>
      </c>
      <c r="E5140" s="1220">
        <f>IF(AND($A5140=0,$A$1="DIF"),0, ROUND(ROUND(SUMIF($L5142:$L5148,"SUBI",$E5142:$E5148)/$A5140,2)*$C$12,2))</f>
        <v>66.709999999999994</v>
      </c>
      <c r="F5140" s="1221">
        <f>ROUND($A5140*$E5140,2)</f>
        <v>933.94</v>
      </c>
      <c r="G5140" s="876" t="s">
        <v>139</v>
      </c>
      <c r="H5140" s="877"/>
      <c r="I5140" s="878"/>
      <c r="J5140" s="877"/>
      <c r="K5140" s="1222"/>
      <c r="L5140" s="1223" t="s">
        <v>140</v>
      </c>
      <c r="M5140" s="879"/>
      <c r="N5140" s="879"/>
      <c r="O5140" s="879"/>
      <c r="P5140" s="879"/>
      <c r="Q5140"/>
      <c r="R5140"/>
      <c r="S5140"/>
      <c r="T5140" s="1224" t="str">
        <f>IF(AND($R5154=0,$T5154=0),"0.00","mu :" &amp; ROUND($F5140/$C$12/($R5154+$T5154*$D$9),2))</f>
        <v>mu :1.19</v>
      </c>
      <c r="W5140" s="507"/>
      <c r="AG5140" s="1225">
        <f>IF(A5140=0,0,ROUND(SUM(AG5142:AG5154)/A5140,2))</f>
        <v>26.82</v>
      </c>
      <c r="AH5140" s="1225">
        <f>$AG5140*$A5140</f>
        <v>375.48</v>
      </c>
      <c r="AI5140" s="1225">
        <f>$E5140-$AG5140</f>
        <v>39.889999999999993</v>
      </c>
      <c r="AJ5140" s="1225">
        <f>$A5140*$AI5140</f>
        <v>558.45999999999992</v>
      </c>
      <c r="AK5140" s="1226">
        <f>ROUND(($AG5140+$AI5140)*$A5140,2)</f>
        <v>933.94</v>
      </c>
      <c r="AM5140" s="510">
        <f>ROUND(R5154,2)</f>
        <v>328.44</v>
      </c>
      <c r="AN5140" s="511">
        <f>ROUND(T5154,2)</f>
        <v>15.88</v>
      </c>
      <c r="AO5140" s="512">
        <f>ROUND(AM5140+AN5140,2)*A5140</f>
        <v>4820.4799999999996</v>
      </c>
    </row>
    <row r="5141" spans="1:41" s="504" customFormat="1" ht="13.2">
      <c r="A5141" s="872"/>
      <c r="B5141"/>
      <c r="C5141" s="872"/>
      <c r="D5141" s="873" t="s">
        <v>534</v>
      </c>
      <c r="F5141" s="877"/>
      <c r="G5141" s="877"/>
      <c r="H5141" s="877"/>
      <c r="I5141" s="878"/>
      <c r="J5141" s="877"/>
      <c r="K5141" s="877" t="s">
        <v>141</v>
      </c>
      <c r="L5141" s="1227"/>
      <c r="M5141" s="877"/>
      <c r="N5141" s="877"/>
      <c r="O5141" s="877"/>
      <c r="P5141" s="877"/>
      <c r="Q5141" s="50"/>
      <c r="R5141" s="513"/>
      <c r="S5141" s="881"/>
      <c r="T5141" s="877"/>
    </row>
    <row r="5142" spans="1:41" s="504" customFormat="1" ht="12">
      <c r="A5142" s="1228"/>
      <c r="B5142" s="1229"/>
      <c r="C5142" s="882"/>
      <c r="D5142" s="877"/>
      <c r="E5142" s="1230">
        <f>F5140/$C$12-SUMIF($L5139:$L5154,"SUBI",$E5139:$E5154)</f>
        <v>-1.999999999998181E-2</v>
      </c>
      <c r="F5142" s="1231" t="s">
        <v>1472</v>
      </c>
      <c r="G5142" s="1232"/>
      <c r="H5142" s="1232"/>
      <c r="I5142" s="1233"/>
      <c r="J5142" s="1232"/>
      <c r="K5142" s="1232"/>
      <c r="L5142" s="1234"/>
      <c r="M5142" s="1235"/>
      <c r="N5142" s="1235"/>
      <c r="O5142" s="1235"/>
      <c r="P5142" s="1235"/>
      <c r="Q5142" s="1236"/>
      <c r="R5142" s="1237"/>
      <c r="S5142" s="1236"/>
      <c r="T5142" s="1238"/>
    </row>
    <row r="5143" spans="1:41" s="504" customFormat="1" ht="12" customHeight="1">
      <c r="A5143" s="1239"/>
      <c r="B5143" s="1291"/>
      <c r="C5143" s="1292"/>
      <c r="D5143" s="1292" t="str">
        <f>$F$6</f>
        <v>ELV Sub-Contractor - DATA</v>
      </c>
      <c r="E5143" s="1292">
        <f>ROUND(($R5147*$S$6 + ($T5147*$T$6)),2)</f>
        <v>231</v>
      </c>
      <c r="F5143" s="1293">
        <f>$E5143*$C$12</f>
        <v>231</v>
      </c>
      <c r="G5143" s="513"/>
      <c r="H5143" s="1241"/>
      <c r="I5143" s="513"/>
      <c r="J5143" s="51"/>
      <c r="K5143" s="1242" t="s">
        <v>10</v>
      </c>
      <c r="L5143" s="1243" t="s">
        <v>1473</v>
      </c>
      <c r="M5143" s="513"/>
      <c r="N5143" s="513"/>
      <c r="O5143" s="51"/>
      <c r="P5143" s="513"/>
      <c r="Q5143" s="513"/>
      <c r="R5143"/>
      <c r="S5143"/>
      <c r="T5143"/>
    </row>
    <row r="5144" spans="1:41" s="504" customFormat="1" ht="13.95" customHeight="1">
      <c r="A5144" s="930"/>
      <c r="B5144" s="1244" t="s">
        <v>1474</v>
      </c>
      <c r="C5144" s="513"/>
      <c r="D5144" s="513"/>
      <c r="E5144" s="513"/>
      <c r="F5144" s="513"/>
      <c r="G5144" s="513"/>
      <c r="H5144" s="1241"/>
      <c r="I5144" s="513"/>
      <c r="J5144" s="51"/>
      <c r="K5144" s="1245"/>
      <c r="L5144" s="1246"/>
      <c r="M5144" s="513"/>
      <c r="N5144" s="513"/>
      <c r="O5144" s="51"/>
      <c r="P5144" s="513"/>
      <c r="Q5144" s="513"/>
      <c r="R5144" s="1247">
        <f>$A5144*Q5144</f>
        <v>0</v>
      </c>
      <c r="S5144" s="513"/>
      <c r="T5144" s="884">
        <f>$A5144*S5144*$T$1</f>
        <v>0</v>
      </c>
    </row>
    <row r="5145" spans="1:41" s="1039" customFormat="1" ht="13.2">
      <c r="A5145" s="112">
        <v>14</v>
      </c>
      <c r="B5145" s="1039" t="s">
        <v>949</v>
      </c>
      <c r="D5145" s="1039" t="s">
        <v>534</v>
      </c>
      <c r="G5145" s="1040" t="s">
        <v>1462</v>
      </c>
      <c r="H5145" s="1041">
        <v>821</v>
      </c>
      <c r="I5145" s="1039" t="s">
        <v>951</v>
      </c>
      <c r="O5145" s="1042">
        <v>3</v>
      </c>
      <c r="P5145" s="1043"/>
      <c r="Q5145" s="1044">
        <v>15</v>
      </c>
      <c r="R5145" s="1045">
        <f>$A5145*Q5145</f>
        <v>210</v>
      </c>
      <c r="S5145" s="1044"/>
      <c r="T5145" s="1046">
        <f>$A5145*S5145*$T$1</f>
        <v>0</v>
      </c>
    </row>
    <row r="5146" spans="1:41" s="504" customFormat="1" ht="13.95" customHeight="1">
      <c r="A5146" s="930"/>
      <c r="B5146" s="513"/>
      <c r="C5146" s="513"/>
      <c r="D5146" s="513"/>
      <c r="E5146" s="513"/>
      <c r="F5146" s="513"/>
      <c r="G5146" s="513"/>
      <c r="H5146" s="1241"/>
      <c r="I5146" s="513"/>
      <c r="J5146" s="51"/>
      <c r="K5146" s="1245"/>
      <c r="L5146" s="1246"/>
      <c r="M5146" s="513"/>
      <c r="N5146" s="513"/>
      <c r="O5146" s="51"/>
      <c r="P5146" s="513"/>
      <c r="Q5146" s="513"/>
      <c r="R5146" s="1247">
        <f>$A5146*Q5146</f>
        <v>0</v>
      </c>
      <c r="S5146" s="513"/>
      <c r="T5146" s="884">
        <f>$A5146*S5146*$T$1</f>
        <v>0</v>
      </c>
    </row>
    <row r="5147" spans="1:41" s="504" customFormat="1" ht="12">
      <c r="A5147" s="1248" t="s">
        <v>142</v>
      </c>
      <c r="B5147" s="1249">
        <f>(R5146+T5146)</f>
        <v>0</v>
      </c>
      <c r="C5147" s="882"/>
      <c r="G5147" s="1250"/>
      <c r="H5147" s="1250"/>
      <c r="I5147" s="1250"/>
      <c r="J5147" s="1250"/>
      <c r="K5147" s="1251" t="s">
        <v>10</v>
      </c>
      <c r="L5147" s="1252" t="s">
        <v>1473</v>
      </c>
      <c r="M5147" s="1250"/>
      <c r="N5147" s="1250"/>
      <c r="O5147" s="1250"/>
      <c r="P5147" s="1250"/>
      <c r="Q5147" s="1253"/>
      <c r="R5147" s="1254">
        <f>SUM(R5143:R5146)</f>
        <v>210</v>
      </c>
      <c r="S5147" s="1255"/>
      <c r="T5147" s="1254">
        <f>SUM(T5143:T5146)</f>
        <v>0</v>
      </c>
      <c r="AG5147" s="1294">
        <f>ROUND($R5147*$S$6,2)</f>
        <v>231</v>
      </c>
    </row>
    <row r="5148" spans="1:41" s="504" customFormat="1" ht="12" customHeight="1">
      <c r="A5148" s="1257"/>
      <c r="B5148" s="1289"/>
      <c r="C5148" s="1240"/>
      <c r="D5148" s="1240" t="str">
        <f>$F$2</f>
        <v>Electrical</v>
      </c>
      <c r="E5148" s="1240">
        <f>ROUND(($R5152*$S$2 + ($T5152*$T$2)),2)</f>
        <v>702.96</v>
      </c>
      <c r="F5148" s="1290">
        <f ca="1">$F5140-SUMIF($L5142:$P5145,"SUBI",$F5142:$F5145)</f>
        <v>702.94</v>
      </c>
      <c r="G5148" s="503"/>
      <c r="H5148" s="503"/>
      <c r="I5148" s="503"/>
      <c r="J5148" s="503"/>
      <c r="K5148" s="1242" t="s">
        <v>3</v>
      </c>
      <c r="L5148" s="1243" t="s">
        <v>1473</v>
      </c>
      <c r="M5148" s="503"/>
      <c r="N5148" s="503"/>
      <c r="O5148" s="503"/>
      <c r="P5148" s="503"/>
      <c r="Q5148" s="503"/>
      <c r="R5148" s="1258"/>
      <c r="S5148" s="503"/>
      <c r="T5148" s="1258"/>
    </row>
    <row r="5149" spans="1:41" s="1271" customFormat="1" ht="14.4" customHeight="1">
      <c r="A5149" s="1259"/>
      <c r="B5149" s="1244" t="s">
        <v>1475</v>
      </c>
      <c r="C5149" s="1260"/>
      <c r="D5149" s="1261"/>
      <c r="E5149" s="1261"/>
      <c r="F5149" s="1261"/>
      <c r="G5149" s="1262"/>
      <c r="H5149" s="1263"/>
      <c r="I5149" s="1263"/>
      <c r="J5149" s="1264"/>
      <c r="K5149" s="1265"/>
      <c r="L5149" s="1260"/>
      <c r="M5149" s="1266"/>
      <c r="N5149" s="1267"/>
      <c r="O5149" s="1268"/>
      <c r="P5149" s="1269"/>
      <c r="Q5149" s="1270"/>
      <c r="R5149" s="1247">
        <f>$A5149*Q5149</f>
        <v>0</v>
      </c>
      <c r="S5149" s="513"/>
      <c r="T5149" s="884">
        <f>$A5149*S5149*$T$1</f>
        <v>0</v>
      </c>
    </row>
    <row r="5150" spans="1:41" s="1039" customFormat="1" ht="13.2">
      <c r="A5150" s="112">
        <f>14*6</f>
        <v>84</v>
      </c>
      <c r="B5150" s="1039" t="s">
        <v>326</v>
      </c>
      <c r="D5150" s="1039" t="s">
        <v>1224</v>
      </c>
      <c r="G5150" s="1040" t="s">
        <v>1221</v>
      </c>
      <c r="H5150" s="1041">
        <v>700</v>
      </c>
      <c r="I5150" s="1039" t="s">
        <v>1132</v>
      </c>
      <c r="J5150" s="1039" t="s">
        <v>1222</v>
      </c>
      <c r="O5150" s="1042">
        <v>1</v>
      </c>
      <c r="P5150" s="1043">
        <v>42213</v>
      </c>
      <c r="Q5150" s="1044">
        <v>1.41</v>
      </c>
      <c r="R5150" s="1045">
        <f>$A5150*Q5150</f>
        <v>118.44</v>
      </c>
      <c r="S5150" s="1044">
        <v>0.18</v>
      </c>
      <c r="T5150" s="1046">
        <f>$A5150*S5150*$T$1</f>
        <v>15.875999999999999</v>
      </c>
    </row>
    <row r="5151" spans="1:41" s="504" customFormat="1" ht="13.2">
      <c r="A5151" s="930"/>
      <c r="B5151" s="513"/>
      <c r="C5151" s="513"/>
      <c r="D5151" s="3"/>
      <c r="E5151" s="513"/>
      <c r="F5151" s="513"/>
      <c r="G5151" s="513"/>
      <c r="H5151" s="513"/>
      <c r="I5151" s="513"/>
      <c r="J5151" s="513"/>
      <c r="K5151" s="513"/>
      <c r="L5151" s="1246"/>
      <c r="M5151" s="513"/>
      <c r="N5151" s="513"/>
      <c r="O5151" s="513"/>
      <c r="P5151" s="513"/>
      <c r="Q5151" s="513"/>
      <c r="R5151" s="1247">
        <f>$A5151*Q5151</f>
        <v>0</v>
      </c>
      <c r="S5151" s="513"/>
      <c r="T5151" s="884">
        <f>$A5151*S5151*$T$1</f>
        <v>0</v>
      </c>
    </row>
    <row r="5152" spans="1:41" s="504" customFormat="1" ht="12" customHeight="1">
      <c r="A5152" s="1272" t="s">
        <v>142</v>
      </c>
      <c r="B5152" s="1273">
        <f>(R5151+T5151)</f>
        <v>0</v>
      </c>
      <c r="C5152" s="1274"/>
      <c r="D5152" s="1274"/>
      <c r="E5152" s="1274"/>
      <c r="F5152" s="1274"/>
      <c r="G5152" s="1253"/>
      <c r="H5152" s="1253"/>
      <c r="I5152" s="1253"/>
      <c r="J5152" s="1253"/>
      <c r="K5152" s="1275" t="s">
        <v>3</v>
      </c>
      <c r="L5152" s="1276" t="s">
        <v>1473</v>
      </c>
      <c r="M5152" s="1253"/>
      <c r="N5152" s="1253"/>
      <c r="O5152" s="1253"/>
      <c r="P5152" s="1253"/>
      <c r="Q5152" s="1253"/>
      <c r="R5152" s="1254">
        <f>SUM(R5148:R5151)</f>
        <v>118.44</v>
      </c>
      <c r="S5152" s="1255"/>
      <c r="T5152" s="1254">
        <f>SUM(T5148:T5151)</f>
        <v>15.875999999999999</v>
      </c>
      <c r="AG5152" s="1256">
        <f>ROUND($R5152*$S$2,2)</f>
        <v>144.5</v>
      </c>
    </row>
    <row r="5153" spans="1:41" s="504" customFormat="1" ht="12.75" customHeight="1">
      <c r="A5153" s="1277"/>
      <c r="B5153" s="1278"/>
      <c r="E5153" s="882"/>
      <c r="F5153" s="1279"/>
      <c r="G5153" s="882"/>
      <c r="H5153" s="882"/>
      <c r="I5153" s="503"/>
      <c r="J5153" s="882"/>
      <c r="K5153" s="882"/>
      <c r="L5153" s="1280"/>
      <c r="M5153" s="933"/>
      <c r="N5153" s="933"/>
      <c r="O5153" s="933"/>
      <c r="P5153" s="933"/>
      <c r="Q5153" s="900"/>
      <c r="R5153" s="1258"/>
      <c r="S5153" s="882"/>
      <c r="T5153" s="1258"/>
    </row>
    <row r="5154" spans="1:41" s="504" customFormat="1" ht="13.5" customHeight="1" thickBot="1">
      <c r="A5154" s="1281"/>
      <c r="B5154" s="1282"/>
      <c r="C5154" s="514"/>
      <c r="D5154" s="514"/>
      <c r="E5154" s="887"/>
      <c r="F5154" s="888"/>
      <c r="G5154" s="887" t="s">
        <v>143</v>
      </c>
      <c r="H5154" s="887"/>
      <c r="I5154" s="889"/>
      <c r="J5154" s="887"/>
      <c r="K5154" s="887"/>
      <c r="L5154" s="1283" t="s">
        <v>140</v>
      </c>
      <c r="M5154" s="890"/>
      <c r="N5154" s="890"/>
      <c r="O5154" s="890"/>
      <c r="P5154" s="890"/>
      <c r="Q5154" s="891"/>
      <c r="R5154" s="1284">
        <f>SUMIF($L5141:$L5153,"SUBI",R5141:R5153)</f>
        <v>328.44</v>
      </c>
      <c r="S5154" s="887"/>
      <c r="T5154" s="1284">
        <f>SUMIF($L5141:$L5153,"SUBI",T5141:T5153)</f>
        <v>15.875999999999999</v>
      </c>
      <c r="U5154" s="514"/>
      <c r="V5154" s="514"/>
      <c r="W5154" s="514"/>
      <c r="X5154" s="514"/>
      <c r="Y5154" s="514"/>
      <c r="Z5154" s="514"/>
      <c r="AA5154" s="514"/>
      <c r="AB5154" s="514"/>
      <c r="AC5154" s="514"/>
      <c r="AD5154" s="514"/>
      <c r="AE5154" s="514"/>
      <c r="AF5154" s="514"/>
      <c r="AG5154" s="514"/>
      <c r="AH5154" s="514"/>
      <c r="AI5154" s="514"/>
      <c r="AJ5154" s="514"/>
      <c r="AK5154" s="514"/>
      <c r="AL5154" s="514"/>
      <c r="AM5154" s="514"/>
      <c r="AN5154" s="514"/>
      <c r="AO5154" s="514"/>
    </row>
    <row r="5155" spans="1:41" s="504" customFormat="1" ht="12" thickTop="1">
      <c r="A5155" s="50"/>
      <c r="B5155" s="40"/>
      <c r="C5155" s="50"/>
      <c r="E5155" s="41" t="s">
        <v>136</v>
      </c>
      <c r="F5155" s="41" t="s">
        <v>137</v>
      </c>
      <c r="G5155" s="50"/>
      <c r="H5155" s="50"/>
      <c r="I5155" s="50"/>
      <c r="J5155" s="50"/>
      <c r="K5155" s="50" t="s">
        <v>138</v>
      </c>
      <c r="L5155" s="50"/>
      <c r="M5155" s="50"/>
      <c r="N5155" s="50"/>
      <c r="O5155" s="51"/>
      <c r="P5155" s="50"/>
      <c r="Q5155" s="50"/>
      <c r="R5155" s="50"/>
      <c r="S5155" s="50"/>
      <c r="T5155" s="40"/>
      <c r="AG5155" s="867" t="s">
        <v>241</v>
      </c>
      <c r="AH5155" s="867" t="s">
        <v>242</v>
      </c>
      <c r="AI5155" s="867" t="s">
        <v>243</v>
      </c>
      <c r="AJ5155" s="867" t="s">
        <v>244</v>
      </c>
      <c r="AK5155" s="867" t="s">
        <v>245</v>
      </c>
      <c r="AM5155" s="868" t="s">
        <v>254</v>
      </c>
      <c r="AN5155" s="869" t="s">
        <v>255</v>
      </c>
      <c r="AO5155" s="505" t="s">
        <v>251</v>
      </c>
    </row>
    <row r="5156" spans="1:41" s="504" customFormat="1" ht="12" customHeight="1">
      <c r="A5156" s="870">
        <v>435</v>
      </c>
      <c r="B5156" s="506" t="s">
        <v>326</v>
      </c>
      <c r="C5156" s="872"/>
      <c r="D5156" s="873" t="s">
        <v>847</v>
      </c>
      <c r="E5156" s="1033">
        <f>IF(AND($A5156=0,$A$1="DIF"),0, ROUND(ROUND(($R5160*$S$6+($T5160*$T$6))/$A5156,2)*$C$6,2))</f>
        <v>1.1000000000000001</v>
      </c>
      <c r="F5156" s="1034">
        <f>ROUND($A5156*$E5156,2)</f>
        <v>478.5</v>
      </c>
      <c r="G5156" s="876" t="s">
        <v>139</v>
      </c>
      <c r="H5156" s="877"/>
      <c r="I5156" s="878"/>
      <c r="J5156" s="877"/>
      <c r="K5156" s="877" t="s">
        <v>10</v>
      </c>
      <c r="L5156" s="879" t="s">
        <v>140</v>
      </c>
      <c r="M5156" s="879"/>
      <c r="N5156" s="879"/>
      <c r="O5156" s="879"/>
      <c r="P5156" s="879"/>
      <c r="Q5156" s="50"/>
      <c r="T5156" s="1038" t="str">
        <f>IF(AND($R5160=0,$T5160=0),"0.00","mu: "&amp; ROUND(F5156/$C$6/($R5160+$T5160*$D$9),2))</f>
        <v>mu: 1.1</v>
      </c>
      <c r="W5156" s="507"/>
      <c r="AG5156" s="1035">
        <f>IF($E5156=0,0,ROUND($R5160*$S$6*$C$6/$A5156,2))</f>
        <v>1.1000000000000001</v>
      </c>
      <c r="AH5156" s="1035">
        <f>$AG5156*$A5156</f>
        <v>478.50000000000006</v>
      </c>
      <c r="AI5156" s="1036">
        <f>$E5156-$AG5156</f>
        <v>0</v>
      </c>
      <c r="AJ5156" s="1036">
        <f>$A5156*$AI5156</f>
        <v>0</v>
      </c>
      <c r="AK5156" s="1037">
        <f>ROUND(($AG5156+$AI5156)*$A5156,2)</f>
        <v>478.5</v>
      </c>
      <c r="AM5156" s="510">
        <f>ROUND(R5160,2)</f>
        <v>435</v>
      </c>
      <c r="AN5156" s="511">
        <f>ROUND(T5160,2)</f>
        <v>0</v>
      </c>
      <c r="AO5156" s="512">
        <f>ROUND(AM5156+AN5156,2)*A5156</f>
        <v>189225</v>
      </c>
    </row>
    <row r="5157" spans="1:41" s="504" customFormat="1" ht="13.2">
      <c r="A5157" s="872"/>
      <c r="B5157"/>
      <c r="C5157" s="872"/>
      <c r="D5157" s="873" t="s">
        <v>536</v>
      </c>
      <c r="F5157" s="877"/>
      <c r="G5157" s="3"/>
      <c r="H5157" s="877"/>
      <c r="I5157" s="878"/>
      <c r="J5157" s="877"/>
      <c r="K5157" s="877" t="s">
        <v>141</v>
      </c>
      <c r="L5157" s="877"/>
      <c r="M5157" s="877"/>
      <c r="N5157" s="877"/>
      <c r="O5157" s="877"/>
      <c r="P5157" s="877"/>
      <c r="Q5157" s="50"/>
      <c r="R5157" s="513"/>
      <c r="S5157" s="881"/>
      <c r="T5157" s="877"/>
    </row>
    <row r="5158" spans="1:41" s="1039" customFormat="1" ht="13.2">
      <c r="A5158" s="112">
        <v>435</v>
      </c>
      <c r="B5158" s="1039" t="s">
        <v>326</v>
      </c>
      <c r="D5158" s="1039" t="s">
        <v>536</v>
      </c>
      <c r="G5158" s="1040" t="s">
        <v>1462</v>
      </c>
      <c r="H5158" s="1041">
        <v>821</v>
      </c>
      <c r="I5158" s="1039" t="s">
        <v>951</v>
      </c>
      <c r="O5158" s="1042">
        <v>3</v>
      </c>
      <c r="P5158" s="1043"/>
      <c r="Q5158" s="1044">
        <v>1</v>
      </c>
      <c r="R5158" s="1045">
        <f>$A5158*Q5158</f>
        <v>435</v>
      </c>
      <c r="S5158" s="1044"/>
      <c r="T5158" s="1046">
        <f>$A5158*S5158*$T$1</f>
        <v>0</v>
      </c>
    </row>
    <row r="5159" spans="1:41" s="504" customFormat="1" ht="12">
      <c r="A5159" s="882"/>
      <c r="B5159" s="882"/>
      <c r="C5159" s="882"/>
      <c r="D5159" s="882"/>
      <c r="E5159" s="882"/>
      <c r="F5159" s="877"/>
      <c r="G5159" s="882"/>
      <c r="H5159" s="882"/>
      <c r="I5159" s="503"/>
      <c r="J5159" s="882"/>
      <c r="K5159" s="882"/>
      <c r="L5159" s="882"/>
      <c r="M5159" s="882"/>
      <c r="N5159" s="882"/>
      <c r="O5159" s="882"/>
      <c r="P5159" s="882"/>
      <c r="Q5159" s="503"/>
      <c r="R5159" s="883">
        <f>$A5159*Q5159</f>
        <v>0</v>
      </c>
      <c r="S5159" s="503"/>
      <c r="T5159" s="884">
        <f>$A5159*S5159*$T$1</f>
        <v>0</v>
      </c>
    </row>
    <row r="5160" spans="1:41" s="504" customFormat="1" ht="12.6" thickBot="1">
      <c r="A5160" s="885" t="s">
        <v>142</v>
      </c>
      <c r="B5160" s="886">
        <f>(R5159+T5159)</f>
        <v>0</v>
      </c>
      <c r="C5160" s="887"/>
      <c r="D5160" s="887"/>
      <c r="E5160" s="887"/>
      <c r="F5160" s="888"/>
      <c r="G5160" s="887" t="s">
        <v>143</v>
      </c>
      <c r="H5160" s="887"/>
      <c r="I5160" s="889"/>
      <c r="J5160" s="887"/>
      <c r="K5160" s="887" t="s">
        <v>10</v>
      </c>
      <c r="L5160" s="890" t="s">
        <v>140</v>
      </c>
      <c r="M5160" s="890"/>
      <c r="N5160" s="890"/>
      <c r="O5160" s="890"/>
      <c r="P5160" s="890"/>
      <c r="Q5160" s="891"/>
      <c r="R5160" s="892">
        <f>SUM(R5157:R5159)</f>
        <v>435</v>
      </c>
      <c r="S5160" s="887"/>
      <c r="T5160" s="892">
        <f>SUM(T5157:T5159)</f>
        <v>0</v>
      </c>
      <c r="U5160" s="514"/>
      <c r="V5160" s="514"/>
      <c r="W5160" s="514"/>
      <c r="X5160" s="514"/>
      <c r="Y5160" s="514"/>
      <c r="Z5160" s="514"/>
      <c r="AA5160" s="514"/>
      <c r="AB5160" s="514"/>
      <c r="AC5160" s="514"/>
      <c r="AD5160" s="514"/>
      <c r="AE5160" s="514"/>
      <c r="AF5160" s="514"/>
      <c r="AG5160" s="514"/>
      <c r="AH5160" s="514"/>
      <c r="AI5160" s="514"/>
      <c r="AJ5160" s="514"/>
      <c r="AK5160" s="514"/>
      <c r="AL5160" s="514"/>
      <c r="AM5160" s="514"/>
      <c r="AN5160" s="514"/>
      <c r="AO5160" s="514"/>
    </row>
    <row r="5161" spans="1:41" s="504" customFormat="1" thickTop="1">
      <c r="A5161" s="50"/>
      <c r="B5161" s="50"/>
      <c r="C5161" s="3"/>
      <c r="D5161" s="3"/>
      <c r="E5161" s="50"/>
      <c r="F5161" s="50"/>
      <c r="G5161" s="50"/>
      <c r="H5161" s="50"/>
      <c r="I5161" s="50"/>
      <c r="J5161" s="50"/>
      <c r="K5161" s="50" t="s">
        <v>133</v>
      </c>
      <c r="L5161" s="50"/>
      <c r="M5161" s="50"/>
      <c r="N5161" s="50"/>
      <c r="O5161" s="51"/>
      <c r="P5161" s="50"/>
      <c r="Q5161" s="50"/>
      <c r="R5161" s="50"/>
      <c r="S5161" s="50"/>
      <c r="T5161" s="50"/>
    </row>
    <row r="5162" spans="1:41" s="504" customFormat="1" ht="12">
      <c r="A5162" s="50"/>
      <c r="B5162" s="50"/>
      <c r="C5162" s="50" t="s">
        <v>134</v>
      </c>
      <c r="D5162" s="37"/>
      <c r="E5162" s="50"/>
      <c r="F5162" s="50"/>
      <c r="G5162" s="50"/>
      <c r="H5162" s="50"/>
      <c r="I5162" s="50"/>
      <c r="J5162" s="50"/>
      <c r="K5162" s="50"/>
      <c r="L5162" s="50"/>
      <c r="M5162" s="50"/>
      <c r="N5162" s="50"/>
      <c r="O5162" s="51"/>
      <c r="P5162" s="50"/>
      <c r="Q5162" s="50"/>
      <c r="R5162" s="50"/>
      <c r="S5162" s="50"/>
      <c r="T5162" s="50"/>
    </row>
    <row r="5163" spans="1:41" s="504" customFormat="1" ht="12">
      <c r="A5163" s="50"/>
      <c r="B5163" s="50"/>
      <c r="C5163" s="50"/>
      <c r="D5163" s="37" t="s">
        <v>541</v>
      </c>
      <c r="E5163" s="50"/>
      <c r="F5163" s="50"/>
      <c r="G5163" s="50"/>
      <c r="H5163" s="50"/>
      <c r="I5163" s="50"/>
      <c r="J5163" s="50"/>
      <c r="K5163" s="50"/>
      <c r="L5163" s="50"/>
      <c r="M5163" s="50"/>
      <c r="N5163" s="50"/>
      <c r="O5163" s="51"/>
      <c r="P5163" s="50"/>
      <c r="Q5163" s="50"/>
      <c r="R5163" s="50"/>
      <c r="S5163" s="38"/>
      <c r="T5163" s="38"/>
    </row>
    <row r="5164" spans="1:41" s="3" customFormat="1" thickBot="1">
      <c r="A5164" s="514"/>
      <c r="O5164" s="103"/>
    </row>
    <row r="5165" spans="1:41" s="504" customFormat="1" thickTop="1">
      <c r="A5165" s="50"/>
      <c r="B5165" s="40"/>
      <c r="C5165" s="50"/>
      <c r="E5165" s="41" t="s">
        <v>136</v>
      </c>
      <c r="F5165" s="41" t="s">
        <v>137</v>
      </c>
      <c r="G5165" s="50"/>
      <c r="H5165" s="50"/>
      <c r="I5165" s="50"/>
      <c r="J5165" s="50"/>
      <c r="K5165" s="50" t="s">
        <v>138</v>
      </c>
      <c r="L5165" s="1219"/>
      <c r="M5165" s="50"/>
      <c r="N5165" s="50"/>
      <c r="O5165" s="51"/>
      <c r="P5165" s="50"/>
      <c r="Q5165"/>
      <c r="R5165"/>
      <c r="S5165"/>
      <c r="T5165" s="40"/>
      <c r="AG5165" s="867" t="s">
        <v>241</v>
      </c>
      <c r="AH5165" s="867" t="s">
        <v>242</v>
      </c>
      <c r="AI5165" s="867" t="s">
        <v>243</v>
      </c>
      <c r="AJ5165" s="867" t="s">
        <v>244</v>
      </c>
      <c r="AK5165" s="867" t="s">
        <v>245</v>
      </c>
      <c r="AM5165" s="868" t="s">
        <v>254</v>
      </c>
      <c r="AN5165" s="869" t="s">
        <v>255</v>
      </c>
      <c r="AO5165" s="505" t="s">
        <v>251</v>
      </c>
    </row>
    <row r="5166" spans="1:41" s="504" customFormat="1" ht="13.2">
      <c r="A5166" s="870">
        <v>11</v>
      </c>
      <c r="B5166" s="506" t="s">
        <v>335</v>
      </c>
      <c r="C5166" s="872"/>
      <c r="D5166" s="873" t="s">
        <v>848</v>
      </c>
      <c r="E5166" s="1220">
        <f>IF(AND($A5166=0,$A$1="DIF"),0, ROUND(ROUND(SUMIF($L5168:$L5174,"SUBI",$E5168:$E5174)/$A5166,2)*$C$12,2))</f>
        <v>66.709999999999994</v>
      </c>
      <c r="F5166" s="1221">
        <f>ROUND($A5166*$E5166,2)</f>
        <v>733.81</v>
      </c>
      <c r="G5166" s="876" t="s">
        <v>139</v>
      </c>
      <c r="H5166" s="877"/>
      <c r="I5166" s="878"/>
      <c r="J5166" s="877"/>
      <c r="K5166" s="1222"/>
      <c r="L5166" s="1223" t="s">
        <v>140</v>
      </c>
      <c r="M5166" s="879"/>
      <c r="N5166" s="879"/>
      <c r="O5166" s="879"/>
      <c r="P5166" s="879"/>
      <c r="Q5166"/>
      <c r="R5166"/>
      <c r="S5166"/>
      <c r="T5166" s="1224" t="str">
        <f>IF(AND($R5180=0,$T5180=0),"0.00","mu :" &amp; ROUND($F5166/$C$12/($R5180+$T5180*$D$9),2))</f>
        <v>mu :1.19</v>
      </c>
      <c r="W5166" s="507"/>
      <c r="AG5166" s="1225">
        <f>IF(A5166=0,0,ROUND(SUM(AG5168:AG5180)/A5166,2))</f>
        <v>26.82</v>
      </c>
      <c r="AH5166" s="1225">
        <f>$AG5166*$A5166</f>
        <v>295.02</v>
      </c>
      <c r="AI5166" s="1225">
        <f>$E5166-$AG5166</f>
        <v>39.889999999999993</v>
      </c>
      <c r="AJ5166" s="1225">
        <f>$A5166*$AI5166</f>
        <v>438.78999999999991</v>
      </c>
      <c r="AK5166" s="1226">
        <f>ROUND(($AG5166+$AI5166)*$A5166,2)</f>
        <v>733.81</v>
      </c>
      <c r="AM5166" s="510">
        <f>ROUND(R5180,2)</f>
        <v>258.06</v>
      </c>
      <c r="AN5166" s="511">
        <f>ROUND(T5180,2)</f>
        <v>12.47</v>
      </c>
      <c r="AO5166" s="512">
        <f>ROUND(AM5166+AN5166,2)*A5166</f>
        <v>2975.83</v>
      </c>
    </row>
    <row r="5167" spans="1:41" s="504" customFormat="1" ht="13.2">
      <c r="A5167" s="872"/>
      <c r="B5167"/>
      <c r="C5167" s="872"/>
      <c r="D5167" s="873" t="s">
        <v>534</v>
      </c>
      <c r="F5167" s="877"/>
      <c r="G5167" s="877"/>
      <c r="H5167" s="877"/>
      <c r="I5167" s="878"/>
      <c r="J5167" s="877"/>
      <c r="K5167" s="877" t="s">
        <v>141</v>
      </c>
      <c r="L5167" s="1227"/>
      <c r="M5167" s="877"/>
      <c r="N5167" s="877"/>
      <c r="O5167" s="877"/>
      <c r="P5167" s="877"/>
      <c r="Q5167" s="50"/>
      <c r="R5167" s="513"/>
      <c r="S5167" s="881"/>
      <c r="T5167" s="877"/>
    </row>
    <row r="5168" spans="1:41" s="504" customFormat="1" ht="12">
      <c r="A5168" s="1228"/>
      <c r="B5168" s="1229"/>
      <c r="C5168" s="882"/>
      <c r="D5168" s="877"/>
      <c r="E5168" s="1230">
        <f>F5166/$C$12-SUMIF($L5165:$L5180,"SUBI",$E5165:$E5180)</f>
        <v>-1.0000000000104592E-2</v>
      </c>
      <c r="F5168" s="1231" t="s">
        <v>1472</v>
      </c>
      <c r="G5168" s="1232"/>
      <c r="H5168" s="1232"/>
      <c r="I5168" s="1233"/>
      <c r="J5168" s="1232"/>
      <c r="K5168" s="1232"/>
      <c r="L5168" s="1234"/>
      <c r="M5168" s="1235"/>
      <c r="N5168" s="1235"/>
      <c r="O5168" s="1235"/>
      <c r="P5168" s="1235"/>
      <c r="Q5168" s="1236"/>
      <c r="R5168" s="1237"/>
      <c r="S5168" s="1236"/>
      <c r="T5168" s="1238"/>
    </row>
    <row r="5169" spans="1:41" s="504" customFormat="1" ht="12" customHeight="1">
      <c r="A5169" s="1239"/>
      <c r="B5169" s="1291"/>
      <c r="C5169" s="1292"/>
      <c r="D5169" s="1292" t="str">
        <f>$F$6</f>
        <v>ELV Sub-Contractor - DATA</v>
      </c>
      <c r="E5169" s="1292">
        <f>ROUND(($R5173*$S$6 + ($T5173*$T$6)),2)</f>
        <v>181.5</v>
      </c>
      <c r="F5169" s="1293">
        <f>$E5169*$C$12</f>
        <v>181.5</v>
      </c>
      <c r="G5169" s="513"/>
      <c r="H5169" s="1241"/>
      <c r="I5169" s="513"/>
      <c r="J5169" s="51"/>
      <c r="K5169" s="1242" t="s">
        <v>10</v>
      </c>
      <c r="L5169" s="1243" t="s">
        <v>1473</v>
      </c>
      <c r="M5169" s="513"/>
      <c r="N5169" s="513"/>
      <c r="O5169" s="51"/>
      <c r="P5169" s="513"/>
      <c r="Q5169" s="513"/>
      <c r="R5169"/>
      <c r="S5169"/>
      <c r="T5169"/>
    </row>
    <row r="5170" spans="1:41" s="504" customFormat="1" ht="13.95" customHeight="1">
      <c r="A5170" s="930"/>
      <c r="B5170" s="1244" t="s">
        <v>1474</v>
      </c>
      <c r="C5170" s="513"/>
      <c r="D5170" s="513"/>
      <c r="E5170" s="513"/>
      <c r="F5170" s="513"/>
      <c r="G5170" s="513"/>
      <c r="H5170" s="1241"/>
      <c r="I5170" s="513"/>
      <c r="J5170" s="51"/>
      <c r="K5170" s="1245"/>
      <c r="L5170" s="1246"/>
      <c r="M5170" s="513"/>
      <c r="N5170" s="513"/>
      <c r="O5170" s="51"/>
      <c r="P5170" s="513"/>
      <c r="Q5170" s="513"/>
      <c r="R5170" s="1247">
        <f>$A5170*Q5170</f>
        <v>0</v>
      </c>
      <c r="S5170" s="513"/>
      <c r="T5170" s="884">
        <f>$A5170*S5170*$T$1</f>
        <v>0</v>
      </c>
    </row>
    <row r="5171" spans="1:41" s="1039" customFormat="1" ht="13.2">
      <c r="A5171" s="112">
        <v>11</v>
      </c>
      <c r="B5171" s="1039" t="s">
        <v>949</v>
      </c>
      <c r="D5171" s="1039" t="s">
        <v>534</v>
      </c>
      <c r="G5171" s="1040" t="s">
        <v>1462</v>
      </c>
      <c r="H5171" s="1041">
        <v>821</v>
      </c>
      <c r="I5171" s="1039" t="s">
        <v>951</v>
      </c>
      <c r="O5171" s="1042">
        <v>3</v>
      </c>
      <c r="P5171" s="1043"/>
      <c r="Q5171" s="1044">
        <v>15</v>
      </c>
      <c r="R5171" s="1045">
        <f>$A5171*Q5171</f>
        <v>165</v>
      </c>
      <c r="S5171" s="1044"/>
      <c r="T5171" s="1046">
        <f>$A5171*S5171*$T$1</f>
        <v>0</v>
      </c>
    </row>
    <row r="5172" spans="1:41" s="504" customFormat="1" ht="13.95" customHeight="1">
      <c r="A5172" s="930"/>
      <c r="B5172" s="513"/>
      <c r="C5172" s="513"/>
      <c r="D5172" s="513"/>
      <c r="E5172" s="513"/>
      <c r="F5172" s="513"/>
      <c r="G5172" s="513"/>
      <c r="H5172" s="1241"/>
      <c r="I5172" s="513"/>
      <c r="J5172" s="51"/>
      <c r="K5172" s="1245"/>
      <c r="L5172" s="1246"/>
      <c r="M5172" s="513"/>
      <c r="N5172" s="513"/>
      <c r="O5172" s="51"/>
      <c r="P5172" s="513"/>
      <c r="Q5172" s="513"/>
      <c r="R5172" s="1247">
        <f>$A5172*Q5172</f>
        <v>0</v>
      </c>
      <c r="S5172" s="513"/>
      <c r="T5172" s="884">
        <f>$A5172*S5172*$T$1</f>
        <v>0</v>
      </c>
    </row>
    <row r="5173" spans="1:41" s="504" customFormat="1" ht="12">
      <c r="A5173" s="1248" t="s">
        <v>142</v>
      </c>
      <c r="B5173" s="1249">
        <f>(R5172+T5172)</f>
        <v>0</v>
      </c>
      <c r="C5173" s="882"/>
      <c r="G5173" s="1250"/>
      <c r="H5173" s="1250"/>
      <c r="I5173" s="1250"/>
      <c r="J5173" s="1250"/>
      <c r="K5173" s="1251" t="s">
        <v>10</v>
      </c>
      <c r="L5173" s="1252" t="s">
        <v>1473</v>
      </c>
      <c r="M5173" s="1250"/>
      <c r="N5173" s="1250"/>
      <c r="O5173" s="1250"/>
      <c r="P5173" s="1250"/>
      <c r="Q5173" s="1253"/>
      <c r="R5173" s="1254">
        <f>SUM(R5169:R5172)</f>
        <v>165</v>
      </c>
      <c r="S5173" s="1255"/>
      <c r="T5173" s="1254">
        <f>SUM(T5169:T5172)</f>
        <v>0</v>
      </c>
      <c r="AG5173" s="1294">
        <f>ROUND($R5173*$S$6,2)</f>
        <v>181.5</v>
      </c>
    </row>
    <row r="5174" spans="1:41" s="504" customFormat="1" ht="12" customHeight="1">
      <c r="A5174" s="1257"/>
      <c r="B5174" s="1289"/>
      <c r="C5174" s="1240"/>
      <c r="D5174" s="1240" t="str">
        <f>$F$2</f>
        <v>Electrical</v>
      </c>
      <c r="E5174" s="1240">
        <f>ROUND(($R5178*$S$2 + ($T5178*$T$2)),2)</f>
        <v>552.32000000000005</v>
      </c>
      <c r="F5174" s="1290">
        <f ca="1">$F5166-SUMIF($L5168:$P5171,"SUBI",$F5168:$F5171)</f>
        <v>552.30999999999995</v>
      </c>
      <c r="G5174" s="503"/>
      <c r="H5174" s="503"/>
      <c r="I5174" s="503"/>
      <c r="J5174" s="503"/>
      <c r="K5174" s="1242" t="s">
        <v>3</v>
      </c>
      <c r="L5174" s="1243" t="s">
        <v>1473</v>
      </c>
      <c r="M5174" s="503"/>
      <c r="N5174" s="503"/>
      <c r="O5174" s="503"/>
      <c r="P5174" s="503"/>
      <c r="Q5174" s="503"/>
      <c r="R5174" s="1258"/>
      <c r="S5174" s="503"/>
      <c r="T5174" s="1258"/>
    </row>
    <row r="5175" spans="1:41" s="1271" customFormat="1" ht="14.4" customHeight="1">
      <c r="A5175" s="1259"/>
      <c r="B5175" s="1244" t="s">
        <v>1475</v>
      </c>
      <c r="C5175" s="1260"/>
      <c r="D5175" s="1261"/>
      <c r="E5175" s="1261"/>
      <c r="F5175" s="1261"/>
      <c r="G5175" s="1262"/>
      <c r="H5175" s="1263"/>
      <c r="I5175" s="1263"/>
      <c r="J5175" s="1264"/>
      <c r="K5175" s="1265"/>
      <c r="L5175" s="1260"/>
      <c r="M5175" s="1266"/>
      <c r="N5175" s="1267"/>
      <c r="O5175" s="1268"/>
      <c r="P5175" s="1269"/>
      <c r="Q5175" s="1270"/>
      <c r="R5175" s="1247">
        <f>$A5175*Q5175</f>
        <v>0</v>
      </c>
      <c r="S5175" s="513"/>
      <c r="T5175" s="884">
        <f>$A5175*S5175*$T$1</f>
        <v>0</v>
      </c>
    </row>
    <row r="5176" spans="1:41" s="1039" customFormat="1" ht="13.2">
      <c r="A5176" s="112">
        <f>11*6</f>
        <v>66</v>
      </c>
      <c r="B5176" s="1039" t="s">
        <v>326</v>
      </c>
      <c r="D5176" s="1039" t="s">
        <v>1224</v>
      </c>
      <c r="G5176" s="1040" t="s">
        <v>1221</v>
      </c>
      <c r="H5176" s="1041">
        <v>700</v>
      </c>
      <c r="I5176" s="1039" t="s">
        <v>1132</v>
      </c>
      <c r="J5176" s="1039" t="s">
        <v>1222</v>
      </c>
      <c r="O5176" s="1042">
        <v>1</v>
      </c>
      <c r="P5176" s="1043">
        <v>42213</v>
      </c>
      <c r="Q5176" s="1044">
        <v>1.41</v>
      </c>
      <c r="R5176" s="1045">
        <f>$A5176*Q5176</f>
        <v>93.059999999999988</v>
      </c>
      <c r="S5176" s="1044">
        <v>0.18</v>
      </c>
      <c r="T5176" s="1046">
        <f>$A5176*S5176*$T$1</f>
        <v>12.474</v>
      </c>
    </row>
    <row r="5177" spans="1:41" s="504" customFormat="1" ht="13.2">
      <c r="A5177" s="930"/>
      <c r="B5177" s="513"/>
      <c r="C5177" s="513"/>
      <c r="D5177" s="3"/>
      <c r="E5177" s="513"/>
      <c r="F5177" s="513"/>
      <c r="G5177" s="513"/>
      <c r="H5177" s="513"/>
      <c r="I5177" s="513"/>
      <c r="J5177" s="513"/>
      <c r="K5177" s="513"/>
      <c r="L5177" s="1246"/>
      <c r="M5177" s="513"/>
      <c r="N5177" s="513"/>
      <c r="O5177" s="513"/>
      <c r="P5177" s="513"/>
      <c r="Q5177" s="513"/>
      <c r="R5177" s="1247">
        <f>$A5177*Q5177</f>
        <v>0</v>
      </c>
      <c r="S5177" s="513"/>
      <c r="T5177" s="884">
        <f>$A5177*S5177*$T$1</f>
        <v>0</v>
      </c>
    </row>
    <row r="5178" spans="1:41" s="504" customFormat="1" ht="12" customHeight="1">
      <c r="A5178" s="1272" t="s">
        <v>142</v>
      </c>
      <c r="B5178" s="1273">
        <f>(R5177+T5177)</f>
        <v>0</v>
      </c>
      <c r="C5178" s="1274"/>
      <c r="D5178" s="1274"/>
      <c r="E5178" s="1274"/>
      <c r="F5178" s="1274"/>
      <c r="G5178" s="1253"/>
      <c r="H5178" s="1253"/>
      <c r="I5178" s="1253"/>
      <c r="J5178" s="1253"/>
      <c r="K5178" s="1275" t="s">
        <v>3</v>
      </c>
      <c r="L5178" s="1276" t="s">
        <v>1473</v>
      </c>
      <c r="M5178" s="1253"/>
      <c r="N5178" s="1253"/>
      <c r="O5178" s="1253"/>
      <c r="P5178" s="1253"/>
      <c r="Q5178" s="1253"/>
      <c r="R5178" s="1254">
        <f>SUM(R5174:R5177)</f>
        <v>93.059999999999988</v>
      </c>
      <c r="S5178" s="1255"/>
      <c r="T5178" s="1254">
        <f>SUM(T5174:T5177)</f>
        <v>12.474</v>
      </c>
      <c r="AG5178" s="1256">
        <f>ROUND($R5178*$S$2,2)</f>
        <v>113.53</v>
      </c>
    </row>
    <row r="5179" spans="1:41" s="504" customFormat="1" ht="12.75" customHeight="1">
      <c r="A5179" s="1277"/>
      <c r="B5179" s="1278"/>
      <c r="E5179" s="882"/>
      <c r="F5179" s="1279"/>
      <c r="G5179" s="882"/>
      <c r="H5179" s="882"/>
      <c r="I5179" s="503"/>
      <c r="J5179" s="882"/>
      <c r="K5179" s="882"/>
      <c r="L5179" s="1280"/>
      <c r="M5179" s="933"/>
      <c r="N5179" s="933"/>
      <c r="O5179" s="933"/>
      <c r="P5179" s="933"/>
      <c r="Q5179" s="900"/>
      <c r="R5179" s="1258"/>
      <c r="S5179" s="882"/>
      <c r="T5179" s="1258"/>
    </row>
    <row r="5180" spans="1:41" s="504" customFormat="1" ht="13.5" customHeight="1" thickBot="1">
      <c r="A5180" s="1281"/>
      <c r="B5180" s="1282"/>
      <c r="C5180" s="514"/>
      <c r="D5180" s="514"/>
      <c r="E5180" s="887"/>
      <c r="F5180" s="888"/>
      <c r="G5180" s="887" t="s">
        <v>143</v>
      </c>
      <c r="H5180" s="887"/>
      <c r="I5180" s="889"/>
      <c r="J5180" s="887"/>
      <c r="K5180" s="887"/>
      <c r="L5180" s="1283" t="s">
        <v>140</v>
      </c>
      <c r="M5180" s="890"/>
      <c r="N5180" s="890"/>
      <c r="O5180" s="890"/>
      <c r="P5180" s="890"/>
      <c r="Q5180" s="891"/>
      <c r="R5180" s="1284">
        <f>SUMIF($L5167:$L5179,"SUBI",R5167:R5179)</f>
        <v>258.06</v>
      </c>
      <c r="S5180" s="887"/>
      <c r="T5180" s="1284">
        <f>SUMIF($L5167:$L5179,"SUBI",T5167:T5179)</f>
        <v>12.474</v>
      </c>
      <c r="U5180" s="514"/>
      <c r="V5180" s="514"/>
      <c r="W5180" s="514"/>
      <c r="X5180" s="514"/>
      <c r="Y5180" s="514"/>
      <c r="Z5180" s="514"/>
      <c r="AA5180" s="514"/>
      <c r="AB5180" s="514"/>
      <c r="AC5180" s="514"/>
      <c r="AD5180" s="514"/>
      <c r="AE5180" s="514"/>
      <c r="AF5180" s="514"/>
      <c r="AG5180" s="514"/>
      <c r="AH5180" s="514"/>
      <c r="AI5180" s="514"/>
      <c r="AJ5180" s="514"/>
      <c r="AK5180" s="514"/>
      <c r="AL5180" s="514"/>
      <c r="AM5180" s="514"/>
      <c r="AN5180" s="514"/>
      <c r="AO5180" s="514"/>
    </row>
    <row r="5181" spans="1:41" s="504" customFormat="1" thickTop="1">
      <c r="A5181" s="50"/>
      <c r="B5181" s="40"/>
      <c r="C5181" s="50"/>
      <c r="E5181" s="41" t="s">
        <v>136</v>
      </c>
      <c r="F5181" s="41" t="s">
        <v>137</v>
      </c>
      <c r="G5181" s="50"/>
      <c r="H5181" s="50"/>
      <c r="I5181" s="50"/>
      <c r="J5181" s="50"/>
      <c r="K5181" s="50" t="s">
        <v>138</v>
      </c>
      <c r="L5181" s="1219"/>
      <c r="M5181" s="50"/>
      <c r="N5181" s="50"/>
      <c r="O5181" s="51"/>
      <c r="P5181" s="50"/>
      <c r="Q5181"/>
      <c r="R5181"/>
      <c r="S5181"/>
      <c r="T5181" s="40"/>
      <c r="AG5181" s="867" t="s">
        <v>241</v>
      </c>
      <c r="AH5181" s="867" t="s">
        <v>242</v>
      </c>
      <c r="AI5181" s="867" t="s">
        <v>243</v>
      </c>
      <c r="AJ5181" s="867" t="s">
        <v>244</v>
      </c>
      <c r="AK5181" s="867" t="s">
        <v>245</v>
      </c>
      <c r="AM5181" s="868" t="s">
        <v>254</v>
      </c>
      <c r="AN5181" s="869" t="s">
        <v>255</v>
      </c>
      <c r="AO5181" s="505" t="s">
        <v>251</v>
      </c>
    </row>
    <row r="5182" spans="1:41" s="504" customFormat="1" ht="13.2">
      <c r="A5182" s="870">
        <v>3</v>
      </c>
      <c r="B5182" s="506" t="s">
        <v>335</v>
      </c>
      <c r="C5182" s="872"/>
      <c r="D5182" s="873" t="s">
        <v>849</v>
      </c>
      <c r="E5182" s="1220">
        <f>IF(AND($A5182=0,$A$1="DIF"),0, ROUND(ROUND(SUMIF($L5184:$L5190,"SUBI",$E5184:$E5190)/$A5182,2)*$C$12,2))</f>
        <v>77.709999999999994</v>
      </c>
      <c r="F5182" s="1221">
        <f>ROUND($A5182*$E5182,2)</f>
        <v>233.13</v>
      </c>
      <c r="G5182" s="876" t="s">
        <v>139</v>
      </c>
      <c r="H5182" s="877"/>
      <c r="I5182" s="878"/>
      <c r="J5182" s="877"/>
      <c r="K5182" s="1222"/>
      <c r="L5182" s="1223" t="s">
        <v>140</v>
      </c>
      <c r="M5182" s="879"/>
      <c r="N5182" s="879"/>
      <c r="O5182" s="879"/>
      <c r="P5182" s="879"/>
      <c r="Q5182"/>
      <c r="R5182"/>
      <c r="S5182"/>
      <c r="T5182" s="1224" t="str">
        <f>IF(AND($R5196=0,$T5196=0),"0.00","mu :" &amp; ROUND($F5182/$C$12/($R5196+$T5196*$D$9),2))</f>
        <v>mu :1.17</v>
      </c>
      <c r="W5182" s="507"/>
      <c r="AG5182" s="1225">
        <f>IF(A5182=0,0,ROUND(SUM(AG5184:AG5196)/A5182,2))</f>
        <v>37.82</v>
      </c>
      <c r="AH5182" s="1225">
        <f>$AG5182*$A5182</f>
        <v>113.46000000000001</v>
      </c>
      <c r="AI5182" s="1225">
        <f>$E5182-$AG5182</f>
        <v>39.889999999999993</v>
      </c>
      <c r="AJ5182" s="1225">
        <f>$A5182*$AI5182</f>
        <v>119.66999999999999</v>
      </c>
      <c r="AK5182" s="1226">
        <f>ROUND(($AG5182+$AI5182)*$A5182,2)</f>
        <v>233.13</v>
      </c>
      <c r="AM5182" s="510">
        <f>ROUND(R5196,2)</f>
        <v>100.38</v>
      </c>
      <c r="AN5182" s="511">
        <f>ROUND(T5196,2)</f>
        <v>3.4</v>
      </c>
      <c r="AO5182" s="512">
        <f>ROUND(AM5182+AN5182,2)*A5182</f>
        <v>311.34000000000003</v>
      </c>
    </row>
    <row r="5183" spans="1:41" s="504" customFormat="1" ht="13.2">
      <c r="A5183" s="872"/>
      <c r="B5183"/>
      <c r="C5183" s="872"/>
      <c r="D5183" s="873" t="s">
        <v>535</v>
      </c>
      <c r="F5183" s="877"/>
      <c r="G5183" s="877"/>
      <c r="H5183" s="877"/>
      <c r="I5183" s="878"/>
      <c r="J5183" s="877"/>
      <c r="K5183" s="877" t="s">
        <v>141</v>
      </c>
      <c r="L5183" s="1227"/>
      <c r="M5183" s="877"/>
      <c r="N5183" s="877"/>
      <c r="O5183" s="877"/>
      <c r="P5183" s="877"/>
      <c r="Q5183" s="50"/>
      <c r="R5183" s="513"/>
      <c r="S5183" s="881"/>
      <c r="T5183" s="877"/>
    </row>
    <row r="5184" spans="1:41" s="504" customFormat="1" ht="12">
      <c r="A5184" s="1228"/>
      <c r="B5184" s="1229"/>
      <c r="C5184" s="882"/>
      <c r="D5184" s="877"/>
      <c r="E5184" s="1230">
        <f>F5182/$C$12-SUMIF($L5181:$L5196,"SUBI",$E5181:$E5196)</f>
        <v>0</v>
      </c>
      <c r="F5184" s="1231" t="s">
        <v>1472</v>
      </c>
      <c r="G5184" s="1232"/>
      <c r="H5184" s="1232"/>
      <c r="I5184" s="1233"/>
      <c r="J5184" s="1232"/>
      <c r="K5184" s="1232"/>
      <c r="L5184" s="1234"/>
      <c r="M5184" s="1235"/>
      <c r="N5184" s="1235"/>
      <c r="O5184" s="1235"/>
      <c r="P5184" s="1235"/>
      <c r="Q5184" s="1236"/>
      <c r="R5184" s="1237"/>
      <c r="S5184" s="1236"/>
      <c r="T5184" s="1238"/>
    </row>
    <row r="5185" spans="1:41" s="504" customFormat="1" ht="12" customHeight="1">
      <c r="A5185" s="1239"/>
      <c r="B5185" s="1291"/>
      <c r="C5185" s="1292"/>
      <c r="D5185" s="1292" t="str">
        <f>$F$6</f>
        <v>ELV Sub-Contractor - DATA</v>
      </c>
      <c r="E5185" s="1292">
        <f>ROUND(($R5189*$S$6 + ($T5189*$T$6)),2)</f>
        <v>82.5</v>
      </c>
      <c r="F5185" s="1293">
        <f>$E5185*$C$12</f>
        <v>82.5</v>
      </c>
      <c r="G5185" s="513"/>
      <c r="H5185" s="1241"/>
      <c r="I5185" s="513"/>
      <c r="J5185" s="51"/>
      <c r="K5185" s="1242" t="s">
        <v>10</v>
      </c>
      <c r="L5185" s="1243" t="s">
        <v>1473</v>
      </c>
      <c r="M5185" s="513"/>
      <c r="N5185" s="513"/>
      <c r="O5185" s="51"/>
      <c r="P5185" s="513"/>
      <c r="Q5185" s="513"/>
      <c r="R5185"/>
      <c r="S5185"/>
      <c r="T5185"/>
    </row>
    <row r="5186" spans="1:41" s="504" customFormat="1" ht="13.95" customHeight="1">
      <c r="A5186" s="930"/>
      <c r="B5186" s="1244" t="s">
        <v>1474</v>
      </c>
      <c r="C5186" s="513"/>
      <c r="D5186" s="513"/>
      <c r="E5186" s="513"/>
      <c r="F5186" s="513"/>
      <c r="G5186" s="513"/>
      <c r="H5186" s="1241"/>
      <c r="I5186" s="513"/>
      <c r="J5186" s="51"/>
      <c r="K5186" s="1245"/>
      <c r="L5186" s="1246"/>
      <c r="M5186" s="513"/>
      <c r="N5186" s="513"/>
      <c r="O5186" s="51"/>
      <c r="P5186" s="513"/>
      <c r="Q5186" s="513"/>
      <c r="R5186" s="1247">
        <f>$A5186*Q5186</f>
        <v>0</v>
      </c>
      <c r="S5186" s="513"/>
      <c r="T5186" s="884">
        <f>$A5186*S5186*$T$1</f>
        <v>0</v>
      </c>
    </row>
    <row r="5187" spans="1:41" s="1039" customFormat="1" ht="12.6" customHeight="1">
      <c r="A5187" s="112">
        <v>3</v>
      </c>
      <c r="B5187" s="1039" t="s">
        <v>949</v>
      </c>
      <c r="D5187" s="1039" t="s">
        <v>535</v>
      </c>
      <c r="G5187" s="1040" t="s">
        <v>1462</v>
      </c>
      <c r="H5187" s="1041">
        <v>821</v>
      </c>
      <c r="I5187" s="1039" t="s">
        <v>951</v>
      </c>
      <c r="O5187" s="1042">
        <v>3</v>
      </c>
      <c r="P5187" s="1043"/>
      <c r="Q5187" s="1044">
        <v>25</v>
      </c>
      <c r="R5187" s="1045">
        <f>$A5187*Q5187</f>
        <v>75</v>
      </c>
      <c r="S5187" s="1044"/>
      <c r="T5187" s="1046">
        <f>$A5187*S5187*$T$1</f>
        <v>0</v>
      </c>
    </row>
    <row r="5188" spans="1:41" s="504" customFormat="1" ht="13.95" customHeight="1">
      <c r="A5188" s="930"/>
      <c r="B5188" s="513"/>
      <c r="C5188" s="513"/>
      <c r="D5188" s="513"/>
      <c r="E5188" s="513"/>
      <c r="F5188" s="513"/>
      <c r="G5188" s="513"/>
      <c r="H5188" s="1241"/>
      <c r="I5188" s="513"/>
      <c r="J5188" s="51"/>
      <c r="K5188" s="1245"/>
      <c r="L5188" s="1246"/>
      <c r="M5188" s="513"/>
      <c r="N5188" s="513"/>
      <c r="O5188" s="51"/>
      <c r="P5188" s="513"/>
      <c r="Q5188" s="513"/>
      <c r="R5188" s="1247">
        <f>$A5188*Q5188</f>
        <v>0</v>
      </c>
      <c r="S5188" s="513"/>
      <c r="T5188" s="884">
        <f>$A5188*S5188*$T$1</f>
        <v>0</v>
      </c>
    </row>
    <row r="5189" spans="1:41" s="504" customFormat="1" ht="12">
      <c r="A5189" s="1248" t="s">
        <v>142</v>
      </c>
      <c r="B5189" s="1249">
        <f>(R5188+T5188)</f>
        <v>0</v>
      </c>
      <c r="C5189" s="882"/>
      <c r="G5189" s="1250"/>
      <c r="H5189" s="1250"/>
      <c r="I5189" s="1250"/>
      <c r="J5189" s="1250"/>
      <c r="K5189" s="1251" t="s">
        <v>10</v>
      </c>
      <c r="L5189" s="1252" t="s">
        <v>1473</v>
      </c>
      <c r="M5189" s="1250"/>
      <c r="N5189" s="1250"/>
      <c r="O5189" s="1250"/>
      <c r="P5189" s="1250"/>
      <c r="Q5189" s="1253"/>
      <c r="R5189" s="1254">
        <f>SUM(R5185:R5188)</f>
        <v>75</v>
      </c>
      <c r="S5189" s="1255"/>
      <c r="T5189" s="1254">
        <f>SUM(T5185:T5188)</f>
        <v>0</v>
      </c>
      <c r="AG5189" s="1294">
        <f>ROUND($R5189*$S$6,2)</f>
        <v>82.5</v>
      </c>
    </row>
    <row r="5190" spans="1:41" s="504" customFormat="1" ht="12" customHeight="1">
      <c r="A5190" s="1257"/>
      <c r="B5190" s="1289"/>
      <c r="C5190" s="1240"/>
      <c r="D5190" s="1240" t="str">
        <f>$F$2</f>
        <v>Electrical</v>
      </c>
      <c r="E5190" s="1240">
        <f>ROUND(($R5194*$S$2 + ($T5194*$T$2)),2)</f>
        <v>150.63</v>
      </c>
      <c r="F5190" s="1290">
        <f ca="1">$F5182-SUMIF($L5184:$P5187,"SUBI",$F5184:$F5187)</f>
        <v>150.63</v>
      </c>
      <c r="G5190" s="503"/>
      <c r="H5190" s="503"/>
      <c r="I5190" s="503"/>
      <c r="J5190" s="503"/>
      <c r="K5190" s="1242" t="s">
        <v>3</v>
      </c>
      <c r="L5190" s="1243" t="s">
        <v>1473</v>
      </c>
      <c r="M5190" s="503"/>
      <c r="N5190" s="503"/>
      <c r="O5190" s="503"/>
      <c r="P5190" s="503"/>
      <c r="Q5190" s="503"/>
      <c r="R5190" s="1258"/>
      <c r="S5190" s="503"/>
      <c r="T5190" s="1258"/>
    </row>
    <row r="5191" spans="1:41" s="1271" customFormat="1" ht="14.4" customHeight="1">
      <c r="A5191" s="1259"/>
      <c r="B5191" s="1244" t="s">
        <v>1475</v>
      </c>
      <c r="C5191" s="1260"/>
      <c r="D5191" s="1261"/>
      <c r="E5191" s="1261"/>
      <c r="F5191" s="1261"/>
      <c r="G5191" s="1262"/>
      <c r="H5191" s="1263"/>
      <c r="I5191" s="1263"/>
      <c r="J5191" s="1264"/>
      <c r="K5191" s="1265"/>
      <c r="L5191" s="1260"/>
      <c r="M5191" s="1266"/>
      <c r="N5191" s="1267"/>
      <c r="O5191" s="1268"/>
      <c r="P5191" s="1269"/>
      <c r="Q5191" s="1270"/>
      <c r="R5191" s="1247">
        <f>$A5191*Q5191</f>
        <v>0</v>
      </c>
      <c r="S5191" s="513"/>
      <c r="T5191" s="884">
        <f>$A5191*S5191*$T$1</f>
        <v>0</v>
      </c>
    </row>
    <row r="5192" spans="1:41" s="1039" customFormat="1" ht="13.2">
      <c r="A5192" s="112">
        <f>3*6</f>
        <v>18</v>
      </c>
      <c r="B5192" s="1039" t="s">
        <v>326</v>
      </c>
      <c r="D5192" s="1039" t="s">
        <v>1224</v>
      </c>
      <c r="G5192" s="1040" t="s">
        <v>1221</v>
      </c>
      <c r="H5192" s="1041">
        <v>700</v>
      </c>
      <c r="I5192" s="1039" t="s">
        <v>1132</v>
      </c>
      <c r="J5192" s="1039" t="s">
        <v>1222</v>
      </c>
      <c r="O5192" s="1042">
        <v>1</v>
      </c>
      <c r="P5192" s="1043">
        <v>42213</v>
      </c>
      <c r="Q5192" s="1044">
        <v>1.41</v>
      </c>
      <c r="R5192" s="1045">
        <f>$A5192*Q5192</f>
        <v>25.38</v>
      </c>
      <c r="S5192" s="1044">
        <v>0.18</v>
      </c>
      <c r="T5192" s="1046">
        <f>$A5192*S5192*$T$1</f>
        <v>3.4019999999999997</v>
      </c>
    </row>
    <row r="5193" spans="1:41" s="504" customFormat="1" ht="13.2">
      <c r="A5193" s="930"/>
      <c r="B5193" s="513"/>
      <c r="C5193" s="513"/>
      <c r="D5193" s="3"/>
      <c r="E5193" s="513"/>
      <c r="F5193" s="513"/>
      <c r="G5193" s="513"/>
      <c r="H5193" s="513"/>
      <c r="I5193" s="513"/>
      <c r="J5193" s="513"/>
      <c r="K5193" s="513"/>
      <c r="L5193" s="1246"/>
      <c r="M5193" s="513"/>
      <c r="N5193" s="513"/>
      <c r="O5193" s="513"/>
      <c r="P5193" s="513"/>
      <c r="Q5193" s="513"/>
      <c r="R5193" s="1247">
        <f>$A5193*Q5193</f>
        <v>0</v>
      </c>
      <c r="S5193" s="513"/>
      <c r="T5193" s="884">
        <f>$A5193*S5193*$T$1</f>
        <v>0</v>
      </c>
    </row>
    <row r="5194" spans="1:41" s="504" customFormat="1" ht="12" customHeight="1">
      <c r="A5194" s="1272" t="s">
        <v>142</v>
      </c>
      <c r="B5194" s="1273">
        <f>(R5193+T5193)</f>
        <v>0</v>
      </c>
      <c r="C5194" s="1274"/>
      <c r="D5194" s="1274"/>
      <c r="E5194" s="1274"/>
      <c r="F5194" s="1274"/>
      <c r="G5194" s="1253"/>
      <c r="H5194" s="1253"/>
      <c r="I5194" s="1253"/>
      <c r="J5194" s="1253"/>
      <c r="K5194" s="1275" t="s">
        <v>3</v>
      </c>
      <c r="L5194" s="1276" t="s">
        <v>1473</v>
      </c>
      <c r="M5194" s="1253"/>
      <c r="N5194" s="1253"/>
      <c r="O5194" s="1253"/>
      <c r="P5194" s="1253"/>
      <c r="Q5194" s="1253"/>
      <c r="R5194" s="1254">
        <f>SUM(R5190:R5193)</f>
        <v>25.38</v>
      </c>
      <c r="S5194" s="1255"/>
      <c r="T5194" s="1254">
        <f>SUM(T5190:T5193)</f>
        <v>3.4019999999999997</v>
      </c>
      <c r="AG5194" s="1256">
        <f>ROUND($R5194*$S$2,2)</f>
        <v>30.96</v>
      </c>
    </row>
    <row r="5195" spans="1:41" s="504" customFormat="1" ht="12.75" customHeight="1">
      <c r="A5195" s="1277"/>
      <c r="B5195" s="1278"/>
      <c r="E5195" s="882"/>
      <c r="F5195" s="1279"/>
      <c r="G5195" s="882"/>
      <c r="H5195" s="882"/>
      <c r="I5195" s="503"/>
      <c r="J5195" s="882"/>
      <c r="K5195" s="882"/>
      <c r="L5195" s="1280"/>
      <c r="M5195" s="933"/>
      <c r="N5195" s="933"/>
      <c r="O5195" s="933"/>
      <c r="P5195" s="933"/>
      <c r="Q5195" s="900"/>
      <c r="R5195" s="1258"/>
      <c r="S5195" s="882"/>
      <c r="T5195" s="1258"/>
    </row>
    <row r="5196" spans="1:41" s="504" customFormat="1" ht="13.5" customHeight="1" thickBot="1">
      <c r="A5196" s="1281"/>
      <c r="B5196" s="1282"/>
      <c r="C5196" s="514"/>
      <c r="D5196" s="514"/>
      <c r="E5196" s="887"/>
      <c r="F5196" s="888"/>
      <c r="G5196" s="887" t="s">
        <v>143</v>
      </c>
      <c r="H5196" s="887"/>
      <c r="I5196" s="889"/>
      <c r="J5196" s="887"/>
      <c r="K5196" s="887"/>
      <c r="L5196" s="1283" t="s">
        <v>140</v>
      </c>
      <c r="M5196" s="890"/>
      <c r="N5196" s="890"/>
      <c r="O5196" s="890"/>
      <c r="P5196" s="890"/>
      <c r="Q5196" s="891"/>
      <c r="R5196" s="1284">
        <f>SUMIF($L5183:$L5195,"SUBI",R5183:R5195)</f>
        <v>100.38</v>
      </c>
      <c r="S5196" s="887"/>
      <c r="T5196" s="1284">
        <f>SUMIF($L5183:$L5195,"SUBI",T5183:T5195)</f>
        <v>3.4019999999999997</v>
      </c>
      <c r="U5196" s="514"/>
      <c r="V5196" s="514"/>
      <c r="W5196" s="514"/>
      <c r="X5196" s="514"/>
      <c r="Y5196" s="514"/>
      <c r="Z5196" s="514"/>
      <c r="AA5196" s="514"/>
      <c r="AB5196" s="514"/>
      <c r="AC5196" s="514"/>
      <c r="AD5196" s="514"/>
      <c r="AE5196" s="514"/>
      <c r="AF5196" s="514"/>
      <c r="AG5196" s="514"/>
      <c r="AH5196" s="514"/>
      <c r="AI5196" s="514"/>
      <c r="AJ5196" s="514"/>
      <c r="AK5196" s="514"/>
      <c r="AL5196" s="514"/>
      <c r="AM5196" s="514"/>
      <c r="AN5196" s="514"/>
      <c r="AO5196" s="514"/>
    </row>
    <row r="5197" spans="1:41" s="504" customFormat="1" ht="12" thickTop="1">
      <c r="A5197" s="50"/>
      <c r="B5197" s="40"/>
      <c r="C5197" s="50"/>
      <c r="E5197" s="41" t="s">
        <v>136</v>
      </c>
      <c r="F5197" s="41" t="s">
        <v>137</v>
      </c>
      <c r="G5197" s="50"/>
      <c r="H5197" s="50"/>
      <c r="I5197" s="50"/>
      <c r="J5197" s="50"/>
      <c r="K5197" s="50" t="s">
        <v>138</v>
      </c>
      <c r="L5197" s="50"/>
      <c r="M5197" s="50"/>
      <c r="N5197" s="50"/>
      <c r="O5197" s="51"/>
      <c r="P5197" s="50"/>
      <c r="Q5197" s="50"/>
      <c r="R5197" s="50"/>
      <c r="S5197" s="50"/>
      <c r="T5197" s="40"/>
      <c r="AG5197" s="867" t="s">
        <v>241</v>
      </c>
      <c r="AH5197" s="867" t="s">
        <v>242</v>
      </c>
      <c r="AI5197" s="867" t="s">
        <v>243</v>
      </c>
      <c r="AJ5197" s="867" t="s">
        <v>244</v>
      </c>
      <c r="AK5197" s="867" t="s">
        <v>245</v>
      </c>
      <c r="AM5197" s="868" t="s">
        <v>254</v>
      </c>
      <c r="AN5197" s="869" t="s">
        <v>255</v>
      </c>
      <c r="AO5197" s="505" t="s">
        <v>251</v>
      </c>
    </row>
    <row r="5198" spans="1:41" s="504" customFormat="1" ht="12" customHeight="1">
      <c r="A5198" s="870">
        <v>765</v>
      </c>
      <c r="B5198" s="506" t="s">
        <v>326</v>
      </c>
      <c r="C5198" s="872"/>
      <c r="D5198" s="873" t="s">
        <v>851</v>
      </c>
      <c r="E5198" s="1033">
        <f>IF(AND($A5198=0,$A$1="DIF"),0, ROUND(ROUND(($R5202*$S$6+($T5202*$T$6))/$A5198,2)*$C$6,2))</f>
        <v>1.1000000000000001</v>
      </c>
      <c r="F5198" s="1034">
        <f>ROUND($A5198*$E5198,2)</f>
        <v>841.5</v>
      </c>
      <c r="G5198" s="876" t="s">
        <v>139</v>
      </c>
      <c r="H5198" s="877"/>
      <c r="I5198" s="878"/>
      <c r="J5198" s="877"/>
      <c r="K5198" s="877" t="s">
        <v>10</v>
      </c>
      <c r="L5198" s="879" t="s">
        <v>140</v>
      </c>
      <c r="M5198" s="879"/>
      <c r="N5198" s="879"/>
      <c r="O5198" s="879"/>
      <c r="P5198" s="879"/>
      <c r="Q5198" s="50"/>
      <c r="T5198" s="1038" t="str">
        <f>IF(AND($R5202=0,$T5202=0),"0.00","mu: "&amp; ROUND(F5198/$C$6/($R5202+$T5202*$D$9),2))</f>
        <v>mu: 1.1</v>
      </c>
      <c r="W5198" s="507"/>
      <c r="AG5198" s="1035">
        <f>IF($E5198=0,0,ROUND($R5202*$S$6*$C$6/$A5198,2))</f>
        <v>1.1000000000000001</v>
      </c>
      <c r="AH5198" s="1035">
        <f>$AG5198*$A5198</f>
        <v>841.50000000000011</v>
      </c>
      <c r="AI5198" s="1036">
        <f>$E5198-$AG5198</f>
        <v>0</v>
      </c>
      <c r="AJ5198" s="1036">
        <f>$A5198*$AI5198</f>
        <v>0</v>
      </c>
      <c r="AK5198" s="1037">
        <f>ROUND(($AG5198+$AI5198)*$A5198,2)</f>
        <v>841.5</v>
      </c>
      <c r="AM5198" s="510">
        <f>ROUND(R5202,2)</f>
        <v>765</v>
      </c>
      <c r="AN5198" s="511">
        <f>ROUND(T5202,2)</f>
        <v>0</v>
      </c>
      <c r="AO5198" s="512">
        <f>ROUND(AM5198+AN5198,2)*A5198</f>
        <v>585225</v>
      </c>
    </row>
    <row r="5199" spans="1:41" s="504" customFormat="1" ht="13.2">
      <c r="A5199" s="872"/>
      <c r="B5199"/>
      <c r="C5199" s="872"/>
      <c r="D5199" s="873" t="s">
        <v>536</v>
      </c>
      <c r="F5199" s="877"/>
      <c r="G5199" s="3"/>
      <c r="H5199" s="877"/>
      <c r="I5199" s="878"/>
      <c r="J5199" s="877"/>
      <c r="K5199" s="877" t="s">
        <v>141</v>
      </c>
      <c r="L5199" s="877"/>
      <c r="M5199" s="877"/>
      <c r="N5199" s="877"/>
      <c r="O5199" s="877"/>
      <c r="P5199" s="877"/>
      <c r="Q5199" s="50"/>
      <c r="R5199" s="513"/>
      <c r="S5199" s="881"/>
      <c r="T5199" s="877"/>
    </row>
    <row r="5200" spans="1:41" s="1039" customFormat="1" ht="13.2">
      <c r="A5200" s="112">
        <v>765</v>
      </c>
      <c r="B5200" s="1039" t="s">
        <v>326</v>
      </c>
      <c r="D5200" s="1039" t="s">
        <v>536</v>
      </c>
      <c r="G5200" s="1040" t="s">
        <v>1462</v>
      </c>
      <c r="H5200" s="1041">
        <v>821</v>
      </c>
      <c r="I5200" s="1039" t="s">
        <v>951</v>
      </c>
      <c r="O5200" s="1042">
        <v>3</v>
      </c>
      <c r="P5200" s="1043"/>
      <c r="Q5200" s="1044">
        <v>1</v>
      </c>
      <c r="R5200" s="1045">
        <f>$A5200*Q5200</f>
        <v>765</v>
      </c>
      <c r="S5200" s="1044"/>
      <c r="T5200" s="1046">
        <f>$A5200*S5200*$T$1</f>
        <v>0</v>
      </c>
    </row>
    <row r="5201" spans="1:41" s="504" customFormat="1" ht="12">
      <c r="A5201" s="882"/>
      <c r="B5201" s="882"/>
      <c r="C5201" s="882"/>
      <c r="D5201" s="882"/>
      <c r="E5201" s="882"/>
      <c r="F5201" s="877"/>
      <c r="G5201" s="882"/>
      <c r="H5201" s="882"/>
      <c r="I5201" s="503"/>
      <c r="J5201" s="882"/>
      <c r="K5201" s="882"/>
      <c r="L5201" s="882"/>
      <c r="M5201" s="882"/>
      <c r="N5201" s="882"/>
      <c r="O5201" s="882"/>
      <c r="P5201" s="882"/>
      <c r="Q5201" s="503"/>
      <c r="R5201" s="883">
        <f>$A5201*Q5201</f>
        <v>0</v>
      </c>
      <c r="S5201" s="503"/>
      <c r="T5201" s="884">
        <f>$A5201*S5201*$T$1</f>
        <v>0</v>
      </c>
    </row>
    <row r="5202" spans="1:41" s="504" customFormat="1" ht="12.6" thickBot="1">
      <c r="A5202" s="885" t="s">
        <v>142</v>
      </c>
      <c r="B5202" s="886">
        <f>(R5201+T5201)</f>
        <v>0</v>
      </c>
      <c r="C5202" s="887"/>
      <c r="D5202" s="887"/>
      <c r="E5202" s="887"/>
      <c r="F5202" s="888"/>
      <c r="G5202" s="887" t="s">
        <v>143</v>
      </c>
      <c r="H5202" s="887"/>
      <c r="I5202" s="889"/>
      <c r="J5202" s="887"/>
      <c r="K5202" s="887" t="s">
        <v>10</v>
      </c>
      <c r="L5202" s="890" t="s">
        <v>140</v>
      </c>
      <c r="M5202" s="890"/>
      <c r="N5202" s="890"/>
      <c r="O5202" s="890"/>
      <c r="P5202" s="890"/>
      <c r="Q5202" s="891"/>
      <c r="R5202" s="892">
        <f>SUM(R5199:R5201)</f>
        <v>765</v>
      </c>
      <c r="S5202" s="887"/>
      <c r="T5202" s="892">
        <f>SUM(T5199:T5201)</f>
        <v>0</v>
      </c>
      <c r="U5202" s="514"/>
      <c r="V5202" s="514"/>
      <c r="W5202" s="514"/>
      <c r="X5202" s="514"/>
      <c r="Y5202" s="514"/>
      <c r="Z5202" s="514"/>
      <c r="AA5202" s="514"/>
      <c r="AB5202" s="514"/>
      <c r="AC5202" s="514"/>
      <c r="AD5202" s="514"/>
      <c r="AE5202" s="514"/>
      <c r="AF5202" s="514"/>
      <c r="AG5202" s="514"/>
      <c r="AH5202" s="514"/>
      <c r="AI5202" s="514"/>
      <c r="AJ5202" s="514"/>
      <c r="AK5202" s="514"/>
      <c r="AL5202" s="514"/>
      <c r="AM5202" s="514"/>
      <c r="AN5202" s="514"/>
      <c r="AO5202" s="514"/>
    </row>
    <row r="5203" spans="1:41" s="504" customFormat="1" thickTop="1">
      <c r="A5203" s="50"/>
      <c r="B5203" s="50"/>
      <c r="C5203" s="3"/>
      <c r="D5203" s="3"/>
      <c r="E5203" s="50"/>
      <c r="F5203" s="50"/>
      <c r="G5203" s="50"/>
      <c r="H5203" s="50"/>
      <c r="I5203" s="50"/>
      <c r="J5203" s="50"/>
      <c r="K5203" s="50" t="s">
        <v>133</v>
      </c>
      <c r="L5203" s="50"/>
      <c r="M5203" s="50"/>
      <c r="N5203" s="50"/>
      <c r="O5203" s="51"/>
      <c r="P5203" s="50"/>
      <c r="Q5203" s="50"/>
      <c r="R5203" s="50"/>
      <c r="S5203" s="50"/>
      <c r="T5203" s="50"/>
    </row>
    <row r="5204" spans="1:41" s="504" customFormat="1" ht="12">
      <c r="A5204" s="50"/>
      <c r="B5204" s="50"/>
      <c r="C5204" s="50" t="s">
        <v>134</v>
      </c>
      <c r="D5204" s="37"/>
      <c r="E5204" s="50"/>
      <c r="F5204" s="50"/>
      <c r="G5204" s="50"/>
      <c r="H5204" s="50"/>
      <c r="I5204" s="50"/>
      <c r="J5204" s="50"/>
      <c r="K5204" s="50"/>
      <c r="L5204" s="50"/>
      <c r="M5204" s="50"/>
      <c r="N5204" s="50"/>
      <c r="O5204" s="51"/>
      <c r="P5204" s="50"/>
      <c r="Q5204" s="50"/>
      <c r="R5204" s="50"/>
      <c r="S5204" s="50"/>
      <c r="T5204" s="50"/>
    </row>
    <row r="5205" spans="1:41" s="504" customFormat="1" ht="12">
      <c r="A5205" s="50"/>
      <c r="B5205" s="50"/>
      <c r="C5205" s="50"/>
      <c r="D5205" s="37" t="s">
        <v>542</v>
      </c>
      <c r="E5205" s="50"/>
      <c r="F5205" s="50"/>
      <c r="G5205" s="50"/>
      <c r="H5205" s="50"/>
      <c r="I5205" s="50"/>
      <c r="J5205" s="50"/>
      <c r="K5205" s="50"/>
      <c r="L5205" s="50"/>
      <c r="M5205" s="50"/>
      <c r="N5205" s="50"/>
      <c r="O5205" s="51"/>
      <c r="P5205" s="50"/>
      <c r="Q5205" s="50"/>
      <c r="R5205" s="50"/>
      <c r="S5205" s="38"/>
      <c r="T5205" s="38"/>
    </row>
    <row r="5206" spans="1:41" s="3" customFormat="1" thickBot="1">
      <c r="A5206" s="514"/>
      <c r="O5206" s="103"/>
    </row>
    <row r="5207" spans="1:41" s="504" customFormat="1" thickTop="1">
      <c r="A5207" s="50"/>
      <c r="B5207" s="40"/>
      <c r="C5207" s="50"/>
      <c r="E5207" s="41" t="s">
        <v>136</v>
      </c>
      <c r="F5207" s="41" t="s">
        <v>137</v>
      </c>
      <c r="G5207" s="50"/>
      <c r="H5207" s="50"/>
      <c r="I5207" s="50"/>
      <c r="J5207" s="50"/>
      <c r="K5207" s="50" t="s">
        <v>138</v>
      </c>
      <c r="L5207" s="1219"/>
      <c r="M5207" s="50"/>
      <c r="N5207" s="50"/>
      <c r="O5207" s="51"/>
      <c r="P5207" s="50"/>
      <c r="Q5207"/>
      <c r="R5207"/>
      <c r="S5207"/>
      <c r="T5207" s="40"/>
      <c r="AG5207" s="867" t="s">
        <v>241</v>
      </c>
      <c r="AH5207" s="867" t="s">
        <v>242</v>
      </c>
      <c r="AI5207" s="867" t="s">
        <v>243</v>
      </c>
      <c r="AJ5207" s="867" t="s">
        <v>244</v>
      </c>
      <c r="AK5207" s="867" t="s">
        <v>245</v>
      </c>
      <c r="AM5207" s="868" t="s">
        <v>254</v>
      </c>
      <c r="AN5207" s="869" t="s">
        <v>255</v>
      </c>
      <c r="AO5207" s="505" t="s">
        <v>251</v>
      </c>
    </row>
    <row r="5208" spans="1:41" s="504" customFormat="1" ht="13.2">
      <c r="A5208" s="870">
        <v>11</v>
      </c>
      <c r="B5208" s="506" t="s">
        <v>335</v>
      </c>
      <c r="C5208" s="872"/>
      <c r="D5208" s="873" t="s">
        <v>853</v>
      </c>
      <c r="E5208" s="1220">
        <f>IF(AND($A5208=0,$A$1="DIF"),0, ROUND(ROUND(SUMIF($L5210:$L5216,"SUBI",$E5210:$E5216)/$A5208,2)*$C$12,2))</f>
        <v>66.709999999999994</v>
      </c>
      <c r="F5208" s="1221">
        <f>ROUND($A5208*$E5208,2)</f>
        <v>733.81</v>
      </c>
      <c r="G5208" s="876" t="s">
        <v>139</v>
      </c>
      <c r="H5208" s="877"/>
      <c r="I5208" s="878"/>
      <c r="J5208" s="877"/>
      <c r="K5208" s="1222"/>
      <c r="L5208" s="1223" t="s">
        <v>140</v>
      </c>
      <c r="M5208" s="879"/>
      <c r="N5208" s="879"/>
      <c r="O5208" s="879"/>
      <c r="P5208" s="879"/>
      <c r="Q5208"/>
      <c r="R5208"/>
      <c r="S5208"/>
      <c r="T5208" s="1224" t="str">
        <f>IF(AND($R5222=0,$T5222=0),"0.00","mu :" &amp; ROUND($F5208/$C$12/($R5222+$T5222*$D$9),2))</f>
        <v>mu :1.19</v>
      </c>
      <c r="W5208" s="507"/>
      <c r="AG5208" s="1225">
        <f>IF(A5208=0,0,ROUND(SUM(AG5210:AG5222)/A5208,2))</f>
        <v>26.82</v>
      </c>
      <c r="AH5208" s="1225">
        <f>$AG5208*$A5208</f>
        <v>295.02</v>
      </c>
      <c r="AI5208" s="1225">
        <f>$E5208-$AG5208</f>
        <v>39.889999999999993</v>
      </c>
      <c r="AJ5208" s="1225">
        <f>$A5208*$AI5208</f>
        <v>438.78999999999991</v>
      </c>
      <c r="AK5208" s="1226">
        <f>ROUND(($AG5208+$AI5208)*$A5208,2)</f>
        <v>733.81</v>
      </c>
      <c r="AM5208" s="510">
        <f>ROUND(R5222,2)</f>
        <v>258.06</v>
      </c>
      <c r="AN5208" s="511">
        <f>ROUND(T5222,2)</f>
        <v>12.47</v>
      </c>
      <c r="AO5208" s="512">
        <f>ROUND(AM5208+AN5208,2)*A5208</f>
        <v>2975.83</v>
      </c>
    </row>
    <row r="5209" spans="1:41" s="504" customFormat="1" ht="13.2">
      <c r="A5209" s="872"/>
      <c r="B5209"/>
      <c r="C5209" s="872"/>
      <c r="D5209" s="873" t="s">
        <v>534</v>
      </c>
      <c r="F5209" s="877"/>
      <c r="G5209" s="877"/>
      <c r="H5209" s="877"/>
      <c r="I5209" s="878"/>
      <c r="J5209" s="877"/>
      <c r="K5209" s="877" t="s">
        <v>141</v>
      </c>
      <c r="L5209" s="1227"/>
      <c r="M5209" s="877"/>
      <c r="N5209" s="877"/>
      <c r="O5209" s="877"/>
      <c r="P5209" s="877"/>
      <c r="Q5209" s="50"/>
      <c r="R5209" s="513"/>
      <c r="S5209" s="881"/>
      <c r="T5209" s="877"/>
    </row>
    <row r="5210" spans="1:41" s="504" customFormat="1" ht="12">
      <c r="A5210" s="1228"/>
      <c r="B5210" s="1229"/>
      <c r="C5210" s="882"/>
      <c r="D5210" s="877"/>
      <c r="E5210" s="1230">
        <f>F5208/$C$12-SUMIF($L5207:$L5222,"SUBI",$E5207:$E5222)</f>
        <v>-1.0000000000104592E-2</v>
      </c>
      <c r="F5210" s="1231" t="s">
        <v>1472</v>
      </c>
      <c r="G5210" s="1232"/>
      <c r="H5210" s="1232"/>
      <c r="I5210" s="1233"/>
      <c r="J5210" s="1232"/>
      <c r="K5210" s="1232"/>
      <c r="L5210" s="1234"/>
      <c r="M5210" s="1235"/>
      <c r="N5210" s="1235"/>
      <c r="O5210" s="1235"/>
      <c r="P5210" s="1235"/>
      <c r="Q5210" s="1236"/>
      <c r="R5210" s="1237"/>
      <c r="S5210" s="1236"/>
      <c r="T5210" s="1238"/>
    </row>
    <row r="5211" spans="1:41" s="504" customFormat="1" ht="12" customHeight="1">
      <c r="A5211" s="1239"/>
      <c r="B5211" s="1291"/>
      <c r="C5211" s="1292"/>
      <c r="D5211" s="1292" t="str">
        <f>$F$6</f>
        <v>ELV Sub-Contractor - DATA</v>
      </c>
      <c r="E5211" s="1292">
        <f>ROUND(($R5215*$S$6 + ($T5215*$T$6)),2)</f>
        <v>181.5</v>
      </c>
      <c r="F5211" s="1293">
        <f>$E5211*$C$12</f>
        <v>181.5</v>
      </c>
      <c r="G5211" s="513"/>
      <c r="H5211" s="1241"/>
      <c r="I5211" s="513"/>
      <c r="J5211" s="51"/>
      <c r="K5211" s="1242" t="s">
        <v>10</v>
      </c>
      <c r="L5211" s="1243" t="s">
        <v>1473</v>
      </c>
      <c r="M5211" s="513"/>
      <c r="N5211" s="513"/>
      <c r="O5211" s="51"/>
      <c r="P5211" s="513"/>
      <c r="Q5211" s="513"/>
      <c r="R5211"/>
      <c r="S5211"/>
      <c r="T5211"/>
    </row>
    <row r="5212" spans="1:41" s="504" customFormat="1" ht="13.95" customHeight="1">
      <c r="A5212" s="930"/>
      <c r="B5212" s="1244" t="s">
        <v>1474</v>
      </c>
      <c r="C5212" s="513"/>
      <c r="D5212" s="513"/>
      <c r="E5212" s="513"/>
      <c r="F5212" s="513"/>
      <c r="G5212" s="513"/>
      <c r="H5212" s="1241"/>
      <c r="I5212" s="513"/>
      <c r="J5212" s="51"/>
      <c r="K5212" s="1245"/>
      <c r="L5212" s="1246"/>
      <c r="M5212" s="513"/>
      <c r="N5212" s="513"/>
      <c r="O5212" s="51"/>
      <c r="P5212" s="513"/>
      <c r="Q5212" s="513"/>
      <c r="R5212" s="1247">
        <f>$A5212*Q5212</f>
        <v>0</v>
      </c>
      <c r="S5212" s="513"/>
      <c r="T5212" s="884">
        <f>$A5212*S5212*$T$1</f>
        <v>0</v>
      </c>
    </row>
    <row r="5213" spans="1:41" s="1039" customFormat="1" ht="13.2">
      <c r="A5213" s="112">
        <v>11</v>
      </c>
      <c r="B5213" s="1039" t="s">
        <v>949</v>
      </c>
      <c r="D5213" s="1039" t="s">
        <v>534</v>
      </c>
      <c r="G5213" s="1040" t="s">
        <v>1462</v>
      </c>
      <c r="H5213" s="1041">
        <v>821</v>
      </c>
      <c r="I5213" s="1039" t="s">
        <v>951</v>
      </c>
      <c r="O5213" s="1042">
        <v>3</v>
      </c>
      <c r="P5213" s="1043"/>
      <c r="Q5213" s="1044">
        <v>15</v>
      </c>
      <c r="R5213" s="1045">
        <f>$A5213*Q5213</f>
        <v>165</v>
      </c>
      <c r="S5213" s="1044"/>
      <c r="T5213" s="1046">
        <f>$A5213*S5213*$T$1</f>
        <v>0</v>
      </c>
    </row>
    <row r="5214" spans="1:41" s="504" customFormat="1" ht="13.95" customHeight="1">
      <c r="A5214" s="930"/>
      <c r="B5214" s="513"/>
      <c r="C5214" s="513"/>
      <c r="D5214" s="513"/>
      <c r="E5214" s="513"/>
      <c r="F5214" s="513"/>
      <c r="G5214" s="513"/>
      <c r="H5214" s="1241"/>
      <c r="I5214" s="513"/>
      <c r="J5214" s="51"/>
      <c r="K5214" s="1245"/>
      <c r="L5214" s="1246"/>
      <c r="M5214" s="513"/>
      <c r="N5214" s="513"/>
      <c r="O5214" s="51"/>
      <c r="P5214" s="513"/>
      <c r="Q5214" s="513"/>
      <c r="R5214" s="1247">
        <f>$A5214*Q5214</f>
        <v>0</v>
      </c>
      <c r="S5214" s="513"/>
      <c r="T5214" s="884">
        <f>$A5214*S5214*$T$1</f>
        <v>0</v>
      </c>
    </row>
    <row r="5215" spans="1:41" s="504" customFormat="1" ht="12">
      <c r="A5215" s="1248" t="s">
        <v>142</v>
      </c>
      <c r="B5215" s="1249">
        <f>(R5214+T5214)</f>
        <v>0</v>
      </c>
      <c r="C5215" s="882"/>
      <c r="G5215" s="1250"/>
      <c r="H5215" s="1250"/>
      <c r="I5215" s="1250"/>
      <c r="J5215" s="1250"/>
      <c r="K5215" s="1251" t="s">
        <v>10</v>
      </c>
      <c r="L5215" s="1252" t="s">
        <v>1473</v>
      </c>
      <c r="M5215" s="1250"/>
      <c r="N5215" s="1250"/>
      <c r="O5215" s="1250"/>
      <c r="P5215" s="1250"/>
      <c r="Q5215" s="1253"/>
      <c r="R5215" s="1254">
        <f>SUM(R5211:R5214)</f>
        <v>165</v>
      </c>
      <c r="S5215" s="1255"/>
      <c r="T5215" s="1254">
        <f>SUM(T5211:T5214)</f>
        <v>0</v>
      </c>
      <c r="AG5215" s="1294">
        <f>ROUND($R5215*$S$6,2)</f>
        <v>181.5</v>
      </c>
    </row>
    <row r="5216" spans="1:41" s="504" customFormat="1" ht="12" customHeight="1">
      <c r="A5216" s="1257"/>
      <c r="B5216" s="1289"/>
      <c r="C5216" s="1240"/>
      <c r="D5216" s="1240" t="str">
        <f>$F$2</f>
        <v>Electrical</v>
      </c>
      <c r="E5216" s="1240">
        <f>ROUND(($R5220*$S$2 + ($T5220*$T$2)),2)</f>
        <v>552.32000000000005</v>
      </c>
      <c r="F5216" s="1290">
        <f ca="1">$F5208-SUMIF($L5210:$P5213,"SUBI",$F5210:$F5213)</f>
        <v>552.30999999999995</v>
      </c>
      <c r="G5216" s="503"/>
      <c r="H5216" s="503"/>
      <c r="I5216" s="503"/>
      <c r="J5216" s="503"/>
      <c r="K5216" s="1242" t="s">
        <v>3</v>
      </c>
      <c r="L5216" s="1243" t="s">
        <v>1473</v>
      </c>
      <c r="M5216" s="503"/>
      <c r="N5216" s="503"/>
      <c r="O5216" s="503"/>
      <c r="P5216" s="503"/>
      <c r="Q5216" s="503"/>
      <c r="R5216" s="1258"/>
      <c r="S5216" s="503"/>
      <c r="T5216" s="1258"/>
    </row>
    <row r="5217" spans="1:41" s="1271" customFormat="1" ht="14.4" customHeight="1">
      <c r="A5217" s="1259"/>
      <c r="B5217" s="1244" t="s">
        <v>1475</v>
      </c>
      <c r="C5217" s="1260"/>
      <c r="D5217" s="1261"/>
      <c r="E5217" s="1261"/>
      <c r="F5217" s="1261"/>
      <c r="G5217" s="1262"/>
      <c r="H5217" s="1263"/>
      <c r="I5217" s="1263"/>
      <c r="J5217" s="1264"/>
      <c r="K5217" s="1265"/>
      <c r="L5217" s="1260"/>
      <c r="M5217" s="1266"/>
      <c r="N5217" s="1267"/>
      <c r="O5217" s="1268"/>
      <c r="P5217" s="1269"/>
      <c r="Q5217" s="1270"/>
      <c r="R5217" s="1247">
        <f>$A5217*Q5217</f>
        <v>0</v>
      </c>
      <c r="S5217" s="513"/>
      <c r="T5217" s="884">
        <f>$A5217*S5217*$T$1</f>
        <v>0</v>
      </c>
    </row>
    <row r="5218" spans="1:41" s="1039" customFormat="1" ht="13.2">
      <c r="A5218" s="112">
        <f>11*6</f>
        <v>66</v>
      </c>
      <c r="B5218" s="1039" t="s">
        <v>326</v>
      </c>
      <c r="D5218" s="1039" t="s">
        <v>1224</v>
      </c>
      <c r="G5218" s="1040" t="s">
        <v>1221</v>
      </c>
      <c r="H5218" s="1041">
        <v>700</v>
      </c>
      <c r="I5218" s="1039" t="s">
        <v>1132</v>
      </c>
      <c r="J5218" s="1039" t="s">
        <v>1222</v>
      </c>
      <c r="O5218" s="1042">
        <v>1</v>
      </c>
      <c r="P5218" s="1043">
        <v>42213</v>
      </c>
      <c r="Q5218" s="1044">
        <v>1.41</v>
      </c>
      <c r="R5218" s="1045">
        <f>$A5218*Q5218</f>
        <v>93.059999999999988</v>
      </c>
      <c r="S5218" s="1044">
        <v>0.18</v>
      </c>
      <c r="T5218" s="1046">
        <f>$A5218*S5218*$T$1</f>
        <v>12.474</v>
      </c>
    </row>
    <row r="5219" spans="1:41" s="504" customFormat="1" ht="13.2">
      <c r="A5219" s="930"/>
      <c r="B5219" s="513"/>
      <c r="C5219" s="513"/>
      <c r="D5219" s="3"/>
      <c r="E5219" s="513"/>
      <c r="F5219" s="513"/>
      <c r="G5219" s="513"/>
      <c r="H5219" s="513"/>
      <c r="I5219" s="513"/>
      <c r="J5219" s="513"/>
      <c r="K5219" s="513"/>
      <c r="L5219" s="1246"/>
      <c r="M5219" s="513"/>
      <c r="N5219" s="513"/>
      <c r="O5219" s="513"/>
      <c r="P5219" s="513"/>
      <c r="Q5219" s="513"/>
      <c r="R5219" s="1247">
        <f>$A5219*Q5219</f>
        <v>0</v>
      </c>
      <c r="S5219" s="513"/>
      <c r="T5219" s="884">
        <f>$A5219*S5219*$T$1</f>
        <v>0</v>
      </c>
    </row>
    <row r="5220" spans="1:41" s="504" customFormat="1" ht="12" customHeight="1">
      <c r="A5220" s="1272" t="s">
        <v>142</v>
      </c>
      <c r="B5220" s="1273">
        <f>(R5219+T5219)</f>
        <v>0</v>
      </c>
      <c r="C5220" s="1274"/>
      <c r="D5220" s="1274"/>
      <c r="E5220" s="1274"/>
      <c r="F5220" s="1274"/>
      <c r="G5220" s="1253"/>
      <c r="H5220" s="1253"/>
      <c r="I5220" s="1253"/>
      <c r="J5220" s="1253"/>
      <c r="K5220" s="1275" t="s">
        <v>3</v>
      </c>
      <c r="L5220" s="1276" t="s">
        <v>1473</v>
      </c>
      <c r="M5220" s="1253"/>
      <c r="N5220" s="1253"/>
      <c r="O5220" s="1253"/>
      <c r="P5220" s="1253"/>
      <c r="Q5220" s="1253"/>
      <c r="R5220" s="1254">
        <f>SUM(R5216:R5219)</f>
        <v>93.059999999999988</v>
      </c>
      <c r="S5220" s="1255"/>
      <c r="T5220" s="1254">
        <f>SUM(T5216:T5219)</f>
        <v>12.474</v>
      </c>
      <c r="AG5220" s="1256">
        <f>ROUND($R5220*$S$2,2)</f>
        <v>113.53</v>
      </c>
    </row>
    <row r="5221" spans="1:41" s="504" customFormat="1" ht="12.75" customHeight="1">
      <c r="A5221" s="1277"/>
      <c r="B5221" s="1278"/>
      <c r="E5221" s="882"/>
      <c r="F5221" s="1279"/>
      <c r="G5221" s="882"/>
      <c r="H5221" s="882"/>
      <c r="I5221" s="503"/>
      <c r="J5221" s="882"/>
      <c r="K5221" s="882"/>
      <c r="L5221" s="1280"/>
      <c r="M5221" s="933"/>
      <c r="N5221" s="933"/>
      <c r="O5221" s="933"/>
      <c r="P5221" s="933"/>
      <c r="Q5221" s="900"/>
      <c r="R5221" s="1258"/>
      <c r="S5221" s="882"/>
      <c r="T5221" s="1258"/>
    </row>
    <row r="5222" spans="1:41" s="504" customFormat="1" ht="13.5" customHeight="1" thickBot="1">
      <c r="A5222" s="1281"/>
      <c r="B5222" s="1282"/>
      <c r="C5222" s="514"/>
      <c r="D5222" s="514"/>
      <c r="E5222" s="887"/>
      <c r="F5222" s="888"/>
      <c r="G5222" s="887" t="s">
        <v>143</v>
      </c>
      <c r="H5222" s="887"/>
      <c r="I5222" s="889"/>
      <c r="J5222" s="887"/>
      <c r="K5222" s="887"/>
      <c r="L5222" s="1283" t="s">
        <v>140</v>
      </c>
      <c r="M5222" s="890"/>
      <c r="N5222" s="890"/>
      <c r="O5222" s="890"/>
      <c r="P5222" s="890"/>
      <c r="Q5222" s="891"/>
      <c r="R5222" s="1284">
        <f>SUMIF($L5209:$L5221,"SUBI",R5209:R5221)</f>
        <v>258.06</v>
      </c>
      <c r="S5222" s="887"/>
      <c r="T5222" s="1284">
        <f>SUMIF($L5209:$L5221,"SUBI",T5209:T5221)</f>
        <v>12.474</v>
      </c>
      <c r="U5222" s="514"/>
      <c r="V5222" s="514"/>
      <c r="W5222" s="514"/>
      <c r="X5222" s="514"/>
      <c r="Y5222" s="514"/>
      <c r="Z5222" s="514"/>
      <c r="AA5222" s="514"/>
      <c r="AB5222" s="514"/>
      <c r="AC5222" s="514"/>
      <c r="AD5222" s="514"/>
      <c r="AE5222" s="514"/>
      <c r="AF5222" s="514"/>
      <c r="AG5222" s="514"/>
      <c r="AH5222" s="514"/>
      <c r="AI5222" s="514"/>
      <c r="AJ5222" s="514"/>
      <c r="AK5222" s="514"/>
      <c r="AL5222" s="514"/>
      <c r="AM5222" s="514"/>
      <c r="AN5222" s="514"/>
      <c r="AO5222" s="514"/>
    </row>
    <row r="5223" spans="1:41" s="504" customFormat="1" ht="12" thickTop="1">
      <c r="A5223" s="50"/>
      <c r="B5223" s="40"/>
      <c r="C5223" s="50"/>
      <c r="E5223" s="41" t="s">
        <v>136</v>
      </c>
      <c r="F5223" s="41" t="s">
        <v>137</v>
      </c>
      <c r="G5223" s="50"/>
      <c r="H5223" s="50"/>
      <c r="I5223" s="50"/>
      <c r="J5223" s="50"/>
      <c r="K5223" s="50" t="s">
        <v>138</v>
      </c>
      <c r="L5223" s="50"/>
      <c r="M5223" s="50"/>
      <c r="N5223" s="50"/>
      <c r="O5223" s="51"/>
      <c r="P5223" s="50"/>
      <c r="Q5223" s="50"/>
      <c r="R5223" s="50"/>
      <c r="S5223" s="50"/>
      <c r="T5223" s="40"/>
      <c r="AG5223" s="867" t="s">
        <v>241</v>
      </c>
      <c r="AH5223" s="867" t="s">
        <v>242</v>
      </c>
      <c r="AI5223" s="867" t="s">
        <v>243</v>
      </c>
      <c r="AJ5223" s="867" t="s">
        <v>244</v>
      </c>
      <c r="AK5223" s="867" t="s">
        <v>245</v>
      </c>
      <c r="AM5223" s="868" t="s">
        <v>254</v>
      </c>
      <c r="AN5223" s="869" t="s">
        <v>255</v>
      </c>
      <c r="AO5223" s="505" t="s">
        <v>251</v>
      </c>
    </row>
    <row r="5224" spans="1:41" s="504" customFormat="1" ht="12" customHeight="1">
      <c r="A5224" s="870">
        <v>470</v>
      </c>
      <c r="B5224" s="506" t="s">
        <v>326</v>
      </c>
      <c r="C5224" s="872"/>
      <c r="D5224" s="873" t="s">
        <v>854</v>
      </c>
      <c r="E5224" s="1033">
        <f>IF(AND($A5224=0,$A$1="DIF"),0, ROUND(ROUND(($R5228*$S$6+($T5228*$T$6))/$A5224,2)*$C$6,2))</f>
        <v>1.1000000000000001</v>
      </c>
      <c r="F5224" s="1034">
        <f>ROUND($A5224*$E5224,2)</f>
        <v>517</v>
      </c>
      <c r="G5224" s="876" t="s">
        <v>139</v>
      </c>
      <c r="H5224" s="877"/>
      <c r="I5224" s="878"/>
      <c r="J5224" s="877"/>
      <c r="K5224" s="877" t="s">
        <v>10</v>
      </c>
      <c r="L5224" s="879" t="s">
        <v>140</v>
      </c>
      <c r="M5224" s="879"/>
      <c r="N5224" s="879"/>
      <c r="O5224" s="879"/>
      <c r="P5224" s="879"/>
      <c r="Q5224" s="50"/>
      <c r="T5224" s="1038" t="str">
        <f>IF(AND($R5228=0,$T5228=0),"0.00","mu: "&amp; ROUND(F5224/$C$6/($R5228+$T5228*$D$9),2))</f>
        <v>mu: 1.1</v>
      </c>
      <c r="W5224" s="507"/>
      <c r="AG5224" s="1035">
        <f>IF($E5224=0,0,ROUND($R5228*$S$6*$C$6/$A5224,2))</f>
        <v>1.1000000000000001</v>
      </c>
      <c r="AH5224" s="1035">
        <f>$AG5224*$A5224</f>
        <v>517</v>
      </c>
      <c r="AI5224" s="1036">
        <f>$E5224-$AG5224</f>
        <v>0</v>
      </c>
      <c r="AJ5224" s="1036">
        <f>$A5224*$AI5224</f>
        <v>0</v>
      </c>
      <c r="AK5224" s="1037">
        <f>ROUND(($AG5224+$AI5224)*$A5224,2)</f>
        <v>517</v>
      </c>
      <c r="AM5224" s="510">
        <f>ROUND(R5228,2)</f>
        <v>470</v>
      </c>
      <c r="AN5224" s="511">
        <f>ROUND(T5228,2)</f>
        <v>0</v>
      </c>
      <c r="AO5224" s="512">
        <f>ROUND(AM5224+AN5224,2)*A5224</f>
        <v>220900</v>
      </c>
    </row>
    <row r="5225" spans="1:41" s="504" customFormat="1" ht="13.2">
      <c r="A5225" s="872"/>
      <c r="B5225"/>
      <c r="C5225" s="872"/>
      <c r="D5225" s="873" t="s">
        <v>536</v>
      </c>
      <c r="F5225" s="877"/>
      <c r="G5225" s="3"/>
      <c r="H5225" s="877"/>
      <c r="I5225" s="878"/>
      <c r="J5225" s="877"/>
      <c r="K5225" s="877" t="s">
        <v>141</v>
      </c>
      <c r="L5225" s="877"/>
      <c r="M5225" s="877"/>
      <c r="N5225" s="877"/>
      <c r="O5225" s="877"/>
      <c r="P5225" s="877"/>
      <c r="Q5225" s="50"/>
      <c r="R5225" s="513"/>
      <c r="S5225" s="881"/>
      <c r="T5225" s="877"/>
    </row>
    <row r="5226" spans="1:41" s="1039" customFormat="1" ht="13.2">
      <c r="A5226" s="112">
        <v>470</v>
      </c>
      <c r="B5226" s="1039" t="s">
        <v>326</v>
      </c>
      <c r="D5226" s="1039" t="s">
        <v>536</v>
      </c>
      <c r="G5226" s="1040" t="s">
        <v>1462</v>
      </c>
      <c r="H5226" s="1041">
        <v>821</v>
      </c>
      <c r="I5226" s="1039" t="s">
        <v>951</v>
      </c>
      <c r="O5226" s="1042">
        <v>3</v>
      </c>
      <c r="P5226" s="1043"/>
      <c r="Q5226" s="1044">
        <v>1</v>
      </c>
      <c r="R5226" s="1045">
        <f>$A5226*Q5226</f>
        <v>470</v>
      </c>
      <c r="S5226" s="1044"/>
      <c r="T5226" s="1046">
        <f>$A5226*S5226*$T$1</f>
        <v>0</v>
      </c>
    </row>
    <row r="5227" spans="1:41" s="504" customFormat="1" ht="12">
      <c r="A5227" s="882"/>
      <c r="B5227" s="882"/>
      <c r="C5227" s="882"/>
      <c r="D5227" s="882"/>
      <c r="E5227" s="882"/>
      <c r="F5227" s="877"/>
      <c r="G5227" s="882"/>
      <c r="H5227" s="882"/>
      <c r="I5227" s="503"/>
      <c r="J5227" s="882"/>
      <c r="K5227" s="882"/>
      <c r="L5227" s="882"/>
      <c r="M5227" s="882"/>
      <c r="N5227" s="882"/>
      <c r="O5227" s="882"/>
      <c r="P5227" s="882"/>
      <c r="Q5227" s="503"/>
      <c r="R5227" s="883">
        <f>$A5227*Q5227</f>
        <v>0</v>
      </c>
      <c r="S5227" s="503"/>
      <c r="T5227" s="884">
        <f>$A5227*S5227*$T$1</f>
        <v>0</v>
      </c>
    </row>
    <row r="5228" spans="1:41" s="504" customFormat="1" ht="12.6" thickBot="1">
      <c r="A5228" s="885" t="s">
        <v>142</v>
      </c>
      <c r="B5228" s="886">
        <f>(R5227+T5227)</f>
        <v>0</v>
      </c>
      <c r="C5228" s="887"/>
      <c r="D5228" s="887"/>
      <c r="E5228" s="887"/>
      <c r="F5228" s="888"/>
      <c r="G5228" s="887" t="s">
        <v>143</v>
      </c>
      <c r="H5228" s="887"/>
      <c r="I5228" s="889"/>
      <c r="J5228" s="887"/>
      <c r="K5228" s="887" t="s">
        <v>10</v>
      </c>
      <c r="L5228" s="890" t="s">
        <v>140</v>
      </c>
      <c r="M5228" s="890"/>
      <c r="N5228" s="890"/>
      <c r="O5228" s="890"/>
      <c r="P5228" s="890"/>
      <c r="Q5228" s="891"/>
      <c r="R5228" s="892">
        <f>SUM(R5225:R5227)</f>
        <v>470</v>
      </c>
      <c r="S5228" s="887"/>
      <c r="T5228" s="892">
        <f>SUM(T5225:T5227)</f>
        <v>0</v>
      </c>
      <c r="U5228" s="514"/>
      <c r="V5228" s="514"/>
      <c r="W5228" s="514"/>
      <c r="X5228" s="514"/>
      <c r="Y5228" s="514"/>
      <c r="Z5228" s="514"/>
      <c r="AA5228" s="514"/>
      <c r="AB5228" s="514"/>
      <c r="AC5228" s="514"/>
      <c r="AD5228" s="514"/>
      <c r="AE5228" s="514"/>
      <c r="AF5228" s="514"/>
      <c r="AG5228" s="514"/>
      <c r="AH5228" s="514"/>
      <c r="AI5228" s="514"/>
      <c r="AJ5228" s="514"/>
      <c r="AK5228" s="514"/>
      <c r="AL5228" s="514"/>
      <c r="AM5228" s="514"/>
      <c r="AN5228" s="514"/>
      <c r="AO5228" s="514"/>
    </row>
    <row r="5229" spans="1:41" s="504" customFormat="1" thickTop="1">
      <c r="A5229" s="50"/>
      <c r="B5229" s="50"/>
      <c r="C5229" s="3"/>
      <c r="D5229" s="3"/>
      <c r="E5229" s="50"/>
      <c r="F5229" s="50"/>
      <c r="G5229" s="50"/>
      <c r="H5229" s="50"/>
      <c r="I5229" s="50"/>
      <c r="J5229" s="50"/>
      <c r="K5229" s="50" t="s">
        <v>133</v>
      </c>
      <c r="L5229" s="50"/>
      <c r="M5229" s="50"/>
      <c r="N5229" s="50"/>
      <c r="O5229" s="51"/>
      <c r="P5229" s="50"/>
      <c r="Q5229" s="50"/>
      <c r="R5229" s="50"/>
      <c r="S5229" s="50"/>
      <c r="T5229" s="50"/>
    </row>
    <row r="5230" spans="1:41" s="504" customFormat="1" ht="12">
      <c r="A5230" s="50"/>
      <c r="B5230" s="50"/>
      <c r="C5230" s="50" t="s">
        <v>134</v>
      </c>
      <c r="D5230" s="37"/>
      <c r="E5230" s="50"/>
      <c r="F5230" s="50"/>
      <c r="G5230" s="50"/>
      <c r="H5230" s="50"/>
      <c r="I5230" s="50"/>
      <c r="J5230" s="50"/>
      <c r="K5230" s="50"/>
      <c r="L5230" s="50"/>
      <c r="M5230" s="50"/>
      <c r="N5230" s="50"/>
      <c r="O5230" s="51"/>
      <c r="P5230" s="50"/>
      <c r="Q5230" s="50"/>
      <c r="R5230" s="50"/>
      <c r="S5230" s="50"/>
      <c r="T5230" s="50"/>
    </row>
    <row r="5231" spans="1:41" s="504" customFormat="1" ht="12">
      <c r="A5231" s="50"/>
      <c r="B5231" s="50"/>
      <c r="C5231" s="50"/>
      <c r="D5231" s="37" t="s">
        <v>543</v>
      </c>
      <c r="E5231" s="50"/>
      <c r="F5231" s="50"/>
      <c r="G5231" s="50"/>
      <c r="H5231" s="50"/>
      <c r="I5231" s="50"/>
      <c r="J5231" s="50"/>
      <c r="K5231" s="50"/>
      <c r="L5231" s="50"/>
      <c r="M5231" s="50"/>
      <c r="N5231" s="50"/>
      <c r="O5231" s="51"/>
      <c r="P5231" s="50"/>
      <c r="Q5231" s="50"/>
      <c r="R5231" s="50"/>
      <c r="S5231" s="38"/>
      <c r="T5231" s="38"/>
    </row>
    <row r="5232" spans="1:41" s="3" customFormat="1" thickBot="1">
      <c r="A5232" s="514"/>
      <c r="O5232" s="103"/>
    </row>
    <row r="5233" spans="1:41" s="504" customFormat="1" thickTop="1">
      <c r="A5233" s="50"/>
      <c r="B5233" s="40"/>
      <c r="C5233" s="50"/>
      <c r="E5233" s="41" t="s">
        <v>136</v>
      </c>
      <c r="F5233" s="41" t="s">
        <v>137</v>
      </c>
      <c r="G5233" s="50"/>
      <c r="H5233" s="50"/>
      <c r="I5233" s="50"/>
      <c r="J5233" s="50"/>
      <c r="K5233" s="50" t="s">
        <v>138</v>
      </c>
      <c r="L5233" s="1219"/>
      <c r="M5233" s="50"/>
      <c r="N5233" s="50"/>
      <c r="O5233" s="51"/>
      <c r="P5233" s="50"/>
      <c r="Q5233"/>
      <c r="R5233"/>
      <c r="S5233"/>
      <c r="T5233" s="40"/>
      <c r="AG5233" s="867" t="s">
        <v>241</v>
      </c>
      <c r="AH5233" s="867" t="s">
        <v>242</v>
      </c>
      <c r="AI5233" s="867" t="s">
        <v>243</v>
      </c>
      <c r="AJ5233" s="867" t="s">
        <v>244</v>
      </c>
      <c r="AK5233" s="867" t="s">
        <v>245</v>
      </c>
      <c r="AM5233" s="868" t="s">
        <v>254</v>
      </c>
      <c r="AN5233" s="869" t="s">
        <v>255</v>
      </c>
      <c r="AO5233" s="505" t="s">
        <v>251</v>
      </c>
    </row>
    <row r="5234" spans="1:41" s="504" customFormat="1" ht="13.2">
      <c r="A5234" s="870">
        <v>11</v>
      </c>
      <c r="B5234" s="506" t="s">
        <v>335</v>
      </c>
      <c r="C5234" s="872"/>
      <c r="D5234" s="873" t="s">
        <v>855</v>
      </c>
      <c r="E5234" s="1220">
        <f>IF(AND($A5234=0,$A$1="DIF"),0, ROUND(ROUND(SUMIF($L5236:$L5242,"SUBI",$E5236:$E5242)/$A5234,2)*$C$12,2))</f>
        <v>66.709999999999994</v>
      </c>
      <c r="F5234" s="1221">
        <f>ROUND($A5234*$E5234,2)</f>
        <v>733.81</v>
      </c>
      <c r="G5234" s="876" t="s">
        <v>139</v>
      </c>
      <c r="H5234" s="877"/>
      <c r="I5234" s="878"/>
      <c r="J5234" s="877"/>
      <c r="K5234" s="1222"/>
      <c r="L5234" s="1223" t="s">
        <v>140</v>
      </c>
      <c r="M5234" s="879"/>
      <c r="N5234" s="879"/>
      <c r="O5234" s="879"/>
      <c r="P5234" s="879"/>
      <c r="Q5234"/>
      <c r="R5234"/>
      <c r="S5234"/>
      <c r="T5234" s="1224" t="str">
        <f>IF(AND($R5248=0,$T5248=0),"0.00","mu :" &amp; ROUND($F5234/$C$12/($R5248+$T5248*$D$9),2))</f>
        <v>mu :1.19</v>
      </c>
      <c r="W5234" s="507"/>
      <c r="AG5234" s="1225">
        <f>IF(A5234=0,0,ROUND(SUM(AG5236:AG5248)/A5234,2))</f>
        <v>26.82</v>
      </c>
      <c r="AH5234" s="1225">
        <f>$AG5234*$A5234</f>
        <v>295.02</v>
      </c>
      <c r="AI5234" s="1225">
        <f>$E5234-$AG5234</f>
        <v>39.889999999999993</v>
      </c>
      <c r="AJ5234" s="1225">
        <f>$A5234*$AI5234</f>
        <v>438.78999999999991</v>
      </c>
      <c r="AK5234" s="1226">
        <f>ROUND(($AG5234+$AI5234)*$A5234,2)</f>
        <v>733.81</v>
      </c>
      <c r="AM5234" s="510">
        <f>ROUND(R5248,2)</f>
        <v>258.06</v>
      </c>
      <c r="AN5234" s="511">
        <f>ROUND(T5248,2)</f>
        <v>12.47</v>
      </c>
      <c r="AO5234" s="512">
        <f>ROUND(AM5234+AN5234,2)*A5234</f>
        <v>2975.83</v>
      </c>
    </row>
    <row r="5235" spans="1:41" s="504" customFormat="1" ht="13.2">
      <c r="A5235" s="872"/>
      <c r="B5235"/>
      <c r="C5235" s="872"/>
      <c r="D5235" s="873" t="s">
        <v>534</v>
      </c>
      <c r="F5235" s="877"/>
      <c r="G5235" s="877"/>
      <c r="H5235" s="877"/>
      <c r="I5235" s="878"/>
      <c r="J5235" s="877"/>
      <c r="K5235" s="877" t="s">
        <v>141</v>
      </c>
      <c r="L5235" s="1227"/>
      <c r="M5235" s="877"/>
      <c r="N5235" s="877"/>
      <c r="O5235" s="877"/>
      <c r="P5235" s="877"/>
      <c r="Q5235" s="50"/>
      <c r="R5235" s="513"/>
      <c r="S5235" s="881"/>
      <c r="T5235" s="877"/>
    </row>
    <row r="5236" spans="1:41" s="504" customFormat="1" ht="12">
      <c r="A5236" s="1228"/>
      <c r="B5236" s="1229"/>
      <c r="C5236" s="882"/>
      <c r="D5236" s="877"/>
      <c r="E5236" s="1230">
        <f>F5234/$C$12-SUMIF($L5233:$L5248,"SUBI",$E5233:$E5248)</f>
        <v>-1.0000000000104592E-2</v>
      </c>
      <c r="F5236" s="1231" t="s">
        <v>1472</v>
      </c>
      <c r="G5236" s="1232"/>
      <c r="H5236" s="1232"/>
      <c r="I5236" s="1233"/>
      <c r="J5236" s="1232"/>
      <c r="K5236" s="1232"/>
      <c r="L5236" s="1234"/>
      <c r="M5236" s="1235"/>
      <c r="N5236" s="1235"/>
      <c r="O5236" s="1235"/>
      <c r="P5236" s="1235"/>
      <c r="Q5236" s="1236"/>
      <c r="R5236" s="1237"/>
      <c r="S5236" s="1236"/>
      <c r="T5236" s="1238"/>
    </row>
    <row r="5237" spans="1:41" s="504" customFormat="1" ht="12" customHeight="1">
      <c r="A5237" s="1239"/>
      <c r="B5237" s="1291"/>
      <c r="C5237" s="1292"/>
      <c r="D5237" s="1292" t="str">
        <f>$F$6</f>
        <v>ELV Sub-Contractor - DATA</v>
      </c>
      <c r="E5237" s="1292">
        <f>ROUND(($R5241*$S$6 + ($T5241*$T$6)),2)</f>
        <v>181.5</v>
      </c>
      <c r="F5237" s="1293">
        <f>$E5237*$C$12</f>
        <v>181.5</v>
      </c>
      <c r="G5237" s="513"/>
      <c r="H5237" s="1241"/>
      <c r="I5237" s="513"/>
      <c r="J5237" s="51"/>
      <c r="K5237" s="1242" t="s">
        <v>10</v>
      </c>
      <c r="L5237" s="1243" t="s">
        <v>1473</v>
      </c>
      <c r="M5237" s="513"/>
      <c r="N5237" s="513"/>
      <c r="O5237" s="51"/>
      <c r="P5237" s="513"/>
      <c r="Q5237" s="513"/>
      <c r="R5237"/>
      <c r="S5237"/>
      <c r="T5237"/>
    </row>
    <row r="5238" spans="1:41" s="504" customFormat="1" ht="13.95" customHeight="1">
      <c r="A5238" s="930"/>
      <c r="B5238" s="1244" t="s">
        <v>1474</v>
      </c>
      <c r="C5238" s="513"/>
      <c r="D5238" s="513"/>
      <c r="E5238" s="513"/>
      <c r="F5238" s="513"/>
      <c r="G5238" s="513"/>
      <c r="H5238" s="1241"/>
      <c r="I5238" s="513"/>
      <c r="J5238" s="51"/>
      <c r="K5238" s="1245"/>
      <c r="L5238" s="1246"/>
      <c r="M5238" s="513"/>
      <c r="N5238" s="513"/>
      <c r="O5238" s="51"/>
      <c r="P5238" s="513"/>
      <c r="Q5238" s="513"/>
      <c r="R5238" s="1247">
        <f>$A5238*Q5238</f>
        <v>0</v>
      </c>
      <c r="S5238" s="513"/>
      <c r="T5238" s="884">
        <f>$A5238*S5238*$T$1</f>
        <v>0</v>
      </c>
    </row>
    <row r="5239" spans="1:41" s="1039" customFormat="1" ht="13.2">
      <c r="A5239" s="112">
        <v>11</v>
      </c>
      <c r="B5239" s="1039" t="s">
        <v>949</v>
      </c>
      <c r="D5239" s="1039" t="s">
        <v>534</v>
      </c>
      <c r="G5239" s="1040" t="s">
        <v>1462</v>
      </c>
      <c r="H5239" s="1041">
        <v>821</v>
      </c>
      <c r="I5239" s="1039" t="s">
        <v>951</v>
      </c>
      <c r="O5239" s="1042">
        <v>3</v>
      </c>
      <c r="P5239" s="1043"/>
      <c r="Q5239" s="1044">
        <v>15</v>
      </c>
      <c r="R5239" s="1045">
        <f>$A5239*Q5239</f>
        <v>165</v>
      </c>
      <c r="S5239" s="1044"/>
      <c r="T5239" s="1046">
        <f>$A5239*S5239*$T$1</f>
        <v>0</v>
      </c>
    </row>
    <row r="5240" spans="1:41" s="504" customFormat="1" ht="13.95" customHeight="1">
      <c r="A5240" s="930"/>
      <c r="B5240" s="513"/>
      <c r="C5240" s="513"/>
      <c r="D5240" s="513"/>
      <c r="E5240" s="513"/>
      <c r="F5240" s="513"/>
      <c r="G5240" s="513"/>
      <c r="H5240" s="1241"/>
      <c r="I5240" s="513"/>
      <c r="J5240" s="51"/>
      <c r="K5240" s="1245"/>
      <c r="L5240" s="1246"/>
      <c r="M5240" s="513"/>
      <c r="N5240" s="513"/>
      <c r="O5240" s="51"/>
      <c r="P5240" s="513"/>
      <c r="Q5240" s="513"/>
      <c r="R5240" s="1247">
        <f>$A5240*Q5240</f>
        <v>0</v>
      </c>
      <c r="S5240" s="513"/>
      <c r="T5240" s="884">
        <f>$A5240*S5240*$T$1</f>
        <v>0</v>
      </c>
    </row>
    <row r="5241" spans="1:41" s="504" customFormat="1" ht="12">
      <c r="A5241" s="1248" t="s">
        <v>142</v>
      </c>
      <c r="B5241" s="1249">
        <f>(R5240+T5240)</f>
        <v>0</v>
      </c>
      <c r="C5241" s="882"/>
      <c r="G5241" s="1250"/>
      <c r="H5241" s="1250"/>
      <c r="I5241" s="1250"/>
      <c r="J5241" s="1250"/>
      <c r="K5241" s="1251" t="s">
        <v>10</v>
      </c>
      <c r="L5241" s="1252" t="s">
        <v>1473</v>
      </c>
      <c r="M5241" s="1250"/>
      <c r="N5241" s="1250"/>
      <c r="O5241" s="1250"/>
      <c r="P5241" s="1250"/>
      <c r="Q5241" s="1253"/>
      <c r="R5241" s="1254">
        <f>SUM(R5237:R5240)</f>
        <v>165</v>
      </c>
      <c r="S5241" s="1255"/>
      <c r="T5241" s="1254">
        <f>SUM(T5237:T5240)</f>
        <v>0</v>
      </c>
      <c r="AG5241" s="1294">
        <f>ROUND($R5241*$S$6,2)</f>
        <v>181.5</v>
      </c>
    </row>
    <row r="5242" spans="1:41" s="504" customFormat="1" ht="12" customHeight="1">
      <c r="A5242" s="1257"/>
      <c r="B5242" s="1289"/>
      <c r="C5242" s="1240"/>
      <c r="D5242" s="1240" t="str">
        <f>$F$2</f>
        <v>Electrical</v>
      </c>
      <c r="E5242" s="1240">
        <f>ROUND(($R5246*$S$2 + ($T5246*$T$2)),2)</f>
        <v>552.32000000000005</v>
      </c>
      <c r="F5242" s="1290">
        <f ca="1">$F5234-SUMIF($L5236:$P5239,"SUBI",$F5236:$F5239)</f>
        <v>552.30999999999995</v>
      </c>
      <c r="G5242" s="503"/>
      <c r="H5242" s="503"/>
      <c r="I5242" s="503"/>
      <c r="J5242" s="503"/>
      <c r="K5242" s="1242" t="s">
        <v>3</v>
      </c>
      <c r="L5242" s="1243" t="s">
        <v>1473</v>
      </c>
      <c r="M5242" s="503"/>
      <c r="N5242" s="503"/>
      <c r="O5242" s="503"/>
      <c r="P5242" s="503"/>
      <c r="Q5242" s="503"/>
      <c r="R5242" s="1258"/>
      <c r="S5242" s="503"/>
      <c r="T5242" s="1258"/>
    </row>
    <row r="5243" spans="1:41" s="1271" customFormat="1" ht="14.4" customHeight="1">
      <c r="A5243" s="1259"/>
      <c r="B5243" s="1244" t="s">
        <v>1475</v>
      </c>
      <c r="C5243" s="1260"/>
      <c r="D5243" s="1261"/>
      <c r="E5243" s="1261"/>
      <c r="F5243" s="1261"/>
      <c r="G5243" s="1262"/>
      <c r="H5243" s="1263"/>
      <c r="I5243" s="1263"/>
      <c r="J5243" s="1264"/>
      <c r="K5243" s="1265"/>
      <c r="L5243" s="1260"/>
      <c r="M5243" s="1266"/>
      <c r="N5243" s="1267"/>
      <c r="O5243" s="1268"/>
      <c r="P5243" s="1269"/>
      <c r="Q5243" s="1270"/>
      <c r="R5243" s="1247">
        <f>$A5243*Q5243</f>
        <v>0</v>
      </c>
      <c r="S5243" s="513"/>
      <c r="T5243" s="884">
        <f>$A5243*S5243*$T$1</f>
        <v>0</v>
      </c>
    </row>
    <row r="5244" spans="1:41" s="1039" customFormat="1" ht="13.2">
      <c r="A5244" s="112">
        <f>11*6</f>
        <v>66</v>
      </c>
      <c r="B5244" s="1039" t="s">
        <v>326</v>
      </c>
      <c r="D5244" s="1039" t="s">
        <v>1224</v>
      </c>
      <c r="G5244" s="1040" t="s">
        <v>1221</v>
      </c>
      <c r="H5244" s="1041">
        <v>700</v>
      </c>
      <c r="I5244" s="1039" t="s">
        <v>1132</v>
      </c>
      <c r="J5244" s="1039" t="s">
        <v>1222</v>
      </c>
      <c r="O5244" s="1042">
        <v>1</v>
      </c>
      <c r="P5244" s="1043">
        <v>42213</v>
      </c>
      <c r="Q5244" s="1044">
        <v>1.41</v>
      </c>
      <c r="R5244" s="1045">
        <f>$A5244*Q5244</f>
        <v>93.059999999999988</v>
      </c>
      <c r="S5244" s="1044">
        <v>0.18</v>
      </c>
      <c r="T5244" s="1046">
        <f>$A5244*S5244*$T$1</f>
        <v>12.474</v>
      </c>
    </row>
    <row r="5245" spans="1:41" s="504" customFormat="1" ht="13.2">
      <c r="A5245" s="930"/>
      <c r="B5245" s="513"/>
      <c r="C5245" s="513"/>
      <c r="D5245" s="3"/>
      <c r="E5245" s="513"/>
      <c r="F5245" s="513"/>
      <c r="G5245" s="513"/>
      <c r="H5245" s="513"/>
      <c r="I5245" s="513"/>
      <c r="J5245" s="513"/>
      <c r="K5245" s="513"/>
      <c r="L5245" s="1246"/>
      <c r="M5245" s="513"/>
      <c r="N5245" s="513"/>
      <c r="O5245" s="513"/>
      <c r="P5245" s="513"/>
      <c r="Q5245" s="513"/>
      <c r="R5245" s="1247">
        <f>$A5245*Q5245</f>
        <v>0</v>
      </c>
      <c r="S5245" s="513"/>
      <c r="T5245" s="884">
        <f>$A5245*S5245*$T$1</f>
        <v>0</v>
      </c>
    </row>
    <row r="5246" spans="1:41" s="504" customFormat="1" ht="12" customHeight="1">
      <c r="A5246" s="1272" t="s">
        <v>142</v>
      </c>
      <c r="B5246" s="1273">
        <f>(R5245+T5245)</f>
        <v>0</v>
      </c>
      <c r="C5246" s="1274"/>
      <c r="D5246" s="1274"/>
      <c r="E5246" s="1274"/>
      <c r="F5246" s="1274"/>
      <c r="G5246" s="1253"/>
      <c r="H5246" s="1253"/>
      <c r="I5246" s="1253"/>
      <c r="J5246" s="1253"/>
      <c r="K5246" s="1275" t="s">
        <v>3</v>
      </c>
      <c r="L5246" s="1276" t="s">
        <v>1473</v>
      </c>
      <c r="M5246" s="1253"/>
      <c r="N5246" s="1253"/>
      <c r="O5246" s="1253"/>
      <c r="P5246" s="1253"/>
      <c r="Q5246" s="1253"/>
      <c r="R5246" s="1254">
        <f>SUM(R5242:R5245)</f>
        <v>93.059999999999988</v>
      </c>
      <c r="S5246" s="1255"/>
      <c r="T5246" s="1254">
        <f>SUM(T5242:T5245)</f>
        <v>12.474</v>
      </c>
      <c r="AG5246" s="1256">
        <f>ROUND($R5246*$S$2,2)</f>
        <v>113.53</v>
      </c>
    </row>
    <row r="5247" spans="1:41" s="504" customFormat="1" ht="12.75" customHeight="1">
      <c r="A5247" s="1277"/>
      <c r="B5247" s="1278"/>
      <c r="E5247" s="882"/>
      <c r="F5247" s="1279"/>
      <c r="G5247" s="882"/>
      <c r="H5247" s="882"/>
      <c r="I5247" s="503"/>
      <c r="J5247" s="882"/>
      <c r="K5247" s="882"/>
      <c r="L5247" s="1280"/>
      <c r="M5247" s="933"/>
      <c r="N5247" s="933"/>
      <c r="O5247" s="933"/>
      <c r="P5247" s="933"/>
      <c r="Q5247" s="900"/>
      <c r="R5247" s="1258"/>
      <c r="S5247" s="882"/>
      <c r="T5247" s="1258"/>
    </row>
    <row r="5248" spans="1:41" s="504" customFormat="1" ht="13.5" customHeight="1" thickBot="1">
      <c r="A5248" s="1281"/>
      <c r="B5248" s="1282"/>
      <c r="C5248" s="514"/>
      <c r="D5248" s="514"/>
      <c r="E5248" s="887"/>
      <c r="F5248" s="888"/>
      <c r="G5248" s="887" t="s">
        <v>143</v>
      </c>
      <c r="H5248" s="887"/>
      <c r="I5248" s="889"/>
      <c r="J5248" s="887"/>
      <c r="K5248" s="887"/>
      <c r="L5248" s="1283" t="s">
        <v>140</v>
      </c>
      <c r="M5248" s="890"/>
      <c r="N5248" s="890"/>
      <c r="O5248" s="890"/>
      <c r="P5248" s="890"/>
      <c r="Q5248" s="891"/>
      <c r="R5248" s="1284">
        <f>SUMIF($L5235:$L5247,"SUBI",R5235:R5247)</f>
        <v>258.06</v>
      </c>
      <c r="S5248" s="887"/>
      <c r="T5248" s="1284">
        <f>SUMIF($L5235:$L5247,"SUBI",T5235:T5247)</f>
        <v>12.474</v>
      </c>
      <c r="U5248" s="514"/>
      <c r="V5248" s="514"/>
      <c r="W5248" s="514"/>
      <c r="X5248" s="514"/>
      <c r="Y5248" s="514"/>
      <c r="Z5248" s="514"/>
      <c r="AA5248" s="514"/>
      <c r="AB5248" s="514"/>
      <c r="AC5248" s="514"/>
      <c r="AD5248" s="514"/>
      <c r="AE5248" s="514"/>
      <c r="AF5248" s="514"/>
      <c r="AG5248" s="514"/>
      <c r="AH5248" s="514"/>
      <c r="AI5248" s="514"/>
      <c r="AJ5248" s="514"/>
      <c r="AK5248" s="514"/>
      <c r="AL5248" s="514"/>
      <c r="AM5248" s="514"/>
      <c r="AN5248" s="514"/>
      <c r="AO5248" s="514"/>
    </row>
    <row r="5249" spans="1:41" s="504" customFormat="1" ht="12" thickTop="1">
      <c r="A5249" s="50"/>
      <c r="B5249" s="40"/>
      <c r="C5249" s="50"/>
      <c r="E5249" s="41" t="s">
        <v>136</v>
      </c>
      <c r="F5249" s="41" t="s">
        <v>137</v>
      </c>
      <c r="G5249" s="50"/>
      <c r="H5249" s="50"/>
      <c r="I5249" s="50"/>
      <c r="J5249" s="50"/>
      <c r="K5249" s="50" t="s">
        <v>138</v>
      </c>
      <c r="L5249" s="50"/>
      <c r="M5249" s="50"/>
      <c r="N5249" s="50"/>
      <c r="O5249" s="51"/>
      <c r="P5249" s="50"/>
      <c r="Q5249" s="50"/>
      <c r="R5249" s="50"/>
      <c r="S5249" s="50"/>
      <c r="T5249" s="40"/>
      <c r="AG5249" s="867" t="s">
        <v>241</v>
      </c>
      <c r="AH5249" s="867" t="s">
        <v>242</v>
      </c>
      <c r="AI5249" s="867" t="s">
        <v>243</v>
      </c>
      <c r="AJ5249" s="867" t="s">
        <v>244</v>
      </c>
      <c r="AK5249" s="867" t="s">
        <v>245</v>
      </c>
      <c r="AM5249" s="868" t="s">
        <v>254</v>
      </c>
      <c r="AN5249" s="869" t="s">
        <v>255</v>
      </c>
      <c r="AO5249" s="505" t="s">
        <v>251</v>
      </c>
    </row>
    <row r="5250" spans="1:41" s="504" customFormat="1" ht="12" customHeight="1">
      <c r="A5250" s="870">
        <v>535</v>
      </c>
      <c r="B5250" s="506" t="s">
        <v>326</v>
      </c>
      <c r="C5250" s="872"/>
      <c r="D5250" s="873" t="s">
        <v>856</v>
      </c>
      <c r="E5250" s="1033">
        <f>IF(AND($A5250=0,$A$1="DIF"),0, ROUND(ROUND(($R5254*$S$6+($T5254*$T$6))/$A5250,2)*$C$6,2))</f>
        <v>1.1000000000000001</v>
      </c>
      <c r="F5250" s="1034">
        <f>ROUND($A5250*$E5250,2)</f>
        <v>588.5</v>
      </c>
      <c r="G5250" s="876" t="s">
        <v>139</v>
      </c>
      <c r="H5250" s="877"/>
      <c r="I5250" s="878"/>
      <c r="J5250" s="877"/>
      <c r="K5250" s="877" t="s">
        <v>10</v>
      </c>
      <c r="L5250" s="879" t="s">
        <v>140</v>
      </c>
      <c r="M5250" s="879"/>
      <c r="N5250" s="879"/>
      <c r="O5250" s="879"/>
      <c r="P5250" s="879"/>
      <c r="Q5250" s="50"/>
      <c r="T5250" s="1038" t="str">
        <f>IF(AND($R5254=0,$T5254=0),"0.00","mu: "&amp; ROUND(F5250/$C$6/($R5254+$T5254*$D$9),2))</f>
        <v>mu: 1.1</v>
      </c>
      <c r="W5250" s="507"/>
      <c r="AG5250" s="1035">
        <f>IF($E5250=0,0,ROUND($R5254*$S$6*$C$6/$A5250,2))</f>
        <v>1.1000000000000001</v>
      </c>
      <c r="AH5250" s="1035">
        <f>$AG5250*$A5250</f>
        <v>588.5</v>
      </c>
      <c r="AI5250" s="1036">
        <f>$E5250-$AG5250</f>
        <v>0</v>
      </c>
      <c r="AJ5250" s="1036">
        <f>$A5250*$AI5250</f>
        <v>0</v>
      </c>
      <c r="AK5250" s="1037">
        <f>ROUND(($AG5250+$AI5250)*$A5250,2)</f>
        <v>588.5</v>
      </c>
      <c r="AM5250" s="510">
        <f>ROUND(R5254,2)</f>
        <v>535</v>
      </c>
      <c r="AN5250" s="511">
        <f>ROUND(T5254,2)</f>
        <v>0</v>
      </c>
      <c r="AO5250" s="512">
        <f>ROUND(AM5250+AN5250,2)*A5250</f>
        <v>286225</v>
      </c>
    </row>
    <row r="5251" spans="1:41" s="504" customFormat="1" ht="13.2">
      <c r="A5251" s="872"/>
      <c r="B5251"/>
      <c r="C5251" s="872"/>
      <c r="D5251" s="873" t="s">
        <v>536</v>
      </c>
      <c r="F5251" s="877"/>
      <c r="G5251" s="3"/>
      <c r="H5251" s="877"/>
      <c r="I5251" s="878"/>
      <c r="J5251" s="877"/>
      <c r="K5251" s="877" t="s">
        <v>141</v>
      </c>
      <c r="L5251" s="877"/>
      <c r="M5251" s="877"/>
      <c r="N5251" s="877"/>
      <c r="O5251" s="877"/>
      <c r="P5251" s="877"/>
      <c r="Q5251" s="50"/>
      <c r="R5251" s="513"/>
      <c r="S5251" s="881"/>
      <c r="T5251" s="877"/>
    </row>
    <row r="5252" spans="1:41" s="1039" customFormat="1" ht="13.2">
      <c r="A5252" s="112">
        <v>535</v>
      </c>
      <c r="B5252" s="1039" t="s">
        <v>326</v>
      </c>
      <c r="D5252" s="1039" t="s">
        <v>536</v>
      </c>
      <c r="G5252" s="1040" t="s">
        <v>1462</v>
      </c>
      <c r="H5252" s="1041">
        <v>821</v>
      </c>
      <c r="I5252" s="1039" t="s">
        <v>951</v>
      </c>
      <c r="O5252" s="1042">
        <v>3</v>
      </c>
      <c r="P5252" s="1043"/>
      <c r="Q5252" s="1044">
        <v>1</v>
      </c>
      <c r="R5252" s="1045">
        <f>$A5252*Q5252</f>
        <v>535</v>
      </c>
      <c r="S5252" s="1044"/>
      <c r="T5252" s="1046">
        <f>$A5252*S5252*$T$1</f>
        <v>0</v>
      </c>
    </row>
    <row r="5253" spans="1:41" s="504" customFormat="1" ht="12">
      <c r="A5253" s="882"/>
      <c r="B5253" s="882"/>
      <c r="C5253" s="882"/>
      <c r="D5253" s="882"/>
      <c r="E5253" s="882"/>
      <c r="F5253" s="877"/>
      <c r="G5253" s="882"/>
      <c r="H5253" s="882"/>
      <c r="I5253" s="503"/>
      <c r="J5253" s="882"/>
      <c r="K5253" s="882"/>
      <c r="L5253" s="882"/>
      <c r="M5253" s="882"/>
      <c r="N5253" s="882"/>
      <c r="O5253" s="882"/>
      <c r="P5253" s="882"/>
      <c r="Q5253" s="503"/>
      <c r="R5253" s="883">
        <f>$A5253*Q5253</f>
        <v>0</v>
      </c>
      <c r="S5253" s="503"/>
      <c r="T5253" s="884">
        <f>$A5253*S5253*$T$1</f>
        <v>0</v>
      </c>
    </row>
    <row r="5254" spans="1:41" s="504" customFormat="1" ht="12.6" thickBot="1">
      <c r="A5254" s="885" t="s">
        <v>142</v>
      </c>
      <c r="B5254" s="886">
        <f>(R5253+T5253)</f>
        <v>0</v>
      </c>
      <c r="C5254" s="887"/>
      <c r="D5254" s="887"/>
      <c r="E5254" s="887"/>
      <c r="F5254" s="888"/>
      <c r="G5254" s="887" t="s">
        <v>143</v>
      </c>
      <c r="H5254" s="887"/>
      <c r="I5254" s="889"/>
      <c r="J5254" s="887"/>
      <c r="K5254" s="887" t="s">
        <v>10</v>
      </c>
      <c r="L5254" s="890" t="s">
        <v>140</v>
      </c>
      <c r="M5254" s="890"/>
      <c r="N5254" s="890"/>
      <c r="O5254" s="890"/>
      <c r="P5254" s="890"/>
      <c r="Q5254" s="891"/>
      <c r="R5254" s="892">
        <f>SUM(R5251:R5253)</f>
        <v>535</v>
      </c>
      <c r="S5254" s="887"/>
      <c r="T5254" s="892">
        <f>SUM(T5251:T5253)</f>
        <v>0</v>
      </c>
      <c r="U5254" s="514"/>
      <c r="V5254" s="514"/>
      <c r="W5254" s="514"/>
      <c r="X5254" s="514"/>
      <c r="Y5254" s="514"/>
      <c r="Z5254" s="514"/>
      <c r="AA5254" s="514"/>
      <c r="AB5254" s="514"/>
      <c r="AC5254" s="514"/>
      <c r="AD5254" s="514"/>
      <c r="AE5254" s="514"/>
      <c r="AF5254" s="514"/>
      <c r="AG5254" s="514"/>
      <c r="AH5254" s="514"/>
      <c r="AI5254" s="514"/>
      <c r="AJ5254" s="514"/>
      <c r="AK5254" s="514"/>
      <c r="AL5254" s="514"/>
      <c r="AM5254" s="514"/>
      <c r="AN5254" s="514"/>
      <c r="AO5254" s="514"/>
    </row>
    <row r="5255" spans="1:41" s="504" customFormat="1" thickTop="1">
      <c r="A5255" s="50"/>
      <c r="B5255" s="50"/>
      <c r="C5255" s="3"/>
      <c r="D5255" s="3"/>
      <c r="E5255" s="50"/>
      <c r="F5255" s="50"/>
      <c r="G5255" s="50"/>
      <c r="H5255" s="50"/>
      <c r="I5255" s="50"/>
      <c r="J5255" s="50"/>
      <c r="K5255" s="50" t="s">
        <v>133</v>
      </c>
      <c r="L5255" s="50"/>
      <c r="M5255" s="50"/>
      <c r="N5255" s="50"/>
      <c r="O5255" s="51"/>
      <c r="P5255" s="50"/>
      <c r="Q5255" s="50"/>
      <c r="R5255" s="50"/>
      <c r="S5255" s="50"/>
      <c r="T5255" s="50"/>
    </row>
    <row r="5256" spans="1:41" s="504" customFormat="1" ht="12">
      <c r="A5256" s="50"/>
      <c r="B5256" s="50"/>
      <c r="C5256" s="50" t="s">
        <v>134</v>
      </c>
      <c r="D5256" s="37"/>
      <c r="E5256" s="50"/>
      <c r="F5256" s="50"/>
      <c r="G5256" s="50"/>
      <c r="H5256" s="50"/>
      <c r="I5256" s="50"/>
      <c r="J5256" s="50"/>
      <c r="K5256" s="50"/>
      <c r="L5256" s="50"/>
      <c r="M5256" s="50"/>
      <c r="N5256" s="50"/>
      <c r="O5256" s="51"/>
      <c r="P5256" s="50"/>
      <c r="Q5256" s="50"/>
      <c r="R5256" s="50"/>
      <c r="S5256" s="50"/>
      <c r="T5256" s="50"/>
    </row>
    <row r="5257" spans="1:41" s="504" customFormat="1" ht="12">
      <c r="A5257" s="50"/>
      <c r="B5257" s="50"/>
      <c r="C5257" s="50"/>
      <c r="D5257" s="37" t="s">
        <v>531</v>
      </c>
      <c r="E5257" s="50"/>
      <c r="F5257" s="50"/>
      <c r="G5257" s="50"/>
      <c r="H5257" s="50"/>
      <c r="I5257" s="50"/>
      <c r="J5257" s="50"/>
      <c r="K5257" s="50"/>
      <c r="L5257" s="50"/>
      <c r="M5257" s="50"/>
      <c r="N5257" s="50"/>
      <c r="O5257" s="51"/>
      <c r="P5257" s="50"/>
      <c r="Q5257" s="50"/>
      <c r="R5257" s="50"/>
      <c r="S5257" s="38"/>
      <c r="T5257" s="38"/>
    </row>
    <row r="5258" spans="1:41" s="3" customFormat="1" thickBot="1">
      <c r="A5258" s="514"/>
      <c r="O5258" s="103"/>
    </row>
    <row r="5259" spans="1:41" s="504" customFormat="1" thickTop="1">
      <c r="A5259" s="50"/>
      <c r="B5259" s="40"/>
      <c r="C5259" s="50"/>
      <c r="E5259" s="41" t="s">
        <v>136</v>
      </c>
      <c r="F5259" s="41" t="s">
        <v>137</v>
      </c>
      <c r="G5259" s="50"/>
      <c r="H5259" s="50"/>
      <c r="I5259" s="50"/>
      <c r="J5259" s="50"/>
      <c r="K5259" s="50" t="s">
        <v>138</v>
      </c>
      <c r="L5259" s="1219"/>
      <c r="M5259" s="50"/>
      <c r="N5259" s="50"/>
      <c r="O5259" s="51"/>
      <c r="P5259" s="50"/>
      <c r="Q5259"/>
      <c r="R5259"/>
      <c r="S5259"/>
      <c r="T5259" s="40"/>
      <c r="AG5259" s="867" t="s">
        <v>241</v>
      </c>
      <c r="AH5259" s="867" t="s">
        <v>242</v>
      </c>
      <c r="AI5259" s="867" t="s">
        <v>243</v>
      </c>
      <c r="AJ5259" s="867" t="s">
        <v>244</v>
      </c>
      <c r="AK5259" s="867" t="s">
        <v>245</v>
      </c>
      <c r="AM5259" s="868" t="s">
        <v>254</v>
      </c>
      <c r="AN5259" s="869" t="s">
        <v>255</v>
      </c>
      <c r="AO5259" s="505" t="s">
        <v>251</v>
      </c>
    </row>
    <row r="5260" spans="1:41" s="504" customFormat="1" ht="13.2">
      <c r="A5260" s="870">
        <v>9</v>
      </c>
      <c r="B5260" s="506" t="s">
        <v>335</v>
      </c>
      <c r="C5260" s="872"/>
      <c r="D5260" s="873" t="s">
        <v>857</v>
      </c>
      <c r="E5260" s="1220">
        <f>IF(AND($A5260=0,$A$1="DIF"),0, ROUND(ROUND(SUMIF($L5262:$L5268,"SUBI",$E5262:$E5268)/$A5260,2)*$C$12,2))</f>
        <v>66.709999999999994</v>
      </c>
      <c r="F5260" s="1221">
        <f>ROUND($A5260*$E5260,2)</f>
        <v>600.39</v>
      </c>
      <c r="G5260" s="876" t="s">
        <v>139</v>
      </c>
      <c r="H5260" s="877"/>
      <c r="I5260" s="878"/>
      <c r="J5260" s="877"/>
      <c r="K5260" s="1222"/>
      <c r="L5260" s="1223" t="s">
        <v>140</v>
      </c>
      <c r="M5260" s="879"/>
      <c r="N5260" s="879"/>
      <c r="O5260" s="879"/>
      <c r="P5260" s="879"/>
      <c r="Q5260"/>
      <c r="R5260"/>
      <c r="S5260"/>
      <c r="T5260" s="1224" t="str">
        <f>IF(AND($R5274=0,$T5274=0),"0.00","mu :" &amp; ROUND($F5260/$C$12/($R5274+$T5274*$D$9),2))</f>
        <v>mu :1.19</v>
      </c>
      <c r="W5260" s="507"/>
      <c r="AG5260" s="1225">
        <f>IF(A5260=0,0,ROUND(SUM(AG5262:AG5274)/A5260,2))</f>
        <v>26.82</v>
      </c>
      <c r="AH5260" s="1225">
        <f>$AG5260*$A5260</f>
        <v>241.38</v>
      </c>
      <c r="AI5260" s="1225">
        <f>$E5260-$AG5260</f>
        <v>39.889999999999993</v>
      </c>
      <c r="AJ5260" s="1225">
        <f>$A5260*$AI5260</f>
        <v>359.00999999999993</v>
      </c>
      <c r="AK5260" s="1226">
        <f>ROUND(($AG5260+$AI5260)*$A5260,2)</f>
        <v>600.39</v>
      </c>
      <c r="AM5260" s="510">
        <f>ROUND(R5274,2)</f>
        <v>211.14</v>
      </c>
      <c r="AN5260" s="511">
        <f>ROUND(T5274,2)</f>
        <v>10.210000000000001</v>
      </c>
      <c r="AO5260" s="512">
        <f>ROUND(AM5260+AN5260,2)*A5260</f>
        <v>1992.1499999999999</v>
      </c>
    </row>
    <row r="5261" spans="1:41" s="504" customFormat="1" ht="13.2">
      <c r="A5261" s="872"/>
      <c r="B5261"/>
      <c r="C5261" s="872"/>
      <c r="D5261" s="873" t="s">
        <v>534</v>
      </c>
      <c r="F5261" s="877"/>
      <c r="G5261" s="877"/>
      <c r="H5261" s="877"/>
      <c r="I5261" s="878"/>
      <c r="J5261" s="877"/>
      <c r="K5261" s="877" t="s">
        <v>141</v>
      </c>
      <c r="L5261" s="1227"/>
      <c r="M5261" s="877"/>
      <c r="N5261" s="877"/>
      <c r="O5261" s="877"/>
      <c r="P5261" s="877"/>
      <c r="Q5261" s="50"/>
      <c r="R5261" s="513"/>
      <c r="S5261" s="881"/>
      <c r="T5261" s="877"/>
    </row>
    <row r="5262" spans="1:41" s="504" customFormat="1" ht="12">
      <c r="A5262" s="1228"/>
      <c r="B5262" s="1229"/>
      <c r="C5262" s="882"/>
      <c r="D5262" s="877"/>
      <c r="E5262" s="1230">
        <f>F5260/$C$12-SUMIF($L5259:$L5274,"SUBI",$E5259:$E5274)</f>
        <v>-9.9999999999909051E-3</v>
      </c>
      <c r="F5262" s="1231" t="s">
        <v>1472</v>
      </c>
      <c r="G5262" s="1232"/>
      <c r="H5262" s="1232"/>
      <c r="I5262" s="1233"/>
      <c r="J5262" s="1232"/>
      <c r="K5262" s="1232"/>
      <c r="L5262" s="1234"/>
      <c r="M5262" s="1235"/>
      <c r="N5262" s="1235"/>
      <c r="O5262" s="1235"/>
      <c r="P5262" s="1235"/>
      <c r="Q5262" s="1236"/>
      <c r="R5262" s="1237"/>
      <c r="S5262" s="1236"/>
      <c r="T5262" s="1238"/>
    </row>
    <row r="5263" spans="1:41" s="504" customFormat="1" ht="12" customHeight="1">
      <c r="A5263" s="1239"/>
      <c r="B5263" s="1291"/>
      <c r="C5263" s="1292"/>
      <c r="D5263" s="1292" t="str">
        <f>$F$6</f>
        <v>ELV Sub-Contractor - DATA</v>
      </c>
      <c r="E5263" s="1292">
        <f>ROUND(($R5267*$S$6 + ($T5267*$T$6)),2)</f>
        <v>148.5</v>
      </c>
      <c r="F5263" s="1293">
        <f>$E5263*$C$12</f>
        <v>148.5</v>
      </c>
      <c r="G5263" s="513"/>
      <c r="H5263" s="1241"/>
      <c r="I5263" s="513"/>
      <c r="J5263" s="51"/>
      <c r="K5263" s="1242" t="s">
        <v>10</v>
      </c>
      <c r="L5263" s="1243" t="s">
        <v>1473</v>
      </c>
      <c r="M5263" s="513"/>
      <c r="N5263" s="513"/>
      <c r="O5263" s="51"/>
      <c r="P5263" s="513"/>
      <c r="Q5263" s="513"/>
      <c r="R5263"/>
      <c r="S5263"/>
      <c r="T5263"/>
    </row>
    <row r="5264" spans="1:41" s="504" customFormat="1" ht="13.95" customHeight="1">
      <c r="A5264" s="930"/>
      <c r="B5264" s="1244" t="s">
        <v>1474</v>
      </c>
      <c r="C5264" s="513"/>
      <c r="D5264" s="513"/>
      <c r="E5264" s="513"/>
      <c r="F5264" s="513"/>
      <c r="G5264" s="513"/>
      <c r="H5264" s="1241"/>
      <c r="I5264" s="513"/>
      <c r="J5264" s="51"/>
      <c r="K5264" s="1245"/>
      <c r="L5264" s="1246"/>
      <c r="M5264" s="513"/>
      <c r="N5264" s="513"/>
      <c r="O5264" s="51"/>
      <c r="P5264" s="513"/>
      <c r="Q5264" s="513"/>
      <c r="R5264" s="1247">
        <f>$A5264*Q5264</f>
        <v>0</v>
      </c>
      <c r="S5264" s="513"/>
      <c r="T5264" s="884">
        <f>$A5264*S5264*$T$1</f>
        <v>0</v>
      </c>
    </row>
    <row r="5265" spans="1:41" s="1039" customFormat="1" ht="13.2">
      <c r="A5265" s="112">
        <v>9</v>
      </c>
      <c r="B5265" s="1039" t="s">
        <v>949</v>
      </c>
      <c r="D5265" s="1039" t="s">
        <v>534</v>
      </c>
      <c r="G5265" s="1040" t="s">
        <v>1462</v>
      </c>
      <c r="H5265" s="1041">
        <v>821</v>
      </c>
      <c r="I5265" s="1039" t="s">
        <v>951</v>
      </c>
      <c r="O5265" s="1042">
        <v>3</v>
      </c>
      <c r="P5265" s="1043"/>
      <c r="Q5265" s="1044">
        <v>15</v>
      </c>
      <c r="R5265" s="1045">
        <f>$A5265*Q5265</f>
        <v>135</v>
      </c>
      <c r="S5265" s="1044"/>
      <c r="T5265" s="1046">
        <f>$A5265*S5265*$T$1</f>
        <v>0</v>
      </c>
    </row>
    <row r="5266" spans="1:41" s="504" customFormat="1" ht="13.95" customHeight="1">
      <c r="A5266" s="930"/>
      <c r="B5266" s="513"/>
      <c r="C5266" s="513"/>
      <c r="D5266" s="513"/>
      <c r="E5266" s="513"/>
      <c r="F5266" s="513"/>
      <c r="G5266" s="513"/>
      <c r="H5266" s="1241"/>
      <c r="I5266" s="513"/>
      <c r="J5266" s="51"/>
      <c r="K5266" s="1245"/>
      <c r="L5266" s="1246"/>
      <c r="M5266" s="513"/>
      <c r="N5266" s="513"/>
      <c r="O5266" s="51"/>
      <c r="P5266" s="513"/>
      <c r="Q5266" s="513"/>
      <c r="R5266" s="1247">
        <f>$A5266*Q5266</f>
        <v>0</v>
      </c>
      <c r="S5266" s="513"/>
      <c r="T5266" s="884">
        <f>$A5266*S5266*$T$1</f>
        <v>0</v>
      </c>
    </row>
    <row r="5267" spans="1:41" s="504" customFormat="1" ht="12">
      <c r="A5267" s="1248" t="s">
        <v>142</v>
      </c>
      <c r="B5267" s="1249">
        <f>(R5266+T5266)</f>
        <v>0</v>
      </c>
      <c r="C5267" s="882"/>
      <c r="G5267" s="1250"/>
      <c r="H5267" s="1250"/>
      <c r="I5267" s="1250"/>
      <c r="J5267" s="1250"/>
      <c r="K5267" s="1251" t="s">
        <v>10</v>
      </c>
      <c r="L5267" s="1252" t="s">
        <v>1473</v>
      </c>
      <c r="M5267" s="1250"/>
      <c r="N5267" s="1250"/>
      <c r="O5267" s="1250"/>
      <c r="P5267" s="1250"/>
      <c r="Q5267" s="1253"/>
      <c r="R5267" s="1254">
        <f>SUM(R5263:R5266)</f>
        <v>135</v>
      </c>
      <c r="S5267" s="1255"/>
      <c r="T5267" s="1254">
        <f>SUM(T5263:T5266)</f>
        <v>0</v>
      </c>
      <c r="AG5267" s="1294">
        <f>ROUND($R5267*$S$6,2)</f>
        <v>148.5</v>
      </c>
    </row>
    <row r="5268" spans="1:41" s="504" customFormat="1" ht="12" customHeight="1">
      <c r="A5268" s="1257"/>
      <c r="B5268" s="1289"/>
      <c r="C5268" s="1240"/>
      <c r="D5268" s="1240" t="str">
        <f>$F$2</f>
        <v>Electrical</v>
      </c>
      <c r="E5268" s="1240">
        <f>ROUND(($R5272*$S$2 + ($T5272*$T$2)),2)</f>
        <v>451.9</v>
      </c>
      <c r="F5268" s="1290">
        <f ca="1">$F5260-SUMIF($L5262:$P5265,"SUBI",$F5262:$F5265)</f>
        <v>451.89</v>
      </c>
      <c r="G5268" s="503"/>
      <c r="H5268" s="503"/>
      <c r="I5268" s="503"/>
      <c r="J5268" s="503"/>
      <c r="K5268" s="1242" t="s">
        <v>3</v>
      </c>
      <c r="L5268" s="1243" t="s">
        <v>1473</v>
      </c>
      <c r="M5268" s="503"/>
      <c r="N5268" s="503"/>
      <c r="O5268" s="503"/>
      <c r="P5268" s="503"/>
      <c r="Q5268" s="503"/>
      <c r="R5268" s="1258"/>
      <c r="S5268" s="503"/>
      <c r="T5268" s="1258"/>
    </row>
    <row r="5269" spans="1:41" s="1271" customFormat="1" ht="14.4" customHeight="1">
      <c r="A5269" s="1259"/>
      <c r="B5269" s="1244" t="s">
        <v>1475</v>
      </c>
      <c r="C5269" s="1260"/>
      <c r="D5269" s="1261"/>
      <c r="E5269" s="1261"/>
      <c r="F5269" s="1261"/>
      <c r="G5269" s="1262"/>
      <c r="H5269" s="1263"/>
      <c r="I5269" s="1263"/>
      <c r="J5269" s="1264"/>
      <c r="K5269" s="1265"/>
      <c r="L5269" s="1260"/>
      <c r="M5269" s="1266"/>
      <c r="N5269" s="1267"/>
      <c r="O5269" s="1268"/>
      <c r="P5269" s="1269"/>
      <c r="Q5269" s="1270"/>
      <c r="R5269" s="1247">
        <f>$A5269*Q5269</f>
        <v>0</v>
      </c>
      <c r="S5269" s="513"/>
      <c r="T5269" s="884">
        <f>$A5269*S5269*$T$1</f>
        <v>0</v>
      </c>
    </row>
    <row r="5270" spans="1:41" s="1039" customFormat="1" ht="13.2">
      <c r="A5270" s="112">
        <f>9*6</f>
        <v>54</v>
      </c>
      <c r="B5270" s="1039" t="s">
        <v>326</v>
      </c>
      <c r="D5270" s="1039" t="s">
        <v>1224</v>
      </c>
      <c r="G5270" s="1040" t="s">
        <v>1221</v>
      </c>
      <c r="H5270" s="1041">
        <v>700</v>
      </c>
      <c r="I5270" s="1039" t="s">
        <v>1132</v>
      </c>
      <c r="J5270" s="1039" t="s">
        <v>1222</v>
      </c>
      <c r="O5270" s="1042">
        <v>1</v>
      </c>
      <c r="P5270" s="1043">
        <v>42213</v>
      </c>
      <c r="Q5270" s="1044">
        <v>1.41</v>
      </c>
      <c r="R5270" s="1045">
        <f>$A5270*Q5270</f>
        <v>76.14</v>
      </c>
      <c r="S5270" s="1044">
        <v>0.18</v>
      </c>
      <c r="T5270" s="1046">
        <f>$A5270*S5270*$T$1</f>
        <v>10.206</v>
      </c>
    </row>
    <row r="5271" spans="1:41" s="504" customFormat="1" ht="13.2">
      <c r="A5271" s="930"/>
      <c r="B5271" s="513"/>
      <c r="C5271" s="513"/>
      <c r="D5271" s="3"/>
      <c r="E5271" s="513"/>
      <c r="F5271" s="513"/>
      <c r="G5271" s="513"/>
      <c r="H5271" s="513"/>
      <c r="I5271" s="513"/>
      <c r="J5271" s="513"/>
      <c r="K5271" s="513"/>
      <c r="L5271" s="1246"/>
      <c r="M5271" s="513"/>
      <c r="N5271" s="513"/>
      <c r="O5271" s="513"/>
      <c r="P5271" s="513"/>
      <c r="Q5271" s="513"/>
      <c r="R5271" s="1247">
        <f>$A5271*Q5271</f>
        <v>0</v>
      </c>
      <c r="S5271" s="513"/>
      <c r="T5271" s="884">
        <f>$A5271*S5271*$T$1</f>
        <v>0</v>
      </c>
    </row>
    <row r="5272" spans="1:41" s="504" customFormat="1" ht="12" customHeight="1">
      <c r="A5272" s="1272" t="s">
        <v>142</v>
      </c>
      <c r="B5272" s="1273">
        <f>(R5271+T5271)</f>
        <v>0</v>
      </c>
      <c r="C5272" s="1274"/>
      <c r="D5272" s="1274"/>
      <c r="E5272" s="1274"/>
      <c r="F5272" s="1274"/>
      <c r="G5272" s="1253"/>
      <c r="H5272" s="1253"/>
      <c r="I5272" s="1253"/>
      <c r="J5272" s="1253"/>
      <c r="K5272" s="1275" t="s">
        <v>3</v>
      </c>
      <c r="L5272" s="1276" t="s">
        <v>1473</v>
      </c>
      <c r="M5272" s="1253"/>
      <c r="N5272" s="1253"/>
      <c r="O5272" s="1253"/>
      <c r="P5272" s="1253"/>
      <c r="Q5272" s="1253"/>
      <c r="R5272" s="1254">
        <f>SUM(R5268:R5271)</f>
        <v>76.14</v>
      </c>
      <c r="S5272" s="1255"/>
      <c r="T5272" s="1254">
        <f>SUM(T5268:T5271)</f>
        <v>10.206</v>
      </c>
      <c r="AG5272" s="1256">
        <f>ROUND($R5272*$S$2,2)</f>
        <v>92.89</v>
      </c>
    </row>
    <row r="5273" spans="1:41" s="504" customFormat="1" ht="12.75" customHeight="1">
      <c r="A5273" s="1277"/>
      <c r="B5273" s="1278"/>
      <c r="E5273" s="882"/>
      <c r="F5273" s="1279"/>
      <c r="G5273" s="882"/>
      <c r="H5273" s="882"/>
      <c r="I5273" s="503"/>
      <c r="J5273" s="882"/>
      <c r="K5273" s="882"/>
      <c r="L5273" s="1280"/>
      <c r="M5273" s="933"/>
      <c r="N5273" s="933"/>
      <c r="O5273" s="933"/>
      <c r="P5273" s="933"/>
      <c r="Q5273" s="900"/>
      <c r="R5273" s="1258"/>
      <c r="S5273" s="882"/>
      <c r="T5273" s="1258"/>
    </row>
    <row r="5274" spans="1:41" s="504" customFormat="1" ht="13.5" customHeight="1" thickBot="1">
      <c r="A5274" s="1281"/>
      <c r="B5274" s="1282"/>
      <c r="C5274" s="514"/>
      <c r="D5274" s="514"/>
      <c r="E5274" s="887"/>
      <c r="F5274" s="888"/>
      <c r="G5274" s="887" t="s">
        <v>143</v>
      </c>
      <c r="H5274" s="887"/>
      <c r="I5274" s="889"/>
      <c r="J5274" s="887"/>
      <c r="K5274" s="887"/>
      <c r="L5274" s="1283" t="s">
        <v>140</v>
      </c>
      <c r="M5274" s="890"/>
      <c r="N5274" s="890"/>
      <c r="O5274" s="890"/>
      <c r="P5274" s="890"/>
      <c r="Q5274" s="891"/>
      <c r="R5274" s="1284">
        <f>SUMIF($L5261:$L5273,"SUBI",R5261:R5273)</f>
        <v>211.14</v>
      </c>
      <c r="S5274" s="887"/>
      <c r="T5274" s="1284">
        <f>SUMIF($L5261:$L5273,"SUBI",T5261:T5273)</f>
        <v>10.206</v>
      </c>
      <c r="U5274" s="514"/>
      <c r="V5274" s="514"/>
      <c r="W5274" s="514"/>
      <c r="X5274" s="514"/>
      <c r="Y5274" s="514"/>
      <c r="Z5274" s="514"/>
      <c r="AA5274" s="514"/>
      <c r="AB5274" s="514"/>
      <c r="AC5274" s="514"/>
      <c r="AD5274" s="514"/>
      <c r="AE5274" s="514"/>
      <c r="AF5274" s="514"/>
      <c r="AG5274" s="514"/>
      <c r="AH5274" s="514"/>
      <c r="AI5274" s="514"/>
      <c r="AJ5274" s="514"/>
      <c r="AK5274" s="514"/>
      <c r="AL5274" s="514"/>
      <c r="AM5274" s="514"/>
      <c r="AN5274" s="514"/>
      <c r="AO5274" s="514"/>
    </row>
    <row r="5275" spans="1:41" s="504" customFormat="1" ht="12" thickTop="1">
      <c r="A5275" s="50"/>
      <c r="B5275" s="40"/>
      <c r="C5275" s="50"/>
      <c r="E5275" s="41" t="s">
        <v>136</v>
      </c>
      <c r="F5275" s="41" t="s">
        <v>137</v>
      </c>
      <c r="G5275" s="50"/>
      <c r="H5275" s="50"/>
      <c r="I5275" s="50"/>
      <c r="J5275" s="50"/>
      <c r="K5275" s="50" t="s">
        <v>138</v>
      </c>
      <c r="L5275" s="50"/>
      <c r="M5275" s="50"/>
      <c r="N5275" s="50"/>
      <c r="O5275" s="51"/>
      <c r="P5275" s="50"/>
      <c r="Q5275" s="50"/>
      <c r="R5275" s="50"/>
      <c r="S5275" s="50"/>
      <c r="T5275" s="40"/>
      <c r="AG5275" s="867" t="s">
        <v>241</v>
      </c>
      <c r="AH5275" s="867" t="s">
        <v>242</v>
      </c>
      <c r="AI5275" s="867" t="s">
        <v>243</v>
      </c>
      <c r="AJ5275" s="867" t="s">
        <v>244</v>
      </c>
      <c r="AK5275" s="867" t="s">
        <v>245</v>
      </c>
      <c r="AM5275" s="868" t="s">
        <v>254</v>
      </c>
      <c r="AN5275" s="869" t="s">
        <v>255</v>
      </c>
      <c r="AO5275" s="505" t="s">
        <v>251</v>
      </c>
    </row>
    <row r="5276" spans="1:41" s="504" customFormat="1" ht="12" customHeight="1">
      <c r="A5276" s="870">
        <v>440</v>
      </c>
      <c r="B5276" s="506" t="s">
        <v>326</v>
      </c>
      <c r="C5276" s="872"/>
      <c r="D5276" s="873" t="s">
        <v>858</v>
      </c>
      <c r="E5276" s="1033">
        <f>IF(AND($A5276=0,$A$1="DIF"),0, ROUND(ROUND(($R5280*$S$6+($T5280*$T$6))/$A5276,2)*$C$6,2))</f>
        <v>1.1000000000000001</v>
      </c>
      <c r="F5276" s="1034">
        <f>ROUND($A5276*$E5276,2)</f>
        <v>484</v>
      </c>
      <c r="G5276" s="876" t="s">
        <v>139</v>
      </c>
      <c r="H5276" s="877"/>
      <c r="I5276" s="878"/>
      <c r="J5276" s="877"/>
      <c r="K5276" s="877" t="s">
        <v>10</v>
      </c>
      <c r="L5276" s="879" t="s">
        <v>140</v>
      </c>
      <c r="M5276" s="879"/>
      <c r="N5276" s="879"/>
      <c r="O5276" s="879"/>
      <c r="P5276" s="879"/>
      <c r="Q5276" s="50"/>
      <c r="T5276" s="1038" t="str">
        <f>IF(AND($R5280=0,$T5280=0),"0.00","mu: "&amp; ROUND(F5276/$C$6/($R5280+$T5280*$D$9),2))</f>
        <v>mu: 1.1</v>
      </c>
      <c r="W5276" s="507"/>
      <c r="AG5276" s="1035">
        <f>IF($E5276=0,0,ROUND($R5280*$S$6*$C$6/$A5276,2))</f>
        <v>1.1000000000000001</v>
      </c>
      <c r="AH5276" s="1035">
        <f>$AG5276*$A5276</f>
        <v>484.00000000000006</v>
      </c>
      <c r="AI5276" s="1036">
        <f>$E5276-$AG5276</f>
        <v>0</v>
      </c>
      <c r="AJ5276" s="1036">
        <f>$A5276*$AI5276</f>
        <v>0</v>
      </c>
      <c r="AK5276" s="1037">
        <f>ROUND(($AG5276+$AI5276)*$A5276,2)</f>
        <v>484</v>
      </c>
      <c r="AM5276" s="510">
        <f>ROUND(R5280,2)</f>
        <v>440</v>
      </c>
      <c r="AN5276" s="511">
        <f>ROUND(T5280,2)</f>
        <v>0</v>
      </c>
      <c r="AO5276" s="512">
        <f>ROUND(AM5276+AN5276,2)*A5276</f>
        <v>193600</v>
      </c>
    </row>
    <row r="5277" spans="1:41" s="504" customFormat="1" ht="13.2">
      <c r="A5277" s="872"/>
      <c r="B5277"/>
      <c r="C5277" s="872"/>
      <c r="D5277" s="873" t="s">
        <v>536</v>
      </c>
      <c r="F5277" s="877"/>
      <c r="G5277" s="3"/>
      <c r="H5277" s="877"/>
      <c r="I5277" s="878"/>
      <c r="J5277" s="877"/>
      <c r="K5277" s="877" t="s">
        <v>141</v>
      </c>
      <c r="L5277" s="877"/>
      <c r="M5277" s="877"/>
      <c r="N5277" s="877"/>
      <c r="O5277" s="877"/>
      <c r="P5277" s="877"/>
      <c r="Q5277" s="50"/>
      <c r="R5277" s="513"/>
      <c r="S5277" s="881"/>
      <c r="T5277" s="877"/>
    </row>
    <row r="5278" spans="1:41" s="1039" customFormat="1" ht="13.2">
      <c r="A5278" s="112">
        <v>440</v>
      </c>
      <c r="B5278" s="1039" t="s">
        <v>326</v>
      </c>
      <c r="D5278" s="1039" t="s">
        <v>536</v>
      </c>
      <c r="G5278" s="1040" t="s">
        <v>1462</v>
      </c>
      <c r="H5278" s="1041">
        <v>821</v>
      </c>
      <c r="I5278" s="1039" t="s">
        <v>951</v>
      </c>
      <c r="O5278" s="1042">
        <v>3</v>
      </c>
      <c r="P5278" s="1043"/>
      <c r="Q5278" s="1044">
        <v>1</v>
      </c>
      <c r="R5278" s="1045">
        <f>$A5278*Q5278</f>
        <v>440</v>
      </c>
      <c r="S5278" s="1044"/>
      <c r="T5278" s="1046">
        <f>$A5278*S5278*$T$1</f>
        <v>0</v>
      </c>
    </row>
    <row r="5279" spans="1:41" s="504" customFormat="1" ht="12">
      <c r="A5279" s="882"/>
      <c r="B5279" s="882"/>
      <c r="C5279" s="882"/>
      <c r="D5279" s="882"/>
      <c r="E5279" s="882"/>
      <c r="F5279" s="877"/>
      <c r="G5279" s="882"/>
      <c r="H5279" s="882"/>
      <c r="I5279" s="503"/>
      <c r="J5279" s="882"/>
      <c r="K5279" s="882"/>
      <c r="L5279" s="882"/>
      <c r="M5279" s="882"/>
      <c r="N5279" s="882"/>
      <c r="O5279" s="882"/>
      <c r="P5279" s="882"/>
      <c r="Q5279" s="503"/>
      <c r="R5279" s="883">
        <f>$A5279*Q5279</f>
        <v>0</v>
      </c>
      <c r="S5279" s="503"/>
      <c r="T5279" s="884">
        <f>$A5279*S5279*$T$1</f>
        <v>0</v>
      </c>
    </row>
    <row r="5280" spans="1:41" s="504" customFormat="1" ht="12.6" thickBot="1">
      <c r="A5280" s="885" t="s">
        <v>142</v>
      </c>
      <c r="B5280" s="886">
        <f>(R5279+T5279)</f>
        <v>0</v>
      </c>
      <c r="C5280" s="887"/>
      <c r="D5280" s="887"/>
      <c r="E5280" s="887"/>
      <c r="F5280" s="888"/>
      <c r="G5280" s="887" t="s">
        <v>143</v>
      </c>
      <c r="H5280" s="887"/>
      <c r="I5280" s="889"/>
      <c r="J5280" s="887"/>
      <c r="K5280" s="887" t="s">
        <v>10</v>
      </c>
      <c r="L5280" s="890" t="s">
        <v>140</v>
      </c>
      <c r="M5280" s="890"/>
      <c r="N5280" s="890"/>
      <c r="O5280" s="890"/>
      <c r="P5280" s="890"/>
      <c r="Q5280" s="891"/>
      <c r="R5280" s="892">
        <f>SUM(R5277:R5279)</f>
        <v>440</v>
      </c>
      <c r="S5280" s="887"/>
      <c r="T5280" s="892">
        <f>SUM(T5277:T5279)</f>
        <v>0</v>
      </c>
      <c r="U5280" s="514"/>
      <c r="V5280" s="514"/>
      <c r="W5280" s="514"/>
      <c r="X5280" s="514"/>
      <c r="Y5280" s="514"/>
      <c r="Z5280" s="514"/>
      <c r="AA5280" s="514"/>
      <c r="AB5280" s="514"/>
      <c r="AC5280" s="514"/>
      <c r="AD5280" s="514"/>
      <c r="AE5280" s="514"/>
      <c r="AF5280" s="514"/>
      <c r="AG5280" s="514"/>
      <c r="AH5280" s="514"/>
      <c r="AI5280" s="514"/>
      <c r="AJ5280" s="514"/>
      <c r="AK5280" s="514"/>
      <c r="AL5280" s="514"/>
      <c r="AM5280" s="514"/>
      <c r="AN5280" s="514"/>
      <c r="AO5280" s="514"/>
    </row>
    <row r="5281" spans="1:37" s="504" customFormat="1" ht="12" thickTop="1">
      <c r="A5281" s="47" t="s">
        <v>145</v>
      </c>
      <c r="D5281" s="13"/>
      <c r="E5281" s="41"/>
      <c r="O5281" s="893"/>
    </row>
    <row r="5282" spans="1:37" s="504" customFormat="1" ht="13.2">
      <c r="B5282" s="3"/>
      <c r="O5282" s="893"/>
    </row>
    <row r="5283" spans="1:37" s="504" customFormat="1" ht="12">
      <c r="B5283" s="894">
        <f>$F5283/$C$2-($R5283*$S$2+$T5283*$T$2)</f>
        <v>-427.26365155999974</v>
      </c>
      <c r="D5283" s="895" t="s">
        <v>817</v>
      </c>
      <c r="E5283" s="896"/>
      <c r="F5283" s="897">
        <f>SUMIF($L5135:$L5281,"ITEM",F5135:F5281)</f>
        <v>6878.39</v>
      </c>
      <c r="G5283" s="882"/>
      <c r="H5283" s="882"/>
      <c r="I5283" s="503"/>
      <c r="J5283" s="882"/>
      <c r="K5283" s="882"/>
      <c r="L5283" s="879" t="s">
        <v>154</v>
      </c>
      <c r="M5283" s="879"/>
      <c r="N5283" s="879"/>
      <c r="O5283" s="879"/>
      <c r="P5283" s="879"/>
      <c r="R5283" s="897">
        <f>SUMIF($L5135:$L5281,"ITEM",R5135:R5281)</f>
        <v>4059.14</v>
      </c>
      <c r="S5283" s="898"/>
      <c r="T5283" s="897">
        <f>SUMIF($L5135:$L5281,"ITEM",T5135:T5281)</f>
        <v>66.906000000000006</v>
      </c>
    </row>
    <row r="5284" spans="1:37" s="504" customFormat="1" ht="13.2">
      <c r="A5284" s="50"/>
      <c r="B5284" s="48" t="s">
        <v>816</v>
      </c>
      <c r="C5284" s="50"/>
      <c r="D5284" s="3"/>
      <c r="F5284" s="899" t="s">
        <v>155</v>
      </c>
      <c r="G5284" s="882"/>
      <c r="H5284" s="882"/>
      <c r="I5284" s="503"/>
      <c r="J5284" s="882"/>
      <c r="K5284" s="882"/>
      <c r="L5284" s="882"/>
      <c r="M5284" s="882"/>
      <c r="N5284" s="882"/>
      <c r="O5284" s="882"/>
      <c r="P5284" s="882"/>
      <c r="Q5284" s="900"/>
      <c r="R5284" s="899" t="s">
        <v>156</v>
      </c>
      <c r="S5284" s="38"/>
      <c r="T5284" s="899" t="s">
        <v>157</v>
      </c>
    </row>
    <row r="5285" spans="1:37" s="504" customFormat="1" ht="13.2">
      <c r="A5285" s="882"/>
      <c r="B5285" s="3"/>
      <c r="C5285" s="882"/>
      <c r="D5285" s="3"/>
      <c r="E5285" s="3"/>
      <c r="G5285" s="3"/>
      <c r="H5285" s="3"/>
      <c r="I5285" s="3"/>
      <c r="J5285" s="3"/>
      <c r="K5285" s="3"/>
      <c r="L5285" s="3"/>
      <c r="M5285" s="3"/>
      <c r="N5285" s="3"/>
      <c r="O5285" s="103"/>
      <c r="P5285" s="3"/>
      <c r="Q5285" s="3"/>
      <c r="R5285" s="3"/>
      <c r="S5285" s="3"/>
      <c r="T5285" s="3"/>
    </row>
    <row r="5286" spans="1:37" s="504" customFormat="1" ht="12" thickBot="1">
      <c r="A5286" s="514"/>
      <c r="B5286" s="887"/>
      <c r="C5286" s="887"/>
      <c r="D5286" s="514"/>
      <c r="E5286" s="39"/>
      <c r="F5286" s="901"/>
      <c r="G5286" s="887"/>
      <c r="H5286" s="887"/>
      <c r="I5286" s="889"/>
      <c r="J5286" s="887"/>
      <c r="K5286" s="887"/>
      <c r="L5286" s="890"/>
      <c r="M5286" s="890"/>
      <c r="N5286" s="890"/>
      <c r="O5286" s="890"/>
      <c r="P5286" s="890"/>
      <c r="Q5286" s="891"/>
      <c r="R5286" s="901"/>
      <c r="S5286" s="902"/>
      <c r="T5286" s="901"/>
      <c r="U5286" s="514"/>
      <c r="V5286" s="514"/>
      <c r="W5286" s="514"/>
      <c r="X5286" s="514"/>
      <c r="Y5286" s="514"/>
      <c r="Z5286" s="514"/>
      <c r="AA5286" s="514"/>
      <c r="AB5286" s="514"/>
      <c r="AC5286" s="514"/>
      <c r="AD5286" s="514"/>
      <c r="AE5286" s="514"/>
      <c r="AF5286" s="514"/>
      <c r="AG5286" s="514"/>
      <c r="AH5286" s="514"/>
      <c r="AI5286" s="514"/>
      <c r="AJ5286" s="514"/>
      <c r="AK5286" s="514"/>
    </row>
    <row r="5287" spans="1:37" s="504" customFormat="1" thickTop="1">
      <c r="A5287" s="47" t="s">
        <v>145</v>
      </c>
      <c r="B5287" s="3"/>
      <c r="C5287" s="50"/>
      <c r="D5287" s="50"/>
      <c r="E5287" s="50"/>
      <c r="F5287" s="50"/>
      <c r="G5287" s="50"/>
      <c r="H5287" s="50"/>
      <c r="I5287" s="50"/>
      <c r="J5287" s="50"/>
      <c r="K5287" s="50"/>
      <c r="L5287" s="50"/>
      <c r="M5287" s="50"/>
      <c r="N5287" s="50"/>
      <c r="O5287" s="51"/>
      <c r="P5287" s="50"/>
      <c r="Q5287" s="50"/>
      <c r="R5287" s="50"/>
      <c r="S5287" s="50"/>
      <c r="T5287" s="50"/>
    </row>
    <row r="5288" spans="1:37" s="504" customFormat="1" ht="13.2">
      <c r="A5288" s="50"/>
      <c r="B5288" s="3"/>
      <c r="C5288" s="3"/>
      <c r="E5288" s="3"/>
      <c r="F5288" s="3"/>
      <c r="G5288" s="3"/>
      <c r="H5288" s="3"/>
      <c r="I5288" s="3"/>
      <c r="J5288" s="3"/>
      <c r="K5288" s="3"/>
      <c r="L5288" s="3"/>
      <c r="M5288" s="3"/>
      <c r="N5288" s="3"/>
      <c r="O5288" s="103"/>
      <c r="P5288" s="3"/>
      <c r="Q5288" s="3"/>
      <c r="R5288" s="3"/>
      <c r="S5288" s="3"/>
      <c r="T5288" s="3"/>
    </row>
    <row r="5289" spans="1:37" s="504" customFormat="1" ht="12">
      <c r="A5289" s="50"/>
      <c r="B5289" s="894">
        <f>$F5289/$C$2-($R5289*$S$2+$T5289*$T$2)</f>
        <v>-662.47659763999945</v>
      </c>
      <c r="C5289" s="50"/>
      <c r="D5289" s="913" t="s">
        <v>928</v>
      </c>
      <c r="E5289" s="896"/>
      <c r="F5289" s="914">
        <f>SUMIF($L5013:$L5287,"PAGE",F5013:F5287)</f>
        <v>9636.91</v>
      </c>
      <c r="G5289" s="882"/>
      <c r="H5289" s="882"/>
      <c r="I5289" s="503"/>
      <c r="J5289" s="882"/>
      <c r="K5289" s="882"/>
      <c r="L5289" s="117" t="s">
        <v>918</v>
      </c>
      <c r="M5289" s="117"/>
      <c r="N5289" s="117"/>
      <c r="O5289" s="118"/>
      <c r="P5289" s="117"/>
      <c r="Q5289" s="50"/>
      <c r="R5289" s="914">
        <f>SUMIF($L5013:$L5287,"PAGE",R5013:R5287)</f>
        <v>6120.66</v>
      </c>
      <c r="S5289" s="50"/>
      <c r="T5289" s="914">
        <f>SUMIF($L5013:$L5287,"PAGE",T5013:T5287)</f>
        <v>80.51400000000001</v>
      </c>
    </row>
    <row r="5290" spans="1:37" s="504" customFormat="1" ht="12">
      <c r="A5290" s="50"/>
      <c r="B5290" s="48" t="s">
        <v>816</v>
      </c>
      <c r="C5290" s="50"/>
      <c r="D5290" s="913"/>
      <c r="F5290" s="915" t="s">
        <v>919</v>
      </c>
      <c r="G5290" s="882"/>
      <c r="H5290" s="882"/>
      <c r="I5290" s="503"/>
      <c r="J5290" s="882"/>
      <c r="K5290" s="882"/>
      <c r="L5290" s="50"/>
      <c r="M5290" s="50"/>
      <c r="N5290" s="50"/>
      <c r="O5290" s="51"/>
      <c r="P5290" s="50"/>
      <c r="Q5290" s="50"/>
      <c r="R5290" s="915" t="s">
        <v>920</v>
      </c>
      <c r="S5290" s="38"/>
      <c r="T5290" s="915" t="s">
        <v>921</v>
      </c>
    </row>
    <row r="5291" spans="1:37" s="504" customFormat="1" ht="11.4">
      <c r="O5291" s="893"/>
    </row>
    <row r="5292" spans="1:37" s="504" customFormat="1" ht="12" thickBot="1">
      <c r="A5292" s="887"/>
      <c r="B5292" s="887"/>
      <c r="C5292" s="887"/>
      <c r="D5292" s="887"/>
      <c r="E5292" s="887"/>
      <c r="F5292" s="39"/>
      <c r="G5292" s="514"/>
      <c r="H5292" s="514"/>
      <c r="I5292" s="514"/>
      <c r="J5292" s="514"/>
      <c r="K5292" s="514"/>
      <c r="L5292" s="887"/>
      <c r="M5292" s="887"/>
      <c r="N5292" s="887"/>
      <c r="O5292" s="887"/>
      <c r="P5292" s="887"/>
      <c r="Q5292" s="891"/>
      <c r="R5292" s="39"/>
      <c r="S5292" s="39"/>
      <c r="T5292" s="39"/>
      <c r="U5292" s="514"/>
      <c r="V5292" s="514"/>
      <c r="W5292" s="514"/>
      <c r="X5292" s="514"/>
      <c r="Y5292" s="514"/>
      <c r="Z5292" s="514"/>
      <c r="AA5292" s="514"/>
      <c r="AB5292" s="514"/>
      <c r="AC5292" s="514"/>
      <c r="AD5292" s="514"/>
      <c r="AE5292" s="514"/>
      <c r="AF5292" s="514"/>
      <c r="AG5292" s="514"/>
      <c r="AH5292" s="514"/>
      <c r="AI5292" s="514"/>
      <c r="AJ5292" s="514"/>
      <c r="AK5292" s="514"/>
    </row>
    <row r="5293" spans="1:37" s="504" customFormat="1" thickTop="1">
      <c r="A5293" s="906"/>
      <c r="B5293" s="906"/>
      <c r="C5293" s="907"/>
      <c r="D5293" s="907"/>
      <c r="E5293" s="906"/>
      <c r="F5293" s="906"/>
      <c r="G5293" s="906"/>
      <c r="H5293" s="906"/>
      <c r="I5293" s="906"/>
      <c r="J5293" s="906"/>
      <c r="K5293" s="906" t="s">
        <v>133</v>
      </c>
      <c r="L5293" s="906"/>
      <c r="M5293" s="906"/>
      <c r="N5293" s="906"/>
      <c r="O5293" s="908"/>
      <c r="P5293" s="906"/>
      <c r="Q5293" s="906"/>
      <c r="R5293" s="906"/>
      <c r="S5293" s="906"/>
      <c r="T5293" s="906"/>
    </row>
    <row r="5294" spans="1:37" s="504" customFormat="1" ht="12">
      <c r="A5294" s="906"/>
      <c r="B5294" s="906"/>
      <c r="C5294" s="906" t="s">
        <v>134</v>
      </c>
      <c r="D5294" s="909"/>
      <c r="E5294" s="906"/>
      <c r="F5294" s="906"/>
      <c r="G5294" s="906"/>
      <c r="H5294" s="906"/>
      <c r="I5294" s="906"/>
      <c r="J5294" s="906"/>
      <c r="K5294" s="906"/>
      <c r="L5294" s="906"/>
      <c r="M5294" s="906"/>
      <c r="N5294" s="906"/>
      <c r="O5294" s="908"/>
      <c r="P5294" s="906"/>
      <c r="Q5294" s="906"/>
      <c r="R5294" s="906"/>
      <c r="S5294" s="906"/>
      <c r="T5294" s="906"/>
    </row>
    <row r="5295" spans="1:37" s="504" customFormat="1" ht="12">
      <c r="A5295" s="906"/>
      <c r="B5295" s="906"/>
      <c r="C5295" s="906"/>
      <c r="D5295" s="909" t="s">
        <v>544</v>
      </c>
      <c r="E5295" s="906"/>
      <c r="F5295" s="906"/>
      <c r="G5295" s="906"/>
      <c r="H5295" s="906"/>
      <c r="I5295" s="906"/>
      <c r="J5295" s="906"/>
      <c r="K5295" s="906"/>
      <c r="L5295" s="906"/>
      <c r="M5295" s="906"/>
      <c r="N5295" s="906"/>
      <c r="O5295" s="908"/>
      <c r="P5295" s="906"/>
      <c r="Q5295" s="906"/>
      <c r="R5295" s="906"/>
      <c r="S5295" s="910"/>
      <c r="T5295" s="910"/>
    </row>
    <row r="5296" spans="1:37" s="3" customFormat="1" thickBot="1">
      <c r="A5296" s="911"/>
      <c r="B5296" s="907"/>
      <c r="C5296" s="907"/>
      <c r="D5296" s="907"/>
      <c r="E5296" s="907"/>
      <c r="F5296" s="907"/>
      <c r="G5296" s="907"/>
      <c r="H5296" s="907"/>
      <c r="I5296" s="907"/>
      <c r="J5296" s="907"/>
      <c r="K5296" s="907"/>
      <c r="L5296" s="907"/>
      <c r="M5296" s="907"/>
      <c r="N5296" s="907"/>
      <c r="O5296" s="912"/>
      <c r="P5296" s="907"/>
      <c r="Q5296" s="907"/>
      <c r="R5296" s="907"/>
      <c r="S5296" s="907"/>
      <c r="T5296" s="907"/>
    </row>
    <row r="5297" spans="1:41" s="504" customFormat="1" thickTop="1">
      <c r="A5297" s="50"/>
      <c r="B5297" s="50"/>
      <c r="C5297" s="3"/>
      <c r="D5297" s="3"/>
      <c r="E5297" s="50"/>
      <c r="F5297" s="50"/>
      <c r="G5297" s="50"/>
      <c r="H5297" s="50"/>
      <c r="I5297" s="50"/>
      <c r="J5297" s="50"/>
      <c r="K5297" s="50" t="s">
        <v>133</v>
      </c>
      <c r="L5297" s="50"/>
      <c r="M5297" s="50"/>
      <c r="N5297" s="50"/>
      <c r="O5297" s="51"/>
      <c r="P5297" s="50"/>
      <c r="Q5297" s="50"/>
      <c r="R5297" s="50"/>
      <c r="S5297" s="50"/>
      <c r="T5297" s="50"/>
    </row>
    <row r="5298" spans="1:41" s="504" customFormat="1" ht="12">
      <c r="A5298" s="50"/>
      <c r="B5298" s="50"/>
      <c r="C5298" s="50" t="s">
        <v>134</v>
      </c>
      <c r="D5298" s="37"/>
      <c r="E5298" s="50"/>
      <c r="F5298" s="50"/>
      <c r="G5298" s="50"/>
      <c r="H5298" s="50"/>
      <c r="I5298" s="50"/>
      <c r="J5298" s="50"/>
      <c r="K5298" s="50"/>
      <c r="L5298" s="50"/>
      <c r="M5298" s="50"/>
      <c r="N5298" s="50"/>
      <c r="O5298" s="51"/>
      <c r="P5298" s="50"/>
      <c r="Q5298" s="50"/>
      <c r="R5298" s="50"/>
      <c r="S5298" s="50"/>
      <c r="T5298" s="50"/>
    </row>
    <row r="5299" spans="1:41" s="504" customFormat="1" ht="12">
      <c r="A5299" s="50"/>
      <c r="B5299" s="50"/>
      <c r="C5299" s="50"/>
      <c r="D5299" s="37" t="s">
        <v>544</v>
      </c>
      <c r="E5299" s="50"/>
      <c r="F5299" s="50"/>
      <c r="G5299" s="50"/>
      <c r="H5299" s="50"/>
      <c r="I5299" s="50"/>
      <c r="J5299" s="50"/>
      <c r="K5299" s="50"/>
      <c r="L5299" s="50"/>
      <c r="M5299" s="50"/>
      <c r="N5299" s="50"/>
      <c r="O5299" s="51"/>
      <c r="P5299" s="50"/>
      <c r="Q5299" s="50"/>
      <c r="R5299" s="50"/>
      <c r="S5299" s="38"/>
      <c r="T5299" s="38"/>
    </row>
    <row r="5300" spans="1:41" s="3" customFormat="1" thickBot="1">
      <c r="A5300" s="514"/>
      <c r="O5300" s="103"/>
    </row>
    <row r="5301" spans="1:41" s="504" customFormat="1" thickTop="1">
      <c r="A5301" s="50"/>
      <c r="B5301" s="50"/>
      <c r="C5301" s="3"/>
      <c r="D5301" s="3"/>
      <c r="E5301" s="50"/>
      <c r="F5301" s="50"/>
      <c r="G5301" s="50"/>
      <c r="H5301" s="50"/>
      <c r="I5301" s="50"/>
      <c r="J5301" s="50"/>
      <c r="K5301" s="50" t="s">
        <v>133</v>
      </c>
      <c r="L5301" s="50"/>
      <c r="M5301" s="50"/>
      <c r="N5301" s="50"/>
      <c r="O5301" s="51"/>
      <c r="P5301" s="50"/>
      <c r="Q5301" s="50"/>
      <c r="R5301" s="50"/>
      <c r="S5301" s="50"/>
      <c r="T5301" s="50"/>
    </row>
    <row r="5302" spans="1:41" s="504" customFormat="1" ht="12">
      <c r="A5302" s="50"/>
      <c r="B5302" s="50"/>
      <c r="C5302" s="50" t="s">
        <v>134</v>
      </c>
      <c r="D5302" s="37"/>
      <c r="E5302" s="50"/>
      <c r="F5302" s="50"/>
      <c r="G5302" s="50"/>
      <c r="H5302" s="50"/>
      <c r="I5302" s="50"/>
      <c r="J5302" s="50"/>
      <c r="K5302" s="50"/>
      <c r="L5302" s="50"/>
      <c r="M5302" s="50"/>
      <c r="N5302" s="50"/>
      <c r="O5302" s="51"/>
      <c r="P5302" s="50"/>
      <c r="Q5302" s="50"/>
      <c r="R5302" s="50"/>
      <c r="S5302" s="50"/>
      <c r="T5302" s="50"/>
    </row>
    <row r="5303" spans="1:41" s="504" customFormat="1" ht="12">
      <c r="A5303" s="50"/>
      <c r="B5303" s="50"/>
      <c r="C5303" s="50"/>
      <c r="D5303" s="37" t="s">
        <v>509</v>
      </c>
      <c r="E5303" s="50"/>
      <c r="F5303" s="50"/>
      <c r="G5303" s="50"/>
      <c r="H5303" s="50"/>
      <c r="I5303" s="50"/>
      <c r="J5303" s="50"/>
      <c r="K5303" s="50"/>
      <c r="L5303" s="50"/>
      <c r="M5303" s="50"/>
      <c r="N5303" s="50"/>
      <c r="O5303" s="51"/>
      <c r="P5303" s="50"/>
      <c r="Q5303" s="50"/>
      <c r="R5303" s="50"/>
      <c r="S5303" s="38"/>
      <c r="T5303" s="38"/>
    </row>
    <row r="5304" spans="1:41" s="3" customFormat="1" thickBot="1">
      <c r="A5304" s="514"/>
      <c r="O5304" s="103"/>
    </row>
    <row r="5305" spans="1:41" s="504" customFormat="1" ht="12" thickTop="1">
      <c r="A5305" s="50"/>
      <c r="B5305" s="40"/>
      <c r="C5305" s="50"/>
      <c r="E5305" s="41" t="s">
        <v>136</v>
      </c>
      <c r="F5305" s="41" t="s">
        <v>137</v>
      </c>
      <c r="G5305" s="50"/>
      <c r="H5305" s="50"/>
      <c r="I5305" s="50"/>
      <c r="J5305" s="50"/>
      <c r="K5305" s="50" t="s">
        <v>138</v>
      </c>
      <c r="L5305" s="50"/>
      <c r="M5305" s="50"/>
      <c r="N5305" s="50"/>
      <c r="O5305" s="51"/>
      <c r="P5305" s="50"/>
      <c r="Q5305" s="50"/>
      <c r="R5305" s="50"/>
      <c r="S5305" s="50"/>
      <c r="T5305" s="40"/>
      <c r="AG5305" s="867" t="s">
        <v>241</v>
      </c>
      <c r="AH5305" s="867" t="s">
        <v>242</v>
      </c>
      <c r="AI5305" s="867" t="s">
        <v>243</v>
      </c>
      <c r="AJ5305" s="867" t="s">
        <v>244</v>
      </c>
      <c r="AK5305" s="867" t="s">
        <v>245</v>
      </c>
      <c r="AM5305" s="868" t="s">
        <v>254</v>
      </c>
      <c r="AN5305" s="869" t="s">
        <v>255</v>
      </c>
      <c r="AO5305" s="505" t="s">
        <v>251</v>
      </c>
    </row>
    <row r="5306" spans="1:41" s="504" customFormat="1" ht="12" customHeight="1">
      <c r="A5306" s="870">
        <v>1</v>
      </c>
      <c r="B5306" s="506" t="s">
        <v>272</v>
      </c>
      <c r="C5306" s="872"/>
      <c r="D5306" s="873" t="s">
        <v>803</v>
      </c>
      <c r="E5306" s="1027">
        <f>IF(AND($A5306=0,$A$1="DIF"),0, ROUND(ROUND(($R5310*$S$5+($T5310*$T$5))/$A5306,2)*$C$5,2))</f>
        <v>3424.43</v>
      </c>
      <c r="F5306" s="1028">
        <f>ROUND($A5306*$E5306,2)</f>
        <v>3424.43</v>
      </c>
      <c r="G5306" s="876" t="s">
        <v>139</v>
      </c>
      <c r="H5306" s="877"/>
      <c r="I5306" s="878"/>
      <c r="J5306" s="877"/>
      <c r="K5306" s="877" t="s">
        <v>9</v>
      </c>
      <c r="L5306" s="879" t="s">
        <v>140</v>
      </c>
      <c r="M5306" s="879"/>
      <c r="N5306" s="879"/>
      <c r="O5306" s="879"/>
      <c r="P5306" s="879"/>
      <c r="Q5306" s="50"/>
      <c r="T5306" s="1032" t="str">
        <f>IF(AND($R5310=0,$T5310=0),"0.00","mu: "&amp; ROUND(F5306/$C$5/($R5310+$T5310*$D$9),2))</f>
        <v>mu: 1.07</v>
      </c>
      <c r="W5306" s="507"/>
      <c r="AG5306" s="1029">
        <f>IF($E5306=0,0,ROUND($R5310*$S$5*$C$5/$A5306,2))</f>
        <v>3424.43</v>
      </c>
      <c r="AH5306" s="1029">
        <f>$AG5306*$A5306</f>
        <v>3424.43</v>
      </c>
      <c r="AI5306" s="1030">
        <f>$E5306-$AG5306</f>
        <v>0</v>
      </c>
      <c r="AJ5306" s="1030">
        <f>$A5306*$AI5306</f>
        <v>0</v>
      </c>
      <c r="AK5306" s="1031">
        <f>ROUND(($AG5306+$AI5306)*$A5306,2)</f>
        <v>3424.43</v>
      </c>
      <c r="AM5306" s="510">
        <f>ROUND(R5310,2)</f>
        <v>3185.52</v>
      </c>
      <c r="AN5306" s="511">
        <f>ROUND(T5310,2)</f>
        <v>0</v>
      </c>
      <c r="AO5306" s="512">
        <f>ROUND(AM5306+AN5306,2)*A5306</f>
        <v>3185.52</v>
      </c>
    </row>
    <row r="5307" spans="1:41" s="504" customFormat="1" ht="13.2">
      <c r="A5307" s="872"/>
      <c r="B5307"/>
      <c r="C5307" s="872"/>
      <c r="D5307" s="916" t="s">
        <v>929</v>
      </c>
      <c r="E5307" s="917"/>
      <c r="F5307" s="918"/>
      <c r="G5307" s="919"/>
      <c r="H5307" s="918"/>
      <c r="I5307" s="920"/>
      <c r="J5307" s="918"/>
      <c r="K5307" s="918"/>
      <c r="L5307" s="918"/>
      <c r="M5307" s="918"/>
      <c r="N5307" s="918"/>
      <c r="O5307" s="918"/>
      <c r="P5307" s="918"/>
      <c r="Q5307" s="921"/>
      <c r="R5307" s="513"/>
      <c r="S5307" s="881"/>
      <c r="T5307" s="877"/>
    </row>
    <row r="5308" spans="1:41" s="1039" customFormat="1" ht="31.2">
      <c r="A5308" s="112">
        <v>1</v>
      </c>
      <c r="B5308" s="1039" t="s">
        <v>949</v>
      </c>
      <c r="D5308" s="1047" t="s">
        <v>929</v>
      </c>
      <c r="E5308" s="1047"/>
      <c r="F5308" s="1047"/>
      <c r="G5308" s="1040" t="s">
        <v>1463</v>
      </c>
      <c r="H5308" s="1041">
        <v>751</v>
      </c>
      <c r="I5308" s="1039" t="s">
        <v>951</v>
      </c>
      <c r="O5308" s="1042">
        <v>3</v>
      </c>
      <c r="P5308" s="1043">
        <v>38047</v>
      </c>
      <c r="Q5308" s="1044">
        <v>3185.52</v>
      </c>
      <c r="R5308" s="1045">
        <f>$A5308*Q5308</f>
        <v>3185.52</v>
      </c>
      <c r="S5308" s="1044"/>
      <c r="T5308" s="1046">
        <f>$A5308*S5308*$T$1</f>
        <v>0</v>
      </c>
    </row>
    <row r="5309" spans="1:41" s="504" customFormat="1" ht="12">
      <c r="A5309" s="882"/>
      <c r="B5309" s="882"/>
      <c r="C5309" s="882"/>
      <c r="D5309" s="882"/>
      <c r="E5309" s="882"/>
      <c r="F5309" s="877"/>
      <c r="G5309" s="882"/>
      <c r="H5309" s="882"/>
      <c r="I5309" s="503"/>
      <c r="J5309" s="882"/>
      <c r="K5309" s="882"/>
      <c r="L5309" s="882"/>
      <c r="M5309" s="882"/>
      <c r="N5309" s="882"/>
      <c r="O5309" s="882"/>
      <c r="P5309" s="882"/>
      <c r="Q5309" s="503"/>
      <c r="R5309" s="883">
        <f>$A5309*Q5309</f>
        <v>0</v>
      </c>
      <c r="S5309" s="503"/>
      <c r="T5309" s="884">
        <f>$A5309*S5309*$T$1</f>
        <v>0</v>
      </c>
    </row>
    <row r="5310" spans="1:41" s="504" customFormat="1" ht="12.6" thickBot="1">
      <c r="A5310" s="885" t="s">
        <v>142</v>
      </c>
      <c r="B5310" s="886">
        <f>(R5309+T5309)</f>
        <v>0</v>
      </c>
      <c r="C5310" s="887"/>
      <c r="D5310" s="887"/>
      <c r="E5310" s="887"/>
      <c r="F5310" s="888"/>
      <c r="G5310" s="887" t="s">
        <v>143</v>
      </c>
      <c r="H5310" s="887"/>
      <c r="I5310" s="889"/>
      <c r="J5310" s="887"/>
      <c r="K5310" s="887" t="s">
        <v>9</v>
      </c>
      <c r="L5310" s="890" t="s">
        <v>140</v>
      </c>
      <c r="M5310" s="890"/>
      <c r="N5310" s="890"/>
      <c r="O5310" s="890"/>
      <c r="P5310" s="890"/>
      <c r="Q5310" s="891"/>
      <c r="R5310" s="892">
        <f>SUM(R5307:R5309)</f>
        <v>3185.52</v>
      </c>
      <c r="S5310" s="887"/>
      <c r="T5310" s="892">
        <f>SUM(T5307:T5309)</f>
        <v>0</v>
      </c>
      <c r="U5310" s="514"/>
      <c r="V5310" s="514"/>
      <c r="W5310" s="514"/>
      <c r="X5310" s="514"/>
      <c r="Y5310" s="514"/>
      <c r="Z5310" s="514"/>
      <c r="AA5310" s="514"/>
      <c r="AB5310" s="514"/>
      <c r="AC5310" s="514"/>
      <c r="AD5310" s="514"/>
      <c r="AE5310" s="514"/>
      <c r="AF5310" s="514"/>
      <c r="AG5310" s="514"/>
      <c r="AH5310" s="514"/>
      <c r="AI5310" s="514"/>
      <c r="AJ5310" s="514"/>
      <c r="AK5310" s="514"/>
      <c r="AL5310" s="514"/>
      <c r="AM5310" s="514"/>
      <c r="AN5310" s="514"/>
      <c r="AO5310" s="514"/>
    </row>
    <row r="5311" spans="1:41" s="504" customFormat="1" thickTop="1">
      <c r="A5311" s="50"/>
      <c r="B5311" s="40"/>
      <c r="C5311" s="50"/>
      <c r="E5311" s="41" t="s">
        <v>136</v>
      </c>
      <c r="F5311" s="41" t="s">
        <v>137</v>
      </c>
      <c r="G5311" s="50"/>
      <c r="H5311" s="50"/>
      <c r="I5311" s="50"/>
      <c r="J5311" s="50"/>
      <c r="K5311" s="50" t="s">
        <v>138</v>
      </c>
      <c r="L5311" s="1219"/>
      <c r="M5311" s="50"/>
      <c r="N5311" s="50"/>
      <c r="O5311" s="51"/>
      <c r="P5311" s="50"/>
      <c r="Q5311"/>
      <c r="R5311"/>
      <c r="S5311"/>
      <c r="T5311" s="40"/>
      <c r="AG5311" s="867" t="s">
        <v>241</v>
      </c>
      <c r="AH5311" s="867" t="s">
        <v>242</v>
      </c>
      <c r="AI5311" s="867" t="s">
        <v>243</v>
      </c>
      <c r="AJ5311" s="867" t="s">
        <v>244</v>
      </c>
      <c r="AK5311" s="867" t="s">
        <v>245</v>
      </c>
      <c r="AM5311" s="868" t="s">
        <v>254</v>
      </c>
      <c r="AN5311" s="869" t="s">
        <v>255</v>
      </c>
      <c r="AO5311" s="505" t="s">
        <v>251</v>
      </c>
    </row>
    <row r="5312" spans="1:41" s="504" customFormat="1" ht="13.2">
      <c r="A5312" s="870">
        <v>7</v>
      </c>
      <c r="B5312" s="506" t="s">
        <v>335</v>
      </c>
      <c r="C5312" s="872"/>
      <c r="D5312" s="873" t="s">
        <v>814</v>
      </c>
      <c r="E5312" s="1220">
        <f>IF(AND($A5312=0,$A$1="DIF"),0, ROUND(ROUND(SUMIF($L5314:$L5320,"SUBI",$E5314:$E5320)/$A5312,2)*$C$12,2))</f>
        <v>335.79</v>
      </c>
      <c r="F5312" s="1221">
        <f>ROUND($A5312*$E5312,2)</f>
        <v>2350.5300000000002</v>
      </c>
      <c r="G5312" s="876" t="s">
        <v>139</v>
      </c>
      <c r="H5312" s="877"/>
      <c r="I5312" s="878"/>
      <c r="J5312" s="877"/>
      <c r="K5312" s="1222"/>
      <c r="L5312" s="1223" t="s">
        <v>140</v>
      </c>
      <c r="M5312" s="879"/>
      <c r="N5312" s="879"/>
      <c r="O5312" s="879"/>
      <c r="P5312" s="879"/>
      <c r="Q5312"/>
      <c r="R5312"/>
      <c r="S5312"/>
      <c r="T5312" s="1224" t="str">
        <f>IF(AND($R5326=0,$T5326=0),"0.00","mu :" &amp; ROUND($F5312/$C$12/($R5326+$T5326*$D$9),2))</f>
        <v>mu :1.09</v>
      </c>
      <c r="W5312" s="507"/>
      <c r="AG5312" s="1225">
        <f>IF(A5312=0,0,ROUND(SUM(AG5314:AG5326)/A5312,2))</f>
        <v>306.98</v>
      </c>
      <c r="AH5312" s="1225">
        <f>$AG5312*$A5312</f>
        <v>2148.86</v>
      </c>
      <c r="AI5312" s="1225">
        <f>$E5312-$AG5312</f>
        <v>28.810000000000002</v>
      </c>
      <c r="AJ5312" s="1225">
        <f>$A5312*$AI5312</f>
        <v>201.67000000000002</v>
      </c>
      <c r="AK5312" s="1226">
        <f>ROUND(($AG5312+$AI5312)*$A5312,2)</f>
        <v>2350.5300000000002</v>
      </c>
      <c r="AM5312" s="510">
        <f>ROUND(R5326,2)</f>
        <v>1995.14</v>
      </c>
      <c r="AN5312" s="511">
        <f>ROUND(T5326,2)</f>
        <v>5.73</v>
      </c>
      <c r="AO5312" s="512">
        <f>ROUND(AM5312+AN5312,2)*A5312</f>
        <v>14006.09</v>
      </c>
    </row>
    <row r="5313" spans="1:41" s="504" customFormat="1" ht="13.2">
      <c r="A5313" s="872"/>
      <c r="B5313"/>
      <c r="C5313" s="872"/>
      <c r="D5313" s="873" t="s">
        <v>546</v>
      </c>
      <c r="F5313" s="877"/>
      <c r="G5313" s="877"/>
      <c r="H5313" s="877"/>
      <c r="I5313" s="878"/>
      <c r="J5313" s="877"/>
      <c r="K5313" s="877" t="s">
        <v>141</v>
      </c>
      <c r="L5313" s="1227"/>
      <c r="M5313" s="877"/>
      <c r="N5313" s="877"/>
      <c r="O5313" s="877"/>
      <c r="P5313" s="877"/>
      <c r="Q5313" s="50"/>
      <c r="R5313" s="513"/>
      <c r="S5313" s="881"/>
      <c r="T5313" s="877"/>
    </row>
    <row r="5314" spans="1:41" s="504" customFormat="1" ht="12">
      <c r="A5314" s="1228"/>
      <c r="B5314" s="1229"/>
      <c r="C5314" s="882"/>
      <c r="D5314" s="877"/>
      <c r="E5314" s="1230">
        <f>F5312/$C$12-SUMIF($L5311:$L5326,"SUBI",$E5311:$E5326)</f>
        <v>0</v>
      </c>
      <c r="F5314" s="1231" t="s">
        <v>1472</v>
      </c>
      <c r="G5314" s="1232"/>
      <c r="H5314" s="1232"/>
      <c r="I5314" s="1233"/>
      <c r="J5314" s="1232"/>
      <c r="K5314" s="1232"/>
      <c r="L5314" s="1234"/>
      <c r="M5314" s="1235"/>
      <c r="N5314" s="1235"/>
      <c r="O5314" s="1235"/>
      <c r="P5314" s="1235"/>
      <c r="Q5314" s="1236"/>
      <c r="R5314" s="1237"/>
      <c r="S5314" s="1236"/>
      <c r="T5314" s="1238"/>
    </row>
    <row r="5315" spans="1:41" s="504" customFormat="1" ht="12" customHeight="1">
      <c r="A5315" s="1239"/>
      <c r="B5315" s="1285"/>
      <c r="C5315" s="1286"/>
      <c r="D5315" s="1286" t="str">
        <f>$F$5</f>
        <v>ELV Sub-Contractor - APCO</v>
      </c>
      <c r="E5315" s="1286">
        <f>ROUND(($R5319*$S$5 + ($T5319*$T$5)),2)</f>
        <v>2114.5300000000002</v>
      </c>
      <c r="F5315" s="1287">
        <f>$E5315*$C$12</f>
        <v>2114.5300000000002</v>
      </c>
      <c r="G5315" s="513"/>
      <c r="H5315" s="1241"/>
      <c r="I5315" s="513"/>
      <c r="J5315" s="51"/>
      <c r="K5315" s="1242" t="s">
        <v>9</v>
      </c>
      <c r="L5315" s="1243" t="s">
        <v>1473</v>
      </c>
      <c r="M5315" s="513"/>
      <c r="N5315" s="513"/>
      <c r="O5315" s="51"/>
      <c r="P5315" s="513"/>
      <c r="Q5315" s="513"/>
      <c r="R5315"/>
      <c r="S5315"/>
      <c r="T5315"/>
    </row>
    <row r="5316" spans="1:41" s="504" customFormat="1" ht="13.95" customHeight="1">
      <c r="A5316" s="930"/>
      <c r="B5316" s="1244" t="s">
        <v>1474</v>
      </c>
      <c r="C5316" s="513"/>
      <c r="D5316" s="513"/>
      <c r="E5316" s="513"/>
      <c r="F5316" s="513"/>
      <c r="G5316" s="513"/>
      <c r="H5316" s="1241"/>
      <c r="I5316" s="513"/>
      <c r="J5316" s="51"/>
      <c r="K5316" s="1245"/>
      <c r="L5316" s="1246"/>
      <c r="M5316" s="513"/>
      <c r="N5316" s="513"/>
      <c r="O5316" s="51"/>
      <c r="P5316" s="513"/>
      <c r="Q5316" s="513"/>
      <c r="R5316" s="1247">
        <f>$A5316*Q5316</f>
        <v>0</v>
      </c>
      <c r="S5316" s="513"/>
      <c r="T5316" s="884">
        <f>$A5316*S5316*$T$1</f>
        <v>0</v>
      </c>
    </row>
    <row r="5317" spans="1:41" s="1039" customFormat="1" ht="13.2">
      <c r="A5317" s="112">
        <v>7</v>
      </c>
      <c r="B5317" s="1039" t="s">
        <v>949</v>
      </c>
      <c r="D5317" s="882" t="s">
        <v>546</v>
      </c>
      <c r="E5317" s="1047"/>
      <c r="F5317" s="1047"/>
      <c r="G5317" s="1040" t="s">
        <v>1463</v>
      </c>
      <c r="H5317" s="1041">
        <v>751</v>
      </c>
      <c r="I5317" s="1039" t="s">
        <v>951</v>
      </c>
      <c r="O5317" s="1042">
        <v>3</v>
      </c>
      <c r="P5317" s="1043">
        <v>38047</v>
      </c>
      <c r="Q5317" s="1044">
        <v>281</v>
      </c>
      <c r="R5317" s="1045">
        <f>$A5317*Q5317</f>
        <v>1967</v>
      </c>
      <c r="S5317" s="1044"/>
      <c r="T5317" s="1046">
        <f>$A5317*S5317*$T$1</f>
        <v>0</v>
      </c>
    </row>
    <row r="5318" spans="1:41" s="504" customFormat="1" ht="13.95" customHeight="1">
      <c r="A5318" s="930"/>
      <c r="B5318" s="513"/>
      <c r="C5318" s="513"/>
      <c r="D5318" s="513"/>
      <c r="E5318" s="513"/>
      <c r="F5318" s="513"/>
      <c r="G5318" s="513"/>
      <c r="H5318" s="1241"/>
      <c r="I5318" s="513"/>
      <c r="J5318" s="51"/>
      <c r="K5318" s="1245"/>
      <c r="L5318" s="1246"/>
      <c r="M5318" s="513"/>
      <c r="N5318" s="513"/>
      <c r="O5318" s="51"/>
      <c r="P5318" s="513"/>
      <c r="Q5318" s="513"/>
      <c r="R5318" s="1247">
        <f>$A5318*Q5318</f>
        <v>0</v>
      </c>
      <c r="S5318" s="513"/>
      <c r="T5318" s="884">
        <f>$A5318*S5318*$T$1</f>
        <v>0</v>
      </c>
    </row>
    <row r="5319" spans="1:41" s="504" customFormat="1" ht="12">
      <c r="A5319" s="1248" t="s">
        <v>142</v>
      </c>
      <c r="B5319" s="1249">
        <f>(R5318+T5318)</f>
        <v>0</v>
      </c>
      <c r="C5319" s="882"/>
      <c r="G5319" s="1250"/>
      <c r="H5319" s="1250"/>
      <c r="I5319" s="1250"/>
      <c r="J5319" s="1250"/>
      <c r="K5319" s="1251" t="s">
        <v>9</v>
      </c>
      <c r="L5319" s="1252" t="s">
        <v>1473</v>
      </c>
      <c r="M5319" s="1250"/>
      <c r="N5319" s="1250"/>
      <c r="O5319" s="1250"/>
      <c r="P5319" s="1250"/>
      <c r="Q5319" s="1253"/>
      <c r="R5319" s="1254">
        <f>SUM(R5315:R5318)</f>
        <v>1967</v>
      </c>
      <c r="S5319" s="1255"/>
      <c r="T5319" s="1254">
        <f>SUM(T5315:T5318)</f>
        <v>0</v>
      </c>
      <c r="AG5319" s="1288">
        <f>ROUND($R5319*$S$5,2)</f>
        <v>2114.5300000000002</v>
      </c>
    </row>
    <row r="5320" spans="1:41" s="504" customFormat="1" ht="12" customHeight="1">
      <c r="A5320" s="1257"/>
      <c r="B5320" s="1289"/>
      <c r="C5320" s="1240"/>
      <c r="D5320" s="1240" t="str">
        <f>$F$2</f>
        <v>Electrical</v>
      </c>
      <c r="E5320" s="1240">
        <f>ROUND(($R5324*$S$2 + ($T5324*$T$2)),2)</f>
        <v>236</v>
      </c>
      <c r="F5320" s="1290">
        <f ca="1">$F5312-SUMIF($L5314:$P5317,"SUBI",$F5314:$F5317)</f>
        <v>236</v>
      </c>
      <c r="G5320" s="503"/>
      <c r="H5320" s="503"/>
      <c r="I5320" s="503"/>
      <c r="J5320" s="503"/>
      <c r="K5320" s="1242" t="s">
        <v>3</v>
      </c>
      <c r="L5320" s="1243" t="s">
        <v>1473</v>
      </c>
      <c r="M5320" s="503"/>
      <c r="N5320" s="503"/>
      <c r="O5320" s="503"/>
      <c r="P5320" s="503"/>
      <c r="Q5320" s="503"/>
      <c r="R5320" s="1258"/>
      <c r="S5320" s="503"/>
      <c r="T5320" s="1258"/>
    </row>
    <row r="5321" spans="1:41" s="1271" customFormat="1" ht="14.4" customHeight="1">
      <c r="A5321" s="1259"/>
      <c r="B5321" s="1244" t="s">
        <v>1475</v>
      </c>
      <c r="C5321" s="1260"/>
      <c r="D5321" s="1261"/>
      <c r="E5321" s="1261"/>
      <c r="F5321" s="1261"/>
      <c r="G5321" s="1262"/>
      <c r="H5321" s="1263"/>
      <c r="I5321" s="1263"/>
      <c r="J5321" s="1264"/>
      <c r="K5321" s="1265"/>
      <c r="L5321" s="1260"/>
      <c r="M5321" s="1266"/>
      <c r="N5321" s="1267"/>
      <c r="O5321" s="1268"/>
      <c r="P5321" s="1269"/>
      <c r="Q5321" s="1270"/>
      <c r="R5321" s="1247">
        <f>$A5321*Q5321</f>
        <v>0</v>
      </c>
      <c r="S5321" s="513"/>
      <c r="T5321" s="884">
        <f>$A5321*S5321*$T$1</f>
        <v>0</v>
      </c>
    </row>
    <row r="5322" spans="1:41" s="1039" customFormat="1" ht="13.2">
      <c r="A5322" s="112">
        <f>7*6</f>
        <v>42</v>
      </c>
      <c r="B5322" s="1039" t="s">
        <v>326</v>
      </c>
      <c r="D5322" s="1039" t="s">
        <v>1223</v>
      </c>
      <c r="G5322" s="1040" t="s">
        <v>1131</v>
      </c>
      <c r="H5322" s="1041">
        <v>700</v>
      </c>
      <c r="I5322" s="1039" t="s">
        <v>1132</v>
      </c>
      <c r="J5322" s="1039" t="s">
        <v>1133</v>
      </c>
      <c r="O5322" s="1042">
        <v>1</v>
      </c>
      <c r="P5322" s="1043">
        <v>42213</v>
      </c>
      <c r="Q5322" s="1044">
        <v>0.67</v>
      </c>
      <c r="R5322" s="1045">
        <f>$A5322*Q5322</f>
        <v>28.14</v>
      </c>
      <c r="S5322" s="1044">
        <v>0.13</v>
      </c>
      <c r="T5322" s="1046">
        <f>$A5322*S5322*$T$1</f>
        <v>5.7330000000000005</v>
      </c>
    </row>
    <row r="5323" spans="1:41" s="504" customFormat="1" ht="13.2">
      <c r="A5323" s="930"/>
      <c r="B5323" s="513"/>
      <c r="C5323" s="513"/>
      <c r="D5323" s="3"/>
      <c r="E5323" s="513"/>
      <c r="F5323" s="513"/>
      <c r="G5323" s="513"/>
      <c r="H5323" s="513"/>
      <c r="I5323" s="513"/>
      <c r="J5323" s="513"/>
      <c r="K5323" s="513"/>
      <c r="L5323" s="1246"/>
      <c r="M5323" s="513"/>
      <c r="N5323" s="513"/>
      <c r="O5323" s="513"/>
      <c r="P5323" s="513"/>
      <c r="Q5323" s="513"/>
      <c r="R5323" s="1247">
        <f>$A5323*Q5323</f>
        <v>0</v>
      </c>
      <c r="S5323" s="513"/>
      <c r="T5323" s="884">
        <f>$A5323*S5323*$T$1</f>
        <v>0</v>
      </c>
    </row>
    <row r="5324" spans="1:41" s="504" customFormat="1" ht="12" customHeight="1">
      <c r="A5324" s="1272" t="s">
        <v>142</v>
      </c>
      <c r="B5324" s="1273">
        <f>(R5323+T5323)</f>
        <v>0</v>
      </c>
      <c r="C5324" s="1274"/>
      <c r="D5324" s="1274"/>
      <c r="E5324" s="1274"/>
      <c r="F5324" s="1274"/>
      <c r="G5324" s="1253"/>
      <c r="H5324" s="1253"/>
      <c r="I5324" s="1253"/>
      <c r="J5324" s="1253"/>
      <c r="K5324" s="1275" t="s">
        <v>3</v>
      </c>
      <c r="L5324" s="1276" t="s">
        <v>1473</v>
      </c>
      <c r="M5324" s="1253"/>
      <c r="N5324" s="1253"/>
      <c r="O5324" s="1253"/>
      <c r="P5324" s="1253"/>
      <c r="Q5324" s="1253"/>
      <c r="R5324" s="1254">
        <f>SUM(R5320:R5323)</f>
        <v>28.14</v>
      </c>
      <c r="S5324" s="1255"/>
      <c r="T5324" s="1254">
        <f>SUM(T5320:T5323)</f>
        <v>5.7330000000000005</v>
      </c>
      <c r="AG5324" s="1256">
        <f>ROUND($R5324*$S$2,2)</f>
        <v>34.33</v>
      </c>
    </row>
    <row r="5325" spans="1:41" s="504" customFormat="1" ht="12.75" customHeight="1">
      <c r="A5325" s="1277"/>
      <c r="B5325" s="1278"/>
      <c r="E5325" s="882"/>
      <c r="F5325" s="1279"/>
      <c r="G5325" s="882"/>
      <c r="H5325" s="882"/>
      <c r="I5325" s="503"/>
      <c r="J5325" s="882"/>
      <c r="K5325" s="882"/>
      <c r="L5325" s="1280"/>
      <c r="M5325" s="933"/>
      <c r="N5325" s="933"/>
      <c r="O5325" s="933"/>
      <c r="P5325" s="933"/>
      <c r="Q5325" s="900"/>
      <c r="R5325" s="1258"/>
      <c r="S5325" s="882"/>
      <c r="T5325" s="1258"/>
    </row>
    <row r="5326" spans="1:41" s="504" customFormat="1" ht="13.5" customHeight="1" thickBot="1">
      <c r="A5326" s="1281"/>
      <c r="B5326" s="1282"/>
      <c r="C5326" s="514"/>
      <c r="D5326" s="514"/>
      <c r="E5326" s="887"/>
      <c r="F5326" s="888"/>
      <c r="G5326" s="887" t="s">
        <v>143</v>
      </c>
      <c r="H5326" s="887"/>
      <c r="I5326" s="889"/>
      <c r="J5326" s="887"/>
      <c r="K5326" s="887"/>
      <c r="L5326" s="1283" t="s">
        <v>140</v>
      </c>
      <c r="M5326" s="890"/>
      <c r="N5326" s="890"/>
      <c r="O5326" s="890"/>
      <c r="P5326" s="890"/>
      <c r="Q5326" s="891"/>
      <c r="R5326" s="1284">
        <f>SUMIF($L5313:$L5325,"SUBI",R5313:R5325)</f>
        <v>1995.14</v>
      </c>
      <c r="S5326" s="887"/>
      <c r="T5326" s="1284">
        <f>SUMIF($L5313:$L5325,"SUBI",T5313:T5325)</f>
        <v>5.7330000000000005</v>
      </c>
      <c r="U5326" s="514"/>
      <c r="V5326" s="514"/>
      <c r="W5326" s="514"/>
      <c r="X5326" s="514"/>
      <c r="Y5326" s="514"/>
      <c r="Z5326" s="514"/>
      <c r="AA5326" s="514"/>
      <c r="AB5326" s="514"/>
      <c r="AC5326" s="514"/>
      <c r="AD5326" s="514"/>
      <c r="AE5326" s="514"/>
      <c r="AF5326" s="514"/>
      <c r="AG5326" s="514"/>
      <c r="AH5326" s="514"/>
      <c r="AI5326" s="514"/>
      <c r="AJ5326" s="514"/>
      <c r="AK5326" s="514"/>
      <c r="AL5326" s="514"/>
      <c r="AM5326" s="514"/>
      <c r="AN5326" s="514"/>
      <c r="AO5326" s="514"/>
    </row>
    <row r="5327" spans="1:41" s="504" customFormat="1" thickTop="1">
      <c r="A5327" s="50"/>
      <c r="B5327" s="40"/>
      <c r="C5327" s="50"/>
      <c r="E5327" s="41" t="s">
        <v>136</v>
      </c>
      <c r="F5327" s="41" t="s">
        <v>137</v>
      </c>
      <c r="G5327" s="50"/>
      <c r="H5327" s="50"/>
      <c r="I5327" s="50"/>
      <c r="J5327" s="50"/>
      <c r="K5327" s="50" t="s">
        <v>138</v>
      </c>
      <c r="L5327" s="1219"/>
      <c r="M5327" s="50"/>
      <c r="N5327" s="50"/>
      <c r="O5327" s="51"/>
      <c r="P5327" s="50"/>
      <c r="Q5327"/>
      <c r="R5327"/>
      <c r="S5327"/>
      <c r="T5327" s="40"/>
      <c r="AG5327" s="867" t="s">
        <v>241</v>
      </c>
      <c r="AH5327" s="867" t="s">
        <v>242</v>
      </c>
      <c r="AI5327" s="867" t="s">
        <v>243</v>
      </c>
      <c r="AJ5327" s="867" t="s">
        <v>244</v>
      </c>
      <c r="AK5327" s="867" t="s">
        <v>245</v>
      </c>
      <c r="AM5327" s="868" t="s">
        <v>254</v>
      </c>
      <c r="AN5327" s="869" t="s">
        <v>255</v>
      </c>
      <c r="AO5327" s="505" t="s">
        <v>251</v>
      </c>
    </row>
    <row r="5328" spans="1:41" s="504" customFormat="1" ht="13.2">
      <c r="A5328" s="870">
        <v>7</v>
      </c>
      <c r="B5328" s="506" t="s">
        <v>335</v>
      </c>
      <c r="C5328" s="872"/>
      <c r="D5328" s="873" t="s">
        <v>818</v>
      </c>
      <c r="E5328" s="1220">
        <f>IF(AND($A5328=0,$A$1="DIF"),0, ROUND(ROUND(SUMIF($L5330:$L5336,"SUBI",$E5330:$E5336)/$A5328,2)*$C$12,2))</f>
        <v>151.88</v>
      </c>
      <c r="F5328" s="1221">
        <f>ROUND($A5328*$E5328,2)</f>
        <v>1063.1600000000001</v>
      </c>
      <c r="G5328" s="876" t="s">
        <v>139</v>
      </c>
      <c r="H5328" s="877"/>
      <c r="I5328" s="878"/>
      <c r="J5328" s="877"/>
      <c r="K5328" s="1222"/>
      <c r="L5328" s="1223" t="s">
        <v>140</v>
      </c>
      <c r="M5328" s="879"/>
      <c r="N5328" s="879"/>
      <c r="O5328" s="879"/>
      <c r="P5328" s="879"/>
      <c r="Q5328"/>
      <c r="R5328"/>
      <c r="S5328"/>
      <c r="T5328" s="1224" t="str">
        <f>IF(AND($R5342=0,$T5342=0),"0.00","mu :" &amp; ROUND($F5328/$C$12/($R5342+$T5342*$D$9),2))</f>
        <v>mu :1.09</v>
      </c>
      <c r="W5328" s="507"/>
      <c r="AG5328" s="1225">
        <f>IF(A5328=0,0,ROUND(SUM(AG5330:AG5342)/A5328,2))</f>
        <v>137.47</v>
      </c>
      <c r="AH5328" s="1225">
        <f>$AG5328*$A5328</f>
        <v>962.29</v>
      </c>
      <c r="AI5328" s="1225">
        <f>$E5328-$AG5328</f>
        <v>14.409999999999997</v>
      </c>
      <c r="AJ5328" s="1225">
        <f>$A5328*$AI5328</f>
        <v>100.86999999999998</v>
      </c>
      <c r="AK5328" s="1226">
        <f>ROUND(($AG5328+$AI5328)*$A5328,2)</f>
        <v>1063.1600000000001</v>
      </c>
      <c r="AM5328" s="510">
        <f>ROUND(R5342,2)</f>
        <v>893.27</v>
      </c>
      <c r="AN5328" s="511">
        <f>ROUND(T5342,2)</f>
        <v>2.87</v>
      </c>
      <c r="AO5328" s="512">
        <f>ROUND(AM5328+AN5328,2)*A5328</f>
        <v>6272.98</v>
      </c>
    </row>
    <row r="5329" spans="1:41" s="504" customFormat="1" ht="13.2">
      <c r="A5329" s="872"/>
      <c r="B5329"/>
      <c r="C5329" s="872"/>
      <c r="D5329" s="873" t="s">
        <v>547</v>
      </c>
      <c r="F5329" s="877"/>
      <c r="G5329" s="877"/>
      <c r="H5329" s="877"/>
      <c r="I5329" s="878"/>
      <c r="J5329" s="877"/>
      <c r="K5329" s="877" t="s">
        <v>141</v>
      </c>
      <c r="L5329" s="1227"/>
      <c r="M5329" s="877"/>
      <c r="N5329" s="877"/>
      <c r="O5329" s="877"/>
      <c r="P5329" s="877"/>
      <c r="Q5329" s="50"/>
      <c r="R5329" s="513"/>
      <c r="S5329" s="881"/>
      <c r="T5329" s="877"/>
    </row>
    <row r="5330" spans="1:41" s="504" customFormat="1" ht="12">
      <c r="A5330" s="1228"/>
      <c r="B5330" s="1229"/>
      <c r="C5330" s="882"/>
      <c r="D5330" s="877"/>
      <c r="E5330" s="1230">
        <f>F5328/$C$12-SUMIF($L5327:$L5342,"SUBI",$E5327:$E5342)</f>
        <v>2.0000000000209184E-2</v>
      </c>
      <c r="F5330" s="1231" t="s">
        <v>1472</v>
      </c>
      <c r="G5330" s="1232"/>
      <c r="H5330" s="1232"/>
      <c r="I5330" s="1233"/>
      <c r="J5330" s="1232"/>
      <c r="K5330" s="1232"/>
      <c r="L5330" s="1234"/>
      <c r="M5330" s="1235"/>
      <c r="N5330" s="1235"/>
      <c r="O5330" s="1235"/>
      <c r="P5330" s="1235"/>
      <c r="Q5330" s="1236"/>
      <c r="R5330" s="1237"/>
      <c r="S5330" s="1236"/>
      <c r="T5330" s="1238"/>
    </row>
    <row r="5331" spans="1:41" s="504" customFormat="1" ht="12" customHeight="1">
      <c r="A5331" s="1239"/>
      <c r="B5331" s="1285"/>
      <c r="C5331" s="1286"/>
      <c r="D5331" s="1286" t="str">
        <f>$F$5</f>
        <v>ELV Sub-Contractor - APCO</v>
      </c>
      <c r="E5331" s="1286">
        <f>ROUND(($R5335*$S$5 + ($T5335*$T$5)),2)</f>
        <v>945.14</v>
      </c>
      <c r="F5331" s="1287">
        <f>$E5331*$C$12</f>
        <v>945.14</v>
      </c>
      <c r="G5331" s="513"/>
      <c r="H5331" s="1241"/>
      <c r="I5331" s="513"/>
      <c r="J5331" s="51"/>
      <c r="K5331" s="1242" t="s">
        <v>9</v>
      </c>
      <c r="L5331" s="1243" t="s">
        <v>1473</v>
      </c>
      <c r="M5331" s="513"/>
      <c r="N5331" s="513"/>
      <c r="O5331" s="51"/>
      <c r="P5331" s="513"/>
      <c r="Q5331" s="513"/>
      <c r="R5331"/>
      <c r="S5331"/>
      <c r="T5331"/>
    </row>
    <row r="5332" spans="1:41" s="504" customFormat="1" ht="13.95" customHeight="1">
      <c r="A5332" s="930"/>
      <c r="B5332" s="1244" t="s">
        <v>1474</v>
      </c>
      <c r="C5332" s="513"/>
      <c r="D5332" s="513"/>
      <c r="E5332" s="513"/>
      <c r="F5332" s="513"/>
      <c r="G5332" s="513"/>
      <c r="H5332" s="1241"/>
      <c r="I5332" s="513"/>
      <c r="J5332" s="51"/>
      <c r="K5332" s="1245"/>
      <c r="L5332" s="1246"/>
      <c r="M5332" s="513"/>
      <c r="N5332" s="513"/>
      <c r="O5332" s="51"/>
      <c r="P5332" s="513"/>
      <c r="Q5332" s="513"/>
      <c r="R5332" s="1247">
        <f>$A5332*Q5332</f>
        <v>0</v>
      </c>
      <c r="S5332" s="513"/>
      <c r="T5332" s="884">
        <f>$A5332*S5332*$T$1</f>
        <v>0</v>
      </c>
    </row>
    <row r="5333" spans="1:41" s="1039" customFormat="1" ht="13.2">
      <c r="A5333" s="112">
        <v>7</v>
      </c>
      <c r="B5333" s="1039" t="s">
        <v>949</v>
      </c>
      <c r="D5333" s="882" t="s">
        <v>547</v>
      </c>
      <c r="E5333" s="1047"/>
      <c r="F5333" s="1047"/>
      <c r="G5333" s="1040" t="s">
        <v>1463</v>
      </c>
      <c r="H5333" s="1041">
        <v>751</v>
      </c>
      <c r="I5333" s="1039" t="s">
        <v>951</v>
      </c>
      <c r="O5333" s="1042">
        <v>3</v>
      </c>
      <c r="P5333" s="1043">
        <v>38047</v>
      </c>
      <c r="Q5333" s="1044">
        <v>125.6</v>
      </c>
      <c r="R5333" s="1045">
        <f>$A5333*Q5333</f>
        <v>879.19999999999993</v>
      </c>
      <c r="S5333" s="1044"/>
      <c r="T5333" s="1046">
        <f>$A5333*S5333*$T$1</f>
        <v>0</v>
      </c>
    </row>
    <row r="5334" spans="1:41" s="504" customFormat="1" ht="13.95" customHeight="1">
      <c r="A5334" s="930"/>
      <c r="B5334" s="513"/>
      <c r="C5334" s="513"/>
      <c r="D5334" s="513"/>
      <c r="E5334" s="513"/>
      <c r="F5334" s="513"/>
      <c r="G5334" s="513"/>
      <c r="H5334" s="1241"/>
      <c r="I5334" s="513"/>
      <c r="J5334" s="51"/>
      <c r="K5334" s="1245"/>
      <c r="L5334" s="1246"/>
      <c r="M5334" s="513"/>
      <c r="N5334" s="513"/>
      <c r="O5334" s="51"/>
      <c r="P5334" s="513"/>
      <c r="Q5334" s="513"/>
      <c r="R5334" s="1247">
        <f>$A5334*Q5334</f>
        <v>0</v>
      </c>
      <c r="S5334" s="513"/>
      <c r="T5334" s="884">
        <f>$A5334*S5334*$T$1</f>
        <v>0</v>
      </c>
    </row>
    <row r="5335" spans="1:41" s="504" customFormat="1" ht="12">
      <c r="A5335" s="1248" t="s">
        <v>142</v>
      </c>
      <c r="B5335" s="1249">
        <f>(R5334+T5334)</f>
        <v>0</v>
      </c>
      <c r="C5335" s="882"/>
      <c r="G5335" s="1250"/>
      <c r="H5335" s="1250"/>
      <c r="I5335" s="1250"/>
      <c r="J5335" s="1250"/>
      <c r="K5335" s="1251" t="s">
        <v>9</v>
      </c>
      <c r="L5335" s="1252" t="s">
        <v>1473</v>
      </c>
      <c r="M5335" s="1250"/>
      <c r="N5335" s="1250"/>
      <c r="O5335" s="1250"/>
      <c r="P5335" s="1250"/>
      <c r="Q5335" s="1253"/>
      <c r="R5335" s="1254">
        <f>SUM(R5331:R5334)</f>
        <v>879.19999999999993</v>
      </c>
      <c r="S5335" s="1255"/>
      <c r="T5335" s="1254">
        <f>SUM(T5331:T5334)</f>
        <v>0</v>
      </c>
      <c r="AG5335" s="1288">
        <f>ROUND($R5335*$S$5,2)</f>
        <v>945.14</v>
      </c>
    </row>
    <row r="5336" spans="1:41" s="504" customFormat="1" ht="12" customHeight="1">
      <c r="A5336" s="1257"/>
      <c r="B5336" s="1289"/>
      <c r="C5336" s="1240"/>
      <c r="D5336" s="1240" t="str">
        <f>$F$2</f>
        <v>Electrical</v>
      </c>
      <c r="E5336" s="1240">
        <f>ROUND(($R5340*$S$2 + ($T5340*$T$2)),2)</f>
        <v>118</v>
      </c>
      <c r="F5336" s="1290">
        <f ca="1">$F5328-SUMIF($L5330:$P5333,"SUBI",$F5330:$F5333)</f>
        <v>118.0200000000001</v>
      </c>
      <c r="G5336" s="503"/>
      <c r="H5336" s="503"/>
      <c r="I5336" s="503"/>
      <c r="J5336" s="503"/>
      <c r="K5336" s="1242" t="s">
        <v>3</v>
      </c>
      <c r="L5336" s="1243" t="s">
        <v>1473</v>
      </c>
      <c r="M5336" s="503"/>
      <c r="N5336" s="503"/>
      <c r="O5336" s="503"/>
      <c r="P5336" s="503"/>
      <c r="Q5336" s="503"/>
      <c r="R5336" s="1258"/>
      <c r="S5336" s="503"/>
      <c r="T5336" s="1258"/>
    </row>
    <row r="5337" spans="1:41" s="1271" customFormat="1" ht="14.4" customHeight="1">
      <c r="A5337" s="1259"/>
      <c r="B5337" s="1244" t="s">
        <v>1475</v>
      </c>
      <c r="C5337" s="1260"/>
      <c r="D5337" s="1261"/>
      <c r="E5337" s="1261"/>
      <c r="F5337" s="1261"/>
      <c r="G5337" s="1262"/>
      <c r="H5337" s="1263"/>
      <c r="I5337" s="1263"/>
      <c r="J5337" s="1264"/>
      <c r="K5337" s="1265"/>
      <c r="L5337" s="1260"/>
      <c r="M5337" s="1266"/>
      <c r="N5337" s="1267"/>
      <c r="O5337" s="1268"/>
      <c r="P5337" s="1269"/>
      <c r="Q5337" s="1270"/>
      <c r="R5337" s="1247">
        <f>$A5337*Q5337</f>
        <v>0</v>
      </c>
      <c r="S5337" s="513"/>
      <c r="T5337" s="884">
        <f>$A5337*S5337*$T$1</f>
        <v>0</v>
      </c>
    </row>
    <row r="5338" spans="1:41" s="1039" customFormat="1" ht="13.2">
      <c r="A5338" s="112">
        <f>7*3</f>
        <v>21</v>
      </c>
      <c r="B5338" s="1039" t="s">
        <v>326</v>
      </c>
      <c r="D5338" s="1039" t="s">
        <v>1223</v>
      </c>
      <c r="G5338" s="1040" t="s">
        <v>1131</v>
      </c>
      <c r="H5338" s="1041">
        <v>700</v>
      </c>
      <c r="I5338" s="1039" t="s">
        <v>1132</v>
      </c>
      <c r="J5338" s="1039" t="s">
        <v>1133</v>
      </c>
      <c r="O5338" s="1042">
        <v>1</v>
      </c>
      <c r="P5338" s="1043">
        <v>42213</v>
      </c>
      <c r="Q5338" s="1044">
        <v>0.67</v>
      </c>
      <c r="R5338" s="1045">
        <f>$A5338*Q5338</f>
        <v>14.07</v>
      </c>
      <c r="S5338" s="1044">
        <v>0.13</v>
      </c>
      <c r="T5338" s="1046">
        <f>$A5338*S5338*$T$1</f>
        <v>2.8665000000000003</v>
      </c>
    </row>
    <row r="5339" spans="1:41" s="504" customFormat="1" ht="13.2">
      <c r="A5339" s="930"/>
      <c r="B5339" s="513"/>
      <c r="C5339" s="513"/>
      <c r="D5339" s="3"/>
      <c r="E5339" s="513"/>
      <c r="F5339" s="513"/>
      <c r="G5339" s="513"/>
      <c r="H5339" s="513"/>
      <c r="I5339" s="513"/>
      <c r="J5339" s="513"/>
      <c r="K5339" s="513"/>
      <c r="L5339" s="1246"/>
      <c r="M5339" s="513"/>
      <c r="N5339" s="513"/>
      <c r="O5339" s="513"/>
      <c r="P5339" s="513"/>
      <c r="Q5339" s="513"/>
      <c r="R5339" s="1247">
        <f>$A5339*Q5339</f>
        <v>0</v>
      </c>
      <c r="S5339" s="513"/>
      <c r="T5339" s="884">
        <f>$A5339*S5339*$T$1</f>
        <v>0</v>
      </c>
    </row>
    <row r="5340" spans="1:41" s="504" customFormat="1" ht="12" customHeight="1">
      <c r="A5340" s="1272" t="s">
        <v>142</v>
      </c>
      <c r="B5340" s="1273">
        <f>(R5339+T5339)</f>
        <v>0</v>
      </c>
      <c r="C5340" s="1274"/>
      <c r="D5340" s="1274"/>
      <c r="E5340" s="1274"/>
      <c r="F5340" s="1274"/>
      <c r="G5340" s="1253"/>
      <c r="H5340" s="1253"/>
      <c r="I5340" s="1253"/>
      <c r="J5340" s="1253"/>
      <c r="K5340" s="1275" t="s">
        <v>3</v>
      </c>
      <c r="L5340" s="1276" t="s">
        <v>1473</v>
      </c>
      <c r="M5340" s="1253"/>
      <c r="N5340" s="1253"/>
      <c r="O5340" s="1253"/>
      <c r="P5340" s="1253"/>
      <c r="Q5340" s="1253"/>
      <c r="R5340" s="1254">
        <f>SUM(R5336:R5339)</f>
        <v>14.07</v>
      </c>
      <c r="S5340" s="1255"/>
      <c r="T5340" s="1254">
        <f>SUM(T5336:T5339)</f>
        <v>2.8665000000000003</v>
      </c>
      <c r="AG5340" s="1256">
        <f>ROUND($R5340*$S$2,2)</f>
        <v>17.170000000000002</v>
      </c>
    </row>
    <row r="5341" spans="1:41" s="504" customFormat="1" ht="12.75" customHeight="1">
      <c r="A5341" s="1277"/>
      <c r="B5341" s="1278"/>
      <c r="E5341" s="882"/>
      <c r="F5341" s="1279"/>
      <c r="G5341" s="882"/>
      <c r="H5341" s="882"/>
      <c r="I5341" s="503"/>
      <c r="J5341" s="882"/>
      <c r="K5341" s="882"/>
      <c r="L5341" s="1280"/>
      <c r="M5341" s="933"/>
      <c r="N5341" s="933"/>
      <c r="O5341" s="933"/>
      <c r="P5341" s="933"/>
      <c r="Q5341" s="900"/>
      <c r="R5341" s="1258"/>
      <c r="S5341" s="882"/>
      <c r="T5341" s="1258"/>
    </row>
    <row r="5342" spans="1:41" s="504" customFormat="1" ht="13.5" customHeight="1" thickBot="1">
      <c r="A5342" s="1281"/>
      <c r="B5342" s="1282"/>
      <c r="C5342" s="514"/>
      <c r="D5342" s="514"/>
      <c r="E5342" s="887"/>
      <c r="F5342" s="888"/>
      <c r="G5342" s="887" t="s">
        <v>143</v>
      </c>
      <c r="H5342" s="887"/>
      <c r="I5342" s="889"/>
      <c r="J5342" s="887"/>
      <c r="K5342" s="887"/>
      <c r="L5342" s="1283" t="s">
        <v>140</v>
      </c>
      <c r="M5342" s="890"/>
      <c r="N5342" s="890"/>
      <c r="O5342" s="890"/>
      <c r="P5342" s="890"/>
      <c r="Q5342" s="891"/>
      <c r="R5342" s="1284">
        <f>SUMIF($L5329:$L5341,"SUBI",R5329:R5341)</f>
        <v>893.27</v>
      </c>
      <c r="S5342" s="887"/>
      <c r="T5342" s="1284">
        <f>SUMIF($L5329:$L5341,"SUBI",T5329:T5341)</f>
        <v>2.8665000000000003</v>
      </c>
      <c r="U5342" s="514"/>
      <c r="V5342" s="514"/>
      <c r="W5342" s="514"/>
      <c r="X5342" s="514"/>
      <c r="Y5342" s="514"/>
      <c r="Z5342" s="514"/>
      <c r="AA5342" s="514"/>
      <c r="AB5342" s="514"/>
      <c r="AC5342" s="514"/>
      <c r="AD5342" s="514"/>
      <c r="AE5342" s="514"/>
      <c r="AF5342" s="514"/>
      <c r="AG5342" s="514"/>
      <c r="AH5342" s="514"/>
      <c r="AI5342" s="514"/>
      <c r="AJ5342" s="514"/>
      <c r="AK5342" s="514"/>
      <c r="AL5342" s="514"/>
      <c r="AM5342" s="514"/>
      <c r="AN5342" s="514"/>
      <c r="AO5342" s="514"/>
    </row>
    <row r="5343" spans="1:41" s="504" customFormat="1" thickTop="1">
      <c r="A5343" s="50"/>
      <c r="B5343" s="40"/>
      <c r="C5343" s="50"/>
      <c r="E5343" s="41" t="s">
        <v>136</v>
      </c>
      <c r="F5343" s="41" t="s">
        <v>137</v>
      </c>
      <c r="G5343" s="50"/>
      <c r="H5343" s="50"/>
      <c r="I5343" s="50"/>
      <c r="J5343" s="50"/>
      <c r="K5343" s="50" t="s">
        <v>138</v>
      </c>
      <c r="L5343" s="1219"/>
      <c r="M5343" s="50"/>
      <c r="N5343" s="50"/>
      <c r="O5343" s="51"/>
      <c r="P5343" s="50"/>
      <c r="Q5343"/>
      <c r="R5343"/>
      <c r="S5343"/>
      <c r="T5343" s="40"/>
      <c r="AG5343" s="867" t="s">
        <v>241</v>
      </c>
      <c r="AH5343" s="867" t="s">
        <v>242</v>
      </c>
      <c r="AI5343" s="867" t="s">
        <v>243</v>
      </c>
      <c r="AJ5343" s="867" t="s">
        <v>244</v>
      </c>
      <c r="AK5343" s="867" t="s">
        <v>245</v>
      </c>
      <c r="AM5343" s="868" t="s">
        <v>254</v>
      </c>
      <c r="AN5343" s="869" t="s">
        <v>255</v>
      </c>
      <c r="AO5343" s="505" t="s">
        <v>251</v>
      </c>
    </row>
    <row r="5344" spans="1:41" s="504" customFormat="1" ht="13.2">
      <c r="A5344" s="870">
        <v>7</v>
      </c>
      <c r="B5344" s="506" t="s">
        <v>335</v>
      </c>
      <c r="C5344" s="872"/>
      <c r="D5344" s="873" t="s">
        <v>836</v>
      </c>
      <c r="E5344" s="1220">
        <f>IF(AND($A5344=0,$A$1="DIF"),0, ROUND(ROUND(SUMIF($L5346:$L5352,"SUBI",$E5346:$E5352)/$A5344,2)*$C$12,2))</f>
        <v>125.6</v>
      </c>
      <c r="F5344" s="1221">
        <f>ROUND($A5344*$E5344,2)</f>
        <v>879.2</v>
      </c>
      <c r="G5344" s="876" t="s">
        <v>139</v>
      </c>
      <c r="H5344" s="877"/>
      <c r="I5344" s="878"/>
      <c r="J5344" s="877"/>
      <c r="K5344" s="1222"/>
      <c r="L5344" s="1223" t="s">
        <v>140</v>
      </c>
      <c r="M5344" s="879"/>
      <c r="N5344" s="879"/>
      <c r="O5344" s="879"/>
      <c r="P5344" s="879"/>
      <c r="Q5344"/>
      <c r="R5344"/>
      <c r="S5344"/>
      <c r="T5344" s="1224" t="str">
        <f>IF(AND($R5358=0,$T5358=0),"0.00","mu :" &amp; ROUND($F5344/$C$12/($R5358+$T5358*$D$9),2))</f>
        <v>mu :1.09</v>
      </c>
      <c r="W5344" s="507"/>
      <c r="AG5344" s="1225">
        <f>IF(A5344=0,0,ROUND(SUM(AG5346:AG5358)/A5344,2))</f>
        <v>111.2</v>
      </c>
      <c r="AH5344" s="1225">
        <f>$AG5344*$A5344</f>
        <v>778.4</v>
      </c>
      <c r="AI5344" s="1225">
        <f>$E5344-$AG5344</f>
        <v>14.399999999999991</v>
      </c>
      <c r="AJ5344" s="1225">
        <f>$A5344*$AI5344</f>
        <v>100.79999999999994</v>
      </c>
      <c r="AK5344" s="1226">
        <f>ROUND(($AG5344+$AI5344)*$A5344,2)</f>
        <v>879.2</v>
      </c>
      <c r="AM5344" s="510">
        <f>ROUND(R5358,2)</f>
        <v>722.19</v>
      </c>
      <c r="AN5344" s="511">
        <f>ROUND(T5358,2)</f>
        <v>2.87</v>
      </c>
      <c r="AO5344" s="512">
        <f>ROUND(AM5344+AN5344,2)*A5344</f>
        <v>5075.42</v>
      </c>
    </row>
    <row r="5345" spans="1:44" s="504" customFormat="1" ht="13.2">
      <c r="A5345" s="872"/>
      <c r="B5345"/>
      <c r="C5345" s="872"/>
      <c r="D5345" s="873" t="s">
        <v>548</v>
      </c>
      <c r="F5345" s="877"/>
      <c r="G5345" s="877"/>
      <c r="H5345" s="877"/>
      <c r="I5345" s="878"/>
      <c r="J5345" s="877"/>
      <c r="K5345" s="877" t="s">
        <v>141</v>
      </c>
      <c r="L5345" s="1227"/>
      <c r="M5345" s="877"/>
      <c r="N5345" s="877"/>
      <c r="O5345" s="877"/>
      <c r="P5345" s="877"/>
      <c r="Q5345" s="50"/>
      <c r="R5345" s="513"/>
      <c r="S5345" s="881"/>
      <c r="T5345" s="877"/>
    </row>
    <row r="5346" spans="1:44" s="504" customFormat="1" ht="12">
      <c r="A5346" s="1228"/>
      <c r="B5346" s="1229"/>
      <c r="C5346" s="882"/>
      <c r="D5346" s="877"/>
      <c r="E5346" s="1230">
        <f>F5344/$C$12-SUMIF($L5343:$L5358,"SUBI",$E5343:$E5358)</f>
        <v>-2.9999999999972715E-2</v>
      </c>
      <c r="F5346" s="1231" t="s">
        <v>1472</v>
      </c>
      <c r="G5346" s="1232"/>
      <c r="H5346" s="1232"/>
      <c r="I5346" s="1233"/>
      <c r="J5346" s="1232"/>
      <c r="K5346" s="1232"/>
      <c r="L5346" s="1234"/>
      <c r="M5346" s="1235"/>
      <c r="N5346" s="1235"/>
      <c r="O5346" s="1235"/>
      <c r="P5346" s="1235"/>
      <c r="Q5346" s="1236"/>
      <c r="R5346" s="1237"/>
      <c r="S5346" s="1236"/>
      <c r="T5346" s="1238"/>
    </row>
    <row r="5347" spans="1:44" s="504" customFormat="1" ht="12" customHeight="1">
      <c r="A5347" s="1239"/>
      <c r="B5347" s="1285"/>
      <c r="C5347" s="1286"/>
      <c r="D5347" s="1286" t="str">
        <f>$F$5</f>
        <v>ELV Sub-Contractor - APCO</v>
      </c>
      <c r="E5347" s="1286">
        <f>ROUND(($R5351*$S$5 + ($T5351*$T$5)),2)</f>
        <v>761.23</v>
      </c>
      <c r="F5347" s="1287">
        <f>$E5347*$C$12</f>
        <v>761.23</v>
      </c>
      <c r="G5347" s="513"/>
      <c r="H5347" s="1241"/>
      <c r="I5347" s="513"/>
      <c r="J5347" s="51"/>
      <c r="K5347" s="1242" t="s">
        <v>9</v>
      </c>
      <c r="L5347" s="1243" t="s">
        <v>1473</v>
      </c>
      <c r="M5347" s="513"/>
      <c r="N5347" s="513"/>
      <c r="O5347" s="51"/>
      <c r="P5347" s="513"/>
      <c r="Q5347" s="513"/>
      <c r="R5347"/>
      <c r="S5347"/>
      <c r="T5347"/>
    </row>
    <row r="5348" spans="1:44" s="504" customFormat="1" ht="13.95" customHeight="1">
      <c r="A5348" s="930"/>
      <c r="B5348" s="1244" t="s">
        <v>1474</v>
      </c>
      <c r="C5348" s="513"/>
      <c r="D5348" s="513"/>
      <c r="E5348" s="513"/>
      <c r="F5348" s="513"/>
      <c r="G5348" s="513"/>
      <c r="H5348" s="1241"/>
      <c r="I5348" s="513"/>
      <c r="J5348" s="51"/>
      <c r="K5348" s="1245"/>
      <c r="L5348" s="1246"/>
      <c r="M5348" s="513"/>
      <c r="N5348" s="513"/>
      <c r="O5348" s="51"/>
      <c r="P5348" s="513"/>
      <c r="Q5348" s="513"/>
      <c r="R5348" s="1247">
        <f>$A5348*Q5348</f>
        <v>0</v>
      </c>
      <c r="S5348" s="513"/>
      <c r="T5348" s="884">
        <f>$A5348*S5348*$T$1</f>
        <v>0</v>
      </c>
    </row>
    <row r="5349" spans="1:44" s="1039" customFormat="1" ht="13.2">
      <c r="A5349" s="112">
        <v>7</v>
      </c>
      <c r="B5349" s="1039" t="s">
        <v>949</v>
      </c>
      <c r="D5349" s="882" t="s">
        <v>548</v>
      </c>
      <c r="E5349" s="1047"/>
      <c r="F5349" s="1047"/>
      <c r="G5349" s="1040" t="s">
        <v>1463</v>
      </c>
      <c r="H5349" s="1041">
        <v>751</v>
      </c>
      <c r="I5349" s="1039" t="s">
        <v>951</v>
      </c>
      <c r="O5349" s="1042">
        <v>3</v>
      </c>
      <c r="P5349" s="1043">
        <v>38047</v>
      </c>
      <c r="Q5349" s="1044">
        <v>101.16</v>
      </c>
      <c r="R5349" s="1045">
        <f>$A5349*Q5349</f>
        <v>708.12</v>
      </c>
      <c r="S5349" s="1044"/>
      <c r="T5349" s="1046">
        <f>$A5349*S5349*$T$1</f>
        <v>0</v>
      </c>
    </row>
    <row r="5350" spans="1:44" s="504" customFormat="1" ht="13.95" customHeight="1">
      <c r="A5350" s="930"/>
      <c r="B5350" s="513"/>
      <c r="C5350" s="513"/>
      <c r="D5350" s="513"/>
      <c r="E5350" s="513"/>
      <c r="F5350" s="513"/>
      <c r="G5350" s="513"/>
      <c r="H5350" s="1241"/>
      <c r="I5350" s="513"/>
      <c r="J5350" s="51"/>
      <c r="K5350" s="1245"/>
      <c r="L5350" s="1246"/>
      <c r="M5350" s="513"/>
      <c r="N5350" s="513"/>
      <c r="O5350" s="51"/>
      <c r="P5350" s="513"/>
      <c r="Q5350" s="513"/>
      <c r="R5350" s="1247">
        <f>$A5350*Q5350</f>
        <v>0</v>
      </c>
      <c r="S5350" s="513"/>
      <c r="T5350" s="884">
        <f>$A5350*S5350*$T$1</f>
        <v>0</v>
      </c>
    </row>
    <row r="5351" spans="1:44" s="504" customFormat="1" ht="12">
      <c r="A5351" s="1248" t="s">
        <v>142</v>
      </c>
      <c r="B5351" s="1249">
        <f>(R5350+T5350)</f>
        <v>0</v>
      </c>
      <c r="C5351" s="882"/>
      <c r="G5351" s="1250"/>
      <c r="H5351" s="1250"/>
      <c r="I5351" s="1250"/>
      <c r="J5351" s="1250"/>
      <c r="K5351" s="1251" t="s">
        <v>9</v>
      </c>
      <c r="L5351" s="1252" t="s">
        <v>1473</v>
      </c>
      <c r="M5351" s="1250"/>
      <c r="N5351" s="1250"/>
      <c r="O5351" s="1250"/>
      <c r="P5351" s="1250"/>
      <c r="Q5351" s="1253"/>
      <c r="R5351" s="1254">
        <f>SUM(R5347:R5350)</f>
        <v>708.12</v>
      </c>
      <c r="S5351" s="1255"/>
      <c r="T5351" s="1254">
        <f>SUM(T5347:T5350)</f>
        <v>0</v>
      </c>
      <c r="AG5351" s="1288">
        <f>ROUND($R5351*$S$5,2)</f>
        <v>761.23</v>
      </c>
    </row>
    <row r="5352" spans="1:44" s="504" customFormat="1" ht="12" customHeight="1">
      <c r="A5352" s="1257"/>
      <c r="B5352" s="1289"/>
      <c r="C5352" s="1240"/>
      <c r="D5352" s="1240" t="str">
        <f>$F$2</f>
        <v>Electrical</v>
      </c>
      <c r="E5352" s="1240">
        <f>ROUND(($R5356*$S$2 + ($T5356*$T$2)),2)</f>
        <v>118</v>
      </c>
      <c r="F5352" s="1290">
        <f ca="1">$F5344-SUMIF($L5346:$P5349,"SUBI",$F5346:$F5349)</f>
        <v>117.97000000000003</v>
      </c>
      <c r="G5352" s="503"/>
      <c r="H5352" s="503"/>
      <c r="I5352" s="503"/>
      <c r="J5352" s="503"/>
      <c r="K5352" s="1242" t="s">
        <v>3</v>
      </c>
      <c r="L5352" s="1243" t="s">
        <v>1473</v>
      </c>
      <c r="M5352" s="503"/>
      <c r="N5352" s="503"/>
      <c r="O5352" s="503"/>
      <c r="P5352" s="503"/>
      <c r="Q5352" s="503"/>
      <c r="R5352" s="1258"/>
      <c r="S5352" s="503"/>
      <c r="T5352" s="1258"/>
    </row>
    <row r="5353" spans="1:44" s="1271" customFormat="1" ht="14.4" customHeight="1">
      <c r="A5353" s="1259"/>
      <c r="B5353" s="1244" t="s">
        <v>1475</v>
      </c>
      <c r="C5353" s="1260"/>
      <c r="D5353" s="1261"/>
      <c r="E5353" s="1261"/>
      <c r="F5353" s="1261"/>
      <c r="G5353" s="1262"/>
      <c r="H5353" s="1263"/>
      <c r="I5353" s="1263"/>
      <c r="J5353" s="1264"/>
      <c r="K5353" s="1265"/>
      <c r="L5353" s="1260"/>
      <c r="M5353" s="1266"/>
      <c r="N5353" s="1267"/>
      <c r="O5353" s="1268"/>
      <c r="P5353" s="1269"/>
      <c r="Q5353" s="1270"/>
      <c r="R5353" s="1247">
        <f>$A5353*Q5353</f>
        <v>0</v>
      </c>
      <c r="S5353" s="513"/>
      <c r="T5353" s="884">
        <f>$A5353*S5353*$T$1</f>
        <v>0</v>
      </c>
    </row>
    <row r="5354" spans="1:44" s="1039" customFormat="1" ht="13.2">
      <c r="A5354" s="112">
        <f>7*3</f>
        <v>21</v>
      </c>
      <c r="B5354" s="1039" t="s">
        <v>326</v>
      </c>
      <c r="D5354" s="1039" t="s">
        <v>1223</v>
      </c>
      <c r="G5354" s="1040" t="s">
        <v>1131</v>
      </c>
      <c r="H5354" s="1041">
        <v>700</v>
      </c>
      <c r="I5354" s="1039" t="s">
        <v>1132</v>
      </c>
      <c r="J5354" s="1039" t="s">
        <v>1133</v>
      </c>
      <c r="O5354" s="1042">
        <v>1</v>
      </c>
      <c r="P5354" s="1043">
        <v>42213</v>
      </c>
      <c r="Q5354" s="1044">
        <v>0.67</v>
      </c>
      <c r="R5354" s="1045">
        <f>$A5354*Q5354</f>
        <v>14.07</v>
      </c>
      <c r="S5354" s="1044">
        <v>0.13</v>
      </c>
      <c r="T5354" s="1046">
        <f>$A5354*S5354*$T$1</f>
        <v>2.8665000000000003</v>
      </c>
    </row>
    <row r="5355" spans="1:44" s="504" customFormat="1" ht="13.2">
      <c r="A5355" s="930"/>
      <c r="B5355" s="513"/>
      <c r="C5355" s="513"/>
      <c r="D5355" s="3"/>
      <c r="E5355" s="513"/>
      <c r="F5355" s="513"/>
      <c r="G5355" s="513"/>
      <c r="H5355" s="513"/>
      <c r="I5355" s="513"/>
      <c r="J5355" s="513"/>
      <c r="K5355" s="513"/>
      <c r="L5355" s="1246"/>
      <c r="M5355" s="513"/>
      <c r="N5355" s="513"/>
      <c r="O5355" s="513"/>
      <c r="P5355" s="513"/>
      <c r="Q5355" s="513"/>
      <c r="R5355" s="1247">
        <f>$A5355*Q5355</f>
        <v>0</v>
      </c>
      <c r="S5355" s="513"/>
      <c r="T5355" s="884">
        <f>$A5355*S5355*$T$1</f>
        <v>0</v>
      </c>
    </row>
    <row r="5356" spans="1:44" s="504" customFormat="1" ht="12" customHeight="1">
      <c r="A5356" s="1272" t="s">
        <v>142</v>
      </c>
      <c r="B5356" s="1273">
        <f>(R5355+T5355)</f>
        <v>0</v>
      </c>
      <c r="C5356" s="1274"/>
      <c r="D5356" s="1274"/>
      <c r="E5356" s="1274"/>
      <c r="F5356" s="1274"/>
      <c r="G5356" s="1253"/>
      <c r="H5356" s="1253"/>
      <c r="I5356" s="1253"/>
      <c r="J5356" s="1253"/>
      <c r="K5356" s="1275" t="s">
        <v>3</v>
      </c>
      <c r="L5356" s="1276" t="s">
        <v>1473</v>
      </c>
      <c r="M5356" s="1253"/>
      <c r="N5356" s="1253"/>
      <c r="O5356" s="1253"/>
      <c r="P5356" s="1253"/>
      <c r="Q5356" s="1253"/>
      <c r="R5356" s="1254">
        <f>SUM(R5352:R5355)</f>
        <v>14.07</v>
      </c>
      <c r="S5356" s="1255"/>
      <c r="T5356" s="1254">
        <f>SUM(T5352:T5355)</f>
        <v>2.8665000000000003</v>
      </c>
      <c r="AG5356" s="1256">
        <f>ROUND($R5356*$S$2,2)</f>
        <v>17.170000000000002</v>
      </c>
    </row>
    <row r="5357" spans="1:44" s="504" customFormat="1" ht="12.75" customHeight="1">
      <c r="A5357" s="1277"/>
      <c r="B5357" s="1278"/>
      <c r="E5357" s="882"/>
      <c r="F5357" s="1279"/>
      <c r="G5357" s="882"/>
      <c r="H5357" s="882"/>
      <c r="I5357" s="503"/>
      <c r="J5357" s="882"/>
      <c r="K5357" s="882"/>
      <c r="L5357" s="1280"/>
      <c r="M5357" s="933"/>
      <c r="N5357" s="933"/>
      <c r="O5357" s="933"/>
      <c r="P5357" s="933"/>
      <c r="Q5357" s="900"/>
      <c r="R5357" s="1258"/>
      <c r="S5357" s="882"/>
      <c r="T5357" s="1258"/>
    </row>
    <row r="5358" spans="1:44" s="504" customFormat="1" ht="13.5" customHeight="1" thickBot="1">
      <c r="A5358" s="1281"/>
      <c r="B5358" s="1282"/>
      <c r="C5358" s="514"/>
      <c r="D5358" s="514"/>
      <c r="E5358" s="887"/>
      <c r="F5358" s="888"/>
      <c r="G5358" s="887" t="s">
        <v>143</v>
      </c>
      <c r="H5358" s="887"/>
      <c r="I5358" s="889"/>
      <c r="J5358" s="887"/>
      <c r="K5358" s="887"/>
      <c r="L5358" s="1283" t="s">
        <v>140</v>
      </c>
      <c r="M5358" s="890"/>
      <c r="N5358" s="890"/>
      <c r="O5358" s="890"/>
      <c r="P5358" s="890"/>
      <c r="Q5358" s="891"/>
      <c r="R5358" s="1284">
        <f>SUMIF($L5345:$L5357,"SUBI",R5345:R5357)</f>
        <v>722.19</v>
      </c>
      <c r="S5358" s="887"/>
      <c r="T5358" s="1284">
        <f>SUMIF($L5345:$L5357,"SUBI",T5345:T5357)</f>
        <v>2.8665000000000003</v>
      </c>
      <c r="U5358" s="514"/>
      <c r="V5358" s="514"/>
      <c r="W5358" s="514"/>
      <c r="X5358" s="514"/>
      <c r="Y5358" s="514"/>
      <c r="Z5358" s="514"/>
      <c r="AA5358" s="514"/>
      <c r="AB5358" s="514"/>
      <c r="AC5358" s="514"/>
      <c r="AD5358" s="514"/>
      <c r="AE5358" s="514"/>
      <c r="AF5358" s="514"/>
      <c r="AG5358" s="514"/>
      <c r="AH5358" s="514"/>
      <c r="AI5358" s="514"/>
      <c r="AJ5358" s="514"/>
      <c r="AK5358" s="514"/>
      <c r="AL5358" s="514"/>
      <c r="AM5358" s="514"/>
      <c r="AN5358" s="514"/>
      <c r="AO5358" s="514"/>
    </row>
    <row r="5359" spans="1:44" s="504" customFormat="1" ht="12" thickTop="1">
      <c r="A5359" s="50"/>
      <c r="B5359" s="40"/>
      <c r="C5359" s="50"/>
      <c r="E5359" s="41" t="s">
        <v>136</v>
      </c>
      <c r="F5359" s="41" t="s">
        <v>137</v>
      </c>
      <c r="G5359" s="50"/>
      <c r="H5359" s="50"/>
      <c r="I5359" s="50"/>
      <c r="J5359" s="50"/>
      <c r="K5359" s="50" t="s">
        <v>138</v>
      </c>
      <c r="L5359" s="50"/>
      <c r="M5359" s="50"/>
      <c r="N5359" s="50"/>
      <c r="O5359" s="51"/>
      <c r="P5359" s="50"/>
      <c r="Q5359" s="50"/>
      <c r="R5359" s="50"/>
      <c r="S5359" s="50"/>
      <c r="T5359" s="40"/>
      <c r="AG5359" s="867" t="s">
        <v>241</v>
      </c>
      <c r="AH5359" s="867" t="s">
        <v>242</v>
      </c>
      <c r="AI5359" s="867" t="s">
        <v>243</v>
      </c>
      <c r="AJ5359" s="867" t="s">
        <v>244</v>
      </c>
      <c r="AK5359" s="867" t="s">
        <v>245</v>
      </c>
      <c r="AM5359" s="868" t="s">
        <v>254</v>
      </c>
      <c r="AN5359" s="869" t="s">
        <v>255</v>
      </c>
      <c r="AO5359" s="505" t="s">
        <v>251</v>
      </c>
    </row>
    <row r="5360" spans="1:44" s="504" customFormat="1" ht="12" customHeight="1">
      <c r="A5360" s="870">
        <v>1</v>
      </c>
      <c r="B5360" s="506" t="s">
        <v>272</v>
      </c>
      <c r="C5360" s="872"/>
      <c r="D5360" s="873" t="s">
        <v>838</v>
      </c>
      <c r="E5360" s="874">
        <f>IF(AND($A5360=0,$A$1="DIF"),0, ROUND(ROUND(($R5364*$S$2+($T5364*$T$2))/$A5360,2)*$C$2,2))</f>
        <v>2569.1799999999998</v>
      </c>
      <c r="F5360" s="875">
        <f>ROUND($A5360*$E5360,2)</f>
        <v>2569.1799999999998</v>
      </c>
      <c r="G5360" s="876" t="s">
        <v>139</v>
      </c>
      <c r="H5360" s="877"/>
      <c r="I5360" s="878"/>
      <c r="J5360" s="877"/>
      <c r="K5360" s="877" t="s">
        <v>3</v>
      </c>
      <c r="L5360" s="879" t="s">
        <v>140</v>
      </c>
      <c r="M5360" s="879"/>
      <c r="N5360" s="879"/>
      <c r="O5360" s="879"/>
      <c r="P5360" s="879"/>
      <c r="Q5360" s="50"/>
      <c r="T5360" s="880" t="str">
        <f>IF(AND($R5364=0,$T5364=0),"0.00","mu: "&amp; ROUND(F5360/$C$2/($R5364+$T5364*$D$9),2))</f>
        <v>mu: 1.22</v>
      </c>
      <c r="W5360" s="507"/>
      <c r="AG5360" s="465">
        <f>IF($E5360=0,0,ROUND($R5364*$S$2*$C$2/$A5360,2))</f>
        <v>1239.52</v>
      </c>
      <c r="AH5360" s="465">
        <f>$AG5360*$A5360</f>
        <v>1239.52</v>
      </c>
      <c r="AI5360" s="508">
        <f>$E5360-$AG5360</f>
        <v>1329.6599999999999</v>
      </c>
      <c r="AJ5360" s="508">
        <f>$A5360*$AI5360</f>
        <v>1329.6599999999999</v>
      </c>
      <c r="AK5360" s="509">
        <f>ROUND(($AG5360+$AI5360)*$A5360,2)</f>
        <v>2569.1799999999998</v>
      </c>
      <c r="AM5360" s="510">
        <f>ROUND(R5364,2)</f>
        <v>1016</v>
      </c>
      <c r="AN5360" s="511">
        <f>ROUND(T5364,2)</f>
        <v>37.799999999999997</v>
      </c>
      <c r="AO5360" s="512">
        <f>ROUND(AM5360+AN5360,2)*A5360</f>
        <v>1053.8</v>
      </c>
      <c r="AR5360" s="504">
        <v>3672.63</v>
      </c>
    </row>
    <row r="5361" spans="1:41" s="504" customFormat="1" ht="13.2">
      <c r="A5361" s="872"/>
      <c r="B5361"/>
      <c r="C5361" s="872"/>
      <c r="D5361" s="873" t="s">
        <v>549</v>
      </c>
      <c r="F5361" s="877"/>
      <c r="G5361" s="3"/>
      <c r="H5361" s="877"/>
      <c r="I5361" s="878"/>
      <c r="J5361" s="877"/>
      <c r="K5361" s="877" t="s">
        <v>141</v>
      </c>
      <c r="L5361" s="877"/>
      <c r="M5361" s="877"/>
      <c r="N5361" s="877"/>
      <c r="O5361" s="877"/>
      <c r="P5361" s="877"/>
      <c r="Q5361" s="50"/>
      <c r="R5361" s="513"/>
      <c r="S5361" s="881"/>
      <c r="T5361" s="877"/>
    </row>
    <row r="5362" spans="1:41" s="1039" customFormat="1" ht="13.2">
      <c r="A5362" s="112">
        <f>6*3*100</f>
        <v>1800</v>
      </c>
      <c r="B5362" s="1039" t="s">
        <v>326</v>
      </c>
      <c r="D5362" s="882" t="s">
        <v>1560</v>
      </c>
      <c r="E5362" s="1047"/>
      <c r="F5362" s="1047"/>
      <c r="G5362" s="1040" t="s">
        <v>1463</v>
      </c>
      <c r="H5362" s="1041">
        <v>751</v>
      </c>
      <c r="I5362" s="1039" t="s">
        <v>951</v>
      </c>
      <c r="O5362" s="1042">
        <v>3</v>
      </c>
      <c r="P5362" s="1043">
        <v>38047</v>
      </c>
      <c r="Q5362" s="1044">
        <f>1016/1800</f>
        <v>0.56444444444444442</v>
      </c>
      <c r="R5362" s="1045">
        <f>$A5362*Q5362</f>
        <v>1016</v>
      </c>
      <c r="S5362" s="1044">
        <v>0.02</v>
      </c>
      <c r="T5362" s="1046">
        <f>$A5362*S5362*$T$1</f>
        <v>37.800000000000004</v>
      </c>
    </row>
    <row r="5363" spans="1:41" s="504" customFormat="1" ht="12">
      <c r="A5363" s="882"/>
      <c r="B5363" s="882"/>
      <c r="C5363" s="882"/>
      <c r="D5363" s="882"/>
      <c r="E5363" s="882"/>
      <c r="F5363" s="877"/>
      <c r="G5363" s="882"/>
      <c r="H5363" s="882"/>
      <c r="I5363" s="503"/>
      <c r="J5363" s="882"/>
      <c r="K5363" s="882"/>
      <c r="L5363" s="882"/>
      <c r="M5363" s="882"/>
      <c r="N5363" s="882"/>
      <c r="O5363" s="882"/>
      <c r="P5363" s="882"/>
      <c r="Q5363" s="503"/>
      <c r="R5363" s="883">
        <f>$A5363*Q5363</f>
        <v>0</v>
      </c>
      <c r="S5363" s="503"/>
      <c r="T5363" s="884">
        <f>$A5363*S5363*$T$1</f>
        <v>0</v>
      </c>
    </row>
    <row r="5364" spans="1:41" s="504" customFormat="1" ht="12.6" thickBot="1">
      <c r="A5364" s="885" t="s">
        <v>142</v>
      </c>
      <c r="B5364" s="886">
        <f>(R5363+T5363)</f>
        <v>0</v>
      </c>
      <c r="C5364" s="887"/>
      <c r="D5364" s="887"/>
      <c r="E5364" s="887"/>
      <c r="F5364" s="888"/>
      <c r="G5364" s="887" t="s">
        <v>143</v>
      </c>
      <c r="H5364" s="887"/>
      <c r="I5364" s="889"/>
      <c r="J5364" s="887"/>
      <c r="K5364" s="887" t="s">
        <v>3</v>
      </c>
      <c r="L5364" s="890" t="s">
        <v>140</v>
      </c>
      <c r="M5364" s="890"/>
      <c r="N5364" s="890"/>
      <c r="O5364" s="890"/>
      <c r="P5364" s="890"/>
      <c r="Q5364" s="891"/>
      <c r="R5364" s="892">
        <f>SUM(R5361:R5363)</f>
        <v>1016</v>
      </c>
      <c r="S5364" s="887"/>
      <c r="T5364" s="892">
        <f>SUM(T5361:T5363)</f>
        <v>37.800000000000004</v>
      </c>
      <c r="U5364" s="514"/>
      <c r="V5364" s="514"/>
      <c r="W5364" s="514"/>
      <c r="X5364" s="514"/>
      <c r="Y5364" s="514"/>
      <c r="Z5364" s="514"/>
      <c r="AA5364" s="514"/>
      <c r="AB5364" s="514"/>
      <c r="AC5364" s="514"/>
      <c r="AD5364" s="514"/>
      <c r="AE5364" s="514"/>
      <c r="AF5364" s="514"/>
      <c r="AG5364" s="514"/>
      <c r="AH5364" s="514"/>
      <c r="AI5364" s="514"/>
      <c r="AJ5364" s="514"/>
      <c r="AK5364" s="514"/>
      <c r="AL5364" s="514"/>
      <c r="AM5364" s="514"/>
      <c r="AN5364" s="514"/>
      <c r="AO5364" s="514"/>
    </row>
    <row r="5365" spans="1:41" s="504" customFormat="1" ht="12" thickTop="1">
      <c r="A5365" s="50"/>
      <c r="B5365" s="40"/>
      <c r="C5365" s="50"/>
      <c r="E5365" s="41" t="s">
        <v>136</v>
      </c>
      <c r="F5365" s="41" t="s">
        <v>137</v>
      </c>
      <c r="G5365" s="50"/>
      <c r="H5365" s="50"/>
      <c r="I5365" s="50"/>
      <c r="J5365" s="50"/>
      <c r="K5365" s="50" t="s">
        <v>138</v>
      </c>
      <c r="L5365" s="50"/>
      <c r="M5365" s="50"/>
      <c r="N5365" s="50"/>
      <c r="O5365" s="51"/>
      <c r="P5365" s="50"/>
      <c r="Q5365" s="50"/>
      <c r="R5365" s="50"/>
      <c r="S5365" s="50"/>
      <c r="T5365" s="40"/>
      <c r="AG5365" s="867" t="s">
        <v>241</v>
      </c>
      <c r="AH5365" s="867" t="s">
        <v>242</v>
      </c>
      <c r="AI5365" s="867" t="s">
        <v>243</v>
      </c>
      <c r="AJ5365" s="867" t="s">
        <v>244</v>
      </c>
      <c r="AK5365" s="867" t="s">
        <v>245</v>
      </c>
      <c r="AM5365" s="868" t="s">
        <v>254</v>
      </c>
      <c r="AN5365" s="869" t="s">
        <v>255</v>
      </c>
      <c r="AO5365" s="505" t="s">
        <v>251</v>
      </c>
    </row>
    <row r="5366" spans="1:41" s="504" customFormat="1" ht="12" customHeight="1">
      <c r="A5366" s="870">
        <v>15</v>
      </c>
      <c r="B5366" s="506" t="s">
        <v>335</v>
      </c>
      <c r="C5366" s="872"/>
      <c r="D5366" s="873" t="s">
        <v>840</v>
      </c>
      <c r="E5366" s="1027">
        <f>IF(AND($A5366=0,$A$1="DIF"),0, ROUND(ROUND(($R5370*$S$5+($T5370*$T$5))/$A5366,2)*$C$5,2))</f>
        <v>6.47</v>
      </c>
      <c r="F5366" s="1028">
        <f>ROUND($A5366*$E5366,2)</f>
        <v>97.05</v>
      </c>
      <c r="G5366" s="876" t="s">
        <v>139</v>
      </c>
      <c r="H5366" s="877"/>
      <c r="I5366" s="878"/>
      <c r="J5366" s="877"/>
      <c r="K5366" s="877" t="s">
        <v>9</v>
      </c>
      <c r="L5366" s="879" t="s">
        <v>140</v>
      </c>
      <c r="M5366" s="879"/>
      <c r="N5366" s="879"/>
      <c r="O5366" s="879"/>
      <c r="P5366" s="879"/>
      <c r="Q5366" s="50"/>
      <c r="T5366" s="1032" t="str">
        <f>IF(AND($R5370=0,$T5370=0),"0.00","mu: "&amp; ROUND(F5366/$C$5/($R5370+$T5370*$D$9),2))</f>
        <v>mu: 1.07</v>
      </c>
      <c r="W5366" s="507"/>
      <c r="AG5366" s="1029">
        <f>IF($E5366=0,0,ROUND($R5370*$S$5*$C$5/$A5366,2))</f>
        <v>6.47</v>
      </c>
      <c r="AH5366" s="1029">
        <f>$AG5366*$A5366</f>
        <v>97.05</v>
      </c>
      <c r="AI5366" s="1030">
        <f>$E5366-$AG5366</f>
        <v>0</v>
      </c>
      <c r="AJ5366" s="1030">
        <f>$A5366*$AI5366</f>
        <v>0</v>
      </c>
      <c r="AK5366" s="1031">
        <f>ROUND(($AG5366+$AI5366)*$A5366,2)</f>
        <v>97.05</v>
      </c>
      <c r="AM5366" s="510">
        <f>ROUND(R5370,2)</f>
        <v>90.3</v>
      </c>
      <c r="AN5366" s="511">
        <f>ROUND(T5370,2)</f>
        <v>0</v>
      </c>
      <c r="AO5366" s="512">
        <f>ROUND(AM5366+AN5366,2)*A5366</f>
        <v>1354.5</v>
      </c>
    </row>
    <row r="5367" spans="1:41" s="504" customFormat="1" ht="13.2">
      <c r="A5367" s="872"/>
      <c r="B5367"/>
      <c r="C5367" s="872"/>
      <c r="D5367" s="873" t="s">
        <v>550</v>
      </c>
      <c r="F5367" s="877"/>
      <c r="G5367" s="3"/>
      <c r="H5367" s="877"/>
      <c r="I5367" s="878"/>
      <c r="J5367" s="877"/>
      <c r="K5367" s="877" t="s">
        <v>141</v>
      </c>
      <c r="L5367" s="877"/>
      <c r="M5367" s="877"/>
      <c r="N5367" s="877"/>
      <c r="O5367" s="877"/>
      <c r="P5367" s="877"/>
      <c r="Q5367" s="50"/>
      <c r="R5367" s="513"/>
      <c r="S5367" s="881"/>
      <c r="T5367" s="877"/>
    </row>
    <row r="5368" spans="1:41" s="1039" customFormat="1" ht="13.2">
      <c r="A5368" s="112">
        <v>15</v>
      </c>
      <c r="B5368" s="1039" t="s">
        <v>949</v>
      </c>
      <c r="D5368" s="882" t="s">
        <v>550</v>
      </c>
      <c r="E5368" s="1047"/>
      <c r="F5368" s="1047"/>
      <c r="G5368" s="1040" t="s">
        <v>1463</v>
      </c>
      <c r="H5368" s="1041">
        <v>751</v>
      </c>
      <c r="I5368" s="1039" t="s">
        <v>951</v>
      </c>
      <c r="O5368" s="1042">
        <v>3</v>
      </c>
      <c r="P5368" s="1043">
        <v>38047</v>
      </c>
      <c r="Q5368" s="1044">
        <v>6.02</v>
      </c>
      <c r="R5368" s="1045">
        <f>$A5368*Q5368</f>
        <v>90.3</v>
      </c>
      <c r="S5368" s="1044"/>
      <c r="T5368" s="1046">
        <f>$A5368*S5368*$T$1</f>
        <v>0</v>
      </c>
    </row>
    <row r="5369" spans="1:41" s="504" customFormat="1" ht="12">
      <c r="A5369" s="882"/>
      <c r="B5369" s="882"/>
      <c r="C5369" s="882"/>
      <c r="D5369" s="882"/>
      <c r="E5369" s="882"/>
      <c r="F5369" s="877"/>
      <c r="G5369" s="882"/>
      <c r="H5369" s="882"/>
      <c r="I5369" s="503"/>
      <c r="J5369" s="882"/>
      <c r="K5369" s="882"/>
      <c r="L5369" s="882"/>
      <c r="M5369" s="882"/>
      <c r="N5369" s="882"/>
      <c r="O5369" s="882"/>
      <c r="P5369" s="882"/>
      <c r="Q5369" s="503"/>
      <c r="R5369" s="883">
        <f>$A5369*Q5369</f>
        <v>0</v>
      </c>
      <c r="S5369" s="503"/>
      <c r="T5369" s="884">
        <f>$A5369*S5369*$T$1</f>
        <v>0</v>
      </c>
    </row>
    <row r="5370" spans="1:41" s="504" customFormat="1" ht="12.6" thickBot="1">
      <c r="A5370" s="885" t="s">
        <v>142</v>
      </c>
      <c r="B5370" s="886">
        <f>(R5369+T5369)</f>
        <v>0</v>
      </c>
      <c r="C5370" s="887"/>
      <c r="D5370" s="887"/>
      <c r="E5370" s="887"/>
      <c r="F5370" s="888"/>
      <c r="G5370" s="887" t="s">
        <v>143</v>
      </c>
      <c r="H5370" s="887"/>
      <c r="I5370" s="889"/>
      <c r="J5370" s="887"/>
      <c r="K5370" s="887" t="s">
        <v>9</v>
      </c>
      <c r="L5370" s="890" t="s">
        <v>140</v>
      </c>
      <c r="M5370" s="890"/>
      <c r="N5370" s="890"/>
      <c r="O5370" s="890"/>
      <c r="P5370" s="890"/>
      <c r="Q5370" s="891"/>
      <c r="R5370" s="892">
        <f>SUM(R5367:R5369)</f>
        <v>90.3</v>
      </c>
      <c r="S5370" s="887"/>
      <c r="T5370" s="892">
        <f>SUM(T5367:T5369)</f>
        <v>0</v>
      </c>
      <c r="U5370" s="514"/>
      <c r="V5370" s="514"/>
      <c r="W5370" s="514"/>
      <c r="X5370" s="514"/>
      <c r="Y5370" s="514"/>
      <c r="Z5370" s="514"/>
      <c r="AA5370" s="514"/>
      <c r="AB5370" s="514"/>
      <c r="AC5370" s="514"/>
      <c r="AD5370" s="514"/>
      <c r="AE5370" s="514"/>
      <c r="AF5370" s="514"/>
      <c r="AG5370" s="514"/>
      <c r="AH5370" s="514"/>
      <c r="AI5370" s="514"/>
      <c r="AJ5370" s="514"/>
      <c r="AK5370" s="514"/>
      <c r="AL5370" s="514"/>
      <c r="AM5370" s="514"/>
      <c r="AN5370" s="514"/>
      <c r="AO5370" s="514"/>
    </row>
    <row r="5371" spans="1:41" s="504" customFormat="1" ht="12" thickTop="1">
      <c r="A5371" s="47" t="s">
        <v>145</v>
      </c>
      <c r="D5371" s="13"/>
      <c r="E5371" s="41"/>
      <c r="O5371" s="893"/>
    </row>
    <row r="5372" spans="1:41" s="504" customFormat="1" ht="13.2">
      <c r="B5372" s="3"/>
      <c r="O5372" s="893"/>
    </row>
    <row r="5373" spans="1:41" s="504" customFormat="1" ht="12">
      <c r="B5373" s="894">
        <f>$F5373/$C$2-($R5373*$S$2+$T5373*$T$2)</f>
        <v>-990.39602516000014</v>
      </c>
      <c r="D5373" s="895" t="s">
        <v>817</v>
      </c>
      <c r="E5373" s="896"/>
      <c r="F5373" s="897">
        <f>SUMIF($L5287:$L5371,"ITEM",F5287:F5371)</f>
        <v>10383.549999999999</v>
      </c>
      <c r="G5373" s="882"/>
      <c r="H5373" s="882"/>
      <c r="I5373" s="503"/>
      <c r="J5373" s="882"/>
      <c r="K5373" s="882"/>
      <c r="L5373" s="879" t="s">
        <v>154</v>
      </c>
      <c r="M5373" s="879"/>
      <c r="N5373" s="879"/>
      <c r="O5373" s="879"/>
      <c r="P5373" s="879"/>
      <c r="R5373" s="897">
        <f>SUMIF($L5287:$L5371,"ITEM",R5287:R5371)</f>
        <v>7902.420000000001</v>
      </c>
      <c r="S5373" s="898"/>
      <c r="T5373" s="897">
        <f>SUMIF($L5287:$L5371,"ITEM",T5287:T5371)</f>
        <v>49.266000000000005</v>
      </c>
    </row>
    <row r="5374" spans="1:41" s="504" customFormat="1" ht="13.2">
      <c r="A5374" s="50"/>
      <c r="B5374" s="48" t="s">
        <v>816</v>
      </c>
      <c r="C5374" s="50"/>
      <c r="D5374" s="3"/>
      <c r="F5374" s="899" t="s">
        <v>155</v>
      </c>
      <c r="G5374" s="882"/>
      <c r="H5374" s="882"/>
      <c r="I5374" s="503"/>
      <c r="J5374" s="882"/>
      <c r="K5374" s="882"/>
      <c r="L5374" s="882"/>
      <c r="M5374" s="882"/>
      <c r="N5374" s="882"/>
      <c r="O5374" s="882"/>
      <c r="P5374" s="882"/>
      <c r="Q5374" s="900"/>
      <c r="R5374" s="899" t="s">
        <v>156</v>
      </c>
      <c r="S5374" s="38"/>
      <c r="T5374" s="899" t="s">
        <v>157</v>
      </c>
    </row>
    <row r="5375" spans="1:41" s="504" customFormat="1" ht="13.2">
      <c r="A5375" s="882"/>
      <c r="B5375" s="3"/>
      <c r="C5375" s="882"/>
      <c r="D5375" s="3"/>
      <c r="E5375" s="3"/>
      <c r="G5375" s="3"/>
      <c r="H5375" s="3"/>
      <c r="I5375" s="3"/>
      <c r="J5375" s="3"/>
      <c r="K5375" s="3"/>
      <c r="L5375" s="3"/>
      <c r="M5375" s="3"/>
      <c r="N5375" s="3"/>
      <c r="O5375" s="103"/>
      <c r="P5375" s="3"/>
      <c r="Q5375" s="3"/>
      <c r="R5375" s="3"/>
      <c r="S5375" s="3"/>
      <c r="T5375" s="3"/>
    </row>
    <row r="5376" spans="1:41" s="504" customFormat="1" ht="12" thickBot="1">
      <c r="A5376" s="514"/>
      <c r="B5376" s="887"/>
      <c r="C5376" s="887"/>
      <c r="D5376" s="514"/>
      <c r="E5376" s="39"/>
      <c r="F5376" s="901"/>
      <c r="G5376" s="887"/>
      <c r="H5376" s="887"/>
      <c r="I5376" s="889"/>
      <c r="J5376" s="887"/>
      <c r="K5376" s="887"/>
      <c r="L5376" s="890"/>
      <c r="M5376" s="890"/>
      <c r="N5376" s="890"/>
      <c r="O5376" s="890"/>
      <c r="P5376" s="890"/>
      <c r="Q5376" s="891"/>
      <c r="R5376" s="901"/>
      <c r="S5376" s="902"/>
      <c r="T5376" s="901"/>
      <c r="U5376" s="514"/>
      <c r="V5376" s="514"/>
      <c r="W5376" s="514"/>
      <c r="X5376" s="514"/>
      <c r="Y5376" s="514"/>
      <c r="Z5376" s="514"/>
      <c r="AA5376" s="514"/>
      <c r="AB5376" s="514"/>
      <c r="AC5376" s="514"/>
      <c r="AD5376" s="514"/>
      <c r="AE5376" s="514"/>
      <c r="AF5376" s="514"/>
      <c r="AG5376" s="514"/>
      <c r="AH5376" s="514"/>
      <c r="AI5376" s="514"/>
      <c r="AJ5376" s="514"/>
      <c r="AK5376" s="514"/>
    </row>
    <row r="5377" spans="1:41" s="504" customFormat="1" thickTop="1">
      <c r="A5377" s="47" t="s">
        <v>145</v>
      </c>
      <c r="B5377" s="3"/>
      <c r="C5377" s="50"/>
      <c r="D5377" s="50"/>
      <c r="E5377" s="50"/>
      <c r="F5377" s="50"/>
      <c r="G5377" s="50"/>
      <c r="H5377" s="50"/>
      <c r="I5377" s="50"/>
      <c r="J5377" s="50"/>
      <c r="K5377" s="50"/>
      <c r="L5377" s="50"/>
      <c r="M5377" s="50"/>
      <c r="N5377" s="50"/>
      <c r="O5377" s="51"/>
      <c r="P5377" s="50"/>
      <c r="Q5377" s="50"/>
      <c r="R5377" s="50"/>
      <c r="S5377" s="50"/>
      <c r="T5377" s="50"/>
    </row>
    <row r="5378" spans="1:41" s="504" customFormat="1" ht="13.2">
      <c r="A5378" s="50"/>
      <c r="B5378" s="3"/>
      <c r="C5378" s="3"/>
      <c r="E5378" s="3"/>
      <c r="F5378" s="3"/>
      <c r="G5378" s="3"/>
      <c r="H5378" s="3"/>
      <c r="I5378" s="3"/>
      <c r="J5378" s="3"/>
      <c r="K5378" s="3"/>
      <c r="L5378" s="3"/>
      <c r="M5378" s="3"/>
      <c r="N5378" s="3"/>
      <c r="O5378" s="103"/>
      <c r="P5378" s="3"/>
      <c r="Q5378" s="3"/>
      <c r="R5378" s="3"/>
      <c r="S5378" s="3"/>
      <c r="T5378" s="3"/>
    </row>
    <row r="5379" spans="1:41" s="504" customFormat="1" ht="12">
      <c r="A5379" s="50"/>
      <c r="B5379" s="894">
        <f>$F5379/$C$2-($R5379*$S$2+$T5379*$T$2)</f>
        <v>-990.39602516000014</v>
      </c>
      <c r="C5379" s="50"/>
      <c r="D5379" s="913" t="s">
        <v>930</v>
      </c>
      <c r="E5379" s="896"/>
      <c r="F5379" s="914">
        <f>SUMIF($L5293:$L5377,"PAGE",F5293:F5377)</f>
        <v>10383.549999999999</v>
      </c>
      <c r="G5379" s="882"/>
      <c r="H5379" s="882"/>
      <c r="I5379" s="503"/>
      <c r="J5379" s="882"/>
      <c r="K5379" s="882"/>
      <c r="L5379" s="117" t="s">
        <v>918</v>
      </c>
      <c r="M5379" s="117"/>
      <c r="N5379" s="117"/>
      <c r="O5379" s="118"/>
      <c r="P5379" s="117"/>
      <c r="Q5379" s="50"/>
      <c r="R5379" s="914">
        <f>SUMIF($L5293:$L5377,"PAGE",R5293:R5377)</f>
        <v>7902.420000000001</v>
      </c>
      <c r="S5379" s="50"/>
      <c r="T5379" s="914">
        <f>SUMIF($L5293:$L5377,"PAGE",T5293:T5377)</f>
        <v>49.266000000000005</v>
      </c>
    </row>
    <row r="5380" spans="1:41" s="504" customFormat="1" ht="12">
      <c r="A5380" s="50"/>
      <c r="B5380" s="48" t="s">
        <v>816</v>
      </c>
      <c r="C5380" s="50"/>
      <c r="D5380" s="913"/>
      <c r="F5380" s="915" t="s">
        <v>919</v>
      </c>
      <c r="G5380" s="882"/>
      <c r="H5380" s="882"/>
      <c r="I5380" s="503"/>
      <c r="J5380" s="882"/>
      <c r="K5380" s="882"/>
      <c r="L5380" s="50"/>
      <c r="M5380" s="50"/>
      <c r="N5380" s="50"/>
      <c r="O5380" s="51"/>
      <c r="P5380" s="50"/>
      <c r="Q5380" s="50"/>
      <c r="R5380" s="915" t="s">
        <v>920</v>
      </c>
      <c r="S5380" s="38"/>
      <c r="T5380" s="915" t="s">
        <v>921</v>
      </c>
    </row>
    <row r="5381" spans="1:41" s="504" customFormat="1" ht="11.4">
      <c r="O5381" s="893"/>
    </row>
    <row r="5382" spans="1:41" s="504" customFormat="1" ht="12" thickBot="1">
      <c r="A5382" s="887"/>
      <c r="B5382" s="887"/>
      <c r="C5382" s="887"/>
      <c r="D5382" s="887"/>
      <c r="E5382" s="887"/>
      <c r="F5382" s="39"/>
      <c r="G5382" s="514"/>
      <c r="H5382" s="514"/>
      <c r="I5382" s="514"/>
      <c r="J5382" s="514"/>
      <c r="K5382" s="514"/>
      <c r="L5382" s="887"/>
      <c r="M5382" s="887"/>
      <c r="N5382" s="887"/>
      <c r="O5382" s="887"/>
      <c r="P5382" s="887"/>
      <c r="Q5382" s="891"/>
      <c r="R5382" s="39"/>
      <c r="S5382" s="39"/>
      <c r="T5382" s="39"/>
      <c r="U5382" s="514"/>
      <c r="V5382" s="514"/>
      <c r="W5382" s="514"/>
      <c r="X5382" s="514"/>
      <c r="Y5382" s="514"/>
      <c r="Z5382" s="514"/>
      <c r="AA5382" s="514"/>
      <c r="AB5382" s="514"/>
      <c r="AC5382" s="514"/>
      <c r="AD5382" s="514"/>
      <c r="AE5382" s="514"/>
      <c r="AF5382" s="514"/>
      <c r="AG5382" s="514"/>
      <c r="AH5382" s="514"/>
      <c r="AI5382" s="514"/>
      <c r="AJ5382" s="514"/>
      <c r="AK5382" s="514"/>
    </row>
    <row r="5383" spans="1:41" s="504" customFormat="1" thickTop="1">
      <c r="A5383" s="906"/>
      <c r="B5383" s="906"/>
      <c r="C5383" s="907"/>
      <c r="D5383" s="907"/>
      <c r="E5383" s="906"/>
      <c r="F5383" s="906"/>
      <c r="G5383" s="906"/>
      <c r="H5383" s="906"/>
      <c r="I5383" s="906"/>
      <c r="J5383" s="906"/>
      <c r="K5383" s="906" t="s">
        <v>133</v>
      </c>
      <c r="L5383" s="906"/>
      <c r="M5383" s="906"/>
      <c r="N5383" s="906"/>
      <c r="O5383" s="908"/>
      <c r="P5383" s="906"/>
      <c r="Q5383" s="906"/>
      <c r="R5383" s="906"/>
      <c r="S5383" s="906"/>
      <c r="T5383" s="906"/>
    </row>
    <row r="5384" spans="1:41" s="504" customFormat="1" ht="12">
      <c r="A5384" s="906"/>
      <c r="B5384" s="906"/>
      <c r="C5384" s="906" t="s">
        <v>134</v>
      </c>
      <c r="D5384" s="909"/>
      <c r="E5384" s="906"/>
      <c r="F5384" s="906"/>
      <c r="G5384" s="906"/>
      <c r="H5384" s="906"/>
      <c r="I5384" s="906"/>
      <c r="J5384" s="906"/>
      <c r="K5384" s="906"/>
      <c r="L5384" s="906"/>
      <c r="M5384" s="906"/>
      <c r="N5384" s="906"/>
      <c r="O5384" s="908"/>
      <c r="P5384" s="906"/>
      <c r="Q5384" s="906"/>
      <c r="R5384" s="906"/>
      <c r="S5384" s="906"/>
      <c r="T5384" s="906"/>
    </row>
    <row r="5385" spans="1:41" s="504" customFormat="1" ht="12">
      <c r="A5385" s="906"/>
      <c r="B5385" s="906"/>
      <c r="C5385" s="906"/>
      <c r="D5385" s="909" t="s">
        <v>551</v>
      </c>
      <c r="E5385" s="906"/>
      <c r="F5385" s="906"/>
      <c r="G5385" s="906"/>
      <c r="H5385" s="906"/>
      <c r="I5385" s="906"/>
      <c r="J5385" s="906"/>
      <c r="K5385" s="906"/>
      <c r="L5385" s="906"/>
      <c r="M5385" s="906"/>
      <c r="N5385" s="906"/>
      <c r="O5385" s="908"/>
      <c r="P5385" s="906"/>
      <c r="Q5385" s="906"/>
      <c r="R5385" s="906"/>
      <c r="S5385" s="910"/>
      <c r="T5385" s="910"/>
    </row>
    <row r="5386" spans="1:41" s="3" customFormat="1" thickBot="1">
      <c r="A5386" s="911"/>
      <c r="B5386" s="907"/>
      <c r="C5386" s="907"/>
      <c r="D5386" s="907"/>
      <c r="E5386" s="907"/>
      <c r="F5386" s="907"/>
      <c r="G5386" s="907"/>
      <c r="H5386" s="907"/>
      <c r="I5386" s="907"/>
      <c r="J5386" s="907"/>
      <c r="K5386" s="907"/>
      <c r="L5386" s="907"/>
      <c r="M5386" s="907"/>
      <c r="N5386" s="907"/>
      <c r="O5386" s="912"/>
      <c r="P5386" s="907"/>
      <c r="Q5386" s="907"/>
      <c r="R5386" s="907"/>
      <c r="S5386" s="907"/>
      <c r="T5386" s="907"/>
    </row>
    <row r="5387" spans="1:41" s="504" customFormat="1" thickTop="1">
      <c r="A5387" s="50"/>
      <c r="B5387" s="50"/>
      <c r="C5387" s="3"/>
      <c r="D5387" s="3"/>
      <c r="E5387" s="50"/>
      <c r="F5387" s="50"/>
      <c r="G5387" s="50"/>
      <c r="H5387" s="50"/>
      <c r="I5387" s="50"/>
      <c r="J5387" s="50"/>
      <c r="K5387" s="50" t="s">
        <v>133</v>
      </c>
      <c r="L5387" s="50"/>
      <c r="M5387" s="50"/>
      <c r="N5387" s="50"/>
      <c r="O5387" s="51"/>
      <c r="P5387" s="50"/>
      <c r="Q5387" s="50"/>
      <c r="R5387" s="50"/>
      <c r="S5387" s="50"/>
      <c r="T5387" s="50"/>
    </row>
    <row r="5388" spans="1:41" s="504" customFormat="1" ht="12">
      <c r="A5388" s="50"/>
      <c r="B5388" s="50"/>
      <c r="C5388" s="50" t="s">
        <v>134</v>
      </c>
      <c r="D5388" s="37"/>
      <c r="E5388" s="50"/>
      <c r="F5388" s="50"/>
      <c r="G5388" s="50"/>
      <c r="H5388" s="50"/>
      <c r="I5388" s="50"/>
      <c r="J5388" s="50"/>
      <c r="K5388" s="50"/>
      <c r="L5388" s="50"/>
      <c r="M5388" s="50"/>
      <c r="N5388" s="50"/>
      <c r="O5388" s="51"/>
      <c r="P5388" s="50"/>
      <c r="Q5388" s="50"/>
      <c r="R5388" s="50"/>
      <c r="S5388" s="50"/>
      <c r="T5388" s="50"/>
    </row>
    <row r="5389" spans="1:41" s="504" customFormat="1" ht="12">
      <c r="A5389" s="50"/>
      <c r="B5389" s="50"/>
      <c r="C5389" s="50"/>
      <c r="D5389" s="37" t="s">
        <v>509</v>
      </c>
      <c r="E5389" s="50"/>
      <c r="F5389" s="50"/>
      <c r="G5389" s="50"/>
      <c r="H5389" s="50"/>
      <c r="I5389" s="50"/>
      <c r="J5389" s="50"/>
      <c r="K5389" s="50"/>
      <c r="L5389" s="50"/>
      <c r="M5389" s="50"/>
      <c r="N5389" s="50"/>
      <c r="O5389" s="51"/>
      <c r="P5389" s="50"/>
      <c r="Q5389" s="50"/>
      <c r="R5389" s="50"/>
      <c r="S5389" s="38"/>
      <c r="T5389" s="38"/>
    </row>
    <row r="5390" spans="1:41" s="3" customFormat="1" thickBot="1">
      <c r="A5390" s="514"/>
      <c r="O5390" s="103"/>
    </row>
    <row r="5391" spans="1:41" s="504" customFormat="1" ht="12" thickTop="1">
      <c r="A5391" s="50"/>
      <c r="B5391" s="40"/>
      <c r="C5391" s="50"/>
      <c r="E5391" s="41" t="s">
        <v>136</v>
      </c>
      <c r="F5391" s="41" t="s">
        <v>137</v>
      </c>
      <c r="G5391" s="50"/>
      <c r="H5391" s="50"/>
      <c r="I5391" s="50"/>
      <c r="J5391" s="50"/>
      <c r="K5391" s="50" t="s">
        <v>138</v>
      </c>
      <c r="L5391" s="50"/>
      <c r="M5391" s="50"/>
      <c r="N5391" s="50"/>
      <c r="O5391" s="51"/>
      <c r="P5391" s="50"/>
      <c r="Q5391" s="50"/>
      <c r="R5391" s="50"/>
      <c r="S5391" s="50"/>
      <c r="T5391" s="40"/>
      <c r="AG5391" s="867" t="s">
        <v>241</v>
      </c>
      <c r="AH5391" s="867" t="s">
        <v>242</v>
      </c>
      <c r="AI5391" s="867" t="s">
        <v>243</v>
      </c>
      <c r="AJ5391" s="867" t="s">
        <v>244</v>
      </c>
      <c r="AK5391" s="867" t="s">
        <v>245</v>
      </c>
      <c r="AM5391" s="868" t="s">
        <v>254</v>
      </c>
      <c r="AN5391" s="869" t="s">
        <v>255</v>
      </c>
      <c r="AO5391" s="505" t="s">
        <v>251</v>
      </c>
    </row>
    <row r="5392" spans="1:41" s="504" customFormat="1" ht="12" customHeight="1">
      <c r="A5392" s="870">
        <v>16</v>
      </c>
      <c r="B5392" s="506" t="s">
        <v>335</v>
      </c>
      <c r="C5392" s="872"/>
      <c r="D5392" s="873" t="s">
        <v>803</v>
      </c>
      <c r="E5392" s="874">
        <f>IF(AND($A5392=0,$A$1="DIF"),0, ROUND(ROUND(($R5396*$S$2+($T5396*$T$2))/A5392,2)*$C$2,2))</f>
        <v>21.43</v>
      </c>
      <c r="F5392" s="875">
        <f>ROUND($A5392*$E5392,2)</f>
        <v>342.88</v>
      </c>
      <c r="G5392" s="876" t="s">
        <v>139</v>
      </c>
      <c r="H5392" s="877"/>
      <c r="I5392" s="878"/>
      <c r="J5392" s="877"/>
      <c r="K5392" s="877" t="s">
        <v>3</v>
      </c>
      <c r="L5392" s="879" t="s">
        <v>140</v>
      </c>
      <c r="M5392" s="879"/>
      <c r="N5392" s="879"/>
      <c r="O5392" s="879"/>
      <c r="P5392" s="879"/>
      <c r="Q5392" s="50"/>
      <c r="T5392" s="880" t="str">
        <f>IF(AND($R5396=0,$T5396=0),"0.00","mu :" &amp; ROUND($F5392/$C$2/($R5396+$T5396*$D$9),2))</f>
        <v>mu :1.22</v>
      </c>
      <c r="W5392" s="507"/>
      <c r="AG5392" s="465">
        <f>IF($E5392=0,0,ROUND($R5396*$S$2*$C$2/$A5392,2))</f>
        <v>12.2</v>
      </c>
      <c r="AH5392" s="465">
        <f>$AG5392*$A5392</f>
        <v>195.2</v>
      </c>
      <c r="AI5392" s="508">
        <f>$E5392-$AG5392</f>
        <v>9.23</v>
      </c>
      <c r="AJ5392" s="508">
        <f>$A5392*$AI5392</f>
        <v>147.68</v>
      </c>
      <c r="AK5392" s="509">
        <f>ROUND(($AG5392+$AI5392)*$A5392,2)</f>
        <v>342.88</v>
      </c>
      <c r="AM5392" s="510">
        <f>ROUND(R5396,2)</f>
        <v>160</v>
      </c>
      <c r="AN5392" s="511">
        <f>ROUND(T5396,2)</f>
        <v>4.2</v>
      </c>
      <c r="AO5392" s="512">
        <f>ROUND(AM5392+AN5392,2)*A5392</f>
        <v>2627.2</v>
      </c>
    </row>
    <row r="5393" spans="1:41" s="504" customFormat="1" ht="13.2">
      <c r="A5393" s="872"/>
      <c r="B5393"/>
      <c r="C5393" s="872"/>
      <c r="D5393" s="916" t="s">
        <v>552</v>
      </c>
      <c r="E5393" s="917"/>
      <c r="F5393" s="918"/>
      <c r="G5393" s="919"/>
      <c r="H5393" s="918"/>
      <c r="I5393" s="920"/>
      <c r="J5393" s="918"/>
      <c r="K5393" s="918"/>
      <c r="L5393" s="918"/>
      <c r="M5393" s="918"/>
      <c r="N5393" s="918"/>
      <c r="O5393" s="918"/>
      <c r="P5393" s="918"/>
      <c r="Q5393" s="921"/>
      <c r="R5393" s="513"/>
      <c r="S5393" s="881"/>
      <c r="T5393" s="877"/>
    </row>
    <row r="5394" spans="1:41" s="1039" customFormat="1" ht="13.2">
      <c r="A5394" s="112">
        <v>16</v>
      </c>
      <c r="B5394" s="1039" t="s">
        <v>949</v>
      </c>
      <c r="D5394" s="1039" t="s">
        <v>1455</v>
      </c>
      <c r="G5394" s="1040" t="s">
        <v>1454</v>
      </c>
      <c r="H5394" s="1041">
        <v>705</v>
      </c>
      <c r="I5394" s="1039" t="s">
        <v>951</v>
      </c>
      <c r="O5394" s="1042">
        <v>3</v>
      </c>
      <c r="P5394" s="1043"/>
      <c r="Q5394" s="1044">
        <v>10</v>
      </c>
      <c r="R5394" s="1045">
        <f>$A5394*Q5394</f>
        <v>160</v>
      </c>
      <c r="S5394" s="1044">
        <v>0.25</v>
      </c>
      <c r="T5394" s="1046">
        <f>$A5394*S5394*$T$1</f>
        <v>4.2</v>
      </c>
    </row>
    <row r="5395" spans="1:41" s="504" customFormat="1" ht="12">
      <c r="A5395" s="882"/>
      <c r="B5395" s="882"/>
      <c r="C5395" s="882"/>
      <c r="D5395" s="882"/>
      <c r="E5395" s="882"/>
      <c r="F5395" s="877"/>
      <c r="G5395" s="882"/>
      <c r="H5395" s="882"/>
      <c r="I5395" s="503"/>
      <c r="J5395" s="882"/>
      <c r="K5395" s="882"/>
      <c r="L5395" s="882"/>
      <c r="M5395" s="882"/>
      <c r="N5395" s="882"/>
      <c r="O5395" s="882"/>
      <c r="P5395" s="882"/>
      <c r="Q5395" s="503"/>
      <c r="R5395" s="883">
        <f>$A5395*Q5395</f>
        <v>0</v>
      </c>
      <c r="S5395" s="503"/>
      <c r="T5395" s="884">
        <f>$A5395*S5395*$T$1</f>
        <v>0</v>
      </c>
    </row>
    <row r="5396" spans="1:41" s="504" customFormat="1" ht="12.6" thickBot="1">
      <c r="A5396" s="885" t="s">
        <v>142</v>
      </c>
      <c r="B5396" s="886">
        <f>(R5395+T5395)</f>
        <v>0</v>
      </c>
      <c r="C5396" s="887"/>
      <c r="D5396" s="887"/>
      <c r="E5396" s="887"/>
      <c r="F5396" s="888"/>
      <c r="G5396" s="887" t="s">
        <v>143</v>
      </c>
      <c r="H5396" s="887"/>
      <c r="I5396" s="889"/>
      <c r="J5396" s="887"/>
      <c r="K5396" s="887" t="s">
        <v>3</v>
      </c>
      <c r="L5396" s="890" t="s">
        <v>140</v>
      </c>
      <c r="M5396" s="890"/>
      <c r="N5396" s="890"/>
      <c r="O5396" s="890"/>
      <c r="P5396" s="890"/>
      <c r="Q5396" s="891"/>
      <c r="R5396" s="892">
        <f>SUM(R5393:R5395)</f>
        <v>160</v>
      </c>
      <c r="S5396" s="887"/>
      <c r="T5396" s="892">
        <f>SUM(T5393:T5395)</f>
        <v>4.2</v>
      </c>
      <c r="U5396" s="514"/>
      <c r="V5396" s="514"/>
      <c r="W5396" s="514"/>
      <c r="X5396" s="514"/>
      <c r="Y5396" s="514"/>
      <c r="Z5396" s="514"/>
      <c r="AA5396" s="514"/>
      <c r="AB5396" s="514"/>
      <c r="AC5396" s="514"/>
      <c r="AD5396" s="514"/>
      <c r="AE5396" s="514"/>
      <c r="AF5396" s="514"/>
      <c r="AG5396" s="514"/>
      <c r="AH5396" s="514"/>
      <c r="AI5396" s="514"/>
      <c r="AJ5396" s="514"/>
      <c r="AK5396" s="514"/>
      <c r="AL5396" s="514"/>
      <c r="AM5396" s="514"/>
      <c r="AN5396" s="514"/>
      <c r="AO5396" s="514"/>
    </row>
    <row r="5397" spans="1:41" s="504" customFormat="1" ht="12" thickTop="1">
      <c r="A5397" s="50"/>
      <c r="B5397" s="40"/>
      <c r="C5397" s="50"/>
      <c r="E5397" s="41" t="s">
        <v>136</v>
      </c>
      <c r="F5397" s="41" t="s">
        <v>137</v>
      </c>
      <c r="G5397" s="50"/>
      <c r="H5397" s="50"/>
      <c r="I5397" s="50"/>
      <c r="J5397" s="50"/>
      <c r="K5397" s="50" t="s">
        <v>138</v>
      </c>
      <c r="L5397" s="50"/>
      <c r="M5397" s="50"/>
      <c r="N5397" s="50"/>
      <c r="O5397" s="51"/>
      <c r="P5397" s="50"/>
      <c r="Q5397" s="50"/>
      <c r="R5397" s="50"/>
      <c r="S5397" s="50"/>
      <c r="T5397" s="40"/>
      <c r="AG5397" s="867" t="s">
        <v>241</v>
      </c>
      <c r="AH5397" s="867" t="s">
        <v>242</v>
      </c>
      <c r="AI5397" s="867" t="s">
        <v>243</v>
      </c>
      <c r="AJ5397" s="867" t="s">
        <v>244</v>
      </c>
      <c r="AK5397" s="867" t="s">
        <v>245</v>
      </c>
      <c r="AM5397" s="868" t="s">
        <v>254</v>
      </c>
      <c r="AN5397" s="869" t="s">
        <v>255</v>
      </c>
      <c r="AO5397" s="505" t="s">
        <v>251</v>
      </c>
    </row>
    <row r="5398" spans="1:41" s="504" customFormat="1" ht="12" customHeight="1">
      <c r="A5398" s="870">
        <v>16</v>
      </c>
      <c r="B5398" s="506" t="s">
        <v>335</v>
      </c>
      <c r="C5398" s="872"/>
      <c r="D5398" s="873" t="s">
        <v>814</v>
      </c>
      <c r="E5398" s="874">
        <f>IF(AND($A5398=0,$A$1="DIF"),0, ROUND(ROUND(($R5403*$S$2+($T5403*$T$2))/A5398,2)*$C$2,2))</f>
        <v>43.23</v>
      </c>
      <c r="F5398" s="875">
        <f>ROUND($A5398*$E5398,2)</f>
        <v>691.68</v>
      </c>
      <c r="G5398" s="876" t="s">
        <v>139</v>
      </c>
      <c r="H5398" s="877"/>
      <c r="I5398" s="878"/>
      <c r="J5398" s="877"/>
      <c r="K5398" s="877" t="s">
        <v>3</v>
      </c>
      <c r="L5398" s="879" t="s">
        <v>140</v>
      </c>
      <c r="M5398" s="879"/>
      <c r="N5398" s="879"/>
      <c r="O5398" s="879"/>
      <c r="P5398" s="879"/>
      <c r="Q5398" s="50"/>
      <c r="T5398" s="880" t="str">
        <f>IF(AND($R5403=0,$T5403=0),"0.00","mu :" &amp; ROUND($F5398/$C$2/($R5403+$T5403*$D$9),2))</f>
        <v>mu :1.22</v>
      </c>
      <c r="W5398" s="507"/>
      <c r="AG5398" s="465">
        <f>IF($E5398=0,0,ROUND($R5403*$S$2*$C$2/$A5398,2))</f>
        <v>7.5</v>
      </c>
      <c r="AH5398" s="465">
        <f>$AG5398*$A5398</f>
        <v>120</v>
      </c>
      <c r="AI5398" s="508">
        <f>$E5398-$AG5398</f>
        <v>35.729999999999997</v>
      </c>
      <c r="AJ5398" s="508">
        <f>$A5398*$AI5398</f>
        <v>571.67999999999995</v>
      </c>
      <c r="AK5398" s="509">
        <f>ROUND(($AG5398+$AI5398)*$A5398,2)</f>
        <v>691.68</v>
      </c>
      <c r="AM5398" s="510">
        <f>ROUND(R5403,2)</f>
        <v>98.32</v>
      </c>
      <c r="AN5398" s="511">
        <f>ROUND(T5403,2)</f>
        <v>16.25</v>
      </c>
      <c r="AO5398" s="512">
        <f>ROUND(AM5398+AN5398,2)*A5398</f>
        <v>1833.12</v>
      </c>
    </row>
    <row r="5399" spans="1:41" s="504" customFormat="1" ht="13.2">
      <c r="A5399" s="872"/>
      <c r="B5399"/>
      <c r="C5399" s="872"/>
      <c r="D5399" s="916" t="s">
        <v>553</v>
      </c>
      <c r="E5399" s="917"/>
      <c r="F5399" s="918"/>
      <c r="G5399" s="919"/>
      <c r="H5399" s="918"/>
      <c r="I5399" s="920"/>
      <c r="J5399" s="918"/>
      <c r="K5399" s="918" t="s">
        <v>141</v>
      </c>
      <c r="L5399" s="918"/>
      <c r="M5399" s="918"/>
      <c r="N5399" s="918"/>
      <c r="O5399" s="918"/>
      <c r="P5399" s="918"/>
      <c r="Q5399" s="921"/>
      <c r="R5399" s="513"/>
      <c r="S5399" s="881"/>
      <c r="T5399" s="877"/>
    </row>
    <row r="5400" spans="1:41" s="1039" customFormat="1" ht="13.2">
      <c r="A5400" s="112">
        <f>6*16</f>
        <v>96</v>
      </c>
      <c r="B5400" s="1039" t="s">
        <v>326</v>
      </c>
      <c r="D5400" s="1039" t="s">
        <v>1130</v>
      </c>
      <c r="G5400" s="1040" t="s">
        <v>1131</v>
      </c>
      <c r="H5400" s="1041">
        <v>700</v>
      </c>
      <c r="I5400" s="1039" t="s">
        <v>1132</v>
      </c>
      <c r="J5400" s="1039" t="s">
        <v>1133</v>
      </c>
      <c r="O5400" s="1042">
        <v>1</v>
      </c>
      <c r="P5400" s="1043">
        <v>42213</v>
      </c>
      <c r="Q5400" s="1044">
        <v>0.67</v>
      </c>
      <c r="R5400" s="1045">
        <f>$A5400*Q5400</f>
        <v>64.320000000000007</v>
      </c>
      <c r="S5400" s="1044">
        <v>0.13</v>
      </c>
      <c r="T5400" s="1046">
        <f>$A5400*S5400*$T$1</f>
        <v>13.104000000000001</v>
      </c>
    </row>
    <row r="5401" spans="1:41" s="1039" customFormat="1" ht="13.2">
      <c r="A5401">
        <f>100*2</f>
        <v>200</v>
      </c>
      <c r="B5401" s="1039" t="s">
        <v>326</v>
      </c>
      <c r="D5401" s="1039" t="s">
        <v>1166</v>
      </c>
      <c r="G5401" s="1040" t="s">
        <v>1167</v>
      </c>
      <c r="H5401" s="1041">
        <v>615</v>
      </c>
      <c r="I5401" s="1039" t="s">
        <v>991</v>
      </c>
      <c r="K5401" s="1039" t="s">
        <v>1168</v>
      </c>
      <c r="O5401" s="1042">
        <v>2</v>
      </c>
      <c r="P5401" s="1043">
        <v>38988</v>
      </c>
      <c r="Q5401" s="1044">
        <v>0.17</v>
      </c>
      <c r="R5401" s="1045">
        <f>$A5401*Q5401</f>
        <v>34</v>
      </c>
      <c r="S5401" s="1044">
        <v>1.4999999999999999E-2</v>
      </c>
      <c r="T5401" s="1046">
        <f>$A5401*S5401*$T$1</f>
        <v>3.1500000000000004</v>
      </c>
    </row>
    <row r="5402" spans="1:41" s="504" customFormat="1" ht="12">
      <c r="A5402" s="882"/>
      <c r="B5402" s="882"/>
      <c r="C5402" s="882"/>
      <c r="D5402" s="882"/>
      <c r="E5402" s="882"/>
      <c r="F5402" s="877"/>
      <c r="G5402" s="882"/>
      <c r="H5402" s="882"/>
      <c r="I5402" s="503"/>
      <c r="J5402" s="882"/>
      <c r="K5402" s="882"/>
      <c r="L5402" s="882"/>
      <c r="M5402" s="882"/>
      <c r="N5402" s="882"/>
      <c r="O5402" s="882"/>
      <c r="P5402" s="882"/>
      <c r="Q5402" s="503"/>
      <c r="R5402" s="883">
        <f>$A5402*Q5402</f>
        <v>0</v>
      </c>
      <c r="S5402" s="503"/>
      <c r="T5402" s="884">
        <f>$A5402*S5402*$T$1</f>
        <v>0</v>
      </c>
    </row>
    <row r="5403" spans="1:41" s="504" customFormat="1" ht="12.6" thickBot="1">
      <c r="A5403" s="885" t="s">
        <v>142</v>
      </c>
      <c r="B5403" s="886">
        <f>(R5402+T5402)</f>
        <v>0</v>
      </c>
      <c r="C5403" s="887"/>
      <c r="D5403" s="887"/>
      <c r="E5403" s="887"/>
      <c r="F5403" s="888"/>
      <c r="G5403" s="887" t="s">
        <v>143</v>
      </c>
      <c r="H5403" s="887"/>
      <c r="I5403" s="889"/>
      <c r="J5403" s="887"/>
      <c r="K5403" s="887" t="s">
        <v>3</v>
      </c>
      <c r="L5403" s="890" t="s">
        <v>140</v>
      </c>
      <c r="M5403" s="890"/>
      <c r="N5403" s="890"/>
      <c r="O5403" s="890"/>
      <c r="P5403" s="890"/>
      <c r="Q5403" s="891"/>
      <c r="R5403" s="892">
        <f>SUM(R5399:R5402)</f>
        <v>98.320000000000007</v>
      </c>
      <c r="S5403" s="887"/>
      <c r="T5403" s="892">
        <f>SUM(T5399:T5402)</f>
        <v>16.254000000000001</v>
      </c>
      <c r="U5403" s="514"/>
      <c r="V5403" s="514"/>
      <c r="W5403" s="514"/>
      <c r="X5403" s="514"/>
      <c r="Y5403" s="514"/>
      <c r="Z5403" s="514"/>
      <c r="AA5403" s="514"/>
      <c r="AB5403" s="514"/>
      <c r="AC5403" s="514"/>
      <c r="AD5403" s="514"/>
      <c r="AE5403" s="514"/>
      <c r="AF5403" s="514"/>
      <c r="AG5403" s="514"/>
      <c r="AH5403" s="514"/>
      <c r="AI5403" s="514"/>
      <c r="AJ5403" s="514"/>
      <c r="AK5403" s="514"/>
      <c r="AL5403" s="514"/>
      <c r="AM5403" s="514"/>
      <c r="AN5403" s="514"/>
      <c r="AO5403" s="514"/>
    </row>
    <row r="5404" spans="1:41" s="504" customFormat="1" ht="12" thickTop="1">
      <c r="A5404" s="47" t="s">
        <v>145</v>
      </c>
      <c r="D5404" s="13"/>
      <c r="E5404" s="41"/>
      <c r="O5404" s="893"/>
    </row>
    <row r="5405" spans="1:41" s="504" customFormat="1" ht="13.2">
      <c r="B5405" s="3"/>
      <c r="O5405" s="893"/>
    </row>
    <row r="5406" spans="1:41" s="504" customFormat="1" ht="12">
      <c r="B5406" s="894">
        <f>$F5406/$C$2-($R5406*$S$2+$T5406*$T$2)</f>
        <v>-8.5622040000089328E-2</v>
      </c>
      <c r="D5406" s="895" t="s">
        <v>817</v>
      </c>
      <c r="E5406" s="896"/>
      <c r="F5406" s="897">
        <f>SUMIF($L5377:$L5404,"ITEM",F5377:F5404)</f>
        <v>1034.56</v>
      </c>
      <c r="G5406" s="882"/>
      <c r="H5406" s="882"/>
      <c r="I5406" s="503"/>
      <c r="J5406" s="882"/>
      <c r="K5406" s="882"/>
      <c r="L5406" s="879" t="s">
        <v>154</v>
      </c>
      <c r="M5406" s="879"/>
      <c r="N5406" s="879"/>
      <c r="O5406" s="879"/>
      <c r="P5406" s="879"/>
      <c r="R5406" s="897">
        <f>SUMIF($L5377:$L5404,"ITEM",R5377:R5404)</f>
        <v>258.32</v>
      </c>
      <c r="S5406" s="898"/>
      <c r="T5406" s="897">
        <f>SUMIF($L5377:$L5404,"ITEM",T5377:T5404)</f>
        <v>20.454000000000001</v>
      </c>
    </row>
    <row r="5407" spans="1:41" s="504" customFormat="1" ht="13.2">
      <c r="A5407" s="50"/>
      <c r="B5407" s="48" t="s">
        <v>816</v>
      </c>
      <c r="C5407" s="50"/>
      <c r="D5407" s="3"/>
      <c r="F5407" s="899" t="s">
        <v>155</v>
      </c>
      <c r="G5407" s="882"/>
      <c r="H5407" s="882"/>
      <c r="I5407" s="503"/>
      <c r="J5407" s="882"/>
      <c r="K5407" s="882"/>
      <c r="L5407" s="882"/>
      <c r="M5407" s="882"/>
      <c r="N5407" s="882"/>
      <c r="O5407" s="882"/>
      <c r="P5407" s="882"/>
      <c r="Q5407" s="900"/>
      <c r="R5407" s="899" t="s">
        <v>156</v>
      </c>
      <c r="S5407" s="38"/>
      <c r="T5407" s="899" t="s">
        <v>157</v>
      </c>
    </row>
    <row r="5408" spans="1:41" s="504" customFormat="1" ht="13.2">
      <c r="A5408" s="882"/>
      <c r="B5408" s="3"/>
      <c r="C5408" s="882"/>
      <c r="D5408" s="3"/>
      <c r="E5408" s="3"/>
      <c r="G5408" s="3"/>
      <c r="H5408" s="3"/>
      <c r="I5408" s="3"/>
      <c r="J5408" s="3"/>
      <c r="K5408" s="3"/>
      <c r="L5408" s="3"/>
      <c r="M5408" s="3"/>
      <c r="N5408" s="3"/>
      <c r="O5408" s="103"/>
      <c r="P5408" s="3"/>
      <c r="Q5408" s="3"/>
      <c r="R5408" s="3"/>
      <c r="S5408" s="3"/>
      <c r="T5408" s="3"/>
    </row>
    <row r="5409" spans="1:41" s="504" customFormat="1" ht="12" thickBot="1">
      <c r="A5409" s="514"/>
      <c r="B5409" s="887"/>
      <c r="C5409" s="887"/>
      <c r="D5409" s="514"/>
      <c r="E5409" s="39"/>
      <c r="F5409" s="901"/>
      <c r="G5409" s="887"/>
      <c r="H5409" s="887"/>
      <c r="I5409" s="889"/>
      <c r="J5409" s="887"/>
      <c r="K5409" s="887"/>
      <c r="L5409" s="890"/>
      <c r="M5409" s="890"/>
      <c r="N5409" s="890"/>
      <c r="O5409" s="890"/>
      <c r="P5409" s="890"/>
      <c r="Q5409" s="891"/>
      <c r="R5409" s="901"/>
      <c r="S5409" s="902"/>
      <c r="T5409" s="901"/>
      <c r="U5409" s="514"/>
      <c r="V5409" s="514"/>
      <c r="W5409" s="514"/>
      <c r="X5409" s="514"/>
      <c r="Y5409" s="514"/>
      <c r="Z5409" s="514"/>
      <c r="AA5409" s="514"/>
      <c r="AB5409" s="514"/>
      <c r="AC5409" s="514"/>
      <c r="AD5409" s="514"/>
      <c r="AE5409" s="514"/>
      <c r="AF5409" s="514"/>
      <c r="AG5409" s="514"/>
      <c r="AH5409" s="514"/>
      <c r="AI5409" s="514"/>
      <c r="AJ5409" s="514"/>
      <c r="AK5409" s="514"/>
    </row>
    <row r="5410" spans="1:41" s="504" customFormat="1" thickTop="1">
      <c r="A5410" s="47" t="s">
        <v>145</v>
      </c>
      <c r="B5410" s="3"/>
      <c r="C5410" s="50"/>
      <c r="D5410" s="50"/>
      <c r="E5410" s="50"/>
      <c r="F5410" s="50"/>
      <c r="G5410" s="50"/>
      <c r="H5410" s="50"/>
      <c r="I5410" s="50"/>
      <c r="J5410" s="50"/>
      <c r="K5410" s="50"/>
      <c r="L5410" s="50"/>
      <c r="M5410" s="50"/>
      <c r="N5410" s="50"/>
      <c r="O5410" s="51"/>
      <c r="P5410" s="50"/>
      <c r="Q5410" s="50"/>
      <c r="R5410" s="50"/>
      <c r="S5410" s="50"/>
      <c r="T5410" s="50"/>
    </row>
    <row r="5411" spans="1:41" s="504" customFormat="1" ht="13.2">
      <c r="A5411" s="50"/>
      <c r="B5411" s="3"/>
      <c r="C5411" s="3"/>
      <c r="E5411" s="3"/>
      <c r="F5411" s="3"/>
      <c r="G5411" s="3"/>
      <c r="H5411" s="3"/>
      <c r="I5411" s="3"/>
      <c r="J5411" s="3"/>
      <c r="K5411" s="3"/>
      <c r="L5411" s="3"/>
      <c r="M5411" s="3"/>
      <c r="N5411" s="3"/>
      <c r="O5411" s="103"/>
      <c r="P5411" s="3"/>
      <c r="Q5411" s="3"/>
      <c r="R5411" s="3"/>
      <c r="S5411" s="3"/>
      <c r="T5411" s="3"/>
    </row>
    <row r="5412" spans="1:41" s="504" customFormat="1" ht="12">
      <c r="A5412" s="50"/>
      <c r="B5412" s="894">
        <f>$F5412/$C$2-($R5412*$S$2+$T5412*$T$2)</f>
        <v>-8.5622040000089328E-2</v>
      </c>
      <c r="C5412" s="50"/>
      <c r="D5412" s="913" t="s">
        <v>917</v>
      </c>
      <c r="E5412" s="896"/>
      <c r="F5412" s="914">
        <f>SUMIF($L5383:$L5410,"PAGE",F5383:F5410)</f>
        <v>1034.56</v>
      </c>
      <c r="G5412" s="882"/>
      <c r="H5412" s="882"/>
      <c r="I5412" s="503"/>
      <c r="J5412" s="882"/>
      <c r="K5412" s="882"/>
      <c r="L5412" s="117" t="s">
        <v>918</v>
      </c>
      <c r="M5412" s="117"/>
      <c r="N5412" s="117"/>
      <c r="O5412" s="118"/>
      <c r="P5412" s="117"/>
      <c r="Q5412" s="50"/>
      <c r="R5412" s="914">
        <f>SUMIF($L5383:$L5410,"PAGE",R5383:R5410)</f>
        <v>258.32</v>
      </c>
      <c r="S5412" s="50"/>
      <c r="T5412" s="914">
        <f>SUMIF($L5383:$L5410,"PAGE",T5383:T5410)</f>
        <v>20.454000000000001</v>
      </c>
    </row>
    <row r="5413" spans="1:41" s="504" customFormat="1" ht="12">
      <c r="A5413" s="50"/>
      <c r="B5413" s="48" t="s">
        <v>816</v>
      </c>
      <c r="C5413" s="50"/>
      <c r="D5413" s="913"/>
      <c r="F5413" s="915" t="s">
        <v>919</v>
      </c>
      <c r="G5413" s="882"/>
      <c r="H5413" s="882"/>
      <c r="I5413" s="503"/>
      <c r="J5413" s="882"/>
      <c r="K5413" s="882"/>
      <c r="L5413" s="50"/>
      <c r="M5413" s="50"/>
      <c r="N5413" s="50"/>
      <c r="O5413" s="51"/>
      <c r="P5413" s="50"/>
      <c r="Q5413" s="50"/>
      <c r="R5413" s="915" t="s">
        <v>920</v>
      </c>
      <c r="S5413" s="38"/>
      <c r="T5413" s="915" t="s">
        <v>921</v>
      </c>
    </row>
    <row r="5414" spans="1:41" s="504" customFormat="1" ht="11.4">
      <c r="O5414" s="893"/>
    </row>
    <row r="5415" spans="1:41" s="504" customFormat="1" ht="12" thickBot="1">
      <c r="A5415" s="887"/>
      <c r="B5415" s="887"/>
      <c r="C5415" s="887"/>
      <c r="D5415" s="887"/>
      <c r="E5415" s="887"/>
      <c r="F5415" s="39"/>
      <c r="G5415" s="514"/>
      <c r="H5415" s="514"/>
      <c r="I5415" s="514"/>
      <c r="J5415" s="514"/>
      <c r="K5415" s="514"/>
      <c r="L5415" s="887"/>
      <c r="M5415" s="887"/>
      <c r="N5415" s="887"/>
      <c r="O5415" s="887"/>
      <c r="P5415" s="887"/>
      <c r="Q5415" s="891"/>
      <c r="R5415" s="39"/>
      <c r="S5415" s="39"/>
      <c r="T5415" s="39"/>
      <c r="U5415" s="514"/>
      <c r="V5415" s="514"/>
      <c r="W5415" s="514"/>
      <c r="X5415" s="514"/>
      <c r="Y5415" s="514"/>
      <c r="Z5415" s="514"/>
      <c r="AA5415" s="514"/>
      <c r="AB5415" s="514"/>
      <c r="AC5415" s="514"/>
      <c r="AD5415" s="514"/>
      <c r="AE5415" s="514"/>
      <c r="AF5415" s="514"/>
      <c r="AG5415" s="514"/>
      <c r="AH5415" s="514"/>
      <c r="AI5415" s="514"/>
      <c r="AJ5415" s="514"/>
      <c r="AK5415" s="514"/>
    </row>
    <row r="5416" spans="1:41" s="504" customFormat="1" thickTop="1">
      <c r="A5416" s="906"/>
      <c r="B5416" s="906"/>
      <c r="C5416" s="907"/>
      <c r="D5416" s="907"/>
      <c r="E5416" s="906"/>
      <c r="F5416" s="906"/>
      <c r="G5416" s="906"/>
      <c r="H5416" s="906"/>
      <c r="I5416" s="906"/>
      <c r="J5416" s="906"/>
      <c r="K5416" s="906" t="s">
        <v>133</v>
      </c>
      <c r="L5416" s="906"/>
      <c r="M5416" s="906"/>
      <c r="N5416" s="906"/>
      <c r="O5416" s="908"/>
      <c r="P5416" s="906"/>
      <c r="Q5416" s="906"/>
      <c r="R5416" s="906"/>
      <c r="S5416" s="906"/>
      <c r="T5416" s="906"/>
    </row>
    <row r="5417" spans="1:41" s="504" customFormat="1" ht="12">
      <c r="A5417" s="906"/>
      <c r="B5417" s="906"/>
      <c r="C5417" s="906" t="s">
        <v>134</v>
      </c>
      <c r="D5417" s="909"/>
      <c r="E5417" s="906"/>
      <c r="F5417" s="906"/>
      <c r="G5417" s="906"/>
      <c r="H5417" s="906"/>
      <c r="I5417" s="906"/>
      <c r="J5417" s="906"/>
      <c r="K5417" s="906"/>
      <c r="L5417" s="906"/>
      <c r="M5417" s="906"/>
      <c r="N5417" s="906"/>
      <c r="O5417" s="908"/>
      <c r="P5417" s="906"/>
      <c r="Q5417" s="906"/>
      <c r="R5417" s="906"/>
      <c r="S5417" s="906"/>
      <c r="T5417" s="906"/>
    </row>
    <row r="5418" spans="1:41" s="504" customFormat="1" ht="12">
      <c r="A5418" s="906"/>
      <c r="B5418" s="906"/>
      <c r="C5418" s="906"/>
      <c r="D5418" s="909" t="s">
        <v>554</v>
      </c>
      <c r="E5418" s="906"/>
      <c r="F5418" s="906"/>
      <c r="G5418" s="906"/>
      <c r="H5418" s="906"/>
      <c r="I5418" s="906"/>
      <c r="J5418" s="906"/>
      <c r="K5418" s="906"/>
      <c r="L5418" s="906"/>
      <c r="M5418" s="906"/>
      <c r="N5418" s="906"/>
      <c r="O5418" s="908"/>
      <c r="P5418" s="906"/>
      <c r="Q5418" s="906"/>
      <c r="R5418" s="906"/>
      <c r="S5418" s="910"/>
      <c r="T5418" s="910"/>
    </row>
    <row r="5419" spans="1:41" s="3" customFormat="1" thickBot="1">
      <c r="A5419" s="911"/>
      <c r="B5419" s="907"/>
      <c r="C5419" s="907"/>
      <c r="D5419" s="907"/>
      <c r="E5419" s="907"/>
      <c r="F5419" s="907"/>
      <c r="G5419" s="907"/>
      <c r="H5419" s="907"/>
      <c r="I5419" s="907"/>
      <c r="J5419" s="907"/>
      <c r="K5419" s="907"/>
      <c r="L5419" s="907"/>
      <c r="M5419" s="907"/>
      <c r="N5419" s="907"/>
      <c r="O5419" s="912"/>
      <c r="P5419" s="907"/>
      <c r="Q5419" s="907"/>
      <c r="R5419" s="907"/>
      <c r="S5419" s="907"/>
      <c r="T5419" s="907"/>
    </row>
    <row r="5420" spans="1:41" s="504" customFormat="1" ht="12" thickTop="1">
      <c r="A5420" s="50"/>
      <c r="B5420" s="40"/>
      <c r="C5420" s="50"/>
      <c r="E5420" s="41" t="s">
        <v>136</v>
      </c>
      <c r="F5420" s="41" t="s">
        <v>137</v>
      </c>
      <c r="G5420" s="50"/>
      <c r="H5420" s="50"/>
      <c r="I5420" s="50"/>
      <c r="J5420" s="50"/>
      <c r="K5420" s="50" t="s">
        <v>138</v>
      </c>
      <c r="L5420" s="50"/>
      <c r="M5420" s="50"/>
      <c r="N5420" s="50"/>
      <c r="O5420" s="51"/>
      <c r="P5420" s="50"/>
      <c r="Q5420" s="50"/>
      <c r="R5420" s="50"/>
      <c r="S5420" s="50"/>
      <c r="T5420" s="40"/>
      <c r="AG5420" s="867" t="s">
        <v>241</v>
      </c>
      <c r="AH5420" s="867" t="s">
        <v>242</v>
      </c>
      <c r="AI5420" s="867" t="s">
        <v>243</v>
      </c>
      <c r="AJ5420" s="867" t="s">
        <v>244</v>
      </c>
      <c r="AK5420" s="867" t="s">
        <v>245</v>
      </c>
      <c r="AM5420" s="868" t="s">
        <v>254</v>
      </c>
      <c r="AN5420" s="869" t="s">
        <v>255</v>
      </c>
      <c r="AO5420" s="505" t="s">
        <v>251</v>
      </c>
    </row>
    <row r="5421" spans="1:41" s="504" customFormat="1" ht="12" customHeight="1">
      <c r="A5421" s="870">
        <v>1</v>
      </c>
      <c r="B5421" s="506" t="s">
        <v>272</v>
      </c>
      <c r="C5421" s="872"/>
      <c r="D5421" s="873" t="s">
        <v>803</v>
      </c>
      <c r="E5421" s="874">
        <f>IF(AND($A5421=0,$A$1="DIF"),0, ROUND(ROUND(($R5426*$S$2+($T5426*$T$2))/A5421,2)*$C$2,2))</f>
        <v>0</v>
      </c>
      <c r="F5421" s="875">
        <f>ROUND($A5421*$E5421,2)</f>
        <v>0</v>
      </c>
      <c r="G5421" s="876" t="s">
        <v>139</v>
      </c>
      <c r="H5421" s="877"/>
      <c r="I5421" s="878"/>
      <c r="J5421" s="877"/>
      <c r="K5421" s="877" t="s">
        <v>3</v>
      </c>
      <c r="L5421" s="879" t="s">
        <v>140</v>
      </c>
      <c r="M5421" s="879"/>
      <c r="N5421" s="879"/>
      <c r="O5421" s="879"/>
      <c r="P5421" s="879"/>
      <c r="Q5421" s="50" t="s">
        <v>1407</v>
      </c>
      <c r="T5421" s="880" t="str">
        <f>IF(AND($R5426=0,$T5426=0),"0.00","mu :" &amp; ROUND($F5421/$C$2/($R5426+$T5426*$D$9),2))</f>
        <v>0.00</v>
      </c>
      <c r="W5421" s="507"/>
      <c r="AG5421" s="465">
        <f>IF($E5421=0,0,ROUND($R5426*$S$2*$C$2/$A5421,2))</f>
        <v>0</v>
      </c>
      <c r="AH5421" s="465">
        <f>$AG5421*$A5421</f>
        <v>0</v>
      </c>
      <c r="AI5421" s="508">
        <f>$E5421-$AG5421</f>
        <v>0</v>
      </c>
      <c r="AJ5421" s="508">
        <f>$A5421*$AI5421</f>
        <v>0</v>
      </c>
      <c r="AK5421" s="509">
        <f>ROUND(($AG5421+$AI5421)*$A5421,2)</f>
        <v>0</v>
      </c>
      <c r="AM5421" s="510">
        <f>ROUND(R5426,2)</f>
        <v>0</v>
      </c>
      <c r="AN5421" s="511">
        <f>ROUND(T5426,2)</f>
        <v>0</v>
      </c>
      <c r="AO5421" s="512">
        <f>ROUND(AM5421+AN5421,2)*A5421</f>
        <v>0</v>
      </c>
    </row>
    <row r="5422" spans="1:41" s="504" customFormat="1" ht="24">
      <c r="A5422" s="872"/>
      <c r="B5422"/>
      <c r="C5422" s="872"/>
      <c r="D5422" s="916" t="s">
        <v>931</v>
      </c>
      <c r="E5422" s="917"/>
      <c r="F5422" s="918"/>
      <c r="G5422" s="919"/>
      <c r="H5422" s="918"/>
      <c r="I5422" s="920"/>
      <c r="J5422" s="918"/>
      <c r="K5422" s="918"/>
      <c r="L5422" s="918"/>
      <c r="M5422" s="918"/>
      <c r="N5422" s="918"/>
      <c r="O5422" s="918"/>
      <c r="P5422" s="918"/>
      <c r="Q5422" s="921"/>
      <c r="R5422" s="513"/>
      <c r="S5422" s="881"/>
      <c r="T5422" s="877"/>
    </row>
    <row r="5423" spans="1:41" s="504" customFormat="1" ht="12">
      <c r="A5423" s="50"/>
      <c r="B5423" s="882"/>
      <c r="C5423" s="882"/>
      <c r="D5423" s="882"/>
      <c r="E5423" s="882"/>
      <c r="F5423" s="877"/>
      <c r="G5423" s="882"/>
      <c r="H5423" s="882"/>
      <c r="I5423" s="503"/>
      <c r="J5423" s="882"/>
      <c r="K5423" s="882"/>
      <c r="L5423" s="882"/>
      <c r="M5423" s="882"/>
      <c r="N5423" s="882"/>
      <c r="O5423" s="882"/>
      <c r="P5423" s="882"/>
      <c r="Q5423" s="503"/>
      <c r="R5423" s="883">
        <f>$A5423*Q5423</f>
        <v>0</v>
      </c>
      <c r="S5423" s="503"/>
      <c r="T5423" s="884">
        <f>$A5423*S5423*$T$1</f>
        <v>0</v>
      </c>
    </row>
    <row r="5424" spans="1:41" s="504" customFormat="1" ht="12">
      <c r="A5424" s="50"/>
      <c r="B5424" s="882"/>
      <c r="C5424" s="882"/>
      <c r="D5424" s="50" t="s">
        <v>1407</v>
      </c>
      <c r="E5424" s="882"/>
      <c r="F5424" s="877"/>
      <c r="G5424" s="882"/>
      <c r="H5424" s="882"/>
      <c r="I5424" s="503"/>
      <c r="J5424" s="882"/>
      <c r="K5424" s="882"/>
      <c r="L5424" s="882"/>
      <c r="M5424" s="882"/>
      <c r="N5424" s="882"/>
      <c r="O5424" s="882"/>
      <c r="P5424" s="882"/>
      <c r="Q5424" s="503"/>
      <c r="R5424" s="883">
        <f>$A5424*Q5424</f>
        <v>0</v>
      </c>
      <c r="S5424" s="503"/>
      <c r="T5424" s="884">
        <f>$A5424*S5424*$T$1</f>
        <v>0</v>
      </c>
    </row>
    <row r="5425" spans="1:41" s="504" customFormat="1" ht="12">
      <c r="A5425" s="882"/>
      <c r="B5425" s="882"/>
      <c r="C5425" s="882"/>
      <c r="D5425" s="882"/>
      <c r="E5425" s="882"/>
      <c r="F5425" s="877"/>
      <c r="G5425" s="882"/>
      <c r="H5425" s="882"/>
      <c r="I5425" s="503"/>
      <c r="J5425" s="882"/>
      <c r="K5425" s="882"/>
      <c r="L5425" s="882"/>
      <c r="M5425" s="882"/>
      <c r="N5425" s="882"/>
      <c r="O5425" s="882"/>
      <c r="P5425" s="882"/>
      <c r="Q5425" s="503"/>
      <c r="R5425" s="883">
        <f>$A5425*Q5425</f>
        <v>0</v>
      </c>
      <c r="S5425" s="503"/>
      <c r="T5425" s="884">
        <f>$A5425*S5425*$T$1</f>
        <v>0</v>
      </c>
    </row>
    <row r="5426" spans="1:41" s="504" customFormat="1" ht="12.6" thickBot="1">
      <c r="A5426" s="885" t="s">
        <v>142</v>
      </c>
      <c r="B5426" s="886">
        <f>(R5425+T5425)</f>
        <v>0</v>
      </c>
      <c r="C5426" s="887"/>
      <c r="D5426" s="887"/>
      <c r="E5426" s="887"/>
      <c r="F5426" s="888"/>
      <c r="G5426" s="887" t="s">
        <v>143</v>
      </c>
      <c r="H5426" s="887"/>
      <c r="I5426" s="889"/>
      <c r="J5426" s="887"/>
      <c r="K5426" s="887" t="s">
        <v>3</v>
      </c>
      <c r="L5426" s="890" t="s">
        <v>140</v>
      </c>
      <c r="M5426" s="890"/>
      <c r="N5426" s="890"/>
      <c r="O5426" s="890"/>
      <c r="P5426" s="890"/>
      <c r="Q5426" s="891"/>
      <c r="R5426" s="892">
        <f>SUM(R5422:R5425)</f>
        <v>0</v>
      </c>
      <c r="S5426" s="887"/>
      <c r="T5426" s="892">
        <f>SUM(T5422:T5425)</f>
        <v>0</v>
      </c>
      <c r="U5426" s="514"/>
      <c r="V5426" s="514"/>
      <c r="W5426" s="514"/>
      <c r="X5426" s="514"/>
      <c r="Y5426" s="514"/>
      <c r="Z5426" s="514"/>
      <c r="AA5426" s="514"/>
      <c r="AB5426" s="514"/>
      <c r="AC5426" s="514"/>
      <c r="AD5426" s="514"/>
      <c r="AE5426" s="514"/>
      <c r="AF5426" s="514"/>
      <c r="AG5426" s="514"/>
      <c r="AH5426" s="514"/>
      <c r="AI5426" s="514"/>
      <c r="AJ5426" s="514"/>
      <c r="AK5426" s="514"/>
      <c r="AL5426" s="514"/>
      <c r="AM5426" s="514"/>
      <c r="AN5426" s="514"/>
      <c r="AO5426" s="514"/>
    </row>
    <row r="5427" spans="1:41" s="504" customFormat="1" ht="12" thickTop="1">
      <c r="A5427" s="50"/>
      <c r="B5427" s="40"/>
      <c r="C5427" s="50"/>
      <c r="E5427" s="41" t="s">
        <v>136</v>
      </c>
      <c r="F5427" s="41" t="s">
        <v>137</v>
      </c>
      <c r="G5427" s="50"/>
      <c r="H5427" s="50"/>
      <c r="I5427" s="50"/>
      <c r="J5427" s="50"/>
      <c r="K5427" s="50" t="s">
        <v>138</v>
      </c>
      <c r="L5427" s="50"/>
      <c r="M5427" s="50"/>
      <c r="N5427" s="50"/>
      <c r="O5427" s="51"/>
      <c r="P5427" s="50"/>
      <c r="Q5427" s="50"/>
      <c r="R5427" s="50"/>
      <c r="S5427" s="50"/>
      <c r="T5427" s="40"/>
      <c r="AG5427" s="867" t="s">
        <v>241</v>
      </c>
      <c r="AH5427" s="867" t="s">
        <v>242</v>
      </c>
      <c r="AI5427" s="867" t="s">
        <v>243</v>
      </c>
      <c r="AJ5427" s="867" t="s">
        <v>244</v>
      </c>
      <c r="AK5427" s="867" t="s">
        <v>245</v>
      </c>
      <c r="AM5427" s="868" t="s">
        <v>254</v>
      </c>
      <c r="AN5427" s="869" t="s">
        <v>255</v>
      </c>
      <c r="AO5427" s="505" t="s">
        <v>251</v>
      </c>
    </row>
    <row r="5428" spans="1:41" s="504" customFormat="1" ht="12" customHeight="1">
      <c r="A5428" s="870">
        <v>1</v>
      </c>
      <c r="B5428" s="506" t="s">
        <v>272</v>
      </c>
      <c r="C5428" s="872"/>
      <c r="D5428" s="873" t="s">
        <v>814</v>
      </c>
      <c r="E5428" s="874">
        <f>IF(AND($A5428=0,$A$1="DIF"),0, ROUND(ROUND(($R5433*$S$2+($T5433*$T$2))/A5428,2)*$C$2,2))</f>
        <v>0</v>
      </c>
      <c r="F5428" s="875">
        <f>ROUND($A5428*$E5428,2)</f>
        <v>0</v>
      </c>
      <c r="G5428" s="876" t="s">
        <v>139</v>
      </c>
      <c r="H5428" s="877"/>
      <c r="I5428" s="878"/>
      <c r="J5428" s="877"/>
      <c r="K5428" s="877" t="s">
        <v>3</v>
      </c>
      <c r="L5428" s="879" t="s">
        <v>140</v>
      </c>
      <c r="M5428" s="879"/>
      <c r="N5428" s="879"/>
      <c r="O5428" s="879"/>
      <c r="P5428" s="879"/>
      <c r="Q5428" s="50" t="s">
        <v>1407</v>
      </c>
      <c r="T5428" s="880" t="str">
        <f>IF(AND($R5433=0,$T5433=0),"0.00","mu :" &amp; ROUND($F5428/$C$2/($R5433+$T5433*$D$9),2))</f>
        <v>0.00</v>
      </c>
      <c r="W5428" s="507"/>
      <c r="AG5428" s="465">
        <f>IF($E5428=0,0,ROUND($R5433*$S$2*$C$2/$A5428,2))</f>
        <v>0</v>
      </c>
      <c r="AH5428" s="465">
        <f>$AG5428*$A5428</f>
        <v>0</v>
      </c>
      <c r="AI5428" s="508">
        <f>$E5428-$AG5428</f>
        <v>0</v>
      </c>
      <c r="AJ5428" s="508">
        <f>$A5428*$AI5428</f>
        <v>0</v>
      </c>
      <c r="AK5428" s="509">
        <f>ROUND(($AG5428+$AI5428)*$A5428,2)</f>
        <v>0</v>
      </c>
      <c r="AM5428" s="510">
        <f>ROUND(R5433,2)</f>
        <v>0</v>
      </c>
      <c r="AN5428" s="511">
        <f>ROUND(T5433,2)</f>
        <v>0</v>
      </c>
      <c r="AO5428" s="512">
        <f>ROUND(AM5428+AN5428,2)*A5428</f>
        <v>0</v>
      </c>
    </row>
    <row r="5429" spans="1:41" s="504" customFormat="1" ht="13.2">
      <c r="A5429" s="872"/>
      <c r="B5429"/>
      <c r="C5429" s="872"/>
      <c r="D5429" s="916" t="s">
        <v>556</v>
      </c>
      <c r="E5429" s="917"/>
      <c r="F5429" s="918"/>
      <c r="G5429" s="919"/>
      <c r="H5429" s="918"/>
      <c r="I5429" s="920"/>
      <c r="J5429" s="918"/>
      <c r="K5429" s="918"/>
      <c r="L5429" s="918"/>
      <c r="M5429" s="918"/>
      <c r="N5429" s="918"/>
      <c r="O5429" s="918"/>
      <c r="P5429" s="918"/>
      <c r="Q5429" s="921"/>
      <c r="R5429" s="513"/>
      <c r="S5429" s="881"/>
      <c r="T5429" s="877"/>
    </row>
    <row r="5430" spans="1:41" s="504" customFormat="1" ht="12">
      <c r="A5430" s="50"/>
      <c r="B5430" s="882"/>
      <c r="C5430" s="882"/>
      <c r="D5430" s="882"/>
      <c r="E5430" s="882"/>
      <c r="F5430" s="877"/>
      <c r="G5430" s="882"/>
      <c r="H5430" s="882"/>
      <c r="I5430" s="503"/>
      <c r="J5430" s="882"/>
      <c r="K5430" s="882"/>
      <c r="L5430" s="882"/>
      <c r="M5430" s="882"/>
      <c r="N5430" s="882"/>
      <c r="O5430" s="882"/>
      <c r="P5430" s="882"/>
      <c r="Q5430" s="503"/>
      <c r="R5430" s="883">
        <f>$A5430*Q5430</f>
        <v>0</v>
      </c>
      <c r="S5430" s="503"/>
      <c r="T5430" s="884">
        <f>$A5430*S5430*$T$1</f>
        <v>0</v>
      </c>
    </row>
    <row r="5431" spans="1:41" s="504" customFormat="1" ht="12">
      <c r="A5431" s="50"/>
      <c r="B5431" s="882"/>
      <c r="C5431" s="882"/>
      <c r="D5431" s="50" t="s">
        <v>1407</v>
      </c>
      <c r="E5431" s="882"/>
      <c r="F5431" s="877"/>
      <c r="G5431" s="882"/>
      <c r="H5431" s="882"/>
      <c r="I5431" s="503"/>
      <c r="J5431" s="882"/>
      <c r="K5431" s="882"/>
      <c r="L5431" s="882"/>
      <c r="M5431" s="882"/>
      <c r="N5431" s="882"/>
      <c r="O5431" s="882"/>
      <c r="P5431" s="882"/>
      <c r="Q5431" s="503"/>
      <c r="R5431" s="883">
        <f>$A5431*Q5431</f>
        <v>0</v>
      </c>
      <c r="S5431" s="503"/>
      <c r="T5431" s="884">
        <f>$A5431*S5431*$T$1</f>
        <v>0</v>
      </c>
    </row>
    <row r="5432" spans="1:41" s="504" customFormat="1" ht="12">
      <c r="A5432" s="882"/>
      <c r="B5432" s="882"/>
      <c r="C5432" s="882"/>
      <c r="D5432" s="882"/>
      <c r="E5432" s="882"/>
      <c r="F5432" s="877"/>
      <c r="G5432" s="882"/>
      <c r="H5432" s="882"/>
      <c r="I5432" s="503"/>
      <c r="J5432" s="882"/>
      <c r="K5432" s="882"/>
      <c r="L5432" s="882"/>
      <c r="M5432" s="882"/>
      <c r="N5432" s="882"/>
      <c r="O5432" s="882"/>
      <c r="P5432" s="882"/>
      <c r="Q5432" s="503"/>
      <c r="R5432" s="883">
        <f>$A5432*Q5432</f>
        <v>0</v>
      </c>
      <c r="S5432" s="503"/>
      <c r="T5432" s="884">
        <f>$A5432*S5432*$T$1</f>
        <v>0</v>
      </c>
    </row>
    <row r="5433" spans="1:41" s="504" customFormat="1" ht="12.6" thickBot="1">
      <c r="A5433" s="885" t="s">
        <v>142</v>
      </c>
      <c r="B5433" s="886">
        <f>(R5432+T5432)</f>
        <v>0</v>
      </c>
      <c r="C5433" s="887"/>
      <c r="D5433" s="887"/>
      <c r="E5433" s="887"/>
      <c r="F5433" s="888"/>
      <c r="G5433" s="887" t="s">
        <v>143</v>
      </c>
      <c r="H5433" s="887"/>
      <c r="I5433" s="889"/>
      <c r="J5433" s="887"/>
      <c r="K5433" s="887" t="s">
        <v>3</v>
      </c>
      <c r="L5433" s="890" t="s">
        <v>140</v>
      </c>
      <c r="M5433" s="890"/>
      <c r="N5433" s="890"/>
      <c r="O5433" s="890"/>
      <c r="P5433" s="890"/>
      <c r="Q5433" s="891"/>
      <c r="R5433" s="892">
        <f>SUM(R5429:R5432)</f>
        <v>0</v>
      </c>
      <c r="S5433" s="887"/>
      <c r="T5433" s="892">
        <f>SUM(T5429:T5432)</f>
        <v>0</v>
      </c>
      <c r="U5433" s="514"/>
      <c r="V5433" s="514"/>
      <c r="W5433" s="514"/>
      <c r="X5433" s="514"/>
      <c r="Y5433" s="514"/>
      <c r="Z5433" s="514"/>
      <c r="AA5433" s="514"/>
      <c r="AB5433" s="514"/>
      <c r="AC5433" s="514"/>
      <c r="AD5433" s="514"/>
      <c r="AE5433" s="514"/>
      <c r="AF5433" s="514"/>
      <c r="AG5433" s="514"/>
      <c r="AH5433" s="514"/>
      <c r="AI5433" s="514"/>
      <c r="AJ5433" s="514"/>
      <c r="AK5433" s="514"/>
      <c r="AL5433" s="514"/>
      <c r="AM5433" s="514"/>
      <c r="AN5433" s="514"/>
      <c r="AO5433" s="514"/>
    </row>
    <row r="5434" spans="1:41" s="504" customFormat="1" ht="12" thickTop="1">
      <c r="A5434" s="50"/>
      <c r="B5434" s="40"/>
      <c r="C5434" s="50"/>
      <c r="E5434" s="41" t="s">
        <v>136</v>
      </c>
      <c r="F5434" s="41" t="s">
        <v>137</v>
      </c>
      <c r="G5434" s="50"/>
      <c r="H5434" s="50"/>
      <c r="I5434" s="50"/>
      <c r="J5434" s="50"/>
      <c r="K5434" s="50" t="s">
        <v>138</v>
      </c>
      <c r="L5434" s="50"/>
      <c r="M5434" s="50"/>
      <c r="N5434" s="50"/>
      <c r="O5434" s="51"/>
      <c r="P5434" s="50"/>
      <c r="Q5434" s="50"/>
      <c r="R5434" s="50"/>
      <c r="S5434" s="50"/>
      <c r="T5434" s="40"/>
      <c r="AG5434" s="867" t="s">
        <v>241</v>
      </c>
      <c r="AH5434" s="867" t="s">
        <v>242</v>
      </c>
      <c r="AI5434" s="867" t="s">
        <v>243</v>
      </c>
      <c r="AJ5434" s="867" t="s">
        <v>244</v>
      </c>
      <c r="AK5434" s="867" t="s">
        <v>245</v>
      </c>
      <c r="AM5434" s="868" t="s">
        <v>254</v>
      </c>
      <c r="AN5434" s="869" t="s">
        <v>255</v>
      </c>
      <c r="AO5434" s="505" t="s">
        <v>251</v>
      </c>
    </row>
    <row r="5435" spans="1:41" s="504" customFormat="1" ht="12" customHeight="1">
      <c r="A5435" s="870">
        <v>1</v>
      </c>
      <c r="B5435" s="506" t="s">
        <v>272</v>
      </c>
      <c r="C5435" s="872"/>
      <c r="D5435" s="873" t="s">
        <v>818</v>
      </c>
      <c r="E5435" s="874">
        <f>IF(AND($A5435=0,$A$1="DIF"),0, ROUND(ROUND(($R5440*$S$2+($T5440*$T$2))/A5435,2)*$C$2,2))</f>
        <v>0</v>
      </c>
      <c r="F5435" s="875">
        <f>ROUND($A5435*$E5435,2)</f>
        <v>0</v>
      </c>
      <c r="G5435" s="876" t="s">
        <v>139</v>
      </c>
      <c r="H5435" s="877"/>
      <c r="I5435" s="878"/>
      <c r="J5435" s="877"/>
      <c r="K5435" s="877" t="s">
        <v>3</v>
      </c>
      <c r="L5435" s="879" t="s">
        <v>140</v>
      </c>
      <c r="M5435" s="879"/>
      <c r="N5435" s="879"/>
      <c r="O5435" s="879"/>
      <c r="P5435" s="879"/>
      <c r="Q5435" s="50" t="s">
        <v>1407</v>
      </c>
      <c r="T5435" s="880" t="str">
        <f>IF(AND($R5440=0,$T5440=0),"0.00","mu :" &amp; ROUND($F5435/$C$2/($R5440+$T5440*$D$9),2))</f>
        <v>0.00</v>
      </c>
      <c r="W5435" s="507"/>
      <c r="AG5435" s="465">
        <f>IF($E5435=0,0,ROUND($R5440*$S$2*$C$2/$A5435,2))</f>
        <v>0</v>
      </c>
      <c r="AH5435" s="465">
        <f>$AG5435*$A5435</f>
        <v>0</v>
      </c>
      <c r="AI5435" s="508">
        <f>$E5435-$AG5435</f>
        <v>0</v>
      </c>
      <c r="AJ5435" s="508">
        <f>$A5435*$AI5435</f>
        <v>0</v>
      </c>
      <c r="AK5435" s="509">
        <f>ROUND(($AG5435+$AI5435)*$A5435,2)</f>
        <v>0</v>
      </c>
      <c r="AM5435" s="510">
        <f>ROUND(R5440,2)</f>
        <v>0</v>
      </c>
      <c r="AN5435" s="511">
        <f>ROUND(T5440,2)</f>
        <v>0</v>
      </c>
      <c r="AO5435" s="512">
        <f>ROUND(AM5435+AN5435,2)*A5435</f>
        <v>0</v>
      </c>
    </row>
    <row r="5436" spans="1:41" s="504" customFormat="1" ht="60">
      <c r="A5436" s="872"/>
      <c r="B5436"/>
      <c r="C5436" s="872"/>
      <c r="D5436" s="916" t="s">
        <v>932</v>
      </c>
      <c r="E5436" s="917"/>
      <c r="F5436" s="918"/>
      <c r="G5436" s="919"/>
      <c r="H5436" s="918"/>
      <c r="I5436" s="920"/>
      <c r="J5436" s="918"/>
      <c r="K5436" s="918"/>
      <c r="L5436" s="918"/>
      <c r="M5436" s="918"/>
      <c r="N5436" s="918"/>
      <c r="O5436" s="918"/>
      <c r="P5436" s="918"/>
      <c r="Q5436" s="921"/>
      <c r="R5436" s="513"/>
      <c r="S5436" s="881"/>
      <c r="T5436" s="877"/>
    </row>
    <row r="5437" spans="1:41" s="504" customFormat="1" ht="12">
      <c r="A5437" s="50"/>
      <c r="B5437" s="882"/>
      <c r="C5437" s="882"/>
      <c r="D5437" s="882"/>
      <c r="E5437" s="882"/>
      <c r="F5437" s="877"/>
      <c r="G5437" s="882"/>
      <c r="H5437" s="882"/>
      <c r="I5437" s="503"/>
      <c r="J5437" s="882"/>
      <c r="K5437" s="882"/>
      <c r="L5437" s="882"/>
      <c r="M5437" s="882"/>
      <c r="N5437" s="882"/>
      <c r="O5437" s="882"/>
      <c r="P5437" s="882"/>
      <c r="Q5437" s="503"/>
      <c r="R5437" s="883">
        <f>$A5437*Q5437</f>
        <v>0</v>
      </c>
      <c r="S5437" s="503"/>
      <c r="T5437" s="884">
        <f>$A5437*S5437*$T$1</f>
        <v>0</v>
      </c>
    </row>
    <row r="5438" spans="1:41" s="504" customFormat="1" ht="12">
      <c r="A5438" s="50"/>
      <c r="B5438" s="882"/>
      <c r="C5438" s="882"/>
      <c r="D5438" s="50" t="s">
        <v>1407</v>
      </c>
      <c r="E5438" s="882"/>
      <c r="F5438" s="877"/>
      <c r="G5438" s="882"/>
      <c r="H5438" s="882"/>
      <c r="I5438" s="503"/>
      <c r="J5438" s="882"/>
      <c r="K5438" s="882"/>
      <c r="L5438" s="882"/>
      <c r="M5438" s="882"/>
      <c r="N5438" s="882"/>
      <c r="O5438" s="882"/>
      <c r="P5438" s="882"/>
      <c r="Q5438" s="503"/>
      <c r="R5438" s="883">
        <f>$A5438*Q5438</f>
        <v>0</v>
      </c>
      <c r="S5438" s="503"/>
      <c r="T5438" s="884">
        <f>$A5438*S5438*$T$1</f>
        <v>0</v>
      </c>
    </row>
    <row r="5439" spans="1:41" s="504" customFormat="1" ht="12">
      <c r="A5439" s="882"/>
      <c r="B5439" s="882"/>
      <c r="C5439" s="882"/>
      <c r="D5439" s="882"/>
      <c r="E5439" s="882"/>
      <c r="F5439" s="877"/>
      <c r="G5439" s="882"/>
      <c r="H5439" s="882"/>
      <c r="I5439" s="503"/>
      <c r="J5439" s="882"/>
      <c r="K5439" s="882"/>
      <c r="L5439" s="882"/>
      <c r="M5439" s="882"/>
      <c r="N5439" s="882"/>
      <c r="O5439" s="882"/>
      <c r="P5439" s="882"/>
      <c r="Q5439" s="503"/>
      <c r="R5439" s="883">
        <f>$A5439*Q5439</f>
        <v>0</v>
      </c>
      <c r="S5439" s="503"/>
      <c r="T5439" s="884">
        <f>$A5439*S5439*$T$1</f>
        <v>0</v>
      </c>
    </row>
    <row r="5440" spans="1:41" s="504" customFormat="1" ht="12.6" thickBot="1">
      <c r="A5440" s="885" t="s">
        <v>142</v>
      </c>
      <c r="B5440" s="886">
        <f>(R5439+T5439)</f>
        <v>0</v>
      </c>
      <c r="C5440" s="887"/>
      <c r="D5440" s="887"/>
      <c r="E5440" s="887"/>
      <c r="F5440" s="888"/>
      <c r="G5440" s="887" t="s">
        <v>143</v>
      </c>
      <c r="H5440" s="887"/>
      <c r="I5440" s="889"/>
      <c r="J5440" s="887"/>
      <c r="K5440" s="887" t="s">
        <v>3</v>
      </c>
      <c r="L5440" s="890" t="s">
        <v>140</v>
      </c>
      <c r="M5440" s="890"/>
      <c r="N5440" s="890"/>
      <c r="O5440" s="890"/>
      <c r="P5440" s="890"/>
      <c r="Q5440" s="891"/>
      <c r="R5440" s="892">
        <f>SUM(R5436:R5439)</f>
        <v>0</v>
      </c>
      <c r="S5440" s="887"/>
      <c r="T5440" s="892">
        <f>SUM(T5436:T5439)</f>
        <v>0</v>
      </c>
      <c r="U5440" s="514"/>
      <c r="V5440" s="514"/>
      <c r="W5440" s="514"/>
      <c r="X5440" s="514"/>
      <c r="Y5440" s="514"/>
      <c r="Z5440" s="514"/>
      <c r="AA5440" s="514"/>
      <c r="AB5440" s="514"/>
      <c r="AC5440" s="514"/>
      <c r="AD5440" s="514"/>
      <c r="AE5440" s="514"/>
      <c r="AF5440" s="514"/>
      <c r="AG5440" s="514"/>
      <c r="AH5440" s="514"/>
      <c r="AI5440" s="514"/>
      <c r="AJ5440" s="514"/>
      <c r="AK5440" s="514"/>
      <c r="AL5440" s="514"/>
      <c r="AM5440" s="514"/>
      <c r="AN5440" s="514"/>
      <c r="AO5440" s="514"/>
    </row>
    <row r="5441" spans="1:37" s="504" customFormat="1" ht="12" thickTop="1">
      <c r="A5441" s="47" t="s">
        <v>145</v>
      </c>
      <c r="D5441" s="13"/>
      <c r="E5441" s="41"/>
      <c r="O5441" s="893"/>
    </row>
    <row r="5442" spans="1:37" s="504" customFormat="1" ht="13.2">
      <c r="B5442" s="3"/>
      <c r="O5442" s="893"/>
    </row>
    <row r="5443" spans="1:37" s="504" customFormat="1" ht="12">
      <c r="B5443" s="894">
        <f>$F5443/$C$2-($R5443*$S$2+$T5443*$T$2)</f>
        <v>0</v>
      </c>
      <c r="D5443" s="895" t="s">
        <v>817</v>
      </c>
      <c r="E5443" s="896"/>
      <c r="F5443" s="897">
        <f>SUMIF($L5410:$L5441,"ITEM",F5410:F5441)</f>
        <v>0</v>
      </c>
      <c r="G5443" s="882"/>
      <c r="H5443" s="882"/>
      <c r="I5443" s="503"/>
      <c r="J5443" s="882"/>
      <c r="K5443" s="882"/>
      <c r="L5443" s="879" t="s">
        <v>154</v>
      </c>
      <c r="M5443" s="879"/>
      <c r="N5443" s="879"/>
      <c r="O5443" s="879"/>
      <c r="P5443" s="879"/>
      <c r="R5443" s="897">
        <f>SUMIF($L5410:$L5441,"ITEM",R5410:R5441)</f>
        <v>0</v>
      </c>
      <c r="S5443" s="898"/>
      <c r="T5443" s="897">
        <f>SUMIF($L5410:$L5441,"ITEM",T5410:T5441)</f>
        <v>0</v>
      </c>
    </row>
    <row r="5444" spans="1:37" s="504" customFormat="1" ht="13.2">
      <c r="A5444" s="50"/>
      <c r="B5444" s="48" t="s">
        <v>816</v>
      </c>
      <c r="C5444" s="50"/>
      <c r="D5444" s="3"/>
      <c r="F5444" s="899" t="s">
        <v>155</v>
      </c>
      <c r="G5444" s="882"/>
      <c r="H5444" s="882"/>
      <c r="I5444" s="503"/>
      <c r="J5444" s="882"/>
      <c r="K5444" s="882"/>
      <c r="L5444" s="882"/>
      <c r="M5444" s="882"/>
      <c r="N5444" s="882"/>
      <c r="O5444" s="882"/>
      <c r="P5444" s="882"/>
      <c r="Q5444" s="900"/>
      <c r="R5444" s="899" t="s">
        <v>156</v>
      </c>
      <c r="S5444" s="38"/>
      <c r="T5444" s="899" t="s">
        <v>157</v>
      </c>
    </row>
    <row r="5445" spans="1:37" s="504" customFormat="1" ht="13.2">
      <c r="A5445" s="882"/>
      <c r="B5445" s="3"/>
      <c r="C5445" s="882"/>
      <c r="D5445" s="3"/>
      <c r="E5445" s="3"/>
      <c r="G5445" s="3"/>
      <c r="H5445" s="3"/>
      <c r="I5445" s="3"/>
      <c r="J5445" s="3"/>
      <c r="K5445" s="3"/>
      <c r="L5445" s="3"/>
      <c r="M5445" s="3"/>
      <c r="N5445" s="3"/>
      <c r="O5445" s="103"/>
      <c r="P5445" s="3"/>
      <c r="Q5445" s="3"/>
      <c r="R5445" s="3"/>
      <c r="S5445" s="3"/>
      <c r="T5445" s="3"/>
    </row>
    <row r="5446" spans="1:37" s="504" customFormat="1" ht="12" thickBot="1">
      <c r="A5446" s="514"/>
      <c r="B5446" s="887"/>
      <c r="C5446" s="887"/>
      <c r="D5446" s="514"/>
      <c r="E5446" s="39"/>
      <c r="F5446" s="901"/>
      <c r="G5446" s="887"/>
      <c r="H5446" s="887"/>
      <c r="I5446" s="889"/>
      <c r="J5446" s="887"/>
      <c r="K5446" s="887"/>
      <c r="L5446" s="890"/>
      <c r="M5446" s="890"/>
      <c r="N5446" s="890"/>
      <c r="O5446" s="890"/>
      <c r="P5446" s="890"/>
      <c r="Q5446" s="891"/>
      <c r="R5446" s="901"/>
      <c r="S5446" s="902"/>
      <c r="T5446" s="901"/>
      <c r="U5446" s="514"/>
      <c r="V5446" s="514"/>
      <c r="W5446" s="514"/>
      <c r="X5446" s="514"/>
      <c r="Y5446" s="514"/>
      <c r="Z5446" s="514"/>
      <c r="AA5446" s="514"/>
      <c r="AB5446" s="514"/>
      <c r="AC5446" s="514"/>
      <c r="AD5446" s="514"/>
      <c r="AE5446" s="514"/>
      <c r="AF5446" s="514"/>
      <c r="AG5446" s="514"/>
      <c r="AH5446" s="514"/>
      <c r="AI5446" s="514"/>
      <c r="AJ5446" s="514"/>
      <c r="AK5446" s="514"/>
    </row>
    <row r="5447" spans="1:37" s="504" customFormat="1" thickTop="1">
      <c r="A5447" s="47" t="s">
        <v>145</v>
      </c>
      <c r="B5447" s="3"/>
      <c r="C5447" s="50"/>
      <c r="D5447" s="50"/>
      <c r="E5447" s="50"/>
      <c r="F5447" s="50"/>
      <c r="G5447" s="50"/>
      <c r="H5447" s="50"/>
      <c r="I5447" s="50"/>
      <c r="J5447" s="50"/>
      <c r="K5447" s="50"/>
      <c r="L5447" s="50"/>
      <c r="M5447" s="50"/>
      <c r="N5447" s="50"/>
      <c r="O5447" s="51"/>
      <c r="P5447" s="50"/>
      <c r="Q5447" s="50"/>
      <c r="R5447" s="50"/>
      <c r="S5447" s="50"/>
      <c r="T5447" s="50"/>
    </row>
    <row r="5448" spans="1:37" s="504" customFormat="1" ht="13.2">
      <c r="A5448" s="50"/>
      <c r="B5448" s="3"/>
      <c r="C5448" s="3"/>
      <c r="E5448" s="3"/>
      <c r="F5448" s="3"/>
      <c r="G5448" s="3"/>
      <c r="H5448" s="3"/>
      <c r="I5448" s="3"/>
      <c r="J5448" s="3"/>
      <c r="K5448" s="3"/>
      <c r="L5448" s="3"/>
      <c r="M5448" s="3"/>
      <c r="N5448" s="3"/>
      <c r="O5448" s="103"/>
      <c r="P5448" s="3"/>
      <c r="Q5448" s="3"/>
      <c r="R5448" s="3"/>
      <c r="S5448" s="3"/>
      <c r="T5448" s="3"/>
    </row>
    <row r="5449" spans="1:37" s="504" customFormat="1" ht="12">
      <c r="A5449" s="50"/>
      <c r="B5449" s="894">
        <f>$F5449/$C$2-($R5449*$S$2+$T5449*$T$2)</f>
        <v>0</v>
      </c>
      <c r="C5449" s="50"/>
      <c r="D5449" s="913" t="s">
        <v>554</v>
      </c>
      <c r="E5449" s="896"/>
      <c r="F5449" s="914">
        <f>SUMIF($L5416:$L5447,"PAGE",F5416:F5447)</f>
        <v>0</v>
      </c>
      <c r="G5449" s="882"/>
      <c r="H5449" s="882"/>
      <c r="I5449" s="503"/>
      <c r="J5449" s="882"/>
      <c r="K5449" s="882"/>
      <c r="L5449" s="117" t="s">
        <v>918</v>
      </c>
      <c r="M5449" s="117"/>
      <c r="N5449" s="117"/>
      <c r="O5449" s="118"/>
      <c r="P5449" s="117"/>
      <c r="Q5449" s="50"/>
      <c r="R5449" s="914">
        <f>SUMIF($L5416:$L5447,"PAGE",R5416:R5447)</f>
        <v>0</v>
      </c>
      <c r="S5449" s="50"/>
      <c r="T5449" s="914">
        <f>SUMIF($L5416:$L5447,"PAGE",T5416:T5447)</f>
        <v>0</v>
      </c>
    </row>
    <row r="5450" spans="1:37" s="504" customFormat="1" ht="12">
      <c r="A5450" s="50"/>
      <c r="B5450" s="48" t="s">
        <v>816</v>
      </c>
      <c r="C5450" s="50"/>
      <c r="D5450" s="913"/>
      <c r="F5450" s="915" t="s">
        <v>919</v>
      </c>
      <c r="G5450" s="882"/>
      <c r="H5450" s="882"/>
      <c r="I5450" s="503"/>
      <c r="J5450" s="882"/>
      <c r="K5450" s="882"/>
      <c r="L5450" s="50"/>
      <c r="M5450" s="50"/>
      <c r="N5450" s="50"/>
      <c r="O5450" s="51"/>
      <c r="P5450" s="50"/>
      <c r="Q5450" s="50"/>
      <c r="R5450" s="915" t="s">
        <v>920</v>
      </c>
      <c r="S5450" s="38"/>
      <c r="T5450" s="915" t="s">
        <v>921</v>
      </c>
    </row>
    <row r="5451" spans="1:37" s="504" customFormat="1" ht="11.4">
      <c r="O5451" s="893"/>
    </row>
    <row r="5452" spans="1:37" s="504" customFormat="1" ht="12" thickBot="1">
      <c r="A5452" s="887"/>
      <c r="B5452" s="887"/>
      <c r="C5452" s="887"/>
      <c r="D5452" s="887"/>
      <c r="E5452" s="887"/>
      <c r="F5452" s="39"/>
      <c r="G5452" s="514"/>
      <c r="H5452" s="514"/>
      <c r="I5452" s="514"/>
      <c r="J5452" s="514"/>
      <c r="K5452" s="514"/>
      <c r="L5452" s="887"/>
      <c r="M5452" s="887"/>
      <c r="N5452" s="887"/>
      <c r="O5452" s="887"/>
      <c r="P5452" s="887"/>
      <c r="Q5452" s="891"/>
      <c r="R5452" s="39"/>
      <c r="S5452" s="39"/>
      <c r="T5452" s="39"/>
      <c r="U5452" s="514"/>
      <c r="V5452" s="514"/>
      <c r="W5452" s="514"/>
      <c r="X5452" s="514"/>
      <c r="Y5452" s="514"/>
      <c r="Z5452" s="514"/>
      <c r="AA5452" s="514"/>
      <c r="AB5452" s="514"/>
      <c r="AC5452" s="514"/>
      <c r="AD5452" s="514"/>
      <c r="AE5452" s="514"/>
      <c r="AF5452" s="514"/>
      <c r="AG5452" s="514"/>
      <c r="AH5452" s="514"/>
      <c r="AI5452" s="514"/>
      <c r="AJ5452" s="514"/>
      <c r="AK5452" s="514"/>
    </row>
    <row r="5453" spans="1:37" s="504" customFormat="1" ht="14.4" thickTop="1" thickBot="1">
      <c r="A5453" s="47"/>
      <c r="B5453" s="3"/>
      <c r="C5453" s="50"/>
      <c r="D5453" s="3"/>
      <c r="E5453" s="3"/>
      <c r="F5453" s="3"/>
      <c r="G5453" s="3"/>
      <c r="H5453" s="3"/>
      <c r="I5453" s="3"/>
      <c r="J5453" s="3"/>
      <c r="K5453" s="3"/>
      <c r="L5453" s="3"/>
      <c r="M5453" s="3"/>
      <c r="N5453" s="3"/>
      <c r="O5453" s="103"/>
      <c r="P5453" s="3"/>
      <c r="Q5453" s="3"/>
      <c r="R5453" s="3"/>
      <c r="S5453" s="3"/>
      <c r="T5453" s="3"/>
      <c r="AH5453" s="922">
        <f ca="1">SUM(AH$15:AH5452)</f>
        <v>191996.66999999998</v>
      </c>
      <c r="AI5453" s="36"/>
      <c r="AJ5453" s="922">
        <f ca="1">SUM(AJ$15:AJ5452)</f>
        <v>94402.119999999952</v>
      </c>
      <c r="AK5453" s="922">
        <f ca="1">SUM(AK$15:AK5452)</f>
        <v>286398.78999999986</v>
      </c>
    </row>
    <row r="5454" spans="1:37" s="504" customFormat="1" ht="12" thickTop="1">
      <c r="B5454" s="923">
        <f ca="1">$F5454/$C$2-($R5454*$S$2+$T5454*$T$2)</f>
        <v>-2.0069440704246517</v>
      </c>
      <c r="C5454" s="504" t="s">
        <v>72</v>
      </c>
      <c r="D5454" s="924"/>
      <c r="E5454" s="924" t="str">
        <f>$F$2 &amp; " (mu_A) :"</f>
        <v>Electrical (mu_A) :</v>
      </c>
      <c r="F5454" s="925">
        <f ca="1">SUMIF($K$13:$K5453,"mu_A",F$13:F5453)</f>
        <v>225676.33999999988</v>
      </c>
      <c r="O5454" s="893"/>
      <c r="R5454" s="926">
        <f ca="1">SUMIF($K$13:$K5453,"mu_A",$R$13:$R5453)</f>
        <v>113304.29300000024</v>
      </c>
      <c r="T5454" s="926">
        <f ca="1">SUMIF($K$13:$K5453,"mu_A",$T$13:$T5453)</f>
        <v>2485.9695000000002</v>
      </c>
      <c r="AH5454" s="927">
        <f ca="1">R5454*$S$2</f>
        <v>138231.23746000029</v>
      </c>
      <c r="AJ5454" s="927">
        <f ca="1">T5454*$T$2</f>
        <v>87447.10948407001</v>
      </c>
    </row>
    <row r="5455" spans="1:37" s="504" customFormat="1" ht="11.4">
      <c r="B5455" s="923">
        <f ca="1">$F5455/$C$3-($R5455*$S$3+$T5455*$T$3)</f>
        <v>6.2599999999292777E-2</v>
      </c>
      <c r="C5455" s="504" t="s">
        <v>72</v>
      </c>
      <c r="D5455" s="924"/>
      <c r="E5455" s="924" t="str">
        <f>$F$3&amp; " (mu_B) :"</f>
        <v>Controls Section (DALI) (mu_B) :</v>
      </c>
      <c r="F5455" s="928">
        <f ca="1">SUMIF($K$13:$K5453,"mu_B",F$13:F5453)</f>
        <v>5699.92</v>
      </c>
      <c r="G5455" s="882"/>
      <c r="H5455" s="882"/>
      <c r="I5455" s="503"/>
      <c r="J5455" s="882"/>
      <c r="K5455" s="882"/>
      <c r="L5455" s="882"/>
      <c r="M5455" s="882"/>
      <c r="N5455" s="882"/>
      <c r="O5455" s="882"/>
      <c r="P5455" s="882"/>
      <c r="Q5455" s="900"/>
      <c r="R5455" s="929">
        <f>SUMIF($K$13:$K5453,"mu_B",$R$13:$R5453)</f>
        <v>3180.6700000000005</v>
      </c>
      <c r="S5455" s="930"/>
      <c r="T5455" s="929">
        <f>SUMIF($K$13:$K5453,"mu_B",$T$13:$T5453)</f>
        <v>21</v>
      </c>
      <c r="AH5455" s="931">
        <f>R5455*$S$3</f>
        <v>3880.4174000000007</v>
      </c>
      <c r="AJ5455" s="931">
        <f>T5455*$T$3</f>
        <v>1819.44</v>
      </c>
    </row>
    <row r="5456" spans="1:37" s="504" customFormat="1" ht="11.4">
      <c r="B5456" s="923">
        <f ca="1">$F5456/$C$4-($R5456*$S$4+$T5456*$T$4)</f>
        <v>3.0000000006111804E-3</v>
      </c>
      <c r="C5456" s="504" t="s">
        <v>72</v>
      </c>
      <c r="D5456" s="924"/>
      <c r="E5456" s="924" t="str">
        <f>$F$4&amp; " (mu_C) :"</f>
        <v>Controls Section Engineer (DALI) (mu_C) :</v>
      </c>
      <c r="F5456" s="932">
        <f ca="1">SUMIF($K$13:$K5453,"mu_C",F$13:F5453)</f>
        <v>5074.17</v>
      </c>
      <c r="G5456" s="882"/>
      <c r="H5456" s="882"/>
      <c r="I5456" s="503"/>
      <c r="J5456" s="882"/>
      <c r="K5456" s="882"/>
      <c r="L5456" s="933"/>
      <c r="M5456" s="933"/>
      <c r="N5456" s="933"/>
      <c r="O5456" s="933"/>
      <c r="P5456" s="933"/>
      <c r="R5456" s="929">
        <f>SUMIF($K$13:$K5453,"mu_C",$R$13:$R5453)</f>
        <v>0</v>
      </c>
      <c r="S5456" s="898"/>
      <c r="T5456" s="929">
        <f>SUMIF($K$13:$K5453,"mu_C",$T$13:$T5453)</f>
        <v>98.699999999999989</v>
      </c>
      <c r="AH5456" s="934">
        <f>R5456*$S$4</f>
        <v>0</v>
      </c>
      <c r="AJ5456" s="934">
        <f>T5456*$T$4</f>
        <v>5074.1669999999995</v>
      </c>
    </row>
    <row r="5457" spans="1:37" s="504" customFormat="1" ht="11.4">
      <c r="B5457" s="923">
        <f>$F5457/$C$5-($R5457*$S$5+$T5457*$T$5)</f>
        <v>-1.6287500000107684</v>
      </c>
      <c r="C5457" s="504" t="s">
        <v>72</v>
      </c>
      <c r="D5457" s="924"/>
      <c r="E5457" s="924" t="str">
        <f>$F$5&amp; " (mu_D) :"</f>
        <v>ELV Sub-Contractor - APCO (mu_D) :</v>
      </c>
      <c r="F5457" s="935">
        <f>SUMIF($K$13:$K5453,"mu_D",F$13:F5453)</f>
        <v>42819.759999999987</v>
      </c>
      <c r="G5457" s="882"/>
      <c r="H5457" s="882"/>
      <c r="I5457" s="503"/>
      <c r="J5457" s="882"/>
      <c r="K5457" s="882"/>
      <c r="L5457" s="933"/>
      <c r="M5457" s="933"/>
      <c r="N5457" s="933"/>
      <c r="O5457" s="933"/>
      <c r="P5457" s="933"/>
      <c r="R5457" s="929">
        <f>SUMIF($K$13:$K5453,"mu_D",$R$13:$R5453)</f>
        <v>39833.85</v>
      </c>
      <c r="S5457" s="898"/>
      <c r="T5457" s="929">
        <f>SUMIF($K$13:$K5453,"mu_D",$T$13:$T5453)</f>
        <v>0</v>
      </c>
      <c r="AH5457" s="936">
        <f>R5457*$S$5</f>
        <v>42821.388749999998</v>
      </c>
      <c r="AJ5457" s="936">
        <f>T5457*$T$5</f>
        <v>0</v>
      </c>
    </row>
    <row r="5458" spans="1:37" s="504" customFormat="1" ht="11.4">
      <c r="B5458" s="923">
        <f>$F5458/$C$6-($R5458*$S$6+$T5458*$T$6)</f>
        <v>0</v>
      </c>
      <c r="C5458" s="504" t="s">
        <v>72</v>
      </c>
      <c r="D5458" s="924"/>
      <c r="E5458" s="924" t="str">
        <f>$F$6&amp; " (mu_E) :"</f>
        <v>ELV Sub-Contractor - DATA (mu_E) :</v>
      </c>
      <c r="F5458" s="937">
        <f>SUMIF($K$13:$K5453,"mu_E",F$13:F5453)</f>
        <v>6072</v>
      </c>
      <c r="G5458" s="882"/>
      <c r="H5458" s="882"/>
      <c r="I5458" s="503"/>
      <c r="J5458" s="882"/>
      <c r="K5458" s="882"/>
      <c r="L5458" s="933"/>
      <c r="M5458" s="933"/>
      <c r="N5458" s="933"/>
      <c r="O5458" s="933"/>
      <c r="P5458" s="933"/>
      <c r="R5458" s="929">
        <f>SUMIF($K$13:$K5453,"mu_E",$R$13:$R5453)</f>
        <v>5520</v>
      </c>
      <c r="S5458" s="898"/>
      <c r="T5458" s="929">
        <f>SUMIF($K$13:$K5453,"mu_E",$T$13:$T5453)</f>
        <v>0</v>
      </c>
      <c r="AH5458" s="938">
        <f>R5458*$S$6</f>
        <v>6072.0000000000009</v>
      </c>
      <c r="AJ5458" s="938">
        <f>T5458*$T$6</f>
        <v>0</v>
      </c>
    </row>
    <row r="5459" spans="1:37" s="504" customFormat="1" ht="11.4">
      <c r="B5459" s="923">
        <f>$F5459/$C$7-($R5459*$S$7+$T5459*$T$7)</f>
        <v>0</v>
      </c>
      <c r="C5459" s="504" t="s">
        <v>72</v>
      </c>
      <c r="D5459" s="924"/>
      <c r="E5459" s="924" t="str">
        <f>$F$7&amp; " (mu_F) :"</f>
        <v>0 (mu_F) :</v>
      </c>
      <c r="F5459" s="939">
        <f>SUMIF($K$13:$K5453,"mu_F",F$13:F5453)</f>
        <v>0</v>
      </c>
      <c r="G5459" s="882"/>
      <c r="H5459" s="882"/>
      <c r="I5459" s="503"/>
      <c r="J5459" s="882"/>
      <c r="K5459" s="882"/>
      <c r="L5459" s="933"/>
      <c r="M5459" s="933"/>
      <c r="N5459" s="933"/>
      <c r="O5459" s="933"/>
      <c r="P5459" s="933"/>
      <c r="R5459" s="929">
        <f>SUMIF($K$13:$K5453,"mu_F",$R$13:$R5453)</f>
        <v>0</v>
      </c>
      <c r="S5459" s="898"/>
      <c r="T5459" s="929">
        <f>SUMIF($K$13:$K5453,"mu_F",$T$13:$T5453)</f>
        <v>0</v>
      </c>
      <c r="AH5459" s="940">
        <f>R5459*$S$7</f>
        <v>0</v>
      </c>
      <c r="AJ5459" s="940">
        <f>T5459*$T$7</f>
        <v>0</v>
      </c>
    </row>
    <row r="5460" spans="1:37" s="504" customFormat="1" ht="11.4">
      <c r="B5460" s="923">
        <f>$F5460/$C$8-($R5460*$S$8+$T5460*$T$8)</f>
        <v>0</v>
      </c>
      <c r="C5460" s="504" t="s">
        <v>72</v>
      </c>
      <c r="D5460" s="924"/>
      <c r="E5460" s="924" t="str">
        <f>$F$8&amp; " (mu_G) :"</f>
        <v>0 (mu_G) :</v>
      </c>
      <c r="F5460" s="941">
        <f>SUMIF($K$13:$K5453,"mu_G",F$13:F5453)</f>
        <v>0</v>
      </c>
      <c r="G5460" s="882"/>
      <c r="H5460" s="882"/>
      <c r="I5460" s="503"/>
      <c r="J5460" s="882"/>
      <c r="K5460" s="882"/>
      <c r="L5460" s="933"/>
      <c r="M5460" s="933"/>
      <c r="N5460" s="933"/>
      <c r="O5460" s="933"/>
      <c r="P5460" s="933"/>
      <c r="R5460" s="929">
        <f>SUMIF($K$13:$K5453,"mu_G",$R$13:$R5453)</f>
        <v>0</v>
      </c>
      <c r="S5460" s="898"/>
      <c r="T5460" s="929">
        <f>SUMIF($K$13:$K5453,"mu_G",$T$13:$T5453)</f>
        <v>0</v>
      </c>
      <c r="AH5460" s="942">
        <f>R5460*$S$8</f>
        <v>0</v>
      </c>
      <c r="AJ5460" s="942">
        <f>T5460*$T$8</f>
        <v>0</v>
      </c>
    </row>
    <row r="5461" spans="1:37" s="504" customFormat="1" ht="11.4">
      <c r="B5461" s="923">
        <f>$F5461/$C$9-($R5461*$S$9+$T5461*$T$9)</f>
        <v>0</v>
      </c>
      <c r="C5461" s="504" t="s">
        <v>72</v>
      </c>
      <c r="D5461" s="924"/>
      <c r="E5461" s="924" t="str">
        <f>$F$9&amp; " (mu_H) :"</f>
        <v>0 (mu_H) :</v>
      </c>
      <c r="F5461" s="943">
        <f>SUMIF($K$13:$K5453,"mu_H",F$13:F5453)</f>
        <v>0</v>
      </c>
      <c r="G5461" s="882"/>
      <c r="H5461" s="882"/>
      <c r="I5461" s="503"/>
      <c r="J5461" s="882"/>
      <c r="K5461" s="882"/>
      <c r="L5461" s="933"/>
      <c r="M5461" s="933"/>
      <c r="N5461" s="933"/>
      <c r="O5461" s="933"/>
      <c r="P5461" s="933"/>
      <c r="R5461" s="929">
        <f>SUMIF($K$13:$K5453,"mu_H",$R$13:$R5453)</f>
        <v>0</v>
      </c>
      <c r="S5461" s="898"/>
      <c r="T5461" s="929">
        <f>SUMIF($K$13:$K5453,"mu_H",$T$13:$T5453)</f>
        <v>0</v>
      </c>
      <c r="AH5461" s="944">
        <f>R5461*$S$9</f>
        <v>0</v>
      </c>
      <c r="AJ5461" s="944">
        <f>T5461*$T$9</f>
        <v>0</v>
      </c>
    </row>
    <row r="5462" spans="1:37" s="504" customFormat="1" ht="11.4">
      <c r="B5462" s="923">
        <f>$F5462/$C$10-($R5462*$S$10+$T5462*$T$10)</f>
        <v>-4.2300000002342131E-3</v>
      </c>
      <c r="C5462" s="504" t="s">
        <v>72</v>
      </c>
      <c r="D5462" s="924"/>
      <c r="E5462" s="924" t="str">
        <f>$F$10&amp; " (mu_I) :"</f>
        <v>Enemalta 3Ph Application (mu_I) :</v>
      </c>
      <c r="F5462" s="945">
        <f>SUMIF($K$13:$K5453,"mu_I",F$13:F5453)</f>
        <v>1056.5999999999999</v>
      </c>
      <c r="G5462" s="882"/>
      <c r="H5462" s="882"/>
      <c r="I5462" s="503"/>
      <c r="J5462" s="882"/>
      <c r="K5462" s="882"/>
      <c r="L5462" s="933"/>
      <c r="M5462" s="933"/>
      <c r="N5462" s="933"/>
      <c r="O5462" s="933"/>
      <c r="P5462" s="933"/>
      <c r="R5462" s="929">
        <f>SUMIF($K$13:$K5453,"mu_I",$R$13:$R5453)</f>
        <v>900</v>
      </c>
      <c r="S5462" s="898"/>
      <c r="T5462" s="929">
        <f>SUMIF($K$13:$K5453,"mu_I",$T$13:$T5453)</f>
        <v>2.1</v>
      </c>
      <c r="AH5462" s="946">
        <f>R5462*$S$10</f>
        <v>990.00000000000011</v>
      </c>
      <c r="AJ5462" s="946">
        <f>T5462*$T$10</f>
        <v>66.604230000000001</v>
      </c>
    </row>
    <row r="5463" spans="1:37" s="504" customFormat="1" ht="11.4">
      <c r="B5463" s="923">
        <f>$F5463/$C$11-($R5463*$S$11+$T5463*$T$11)</f>
        <v>0</v>
      </c>
      <c r="D5463" s="924"/>
      <c r="E5463" s="924" t="str">
        <f>$F$10&amp; " (mu_J) :"</f>
        <v>Enemalta 3Ph Application (mu_J) :</v>
      </c>
      <c r="F5463" s="947">
        <f>SUMIF($K$13:$K5453,"mu_J",F$13:F5453)</f>
        <v>0</v>
      </c>
      <c r="G5463" s="882"/>
      <c r="H5463" s="882"/>
      <c r="I5463" s="503"/>
      <c r="J5463" s="882"/>
      <c r="K5463" s="882"/>
      <c r="L5463" s="933"/>
      <c r="M5463" s="933"/>
      <c r="N5463" s="933"/>
      <c r="O5463" s="933"/>
      <c r="P5463" s="933"/>
      <c r="R5463" s="929">
        <f>SUMIF($K$13:$K5453,"mu_J",$R$13:$R5453)</f>
        <v>0</v>
      </c>
      <c r="S5463" s="898"/>
      <c r="T5463" s="929">
        <f>SUMIF($K$13:$K5453,"mu_J",$T$13:$T5453)</f>
        <v>0</v>
      </c>
      <c r="AH5463" s="948">
        <f>R5463*$S$11</f>
        <v>0</v>
      </c>
      <c r="AJ5463" s="948">
        <f>T5463*$T$11</f>
        <v>0</v>
      </c>
    </row>
    <row r="5464" spans="1:37" s="504" customFormat="1" ht="14.4" thickBot="1">
      <c r="A5464" s="949"/>
      <c r="B5464" s="949"/>
      <c r="C5464" s="950" t="s">
        <v>933</v>
      </c>
      <c r="D5464" s="951"/>
      <c r="E5464" s="952" t="s">
        <v>934</v>
      </c>
      <c r="F5464" s="953">
        <f ca="1">SUM(F5454:F5463)</f>
        <v>286398.78999999986</v>
      </c>
      <c r="G5464" s="954"/>
      <c r="H5464" s="954"/>
      <c r="I5464" s="955"/>
      <c r="J5464" s="954"/>
      <c r="K5464" s="954"/>
      <c r="L5464" s="956"/>
      <c r="M5464" s="956"/>
      <c r="N5464" s="956"/>
      <c r="O5464" s="956"/>
      <c r="P5464" s="956"/>
      <c r="Q5464" s="957"/>
      <c r="R5464" s="957">
        <f ca="1">SUM(R5454:R5463)</f>
        <v>162738.81300000023</v>
      </c>
      <c r="S5464" s="958"/>
      <c r="T5464" s="957">
        <f ca="1">SUM(T5454:T5463)</f>
        <v>2607.7694999999999</v>
      </c>
      <c r="U5464" s="514"/>
      <c r="V5464" s="514"/>
      <c r="W5464" s="514"/>
      <c r="X5464" s="514"/>
      <c r="Y5464" s="514"/>
      <c r="Z5464" s="514"/>
      <c r="AA5464" s="514"/>
      <c r="AB5464" s="514"/>
      <c r="AC5464" s="514"/>
      <c r="AD5464" s="514"/>
      <c r="AE5464" s="514"/>
      <c r="AF5464" s="514"/>
      <c r="AG5464" s="514"/>
      <c r="AH5464" s="922">
        <f ca="1">SUM(AH5454:AH5463)</f>
        <v>191995.04361000028</v>
      </c>
      <c r="AI5464" s="959"/>
      <c r="AJ5464" s="922">
        <f ca="1">SUM(AJ5454:AJ5463)</f>
        <v>94407.320714070011</v>
      </c>
      <c r="AK5464" s="922">
        <f ca="1">AH5464+AJ5464</f>
        <v>286402.36432407028</v>
      </c>
    </row>
    <row r="5465" spans="1:37" s="504" customFormat="1" ht="14.4" thickTop="1">
      <c r="A5465" s="498"/>
      <c r="B5465" s="498"/>
      <c r="C5465" s="960"/>
      <c r="D5465" s="961"/>
      <c r="E5465" s="899"/>
      <c r="F5465" s="962"/>
      <c r="G5465" s="878"/>
      <c r="H5465" s="878"/>
      <c r="I5465" s="878"/>
      <c r="J5465" s="878"/>
      <c r="K5465" s="878"/>
      <c r="L5465" s="963"/>
      <c r="M5465" s="963"/>
      <c r="N5465" s="963"/>
      <c r="O5465" s="963"/>
      <c r="P5465" s="963"/>
      <c r="Q5465" s="962"/>
      <c r="R5465" s="962"/>
      <c r="S5465" s="964"/>
      <c r="T5465" s="962"/>
      <c r="AH5465" s="965">
        <f ca="1">AH5453-AH5464</f>
        <v>1.6263899996993132</v>
      </c>
      <c r="AI5465" s="36"/>
      <c r="AJ5465" s="965">
        <f ca="1">AJ5453-AJ5464</f>
        <v>-5.2007140700588934</v>
      </c>
      <c r="AK5465" s="965">
        <f ca="1">AK5453-AK5464</f>
        <v>-3.5743240704177879</v>
      </c>
    </row>
    <row r="5466" spans="1:37" s="504" customFormat="1" ht="12.6" thickBot="1">
      <c r="A5466" s="966"/>
      <c r="B5466" s="967" t="s">
        <v>935</v>
      </c>
      <c r="C5466" s="50"/>
      <c r="D5466" s="52"/>
      <c r="E5466" s="38" t="s">
        <v>936</v>
      </c>
      <c r="F5466" s="968"/>
      <c r="G5466" s="513"/>
      <c r="H5466" s="513"/>
      <c r="I5466" s="513"/>
      <c r="J5466" s="513"/>
      <c r="K5466" s="513"/>
      <c r="L5466" s="962" t="s">
        <v>937</v>
      </c>
      <c r="M5466" s="962"/>
      <c r="N5466" s="962"/>
      <c r="O5466" s="962"/>
      <c r="P5466" s="962"/>
      <c r="Q5466" s="513"/>
      <c r="R5466" s="969">
        <f ca="1">SUMIF($L$15:$L5453,"",R$15:R5453)</f>
        <v>162738.8130000004</v>
      </c>
      <c r="S5466" s="970"/>
      <c r="T5466" s="969">
        <f ca="1">SUMIF($L$15:$L5453,"",T$15:T5453)</f>
        <v>2607.7695000000017</v>
      </c>
    </row>
    <row r="5467" spans="1:37" s="504" customFormat="1" ht="12">
      <c r="A5467" s="966"/>
      <c r="B5467" s="967" t="s">
        <v>938</v>
      </c>
      <c r="C5467" s="50"/>
      <c r="D5467" s="50"/>
      <c r="E5467" s="930"/>
      <c r="F5467" s="513"/>
      <c r="G5467" s="513"/>
      <c r="H5467" s="513"/>
      <c r="I5467" s="513"/>
      <c r="J5467" s="513"/>
      <c r="K5467" s="513"/>
      <c r="L5467" s="513"/>
      <c r="M5467" s="513"/>
      <c r="N5467" s="513"/>
      <c r="O5467" s="513"/>
      <c r="P5467" s="513"/>
      <c r="Q5467" s="513"/>
      <c r="R5467" s="513"/>
      <c r="S5467" s="513"/>
      <c r="T5467" s="513"/>
    </row>
    <row r="5468" spans="1:37" s="504" customFormat="1" ht="12.6" thickBot="1">
      <c r="A5468" s="971"/>
      <c r="B5468" s="972">
        <f ca="1">$F5468/$C$2-($R5468*$S$2+$T5468*$T$2)</f>
        <v>-3874.1398120703525</v>
      </c>
      <c r="C5468" s="50"/>
      <c r="D5468" s="52"/>
      <c r="E5468" s="38" t="s">
        <v>939</v>
      </c>
      <c r="F5468" s="973">
        <f ca="1">SUMIF($L$15:$L5453,"ITEM",F$15:F5453)</f>
        <v>286398.78999999986</v>
      </c>
      <c r="G5468" s="513"/>
      <c r="H5468" s="513"/>
      <c r="I5468" s="513"/>
      <c r="J5468" s="513"/>
      <c r="K5468" s="513"/>
      <c r="L5468" s="962" t="s">
        <v>940</v>
      </c>
      <c r="M5468" s="962"/>
      <c r="N5468" s="962"/>
      <c r="O5468" s="962"/>
      <c r="P5468" s="962"/>
      <c r="Q5468" s="970"/>
      <c r="R5468" s="974">
        <f ca="1">SUMIF($L$15:$L5453,"ITEM",R$15:R5453)</f>
        <v>162738.8130000002</v>
      </c>
      <c r="S5468" s="975"/>
      <c r="T5468" s="974">
        <f ca="1">SUMIF($L$15:$L5453,"ITEM",T$15:T5453)</f>
        <v>2607.7694999999994</v>
      </c>
    </row>
    <row r="5469" spans="1:37" s="504" customFormat="1" ht="11.4">
      <c r="A5469" s="971"/>
      <c r="B5469" s="976"/>
      <c r="C5469" s="882"/>
      <c r="D5469" s="50"/>
      <c r="E5469" s="930"/>
      <c r="F5469" s="513"/>
      <c r="G5469" s="513"/>
      <c r="H5469" s="513"/>
      <c r="I5469" s="513"/>
      <c r="J5469" s="513"/>
      <c r="K5469" s="513"/>
      <c r="L5469" s="513"/>
      <c r="M5469" s="513"/>
      <c r="N5469" s="513"/>
      <c r="O5469" s="513"/>
      <c r="P5469" s="513"/>
      <c r="Q5469" s="513"/>
      <c r="R5469" s="513"/>
      <c r="S5469" s="513"/>
      <c r="T5469" s="513"/>
    </row>
    <row r="5470" spans="1:37" s="504" customFormat="1" thickBot="1">
      <c r="A5470" s="971"/>
      <c r="B5470" s="972">
        <f ca="1">$F5470/$C$2-($R5470*$S$2+$T5470*$T$2)</f>
        <v>-3874.139812069945</v>
      </c>
      <c r="C5470" s="50"/>
      <c r="D5470" s="977"/>
      <c r="E5470" s="978" t="s">
        <v>941</v>
      </c>
      <c r="F5470" s="979">
        <f ca="1">SUMIF($L$15:$L5453,"PAGE",F$15:F5453)</f>
        <v>286398.79000000004</v>
      </c>
      <c r="G5470" s="503"/>
      <c r="H5470" s="503"/>
      <c r="I5470" s="503"/>
      <c r="J5470" s="503"/>
      <c r="K5470" s="513"/>
      <c r="L5470" s="963" t="s">
        <v>942</v>
      </c>
      <c r="M5470" s="963"/>
      <c r="N5470" s="963"/>
      <c r="O5470" s="963"/>
      <c r="P5470" s="963"/>
      <c r="Q5470" s="970"/>
      <c r="R5470" s="980">
        <f ca="1">SUMIF($L$15:$L5453,"PAGE",R$15:R5453)</f>
        <v>162738.81300000002</v>
      </c>
      <c r="S5470" s="981"/>
      <c r="T5470" s="980">
        <f ca="1">SUMIF($L$15:$L5453,"PAGE",T$15:T5453)</f>
        <v>2607.7694999999994</v>
      </c>
    </row>
    <row r="5471" spans="1:37" s="504" customFormat="1" ht="11.4">
      <c r="A5471" s="971"/>
      <c r="B5471" s="972"/>
      <c r="C5471" s="50"/>
      <c r="D5471" s="50"/>
      <c r="E5471" s="930"/>
      <c r="F5471" s="513"/>
      <c r="G5471" s="513"/>
      <c r="H5471" s="513"/>
      <c r="I5471" s="513"/>
      <c r="J5471" s="513"/>
      <c r="K5471" s="513"/>
      <c r="L5471" s="513"/>
      <c r="M5471" s="513"/>
      <c r="N5471" s="513"/>
      <c r="O5471" s="513"/>
      <c r="P5471" s="513"/>
      <c r="Q5471" s="513"/>
      <c r="R5471" s="513"/>
      <c r="S5471" s="513"/>
      <c r="T5471" s="513"/>
    </row>
    <row r="5472" spans="1:37" s="504" customFormat="1" ht="12.6" thickBot="1">
      <c r="A5472" s="982" t="s">
        <v>145</v>
      </c>
      <c r="B5472" s="972">
        <f ca="1">$F5472/$C$2-($R5472*$S$2+$T5472*$T$2)</f>
        <v>-3874.1398120700032</v>
      </c>
      <c r="C5472" s="50"/>
      <c r="D5472" s="877"/>
      <c r="E5472" s="978" t="s">
        <v>943</v>
      </c>
      <c r="F5472" s="983">
        <f ca="1">SUMIF($L$15:$L5453,"SECT",F$15:F5453)</f>
        <v>286398.78999999998</v>
      </c>
      <c r="G5472" s="503"/>
      <c r="H5472" s="503"/>
      <c r="I5472" s="503"/>
      <c r="J5472" s="503"/>
      <c r="K5472" s="513"/>
      <c r="L5472" s="962" t="s">
        <v>944</v>
      </c>
      <c r="M5472" s="962"/>
      <c r="N5472" s="962"/>
      <c r="O5472" s="962"/>
      <c r="P5472" s="962"/>
      <c r="Q5472" s="970"/>
      <c r="R5472" s="984">
        <f ca="1">SUMIF($L$15:$L5453,"SECT",R$15:R5453)</f>
        <v>162738.81300000002</v>
      </c>
      <c r="S5472" s="970"/>
      <c r="T5472" s="984">
        <f ca="1">SUMIF($L$15:$L5453,"SECT",T$15:T5453)</f>
        <v>2607.769499999999</v>
      </c>
    </row>
    <row r="5473" spans="1:37" s="504" customFormat="1" thickBot="1">
      <c r="A5473" s="53" t="s">
        <v>146</v>
      </c>
      <c r="B5473" s="39"/>
      <c r="C5473" s="3"/>
      <c r="D5473" s="39"/>
      <c r="E5473" s="39"/>
      <c r="F5473" s="985"/>
      <c r="G5473" s="986"/>
      <c r="H5473" s="986"/>
      <c r="I5473" s="986"/>
      <c r="J5473" s="986"/>
      <c r="K5473" s="986"/>
      <c r="L5473" s="986"/>
      <c r="M5473" s="986"/>
      <c r="N5473" s="986"/>
      <c r="O5473" s="986"/>
      <c r="P5473" s="986"/>
      <c r="Q5473" s="986"/>
      <c r="R5473" s="985"/>
      <c r="S5473" s="987"/>
      <c r="T5473" s="985"/>
      <c r="U5473" s="514"/>
      <c r="V5473" s="514"/>
      <c r="W5473" s="514"/>
      <c r="X5473" s="514"/>
      <c r="Y5473" s="514"/>
      <c r="Z5473" s="514"/>
      <c r="AA5473" s="514"/>
      <c r="AB5473" s="514"/>
      <c r="AC5473" s="514"/>
      <c r="AD5473" s="514"/>
      <c r="AE5473" s="514"/>
      <c r="AF5473" s="514"/>
      <c r="AG5473" s="514"/>
      <c r="AH5473" s="514"/>
      <c r="AI5473" s="514"/>
      <c r="AJ5473" s="514"/>
      <c r="AK5473" s="514"/>
    </row>
    <row r="5474" spans="1:37" s="997" customFormat="1" thickTop="1">
      <c r="A5474" s="988"/>
      <c r="B5474" s="989" t="s">
        <v>70</v>
      </c>
      <c r="C5474" s="990"/>
      <c r="D5474" s="991"/>
      <c r="E5474" s="992" t="s">
        <v>147</v>
      </c>
      <c r="F5474" s="268"/>
      <c r="G5474" s="268"/>
      <c r="H5474" s="268"/>
      <c r="I5474" s="268"/>
      <c r="J5474" s="268"/>
      <c r="K5474" s="268"/>
      <c r="L5474" s="268"/>
      <c r="M5474" s="268"/>
      <c r="N5474" s="268"/>
      <c r="O5474" s="993"/>
      <c r="P5474" s="268"/>
      <c r="Q5474" s="994"/>
      <c r="R5474" s="995">
        <f ca="1">SUM(R5475:R5530)</f>
        <v>162742.86437029944</v>
      </c>
      <c r="S5474" s="996"/>
      <c r="T5474" s="995">
        <f ca="1">SUM(T5475:T5530)</f>
        <v>2606.3322378784783</v>
      </c>
    </row>
    <row r="5475" spans="1:37" s="997" customFormat="1" ht="13.2">
      <c r="A5475" s="998"/>
      <c r="B5475" s="999">
        <v>1</v>
      </c>
      <c r="C5475" s="990" t="s">
        <v>72</v>
      </c>
      <c r="D5475" t="s">
        <v>73</v>
      </c>
      <c r="E5475"/>
      <c r="F5475" s="1000">
        <v>501</v>
      </c>
      <c r="G5475"/>
      <c r="H5475"/>
      <c r="I5475"/>
      <c r="J5475"/>
      <c r="K5475"/>
      <c r="L5475"/>
      <c r="M5475"/>
      <c r="N5475"/>
      <c r="O5475" s="112"/>
      <c r="P5475">
        <v>1</v>
      </c>
      <c r="Q5475"/>
      <c r="R5475" s="1001">
        <f ca="1">SUMIF($H$13:$H$5453,$F5475,R$13:R$5453)+Elec_Rates!R536</f>
        <v>772.91670549450566</v>
      </c>
      <c r="S5475" s="1002"/>
      <c r="T5475" s="1001">
        <f ca="1">SUMIF($H$13:$H$5453,$F5475,T$13:T$5453)+Elec_Rates!T536</f>
        <v>52.592307692307699</v>
      </c>
    </row>
    <row r="5476" spans="1:37" s="997" customFormat="1" ht="13.2">
      <c r="A5476" s="998"/>
      <c r="B5476" s="999">
        <v>2</v>
      </c>
      <c r="C5476" s="990" t="s">
        <v>72</v>
      </c>
      <c r="D5476" t="s">
        <v>74</v>
      </c>
      <c r="E5476"/>
      <c r="F5476" s="1000">
        <v>505</v>
      </c>
      <c r="G5476"/>
      <c r="H5476"/>
      <c r="I5476"/>
      <c r="J5476"/>
      <c r="K5476"/>
      <c r="L5476"/>
      <c r="M5476"/>
      <c r="N5476"/>
      <c r="O5476" s="112"/>
      <c r="P5476">
        <v>1</v>
      </c>
      <c r="Q5476"/>
      <c r="R5476" s="1001">
        <f>SUMIF($H$13:$H$5453,$F5476,R$13:R$5453)+Elec_Rates!R537</f>
        <v>0</v>
      </c>
      <c r="S5476" s="1002"/>
      <c r="T5476" s="1001">
        <f>SUMIF($H$13:$H$5453,$F5476,T$13:T$5453)+Elec_Rates!T537</f>
        <v>0</v>
      </c>
    </row>
    <row r="5477" spans="1:37" s="997" customFormat="1" ht="13.2">
      <c r="A5477" s="998"/>
      <c r="B5477" s="999">
        <v>3</v>
      </c>
      <c r="C5477" s="990" t="s">
        <v>72</v>
      </c>
      <c r="D5477" t="s">
        <v>75</v>
      </c>
      <c r="E5477"/>
      <c r="F5477" s="1000">
        <v>510</v>
      </c>
      <c r="G5477"/>
      <c r="H5477"/>
      <c r="I5477"/>
      <c r="J5477"/>
      <c r="K5477"/>
      <c r="L5477"/>
      <c r="M5477"/>
      <c r="N5477"/>
      <c r="O5477" s="112"/>
      <c r="P5477">
        <v>2</v>
      </c>
      <c r="Q5477"/>
      <c r="R5477" s="1001">
        <f>SUMIF($H$13:$H$5453,$F5477,R$13:R$5453)+Elec_Rates!R538</f>
        <v>39380.270000000004</v>
      </c>
      <c r="S5477" s="1002"/>
      <c r="T5477" s="1001">
        <f>SUMIF($H$13:$H$5453,$F5477,T$13:T$5453)+Elec_Rates!T538</f>
        <v>183.53999999999994</v>
      </c>
    </row>
    <row r="5478" spans="1:37" s="997" customFormat="1" ht="13.2">
      <c r="A5478" s="998"/>
      <c r="B5478" s="999">
        <v>4</v>
      </c>
      <c r="C5478" s="990" t="s">
        <v>72</v>
      </c>
      <c r="D5478" t="s">
        <v>76</v>
      </c>
      <c r="E5478"/>
      <c r="F5478" s="1000">
        <v>511</v>
      </c>
      <c r="G5478"/>
      <c r="H5478"/>
      <c r="I5478"/>
      <c r="J5478"/>
      <c r="K5478"/>
      <c r="L5478"/>
      <c r="M5478"/>
      <c r="N5478"/>
      <c r="O5478" s="112"/>
      <c r="P5478">
        <v>2</v>
      </c>
      <c r="Q5478"/>
      <c r="R5478" s="1001">
        <f>SUMIF($H$13:$H$5453,$F5478,R$13:R$5453)+Elec_Rates!R539</f>
        <v>0</v>
      </c>
      <c r="S5478" s="1002"/>
      <c r="T5478" s="1001">
        <f>SUMIF($H$13:$H$5453,$F5478,T$13:T$5453)+Elec_Rates!T539</f>
        <v>0</v>
      </c>
    </row>
    <row r="5479" spans="1:37" s="997" customFormat="1" ht="13.2">
      <c r="A5479" s="998"/>
      <c r="B5479" s="999">
        <v>5</v>
      </c>
      <c r="C5479" s="990" t="s">
        <v>72</v>
      </c>
      <c r="D5479" t="s">
        <v>77</v>
      </c>
      <c r="E5479"/>
      <c r="F5479" s="1000">
        <v>512</v>
      </c>
      <c r="G5479"/>
      <c r="H5479"/>
      <c r="I5479"/>
      <c r="J5479"/>
      <c r="K5479"/>
      <c r="L5479"/>
      <c r="M5479"/>
      <c r="N5479"/>
      <c r="O5479" s="112"/>
      <c r="P5479">
        <v>2</v>
      </c>
      <c r="Q5479"/>
      <c r="R5479" s="1001">
        <f>SUMIF($H$13:$H$5453,$F5479,R$13:R$5453)+Elec_Rates!R540</f>
        <v>3180.6700000000005</v>
      </c>
      <c r="S5479" s="1002"/>
      <c r="T5479" s="1001">
        <f>SUMIF($H$13:$H$5453,$F5479,T$13:T$5453)+Elec_Rates!T540</f>
        <v>21</v>
      </c>
    </row>
    <row r="5480" spans="1:37" s="997" customFormat="1" ht="13.2">
      <c r="A5480" s="998"/>
      <c r="B5480" s="999">
        <v>6</v>
      </c>
      <c r="C5480" s="990" t="s">
        <v>72</v>
      </c>
      <c r="D5480" t="s">
        <v>78</v>
      </c>
      <c r="E5480"/>
      <c r="F5480" s="1000">
        <v>520</v>
      </c>
      <c r="G5480"/>
      <c r="H5480"/>
      <c r="I5480"/>
      <c r="J5480"/>
      <c r="K5480"/>
      <c r="L5480"/>
      <c r="M5480"/>
      <c r="N5480"/>
      <c r="O5480" s="112"/>
      <c r="P5480">
        <v>1</v>
      </c>
      <c r="Q5480"/>
      <c r="R5480" s="1001">
        <f>SUMIF($H$13:$H$5453,$F5480,R$13:R$5453)+Elec_Rates!R541</f>
        <v>0</v>
      </c>
      <c r="S5480" s="1002"/>
      <c r="T5480" s="1001">
        <f>SUMIF($H$13:$H$5453,$F5480,T$13:T$5453)+Elec_Rates!T541</f>
        <v>0</v>
      </c>
    </row>
    <row r="5481" spans="1:37" s="997" customFormat="1" ht="13.2">
      <c r="A5481" s="998"/>
      <c r="B5481" s="999">
        <v>7</v>
      </c>
      <c r="C5481" s="990" t="s">
        <v>72</v>
      </c>
      <c r="D5481" t="s">
        <v>79</v>
      </c>
      <c r="E5481"/>
      <c r="F5481" s="1000">
        <v>530</v>
      </c>
      <c r="G5481"/>
      <c r="H5481"/>
      <c r="I5481"/>
      <c r="J5481"/>
      <c r="K5481"/>
      <c r="L5481"/>
      <c r="M5481"/>
      <c r="N5481"/>
      <c r="O5481" s="112"/>
      <c r="P5481">
        <v>2</v>
      </c>
      <c r="Q5481"/>
      <c r="R5481" s="1001">
        <f>SUMIF($H$13:$H$5453,$F5481,R$13:R$5453)+Elec_Rates!R542</f>
        <v>0</v>
      </c>
      <c r="S5481" s="1002"/>
      <c r="T5481" s="1001">
        <f>SUMIF($H$13:$H$5453,$F5481,T$13:T$5453)+Elec_Rates!T542</f>
        <v>0</v>
      </c>
    </row>
    <row r="5482" spans="1:37" s="997" customFormat="1" ht="13.2">
      <c r="A5482" s="998"/>
      <c r="B5482" s="999">
        <v>8</v>
      </c>
      <c r="C5482" s="990" t="s">
        <v>72</v>
      </c>
      <c r="D5482" t="s">
        <v>80</v>
      </c>
      <c r="E5482"/>
      <c r="F5482" s="1000">
        <v>550</v>
      </c>
      <c r="G5482"/>
      <c r="H5482"/>
      <c r="I5482"/>
      <c r="J5482"/>
      <c r="K5482"/>
      <c r="L5482"/>
      <c r="M5482"/>
      <c r="N5482"/>
      <c r="O5482" s="112"/>
      <c r="P5482">
        <v>2</v>
      </c>
      <c r="Q5482"/>
      <c r="R5482" s="1001">
        <f>SUMIF($H$13:$H$5453,$F5482,R$13:R$5453)+Elec_Rates!R543</f>
        <v>0</v>
      </c>
      <c r="S5482" s="1002"/>
      <c r="T5482" s="1001">
        <f>SUMIF($H$13:$H$5453,$F5482,T$13:T$5453)+Elec_Rates!T543</f>
        <v>0</v>
      </c>
    </row>
    <row r="5483" spans="1:37" s="997" customFormat="1" ht="13.2">
      <c r="A5483" s="998"/>
      <c r="B5483" s="999">
        <v>9</v>
      </c>
      <c r="C5483" s="990" t="s">
        <v>72</v>
      </c>
      <c r="D5483" t="s">
        <v>81</v>
      </c>
      <c r="E5483"/>
      <c r="F5483" s="1000">
        <v>570</v>
      </c>
      <c r="G5483"/>
      <c r="H5483"/>
      <c r="I5483"/>
      <c r="J5483"/>
      <c r="K5483"/>
      <c r="L5483"/>
      <c r="M5483"/>
      <c r="N5483"/>
      <c r="O5483" s="112"/>
      <c r="P5483">
        <v>2</v>
      </c>
      <c r="Q5483"/>
      <c r="R5483" s="1001">
        <f ca="1">SUMIF($H$13:$H$5453,$F5483,R$13:R$5453)+Elec_Rates!R544</f>
        <v>1358.4649999999999</v>
      </c>
      <c r="S5483" s="1002"/>
      <c r="T5483" s="1001">
        <f ca="1">SUMIF($H$13:$H$5453,$F5483,T$13:T$5453)+Elec_Rates!T544</f>
        <v>16.8</v>
      </c>
    </row>
    <row r="5484" spans="1:37" s="997" customFormat="1" ht="13.2">
      <c r="A5484" s="998"/>
      <c r="B5484" s="999">
        <v>10</v>
      </c>
      <c r="C5484" s="990" t="s">
        <v>72</v>
      </c>
      <c r="D5484" t="s">
        <v>82</v>
      </c>
      <c r="E5484"/>
      <c r="F5484" s="1000">
        <v>615</v>
      </c>
      <c r="G5484"/>
      <c r="H5484"/>
      <c r="I5484"/>
      <c r="J5484"/>
      <c r="K5484"/>
      <c r="L5484"/>
      <c r="M5484"/>
      <c r="N5484"/>
      <c r="O5484" s="112"/>
      <c r="P5484">
        <v>2</v>
      </c>
      <c r="Q5484"/>
      <c r="R5484" s="1001">
        <f ca="1">SUMIF($H$13:$H$5453,$F5484,R$13:R$5453)+Elec_Rates!R545</f>
        <v>7055.8075000000008</v>
      </c>
      <c r="S5484" s="1002"/>
      <c r="T5484" s="1001">
        <f ca="1">SUMIF($H$13:$H$5453,$F5484,T$13:T$5453)+Elec_Rates!T545</f>
        <v>526.94775000000016</v>
      </c>
    </row>
    <row r="5485" spans="1:37" s="997" customFormat="1" ht="13.2">
      <c r="A5485" s="998"/>
      <c r="B5485" s="999">
        <v>11</v>
      </c>
      <c r="C5485" s="990" t="s">
        <v>72</v>
      </c>
      <c r="D5485" t="s">
        <v>84</v>
      </c>
      <c r="E5485"/>
      <c r="F5485" s="1000">
        <v>616</v>
      </c>
      <c r="G5485"/>
      <c r="H5485"/>
      <c r="I5485"/>
      <c r="J5485"/>
      <c r="K5485"/>
      <c r="L5485"/>
      <c r="M5485"/>
      <c r="N5485"/>
      <c r="O5485" s="112"/>
      <c r="P5485">
        <v>2</v>
      </c>
      <c r="Q5485"/>
      <c r="R5485" s="1001">
        <f ca="1">SUMIF($H$13:$H$5453,$F5485,R$13:R$5453)+Elec_Rates!R546</f>
        <v>15341.309300000001</v>
      </c>
      <c r="S5485" s="1002"/>
      <c r="T5485" s="1001">
        <f ca="1">SUMIF($H$13:$H$5453,$F5485,T$13:T$5453)+Elec_Rates!T546</f>
        <v>121.149</v>
      </c>
    </row>
    <row r="5486" spans="1:37" s="997" customFormat="1" ht="13.2">
      <c r="A5486" s="998"/>
      <c r="B5486" s="999">
        <v>12</v>
      </c>
      <c r="C5486" s="990" t="s">
        <v>72</v>
      </c>
      <c r="D5486" t="s">
        <v>85</v>
      </c>
      <c r="E5486"/>
      <c r="F5486" s="1000">
        <v>617</v>
      </c>
      <c r="G5486"/>
      <c r="H5486"/>
      <c r="I5486"/>
      <c r="J5486"/>
      <c r="K5486"/>
      <c r="L5486"/>
      <c r="M5486"/>
      <c r="N5486"/>
      <c r="O5486" s="112"/>
      <c r="P5486">
        <v>2</v>
      </c>
      <c r="Q5486"/>
      <c r="R5486" s="1001">
        <f>SUMIF($H$13:$H$5453,$F5486,R$13:R$5453)+Elec_Rates!R547</f>
        <v>0</v>
      </c>
      <c r="S5486" s="1002"/>
      <c r="T5486" s="1001">
        <f>SUMIF($H$13:$H$5453,$F5486,T$13:T$5453)+Elec_Rates!T547</f>
        <v>0</v>
      </c>
    </row>
    <row r="5487" spans="1:37" s="997" customFormat="1" ht="13.2">
      <c r="A5487" s="998"/>
      <c r="B5487" s="999">
        <v>13</v>
      </c>
      <c r="C5487" s="990" t="s">
        <v>72</v>
      </c>
      <c r="D5487" t="s">
        <v>148</v>
      </c>
      <c r="E5487"/>
      <c r="F5487" s="1000">
        <v>620</v>
      </c>
      <c r="G5487"/>
      <c r="H5487"/>
      <c r="I5487"/>
      <c r="J5487"/>
      <c r="K5487"/>
      <c r="L5487"/>
      <c r="M5487"/>
      <c r="N5487"/>
      <c r="O5487" s="112"/>
      <c r="P5487">
        <v>2</v>
      </c>
      <c r="Q5487"/>
      <c r="R5487" s="1001">
        <f ca="1">SUMIF($H$13:$H$5453,$F5487,R$13:R$5453)+Elec_Rates!R548</f>
        <v>418.7000000000001</v>
      </c>
      <c r="S5487" s="1002"/>
      <c r="T5487" s="1001">
        <f ca="1">SUMIF($H$13:$H$5453,$F5487,T$13:T$5453)+Elec_Rates!T548</f>
        <v>68.586000000000027</v>
      </c>
    </row>
    <row r="5488" spans="1:37" s="997" customFormat="1" ht="13.2">
      <c r="A5488" s="998"/>
      <c r="B5488" s="999">
        <v>14</v>
      </c>
      <c r="C5488" s="990" t="s">
        <v>72</v>
      </c>
      <c r="D5488" t="s">
        <v>87</v>
      </c>
      <c r="E5488"/>
      <c r="F5488" s="1000">
        <v>650</v>
      </c>
      <c r="G5488"/>
      <c r="H5488"/>
      <c r="I5488"/>
      <c r="J5488"/>
      <c r="K5488"/>
      <c r="L5488"/>
      <c r="M5488"/>
      <c r="N5488"/>
      <c r="O5488" s="112"/>
      <c r="P5488">
        <v>1</v>
      </c>
      <c r="Q5488"/>
      <c r="R5488" s="1001">
        <f ca="1">SUMIF($H$13:$H$5453,$F5488,R$13:R$5453)+Elec_Rates!R549</f>
        <v>947.64266666666674</v>
      </c>
      <c r="S5488" s="1002"/>
      <c r="T5488" s="1001">
        <f ca="1">SUMIF($H$13:$H$5453,$F5488,T$13:T$5453)+Elec_Rates!T549</f>
        <v>43.575000000000003</v>
      </c>
    </row>
    <row r="5489" spans="1:20" s="997" customFormat="1" ht="13.2">
      <c r="A5489" s="998"/>
      <c r="B5489" s="999">
        <v>15</v>
      </c>
      <c r="C5489" s="990" t="s">
        <v>72</v>
      </c>
      <c r="D5489" t="s">
        <v>88</v>
      </c>
      <c r="E5489"/>
      <c r="F5489" s="1000">
        <v>651</v>
      </c>
      <c r="G5489"/>
      <c r="H5489"/>
      <c r="I5489"/>
      <c r="J5489"/>
      <c r="K5489"/>
      <c r="L5489"/>
      <c r="M5489"/>
      <c r="N5489"/>
      <c r="O5489" s="112"/>
      <c r="P5489">
        <v>1</v>
      </c>
      <c r="Q5489"/>
      <c r="R5489" s="1001">
        <f>SUMIF($H$13:$H$5453,$F5489,R$13:R$5453)+Elec_Rates!R550</f>
        <v>0</v>
      </c>
      <c r="S5489" s="1002"/>
      <c r="T5489" s="1001">
        <f>SUMIF($H$13:$H$5453,$F5489,T$13:T$5453)+Elec_Rates!T550</f>
        <v>0</v>
      </c>
    </row>
    <row r="5490" spans="1:20" s="997" customFormat="1" ht="13.2">
      <c r="A5490" s="998"/>
      <c r="B5490" s="999">
        <v>16</v>
      </c>
      <c r="C5490" s="990" t="s">
        <v>72</v>
      </c>
      <c r="D5490" t="s">
        <v>89</v>
      </c>
      <c r="E5490"/>
      <c r="F5490" s="1000">
        <v>652</v>
      </c>
      <c r="G5490"/>
      <c r="H5490"/>
      <c r="I5490"/>
      <c r="J5490"/>
      <c r="K5490"/>
      <c r="L5490"/>
      <c r="M5490"/>
      <c r="N5490"/>
      <c r="O5490" s="112"/>
      <c r="P5490">
        <v>1</v>
      </c>
      <c r="Q5490"/>
      <c r="R5490" s="1001">
        <f>SUMIF($H$13:$H$5453,$F5490,R$13:R$5453)+Elec_Rates!R551</f>
        <v>0</v>
      </c>
      <c r="S5490" s="1002"/>
      <c r="T5490" s="1001">
        <f>SUMIF($H$13:$H$5453,$F5490,T$13:T$5453)+Elec_Rates!T551</f>
        <v>0</v>
      </c>
    </row>
    <row r="5491" spans="1:20" s="997" customFormat="1" ht="13.2">
      <c r="A5491" s="998"/>
      <c r="B5491" s="999">
        <v>17</v>
      </c>
      <c r="C5491" s="990" t="s">
        <v>72</v>
      </c>
      <c r="D5491" t="s">
        <v>90</v>
      </c>
      <c r="E5491"/>
      <c r="F5491" s="1000">
        <v>654</v>
      </c>
      <c r="G5491"/>
      <c r="H5491"/>
      <c r="I5491"/>
      <c r="J5491"/>
      <c r="K5491"/>
      <c r="L5491"/>
      <c r="M5491"/>
      <c r="N5491"/>
      <c r="O5491" s="112"/>
      <c r="P5491">
        <v>1</v>
      </c>
      <c r="Q5491"/>
      <c r="R5491" s="1001">
        <f>SUMIF($H$13:$H$5453,$F5491,R$13:R$5453)+Elec_Rates!R552</f>
        <v>0</v>
      </c>
      <c r="S5491" s="1002"/>
      <c r="T5491" s="1001">
        <f>SUMIF($H$13:$H$5453,$F5491,T$13:T$5453)+Elec_Rates!T552</f>
        <v>0</v>
      </c>
    </row>
    <row r="5492" spans="1:20" s="997" customFormat="1" ht="13.2">
      <c r="A5492" s="998"/>
      <c r="B5492" s="999">
        <v>18</v>
      </c>
      <c r="C5492" s="990" t="s">
        <v>72</v>
      </c>
      <c r="D5492" t="s">
        <v>91</v>
      </c>
      <c r="E5492"/>
      <c r="F5492" s="1000">
        <v>675</v>
      </c>
      <c r="G5492"/>
      <c r="H5492"/>
      <c r="I5492"/>
      <c r="J5492"/>
      <c r="K5492"/>
      <c r="L5492"/>
      <c r="M5492"/>
      <c r="N5492"/>
      <c r="O5492" s="112"/>
      <c r="P5492">
        <v>1</v>
      </c>
      <c r="Q5492"/>
      <c r="R5492" s="1001">
        <f ca="1">SUMIF($H$13:$H$5453,$F5492,R$13:R$5453)+Elec_Rates!R553</f>
        <v>108.01231249999999</v>
      </c>
      <c r="S5492" s="1002"/>
      <c r="T5492" s="1001">
        <f ca="1">SUMIF($H$13:$H$5453,$F5492,T$13:T$5453)+Elec_Rates!T553</f>
        <v>7.1400000000000006</v>
      </c>
    </row>
    <row r="5493" spans="1:20" s="997" customFormat="1" ht="13.2">
      <c r="A5493" s="998"/>
      <c r="B5493" s="999">
        <v>19</v>
      </c>
      <c r="C5493" s="990" t="s">
        <v>72</v>
      </c>
      <c r="D5493" t="s">
        <v>92</v>
      </c>
      <c r="E5493"/>
      <c r="F5493" s="1000">
        <v>676</v>
      </c>
      <c r="G5493"/>
      <c r="H5493"/>
      <c r="I5493"/>
      <c r="J5493"/>
      <c r="K5493"/>
      <c r="L5493"/>
      <c r="M5493"/>
      <c r="N5493"/>
      <c r="O5493" s="112"/>
      <c r="P5493">
        <v>1</v>
      </c>
      <c r="Q5493"/>
      <c r="R5493" s="1001">
        <f>SUMIF($H$13:$H$5453,$F5493,R$13:R$5453)+Elec_Rates!R554</f>
        <v>0</v>
      </c>
      <c r="S5493" s="1002"/>
      <c r="T5493" s="1001">
        <f>SUMIF($H$13:$H$5453,$F5493,T$13:T$5453)+Elec_Rates!T554</f>
        <v>0</v>
      </c>
    </row>
    <row r="5494" spans="1:20" s="997" customFormat="1" ht="13.2">
      <c r="A5494" s="998"/>
      <c r="B5494" s="999">
        <v>20</v>
      </c>
      <c r="C5494" s="990" t="s">
        <v>72</v>
      </c>
      <c r="D5494" t="s">
        <v>93</v>
      </c>
      <c r="E5494"/>
      <c r="F5494" s="1000">
        <v>680</v>
      </c>
      <c r="G5494"/>
      <c r="H5494"/>
      <c r="I5494"/>
      <c r="J5494"/>
      <c r="K5494"/>
      <c r="L5494"/>
      <c r="M5494"/>
      <c r="N5494"/>
      <c r="O5494" s="112"/>
      <c r="P5494">
        <v>1</v>
      </c>
      <c r="Q5494"/>
      <c r="R5494" s="1001">
        <f>SUMIF($H$13:$H$5453,$F5494,R$13:R$5453)+Elec_Rates!R555</f>
        <v>0</v>
      </c>
      <c r="S5494" s="1002"/>
      <c r="T5494" s="1001">
        <f>SUMIF($H$13:$H$5453,$F5494,T$13:T$5453)+Elec_Rates!T555</f>
        <v>0</v>
      </c>
    </row>
    <row r="5495" spans="1:20" s="997" customFormat="1" ht="13.2">
      <c r="A5495" s="998"/>
      <c r="B5495" s="999">
        <v>21</v>
      </c>
      <c r="C5495" s="990" t="s">
        <v>72</v>
      </c>
      <c r="D5495" t="s">
        <v>95</v>
      </c>
      <c r="E5495"/>
      <c r="F5495" s="1000">
        <v>681</v>
      </c>
      <c r="G5495"/>
      <c r="H5495"/>
      <c r="I5495"/>
      <c r="J5495"/>
      <c r="K5495"/>
      <c r="L5495"/>
      <c r="M5495"/>
      <c r="N5495"/>
      <c r="O5495" s="112"/>
      <c r="P5495">
        <v>1</v>
      </c>
      <c r="Q5495"/>
      <c r="R5495" s="1001">
        <f>SUMIF($H$13:$H$5453,$F5495,R$13:R$5453)+Elec_Rates!R556</f>
        <v>0</v>
      </c>
      <c r="S5495" s="1002"/>
      <c r="T5495" s="1001">
        <f>SUMIF($H$13:$H$5453,$F5495,T$13:T$5453)+Elec_Rates!T556</f>
        <v>0</v>
      </c>
    </row>
    <row r="5496" spans="1:20" s="997" customFormat="1" ht="13.2">
      <c r="A5496" s="998"/>
      <c r="B5496" s="999">
        <v>22</v>
      </c>
      <c r="C5496" s="990" t="s">
        <v>72</v>
      </c>
      <c r="D5496" t="s">
        <v>96</v>
      </c>
      <c r="E5496"/>
      <c r="F5496" s="1000">
        <v>690</v>
      </c>
      <c r="G5496"/>
      <c r="H5496"/>
      <c r="I5496"/>
      <c r="J5496"/>
      <c r="K5496"/>
      <c r="L5496"/>
      <c r="M5496"/>
      <c r="N5496"/>
      <c r="O5496" s="112"/>
      <c r="P5496">
        <v>1</v>
      </c>
      <c r="Q5496"/>
      <c r="R5496" s="1001">
        <f>SUMIF($H$13:$H$5453,$F5496,R$13:R$5453)+Elec_Rates!R557</f>
        <v>0</v>
      </c>
      <c r="S5496" s="1002"/>
      <c r="T5496" s="1001">
        <f>SUMIF($H$13:$H$5453,$F5496,T$13:T$5453)+Elec_Rates!T557</f>
        <v>0</v>
      </c>
    </row>
    <row r="5497" spans="1:20" s="997" customFormat="1" ht="13.2">
      <c r="A5497" s="998"/>
      <c r="B5497" s="999">
        <v>23</v>
      </c>
      <c r="C5497" s="990" t="s">
        <v>72</v>
      </c>
      <c r="D5497" t="s">
        <v>97</v>
      </c>
      <c r="E5497"/>
      <c r="F5497" s="1000">
        <v>700</v>
      </c>
      <c r="G5497"/>
      <c r="H5497"/>
      <c r="I5497"/>
      <c r="J5497"/>
      <c r="K5497"/>
      <c r="L5497"/>
      <c r="M5497"/>
      <c r="N5497"/>
      <c r="O5497" s="112"/>
      <c r="P5497">
        <v>1</v>
      </c>
      <c r="Q5497"/>
      <c r="R5497" s="1001">
        <f ca="1">SUMIF($H$13:$H$5453,$F5497,R$13:R$5453)+Elec_Rates!R558</f>
        <v>5254.6743750000005</v>
      </c>
      <c r="S5497" s="1002"/>
      <c r="T5497" s="1001">
        <f ca="1">SUMIF($H$13:$H$5453,$F5497,T$13:T$5453)+Elec_Rates!T558</f>
        <v>961.69303125000022</v>
      </c>
    </row>
    <row r="5498" spans="1:20" s="997" customFormat="1" ht="13.2">
      <c r="A5498" s="998"/>
      <c r="B5498" s="999">
        <v>24</v>
      </c>
      <c r="C5498" s="990" t="s">
        <v>72</v>
      </c>
      <c r="D5498" t="s">
        <v>98</v>
      </c>
      <c r="E5498"/>
      <c r="F5498" s="1000">
        <v>705</v>
      </c>
      <c r="G5498"/>
      <c r="H5498"/>
      <c r="I5498"/>
      <c r="J5498"/>
      <c r="K5498"/>
      <c r="L5498"/>
      <c r="M5498"/>
      <c r="N5498"/>
      <c r="O5498" s="112"/>
      <c r="P5498">
        <v>3</v>
      </c>
      <c r="Q5498"/>
      <c r="R5498" s="1001">
        <f ca="1">SUMIF($H$13:$H$5453,$F5498,R$13:R$5453)+Elec_Rates!R559</f>
        <v>8281.4785106382969</v>
      </c>
      <c r="S5498" s="1002"/>
      <c r="T5498" s="1001">
        <f ca="1">SUMIF($H$13:$H$5453,$F5498,T$13:T$5453)+Elec_Rates!T559</f>
        <v>104.27564893617017</v>
      </c>
    </row>
    <row r="5499" spans="1:20" s="997" customFormat="1" ht="13.2">
      <c r="A5499" s="998"/>
      <c r="B5499" s="999">
        <v>25</v>
      </c>
      <c r="C5499" s="990" t="s">
        <v>72</v>
      </c>
      <c r="D5499" t="s">
        <v>99</v>
      </c>
      <c r="E5499"/>
      <c r="F5499" s="1000">
        <v>706</v>
      </c>
      <c r="G5499"/>
      <c r="H5499"/>
      <c r="I5499"/>
      <c r="J5499"/>
      <c r="K5499"/>
      <c r="L5499"/>
      <c r="M5499"/>
      <c r="N5499"/>
      <c r="O5499" s="112"/>
      <c r="P5499">
        <v>3</v>
      </c>
      <c r="Q5499"/>
      <c r="R5499" s="1001">
        <f>SUMIF($H$13:$H$5453,$F5499,R$13:R$5453)+Elec_Rates!R560</f>
        <v>0</v>
      </c>
      <c r="S5499" s="1002"/>
      <c r="T5499" s="1001">
        <f>SUMIF($H$13:$H$5453,$F5499,T$13:T$5453)+Elec_Rates!T560</f>
        <v>98.699999999999989</v>
      </c>
    </row>
    <row r="5500" spans="1:20" s="997" customFormat="1" ht="13.2">
      <c r="A5500" s="998"/>
      <c r="B5500" s="999">
        <v>26</v>
      </c>
      <c r="C5500" s="990" t="s">
        <v>72</v>
      </c>
      <c r="D5500" t="s">
        <v>100</v>
      </c>
      <c r="E5500"/>
      <c r="F5500" s="1000">
        <v>725</v>
      </c>
      <c r="G5500"/>
      <c r="H5500"/>
      <c r="I5500"/>
      <c r="J5500"/>
      <c r="K5500"/>
      <c r="L5500"/>
      <c r="M5500"/>
      <c r="N5500"/>
      <c r="O5500" s="112"/>
      <c r="P5500">
        <v>3</v>
      </c>
      <c r="Q5500"/>
      <c r="R5500" s="1001">
        <f>SUMIF($H$13:$H$5453,$F5500,R$13:R$5453)+Elec_Rates!R561</f>
        <v>29589.890000000003</v>
      </c>
      <c r="S5500" s="1002"/>
      <c r="T5500" s="1001">
        <f>SUMIF($H$13:$H$5453,$F5500,T$13:T$5453)+Elec_Rates!T561</f>
        <v>0</v>
      </c>
    </row>
    <row r="5501" spans="1:20" s="997" customFormat="1" ht="13.2">
      <c r="A5501" s="998"/>
      <c r="B5501" s="999">
        <v>27</v>
      </c>
      <c r="C5501" s="990" t="s">
        <v>72</v>
      </c>
      <c r="D5501" t="s">
        <v>101</v>
      </c>
      <c r="E5501"/>
      <c r="F5501" s="1000">
        <v>726</v>
      </c>
      <c r="G5501"/>
      <c r="H5501"/>
      <c r="I5501"/>
      <c r="J5501"/>
      <c r="K5501"/>
      <c r="L5501"/>
      <c r="M5501"/>
      <c r="N5501"/>
      <c r="O5501" s="112"/>
      <c r="P5501">
        <v>3</v>
      </c>
      <c r="Q5501"/>
      <c r="R5501" s="1001">
        <f>SUMIF($H$13:$H$5453,$F5501,R$13:R$5453)+Elec_Rates!R562</f>
        <v>847.29000000000008</v>
      </c>
      <c r="S5501" s="1002"/>
      <c r="T5501" s="1001">
        <f>SUMIF($H$13:$H$5453,$F5501,T$13:T$5453)+Elec_Rates!T562</f>
        <v>35.805</v>
      </c>
    </row>
    <row r="5502" spans="1:20" s="997" customFormat="1" ht="13.2">
      <c r="A5502" s="998"/>
      <c r="B5502" s="999">
        <v>28</v>
      </c>
      <c r="C5502" s="990" t="s">
        <v>72</v>
      </c>
      <c r="D5502" t="s">
        <v>102</v>
      </c>
      <c r="E5502"/>
      <c r="F5502" s="1000">
        <v>750</v>
      </c>
      <c r="G5502"/>
      <c r="H5502"/>
      <c r="I5502"/>
      <c r="J5502"/>
      <c r="K5502"/>
      <c r="L5502"/>
      <c r="M5502"/>
      <c r="N5502"/>
      <c r="O5502" s="112"/>
      <c r="P5502">
        <v>3</v>
      </c>
      <c r="Q5502"/>
      <c r="R5502" s="1001">
        <f>SUMIF($H$13:$H$5453,$F5502,R$13:R$5453)+Elec_Rates!R563</f>
        <v>0</v>
      </c>
      <c r="S5502" s="1002"/>
      <c r="T5502" s="1001">
        <f>SUMIF($H$13:$H$5453,$F5502,T$13:T$5453)+Elec_Rates!T563</f>
        <v>0</v>
      </c>
    </row>
    <row r="5503" spans="1:20" s="997" customFormat="1" ht="13.2">
      <c r="A5503" s="998"/>
      <c r="B5503" s="999">
        <v>29</v>
      </c>
      <c r="C5503" s="990" t="s">
        <v>72</v>
      </c>
      <c r="D5503" t="s">
        <v>103</v>
      </c>
      <c r="E5503"/>
      <c r="F5503" s="1000">
        <v>751</v>
      </c>
      <c r="G5503"/>
      <c r="H5503"/>
      <c r="I5503"/>
      <c r="J5503"/>
      <c r="K5503"/>
      <c r="L5503"/>
      <c r="M5503"/>
      <c r="N5503"/>
      <c r="O5503" s="112"/>
      <c r="P5503">
        <v>3</v>
      </c>
      <c r="Q5503"/>
      <c r="R5503" s="1001">
        <f>SUMIF($H$13:$H$5453,$F5503,R$13:R$5453)+Elec_Rates!R564</f>
        <v>7846.14</v>
      </c>
      <c r="S5503" s="1002"/>
      <c r="T5503" s="1001">
        <f>SUMIF($H$13:$H$5453,$F5503,T$13:T$5453)+Elec_Rates!T564</f>
        <v>37.800000000000004</v>
      </c>
    </row>
    <row r="5504" spans="1:20" s="997" customFormat="1" ht="13.2">
      <c r="A5504" s="998"/>
      <c r="B5504" s="999">
        <v>30</v>
      </c>
      <c r="C5504" s="990" t="s">
        <v>72</v>
      </c>
      <c r="D5504" t="s">
        <v>104</v>
      </c>
      <c r="E5504"/>
      <c r="F5504" s="1000">
        <v>752</v>
      </c>
      <c r="G5504"/>
      <c r="H5504"/>
      <c r="I5504"/>
      <c r="J5504"/>
      <c r="K5504"/>
      <c r="L5504"/>
      <c r="M5504"/>
      <c r="N5504"/>
      <c r="O5504" s="112"/>
      <c r="P5504">
        <v>3</v>
      </c>
      <c r="Q5504"/>
      <c r="R5504" s="1001">
        <f>SUMIF($H$13:$H$5453,$F5504,R$13:R$5453)+Elec_Rates!R565</f>
        <v>0</v>
      </c>
      <c r="S5504" s="1002"/>
      <c r="T5504" s="1001">
        <f>SUMIF($H$13:$H$5453,$F5504,T$13:T$5453)+Elec_Rates!T565</f>
        <v>0</v>
      </c>
    </row>
    <row r="5505" spans="1:20" s="997" customFormat="1" ht="13.2">
      <c r="A5505" s="998"/>
      <c r="B5505" s="999">
        <v>31</v>
      </c>
      <c r="C5505" s="990" t="s">
        <v>72</v>
      </c>
      <c r="D5505" s="1003" t="s">
        <v>257</v>
      </c>
      <c r="E5505"/>
      <c r="F5505" s="1000">
        <v>753</v>
      </c>
      <c r="G5505"/>
      <c r="H5505"/>
      <c r="I5505"/>
      <c r="J5505"/>
      <c r="K5505"/>
      <c r="L5505"/>
      <c r="M5505"/>
      <c r="N5505"/>
      <c r="O5505" s="112"/>
      <c r="P5505">
        <v>3</v>
      </c>
      <c r="Q5505"/>
      <c r="R5505" s="1001">
        <f>SUMIF($H$13:$H$5453,$F5505,R$13:R$5453)+Elec_Rates!R566</f>
        <v>0</v>
      </c>
      <c r="S5505" s="1002"/>
      <c r="T5505" s="1001">
        <f>SUMIF($H$13:$H$5453,$F5505,T$13:T$5453)+Elec_Rates!T566</f>
        <v>0</v>
      </c>
    </row>
    <row r="5506" spans="1:20" s="997" customFormat="1" ht="13.2">
      <c r="A5506" s="998"/>
      <c r="B5506" s="999">
        <v>32</v>
      </c>
      <c r="C5506" s="990" t="s">
        <v>72</v>
      </c>
      <c r="D5506" t="s">
        <v>106</v>
      </c>
      <c r="E5506"/>
      <c r="F5506" s="1000">
        <v>770</v>
      </c>
      <c r="G5506"/>
      <c r="H5506"/>
      <c r="I5506"/>
      <c r="J5506"/>
      <c r="K5506"/>
      <c r="L5506"/>
      <c r="M5506"/>
      <c r="N5506"/>
      <c r="O5506" s="112"/>
      <c r="P5506">
        <v>3</v>
      </c>
      <c r="Q5506"/>
      <c r="R5506" s="1001">
        <f>SUMIF($H$13:$H$5453,$F5506,R$13:R$5453)+Elec_Rates!R567</f>
        <v>0</v>
      </c>
      <c r="S5506" s="1002"/>
      <c r="T5506" s="1001">
        <f>SUMIF($H$13:$H$5453,$F5506,T$13:T$5453)+Elec_Rates!T567</f>
        <v>0</v>
      </c>
    </row>
    <row r="5507" spans="1:20" s="997" customFormat="1" ht="13.2">
      <c r="A5507" s="998"/>
      <c r="B5507" s="999">
        <v>33</v>
      </c>
      <c r="C5507" s="990" t="s">
        <v>72</v>
      </c>
      <c r="D5507" t="s">
        <v>107</v>
      </c>
      <c r="E5507"/>
      <c r="F5507" s="1000">
        <v>790</v>
      </c>
      <c r="G5507"/>
      <c r="H5507"/>
      <c r="I5507"/>
      <c r="J5507"/>
      <c r="K5507"/>
      <c r="L5507"/>
      <c r="M5507"/>
      <c r="N5507"/>
      <c r="O5507" s="112"/>
      <c r="P5507">
        <v>3</v>
      </c>
      <c r="Q5507"/>
      <c r="R5507" s="1001">
        <f>SUMIF($H$13:$H$5453,$F5507,R$13:R$5453)+Elec_Rates!R568</f>
        <v>0</v>
      </c>
      <c r="S5507" s="1002"/>
      <c r="T5507" s="1001">
        <f>SUMIF($H$13:$H$5453,$F5507,T$13:T$5453)+Elec_Rates!T568</f>
        <v>0</v>
      </c>
    </row>
    <row r="5508" spans="1:20" s="997" customFormat="1" ht="13.2">
      <c r="A5508" s="998"/>
      <c r="B5508" s="999">
        <v>34</v>
      </c>
      <c r="C5508" s="990" t="s">
        <v>72</v>
      </c>
      <c r="D5508" t="s">
        <v>108</v>
      </c>
      <c r="E5508"/>
      <c r="F5508" s="1000">
        <v>791</v>
      </c>
      <c r="G5508"/>
      <c r="H5508"/>
      <c r="I5508"/>
      <c r="J5508"/>
      <c r="K5508"/>
      <c r="L5508"/>
      <c r="M5508"/>
      <c r="N5508"/>
      <c r="O5508" s="112"/>
      <c r="P5508">
        <v>3</v>
      </c>
      <c r="Q5508"/>
      <c r="R5508" s="1001">
        <f>SUMIF($H$13:$H$5453,$F5508,R$13:R$5453)+Elec_Rates!R569</f>
        <v>0</v>
      </c>
      <c r="S5508" s="1002"/>
      <c r="T5508" s="1001">
        <f>SUMIF($H$13:$H$5453,$F5508,T$13:T$5453)+Elec_Rates!T569</f>
        <v>0</v>
      </c>
    </row>
    <row r="5509" spans="1:20" s="997" customFormat="1" ht="13.2">
      <c r="A5509" s="998"/>
      <c r="B5509" s="999">
        <v>35</v>
      </c>
      <c r="C5509" s="990" t="s">
        <v>72</v>
      </c>
      <c r="D5509" t="s">
        <v>109</v>
      </c>
      <c r="E5509"/>
      <c r="F5509" s="1000">
        <v>810</v>
      </c>
      <c r="G5509"/>
      <c r="H5509"/>
      <c r="I5509"/>
      <c r="J5509"/>
      <c r="K5509"/>
      <c r="L5509"/>
      <c r="M5509"/>
      <c r="N5509"/>
      <c r="O5509" s="112"/>
      <c r="P5509">
        <v>3</v>
      </c>
      <c r="Q5509"/>
      <c r="R5509" s="1001">
        <f>SUMIF($H$13:$H$5453,$F5509,R$13:R$5453)+Elec_Rates!R570</f>
        <v>855.34999999999991</v>
      </c>
      <c r="S5509" s="1002"/>
      <c r="T5509" s="1001">
        <f>SUMIF($H$13:$H$5453,$F5509,T$13:T$5453)+Elec_Rates!T570</f>
        <v>0.52500000000000002</v>
      </c>
    </row>
    <row r="5510" spans="1:20" s="997" customFormat="1" ht="13.2">
      <c r="A5510" s="998"/>
      <c r="B5510" s="999">
        <v>36</v>
      </c>
      <c r="C5510" s="990" t="s">
        <v>72</v>
      </c>
      <c r="D5510" t="s">
        <v>110</v>
      </c>
      <c r="E5510"/>
      <c r="F5510" s="1000">
        <v>815</v>
      </c>
      <c r="G5510"/>
      <c r="H5510"/>
      <c r="I5510"/>
      <c r="J5510"/>
      <c r="K5510"/>
      <c r="L5510"/>
      <c r="M5510"/>
      <c r="N5510"/>
      <c r="O5510" s="112"/>
      <c r="P5510">
        <v>3</v>
      </c>
      <c r="Q5510"/>
      <c r="R5510" s="1001">
        <f>SUMIF($H$13:$H$5453,$F5510,R$13:R$5453)+Elec_Rates!R571</f>
        <v>0</v>
      </c>
      <c r="S5510" s="1002"/>
      <c r="T5510" s="1001">
        <f>SUMIF($H$13:$H$5453,$F5510,T$13:T$5453)+Elec_Rates!T571</f>
        <v>0</v>
      </c>
    </row>
    <row r="5511" spans="1:20" s="997" customFormat="1" ht="13.2">
      <c r="A5511" s="998"/>
      <c r="B5511" s="999">
        <v>37</v>
      </c>
      <c r="C5511" s="990" t="s">
        <v>72</v>
      </c>
      <c r="D5511" t="s">
        <v>111</v>
      </c>
      <c r="E5511"/>
      <c r="F5511" s="1000">
        <v>820</v>
      </c>
      <c r="G5511"/>
      <c r="H5511"/>
      <c r="I5511"/>
      <c r="J5511"/>
      <c r="K5511"/>
      <c r="L5511"/>
      <c r="M5511"/>
      <c r="N5511"/>
      <c r="O5511" s="112"/>
      <c r="P5511">
        <v>2</v>
      </c>
      <c r="Q5511"/>
      <c r="R5511" s="1001">
        <f>SUMIF($H$13:$H$5453,$F5511,R$13:R$5453)+Elec_Rates!R572</f>
        <v>0</v>
      </c>
      <c r="S5511" s="1002"/>
      <c r="T5511" s="1001">
        <f>SUMIF($H$13:$H$5453,$F5511,T$13:T$5453)+Elec_Rates!T572</f>
        <v>0</v>
      </c>
    </row>
    <row r="5512" spans="1:20" s="997" customFormat="1" ht="13.2">
      <c r="A5512" s="998"/>
      <c r="B5512" s="999">
        <v>38</v>
      </c>
      <c r="C5512" s="990" t="s">
        <v>72</v>
      </c>
      <c r="D5512" t="s">
        <v>112</v>
      </c>
      <c r="E5512"/>
      <c r="F5512" s="1000">
        <v>821</v>
      </c>
      <c r="G5512"/>
      <c r="H5512"/>
      <c r="I5512"/>
      <c r="J5512"/>
      <c r="K5512"/>
      <c r="L5512"/>
      <c r="M5512"/>
      <c r="N5512"/>
      <c r="O5512" s="112"/>
      <c r="P5512">
        <v>3</v>
      </c>
      <c r="Q5512"/>
      <c r="R5512" s="1001">
        <f>SUMIF($H$13:$H$5453,$F5512,R$13:R$5453)+Elec_Rates!R573</f>
        <v>5520</v>
      </c>
      <c r="S5512" s="1002"/>
      <c r="T5512" s="1001">
        <f>SUMIF($H$13:$H$5453,$F5512,T$13:T$5453)+Elec_Rates!T573</f>
        <v>0</v>
      </c>
    </row>
    <row r="5513" spans="1:20" s="997" customFormat="1" ht="13.2">
      <c r="A5513" s="998"/>
      <c r="B5513" s="999">
        <v>39</v>
      </c>
      <c r="C5513" s="990" t="s">
        <v>72</v>
      </c>
      <c r="D5513" t="s">
        <v>113</v>
      </c>
      <c r="E5513"/>
      <c r="F5513" s="1000">
        <v>835</v>
      </c>
      <c r="G5513"/>
      <c r="H5513"/>
      <c r="I5513"/>
      <c r="J5513"/>
      <c r="K5513"/>
      <c r="L5513"/>
      <c r="M5513"/>
      <c r="N5513"/>
      <c r="O5513" s="112"/>
      <c r="P5513">
        <v>3</v>
      </c>
      <c r="Q5513"/>
      <c r="R5513" s="1001">
        <f ca="1">SUMIF($H$13:$H$5453,$F5513,R$13:R$5453)+Elec_Rates!R574</f>
        <v>1840.4</v>
      </c>
      <c r="S5513" s="1002"/>
      <c r="T5513" s="1001">
        <f ca="1">SUMIF($H$13:$H$5453,$F5513,T$13:T$5453)+Elec_Rates!T574</f>
        <v>236.77500000000001</v>
      </c>
    </row>
    <row r="5514" spans="1:20" s="997" customFormat="1" ht="13.2">
      <c r="A5514" s="998"/>
      <c r="B5514" s="999">
        <v>40</v>
      </c>
      <c r="C5514" s="990" t="s">
        <v>72</v>
      </c>
      <c r="D5514" t="s">
        <v>114</v>
      </c>
      <c r="E5514"/>
      <c r="F5514" s="1000">
        <v>845</v>
      </c>
      <c r="G5514"/>
      <c r="H5514"/>
      <c r="I5514"/>
      <c r="J5514"/>
      <c r="K5514"/>
      <c r="L5514"/>
      <c r="M5514"/>
      <c r="N5514"/>
      <c r="O5514" s="112"/>
      <c r="P5514">
        <v>2</v>
      </c>
      <c r="Q5514"/>
      <c r="R5514" s="1001">
        <f>SUMIF($H$13:$H$5453,$F5514,R$13:R$5453)+Elec_Rates!R575</f>
        <v>20720</v>
      </c>
      <c r="S5514" s="1002"/>
      <c r="T5514" s="1001">
        <f>SUMIF($H$13:$H$5453,$F5514,T$13:T$5453)+Elec_Rates!T575</f>
        <v>12.600000000000001</v>
      </c>
    </row>
    <row r="5515" spans="1:20" s="997" customFormat="1" ht="13.2">
      <c r="A5515" s="998"/>
      <c r="B5515" s="999">
        <v>41</v>
      </c>
      <c r="C5515" s="990" t="s">
        <v>72</v>
      </c>
      <c r="D5515" t="s">
        <v>116</v>
      </c>
      <c r="E5515"/>
      <c r="F5515" s="1000">
        <v>855</v>
      </c>
      <c r="G5515"/>
      <c r="H5515"/>
      <c r="I5515"/>
      <c r="J5515"/>
      <c r="K5515"/>
      <c r="L5515"/>
      <c r="M5515"/>
      <c r="N5515"/>
      <c r="O5515" s="112"/>
      <c r="P5515">
        <v>3</v>
      </c>
      <c r="Q5515"/>
      <c r="R5515" s="1001">
        <f>SUMIF($H$13:$H$5453,$F5515,R$13:R$5453)+Elec_Rates!R576</f>
        <v>0</v>
      </c>
      <c r="S5515" s="1002"/>
      <c r="T5515" s="1001">
        <f>SUMIF($H$13:$H$5453,$F5515,T$13:T$5453)+Elec_Rates!T576</f>
        <v>0</v>
      </c>
    </row>
    <row r="5516" spans="1:20" s="997" customFormat="1" ht="13.2">
      <c r="A5516" s="998"/>
      <c r="B5516" s="999">
        <v>42</v>
      </c>
      <c r="C5516" s="990" t="s">
        <v>72</v>
      </c>
      <c r="D5516" t="s">
        <v>117</v>
      </c>
      <c r="E5516"/>
      <c r="F5516" s="1000">
        <v>856</v>
      </c>
      <c r="G5516"/>
      <c r="H5516"/>
      <c r="I5516"/>
      <c r="J5516"/>
      <c r="K5516"/>
      <c r="L5516"/>
      <c r="M5516"/>
      <c r="N5516"/>
      <c r="O5516" s="112"/>
      <c r="P5516">
        <v>3</v>
      </c>
      <c r="Q5516"/>
      <c r="R5516" s="1001">
        <f>SUMIF($H$13:$H$5453,$F5516,R$13:R$5453)+Elec_Rates!R577</f>
        <v>0</v>
      </c>
      <c r="S5516" s="1002"/>
      <c r="T5516" s="1001">
        <f>SUMIF($H$13:$H$5453,$F5516,T$13:T$5453)+Elec_Rates!T577</f>
        <v>0</v>
      </c>
    </row>
    <row r="5517" spans="1:20" s="997" customFormat="1" ht="13.2">
      <c r="A5517" s="998"/>
      <c r="B5517" s="999">
        <v>43</v>
      </c>
      <c r="C5517" s="990" t="s">
        <v>72</v>
      </c>
      <c r="D5517" s="36" t="s">
        <v>238</v>
      </c>
      <c r="E5517"/>
      <c r="F5517" s="1000">
        <v>857</v>
      </c>
      <c r="G5517"/>
      <c r="H5517"/>
      <c r="I5517"/>
      <c r="J5517"/>
      <c r="K5517"/>
      <c r="L5517"/>
      <c r="M5517"/>
      <c r="N5517"/>
      <c r="O5517" s="112"/>
      <c r="P5517">
        <v>4</v>
      </c>
      <c r="Q5517"/>
      <c r="R5517" s="1001">
        <f>SUMIF($H$13:$H$5453,$F5517,R$13:R$5453)+Elec_Rates!R578</f>
        <v>0</v>
      </c>
      <c r="S5517" s="1002"/>
      <c r="T5517" s="1001">
        <f>SUMIF($H$13:$H$5453,$F5517,T$13:T$5453)+Elec_Rates!T578</f>
        <v>0</v>
      </c>
    </row>
    <row r="5518" spans="1:20" s="997" customFormat="1" ht="13.2">
      <c r="A5518" s="998"/>
      <c r="B5518" s="999">
        <v>44</v>
      </c>
      <c r="C5518" s="990" t="s">
        <v>72</v>
      </c>
      <c r="D5518" t="s">
        <v>118</v>
      </c>
      <c r="E5518"/>
      <c r="F5518" s="1000">
        <v>858</v>
      </c>
      <c r="G5518"/>
      <c r="H5518"/>
      <c r="I5518"/>
      <c r="J5518"/>
      <c r="K5518"/>
      <c r="L5518"/>
      <c r="M5518"/>
      <c r="N5518"/>
      <c r="O5518" s="112"/>
      <c r="P5518">
        <v>3</v>
      </c>
      <c r="Q5518"/>
      <c r="R5518" s="1001">
        <f>SUMIF($H$13:$H$5453,$F5518,R$13:R$5453)+Elec_Rates!R579</f>
        <v>1060.1199999999999</v>
      </c>
      <c r="S5518" s="1002"/>
      <c r="T5518" s="1001">
        <f>SUMIF($H$13:$H$5453,$F5518,T$13:T$5453)+Elec_Rates!T579</f>
        <v>0</v>
      </c>
    </row>
    <row r="5519" spans="1:20" s="997" customFormat="1" ht="13.2">
      <c r="A5519" s="998"/>
      <c r="B5519" s="999">
        <v>45</v>
      </c>
      <c r="C5519" s="990" t="s">
        <v>72</v>
      </c>
      <c r="D5519" t="s">
        <v>119</v>
      </c>
      <c r="E5519"/>
      <c r="F5519" s="1000">
        <v>865</v>
      </c>
      <c r="G5519"/>
      <c r="H5519"/>
      <c r="I5519"/>
      <c r="J5519"/>
      <c r="K5519"/>
      <c r="L5519"/>
      <c r="M5519"/>
      <c r="N5519"/>
      <c r="O5519" s="112"/>
      <c r="P5519">
        <v>3</v>
      </c>
      <c r="Q5519"/>
      <c r="R5519" s="1001">
        <f>SUMIF($H$13:$H$5453,$F5519,R$13:R$5453)+Elec_Rates!R580</f>
        <v>2353.6999999999998</v>
      </c>
      <c r="S5519" s="1002"/>
      <c r="T5519" s="1001">
        <f>SUMIF($H$13:$H$5453,$F5519,T$13:T$5453)+Elec_Rates!T580</f>
        <v>0</v>
      </c>
    </row>
    <row r="5520" spans="1:20" s="997" customFormat="1" ht="13.2">
      <c r="A5520" s="998"/>
      <c r="B5520" s="999">
        <v>46</v>
      </c>
      <c r="C5520" s="990" t="s">
        <v>72</v>
      </c>
      <c r="D5520" t="s">
        <v>120</v>
      </c>
      <c r="E5520"/>
      <c r="F5520" s="1000">
        <v>870</v>
      </c>
      <c r="G5520"/>
      <c r="H5520"/>
      <c r="I5520"/>
      <c r="J5520"/>
      <c r="K5520"/>
      <c r="L5520"/>
      <c r="M5520"/>
      <c r="N5520"/>
      <c r="O5520" s="112"/>
      <c r="P5520">
        <v>4</v>
      </c>
      <c r="Q5520"/>
      <c r="R5520" s="1001">
        <f>SUMIF($H$13:$H$5453,$F5520,R$13:R$5453)+Elec_Rates!R581</f>
        <v>0</v>
      </c>
      <c r="S5520" s="1002"/>
      <c r="T5520" s="1001">
        <f>SUMIF($H$13:$H$5453,$F5520,T$13:T$5453)+Elec_Rates!T581</f>
        <v>0</v>
      </c>
    </row>
    <row r="5521" spans="1:37" s="997" customFormat="1" ht="13.2">
      <c r="A5521" s="998"/>
      <c r="B5521" s="999">
        <v>47</v>
      </c>
      <c r="C5521" s="990" t="s">
        <v>72</v>
      </c>
      <c r="D5521" t="s">
        <v>121</v>
      </c>
      <c r="E5521"/>
      <c r="F5521" s="1000">
        <v>875</v>
      </c>
      <c r="G5521"/>
      <c r="H5521"/>
      <c r="I5521"/>
      <c r="J5521"/>
      <c r="K5521"/>
      <c r="L5521"/>
      <c r="M5521"/>
      <c r="N5521"/>
      <c r="O5521" s="112"/>
      <c r="P5521">
        <v>1</v>
      </c>
      <c r="Q5521"/>
      <c r="R5521" s="1001">
        <f ca="1">SUMIF($H$13:$H$5453,$F5521,R$13:R$5453)+Elec_Rates!R582</f>
        <v>944.37200000000303</v>
      </c>
      <c r="S5521" s="1002"/>
      <c r="T5521" s="1001">
        <f ca="1">SUMIF($H$13:$H$5453,$F5521,T$13:T$5453)+Elec_Rates!T582</f>
        <v>1.2285000000000001</v>
      </c>
    </row>
    <row r="5522" spans="1:37" s="997" customFormat="1" ht="13.2">
      <c r="A5522" s="998"/>
      <c r="B5522" s="999">
        <v>48</v>
      </c>
      <c r="C5522" s="990" t="s">
        <v>72</v>
      </c>
      <c r="D5522" t="s">
        <v>122</v>
      </c>
      <c r="E5522"/>
      <c r="F5522" s="1000">
        <v>880</v>
      </c>
      <c r="G5522"/>
      <c r="H5522"/>
      <c r="I5522"/>
      <c r="J5522"/>
      <c r="K5522"/>
      <c r="L5522"/>
      <c r="M5522"/>
      <c r="N5522"/>
      <c r="O5522" s="112"/>
      <c r="P5522">
        <v>3</v>
      </c>
      <c r="Q5522"/>
      <c r="R5522" s="1001">
        <f>SUMIF($H$13:$H$5453,$F5522,R$13:R$5453)+Elec_Rates!R583</f>
        <v>100.65600000000003</v>
      </c>
      <c r="S5522" s="1002"/>
      <c r="T5522" s="1001">
        <f>SUMIF($H$13:$H$5453,$F5522,T$13:T$5453)+Elec_Rates!T583</f>
        <v>0</v>
      </c>
    </row>
    <row r="5523" spans="1:37" s="997" customFormat="1" ht="13.2">
      <c r="A5523" s="998"/>
      <c r="B5523" s="999">
        <v>49</v>
      </c>
      <c r="C5523" s="990" t="s">
        <v>72</v>
      </c>
      <c r="D5523" t="s">
        <v>123</v>
      </c>
      <c r="E5523"/>
      <c r="F5523" s="1000">
        <v>885</v>
      </c>
      <c r="G5523"/>
      <c r="H5523"/>
      <c r="I5523"/>
      <c r="J5523"/>
      <c r="K5523"/>
      <c r="L5523"/>
      <c r="M5523"/>
      <c r="N5523"/>
      <c r="O5523" s="112"/>
      <c r="P5523">
        <v>4</v>
      </c>
      <c r="Q5523"/>
      <c r="R5523" s="1001">
        <f>SUMIF($H$13:$H$5453,$F5523,R$13:R$5453)+Elec_Rates!R584</f>
        <v>0</v>
      </c>
      <c r="S5523" s="1002"/>
      <c r="T5523" s="1001">
        <f>SUMIF($H$13:$H$5453,$F5523,T$13:T$5453)+Elec_Rates!T584</f>
        <v>0</v>
      </c>
    </row>
    <row r="5524" spans="1:37" s="997" customFormat="1" ht="13.2">
      <c r="A5524" s="998"/>
      <c r="B5524" s="999">
        <v>50</v>
      </c>
      <c r="C5524" s="990" t="s">
        <v>72</v>
      </c>
      <c r="D5524" t="s">
        <v>67</v>
      </c>
      <c r="E5524"/>
      <c r="F5524" s="1000">
        <v>900</v>
      </c>
      <c r="G5524"/>
      <c r="H5524"/>
      <c r="I5524"/>
      <c r="J5524"/>
      <c r="K5524"/>
      <c r="L5524"/>
      <c r="M5524"/>
      <c r="N5524"/>
      <c r="O5524" s="112"/>
      <c r="P5524">
        <v>3</v>
      </c>
      <c r="Q5524"/>
      <c r="R5524" s="1001">
        <f>SUMIF($H$13:$H$5453,$F5524,R$13:R$5453)+Elec_Rates!R585</f>
        <v>0</v>
      </c>
      <c r="S5524" s="1002"/>
      <c r="T5524" s="1001">
        <f>SUMIF($H$13:$H$5453,$F5524,T$13:T$5453)+Elec_Rates!T585</f>
        <v>10.5</v>
      </c>
    </row>
    <row r="5525" spans="1:37" s="997" customFormat="1" ht="13.2">
      <c r="A5525" s="998"/>
      <c r="B5525" s="999">
        <v>51</v>
      </c>
      <c r="C5525" s="990" t="s">
        <v>72</v>
      </c>
      <c r="D5525" t="s">
        <v>125</v>
      </c>
      <c r="E5525"/>
      <c r="F5525" s="1000">
        <v>901</v>
      </c>
      <c r="G5525"/>
      <c r="H5525"/>
      <c r="I5525"/>
      <c r="J5525"/>
      <c r="K5525"/>
      <c r="L5525"/>
      <c r="M5525"/>
      <c r="N5525"/>
      <c r="O5525" s="112"/>
      <c r="P5525">
        <v>1</v>
      </c>
      <c r="Q5525"/>
      <c r="R5525" s="1001">
        <f>SUMIF($H$13:$H$5453,$F5525,R$13:R$5453)+Elec_Rates!R586</f>
        <v>0</v>
      </c>
      <c r="S5525" s="1002"/>
      <c r="T5525" s="1001">
        <f>SUMIF($H$13:$H$5453,$F5525,T$13:T$5453)+Elec_Rates!T586</f>
        <v>0</v>
      </c>
    </row>
    <row r="5526" spans="1:37" s="997" customFormat="1" ht="13.2">
      <c r="A5526" s="998"/>
      <c r="B5526" s="999">
        <v>52</v>
      </c>
      <c r="C5526" s="990" t="s">
        <v>72</v>
      </c>
      <c r="D5526" t="s">
        <v>126</v>
      </c>
      <c r="E5526"/>
      <c r="F5526" s="1000">
        <v>902</v>
      </c>
      <c r="G5526"/>
      <c r="H5526"/>
      <c r="I5526"/>
      <c r="J5526"/>
      <c r="K5526"/>
      <c r="L5526"/>
      <c r="M5526"/>
      <c r="N5526"/>
      <c r="O5526" s="112"/>
      <c r="P5526">
        <v>3</v>
      </c>
      <c r="Q5526"/>
      <c r="R5526" s="1001">
        <f>SUMIF($H$13:$H$5453,$F5526,R$13:R$5453)+Elec_Rates!R587</f>
        <v>1340</v>
      </c>
      <c r="S5526" s="1002"/>
      <c r="T5526" s="1001">
        <f>SUMIF($H$13:$H$5453,$F5526,T$13:T$5453)+Elec_Rates!T587</f>
        <v>50.4</v>
      </c>
    </row>
    <row r="5527" spans="1:37" s="997" customFormat="1" ht="13.2">
      <c r="A5527" s="998"/>
      <c r="B5527" s="999">
        <v>53</v>
      </c>
      <c r="C5527" s="990" t="s">
        <v>72</v>
      </c>
      <c r="D5527" s="997" t="s">
        <v>127</v>
      </c>
      <c r="E5527"/>
      <c r="F5527" s="1000">
        <v>960</v>
      </c>
      <c r="G5527"/>
      <c r="H5527"/>
      <c r="I5527"/>
      <c r="J5527"/>
      <c r="K5527"/>
      <c r="L5527"/>
      <c r="M5527"/>
      <c r="N5527"/>
      <c r="O5527" s="112"/>
      <c r="P5527">
        <v>4</v>
      </c>
      <c r="Q5527"/>
      <c r="R5527" s="1001">
        <f>SUMIF($H$13:$H$5453,$F5527,R$13:R$5453)+Elec_Rates!R588</f>
        <v>2150</v>
      </c>
      <c r="S5527" s="1002"/>
      <c r="T5527" s="1001">
        <f>SUMIF($H$13:$H$5453,$F5527,T$13:T$5453)+Elec_Rates!T588</f>
        <v>0</v>
      </c>
    </row>
    <row r="5528" spans="1:37" s="997" customFormat="1" ht="13.2">
      <c r="A5528" s="998"/>
      <c r="B5528" s="999">
        <v>54</v>
      </c>
      <c r="C5528" s="990" t="s">
        <v>72</v>
      </c>
      <c r="D5528" s="997" t="s">
        <v>128</v>
      </c>
      <c r="E5528"/>
      <c r="F5528" s="1000">
        <v>961</v>
      </c>
      <c r="G5528"/>
      <c r="H5528"/>
      <c r="I5528"/>
      <c r="J5528"/>
      <c r="K5528"/>
      <c r="L5528"/>
      <c r="M5528"/>
      <c r="N5528"/>
      <c r="O5528" s="112"/>
      <c r="P5528">
        <v>3</v>
      </c>
      <c r="Q5528"/>
      <c r="R5528" s="1001">
        <f>SUMIF($H$13:$H$5453,$F5528,R$13:R$5453)+Elec_Rates!R589</f>
        <v>900</v>
      </c>
      <c r="S5528" s="1002"/>
      <c r="T5528" s="1001">
        <f>SUMIF($H$13:$H$5453,$F5528,T$13:T$5453)+Elec_Rates!T589</f>
        <v>2.1</v>
      </c>
    </row>
    <row r="5529" spans="1:37" s="997" customFormat="1" ht="13.2">
      <c r="A5529" s="998"/>
      <c r="B5529" s="999">
        <v>55</v>
      </c>
      <c r="C5529" s="990" t="s">
        <v>72</v>
      </c>
      <c r="D5529" s="997" t="s">
        <v>129</v>
      </c>
      <c r="E5529"/>
      <c r="F5529" s="1000">
        <v>962</v>
      </c>
      <c r="G5529"/>
      <c r="H5529"/>
      <c r="I5529"/>
      <c r="J5529"/>
      <c r="K5529"/>
      <c r="L5529"/>
      <c r="M5529"/>
      <c r="N5529"/>
      <c r="O5529" s="112"/>
      <c r="P5529">
        <v>1</v>
      </c>
      <c r="Q5529"/>
      <c r="R5529" s="1001">
        <f>SUMIF($H$13:$H$5453,$F5529,R$13:R$5453)+Elec_Rates!R590</f>
        <v>2550</v>
      </c>
      <c r="S5529" s="1002"/>
      <c r="T5529" s="1001">
        <f>SUMIF($H$13:$H$5453,$F5529,T$13:T$5453)+Elec_Rates!T590</f>
        <v>0</v>
      </c>
    </row>
    <row r="5530" spans="1:37" s="997" customFormat="1" ht="13.2">
      <c r="A5530" s="998"/>
      <c r="B5530" s="999">
        <v>56</v>
      </c>
      <c r="C5530" s="990" t="s">
        <v>72</v>
      </c>
      <c r="D5530" s="997" t="s">
        <v>130</v>
      </c>
      <c r="E5530"/>
      <c r="F5530" s="1000">
        <v>970</v>
      </c>
      <c r="G5530"/>
      <c r="H5530"/>
      <c r="I5530"/>
      <c r="J5530"/>
      <c r="K5530"/>
      <c r="L5530"/>
      <c r="M5530"/>
      <c r="N5530"/>
      <c r="O5530" s="112"/>
      <c r="P5530">
        <v>4</v>
      </c>
      <c r="Q5530"/>
      <c r="R5530" s="1001">
        <f>SUMIF($H$13:$H$5453,$F5530,R$13:R$5453)+Elec_Rates!R591</f>
        <v>2025</v>
      </c>
      <c r="S5530" s="1002"/>
      <c r="T5530" s="1001">
        <f>SUMIF($H$13:$H$5453,$F5530,T$13:T$5453)+Elec_Rates!T591</f>
        <v>12.600000000000001</v>
      </c>
    </row>
    <row r="5531" spans="1:37" s="997" customFormat="1" thickBot="1">
      <c r="A5531" s="1004"/>
      <c r="B5531" s="1005"/>
      <c r="C5531" s="1006"/>
      <c r="D5531" s="1007"/>
      <c r="E5531" s="1008"/>
      <c r="F5531" s="1009"/>
      <c r="G5531" s="1008"/>
      <c r="H5531" s="1008"/>
      <c r="I5531" s="1008"/>
      <c r="J5531" s="1008"/>
      <c r="K5531" s="1008"/>
      <c r="L5531" s="1008"/>
      <c r="M5531" s="1008"/>
      <c r="N5531" s="1008"/>
      <c r="O5531" s="1010"/>
      <c r="P5531" s="1008"/>
      <c r="Q5531" s="1008"/>
      <c r="R5531" s="1011"/>
      <c r="S5531" s="1012"/>
      <c r="T5531" s="1011"/>
      <c r="U5531" s="1007"/>
      <c r="V5531" s="1007"/>
      <c r="W5531" s="1007"/>
      <c r="X5531" s="1007"/>
      <c r="Y5531" s="1007"/>
      <c r="Z5531" s="1007"/>
      <c r="AA5531" s="1007"/>
      <c r="AB5531" s="1007"/>
      <c r="AC5531" s="1007"/>
      <c r="AD5531" s="1007"/>
      <c r="AE5531" s="1007"/>
      <c r="AF5531" s="1007"/>
      <c r="AG5531" s="1007"/>
      <c r="AH5531" s="1007"/>
      <c r="AI5531" s="1007"/>
      <c r="AJ5531" s="1007"/>
      <c r="AK5531" s="1007"/>
    </row>
    <row r="5532" spans="1:37" s="997" customFormat="1" thickTop="1">
      <c r="A5532" s="998"/>
      <c r="B5532" s="1000"/>
      <c r="C5532" s="990" t="s">
        <v>72</v>
      </c>
      <c r="D5532" s="1013"/>
      <c r="E5532"/>
      <c r="F5532" s="1014" t="s">
        <v>149</v>
      </c>
      <c r="G5532" s="1015"/>
      <c r="H5532">
        <v>1</v>
      </c>
      <c r="I5532"/>
      <c r="J5532"/>
      <c r="K5532"/>
      <c r="L5532"/>
      <c r="M5532"/>
      <c r="N5532"/>
      <c r="O5532" s="112"/>
      <c r="P5532"/>
      <c r="Q5532"/>
      <c r="R5532" s="1001">
        <f ca="1">SUMIF($P5475:$P5530,1,R5475:R5530)</f>
        <v>10577.618059661176</v>
      </c>
      <c r="S5532"/>
      <c r="T5532" s="1001">
        <f ca="1">SUMIF($P5475:$P5530,1,T5475:T5530)</f>
        <v>1066.2288389423079</v>
      </c>
    </row>
    <row r="5533" spans="1:37" s="997" customFormat="1" ht="13.2">
      <c r="A5533" s="998"/>
      <c r="B5533" s="1000"/>
      <c r="C5533" s="990" t="s">
        <v>72</v>
      </c>
      <c r="D5533" s="1013"/>
      <c r="E5533"/>
      <c r="F5533" s="1014" t="s">
        <v>150</v>
      </c>
      <c r="G5533" s="1015"/>
      <c r="H5533">
        <v>2</v>
      </c>
      <c r="I5533"/>
      <c r="J5533"/>
      <c r="K5533"/>
      <c r="L5533"/>
      <c r="M5533"/>
      <c r="N5533"/>
      <c r="O5533" s="112"/>
      <c r="P5533"/>
      <c r="Q5533"/>
      <c r="R5533" s="1001">
        <f ca="1">SUMIF($P5475:$P5530,2,R5475:R5530)</f>
        <v>87455.221799999999</v>
      </c>
      <c r="S5533"/>
      <c r="T5533" s="1001">
        <f ca="1">SUMIF($P5475:$P5530,2,T5475:T5530)</f>
        <v>950.62275000000011</v>
      </c>
    </row>
    <row r="5534" spans="1:37" s="997" customFormat="1" ht="13.2">
      <c r="A5534" s="998"/>
      <c r="B5534" s="1000"/>
      <c r="C5534" s="990" t="s">
        <v>72</v>
      </c>
      <c r="D5534" s="1013"/>
      <c r="E5534"/>
      <c r="F5534" s="1014" t="s">
        <v>151</v>
      </c>
      <c r="G5534" s="1015"/>
      <c r="H5534">
        <v>2</v>
      </c>
      <c r="I5534"/>
      <c r="J5534"/>
      <c r="K5534"/>
      <c r="L5534"/>
      <c r="M5534"/>
      <c r="N5534"/>
      <c r="O5534" s="112"/>
      <c r="P5534"/>
      <c r="Q5534"/>
      <c r="R5534" s="1001">
        <f ca="1">SUMIF($P5475:$P5530,3,R5475:R5530)</f>
        <v>60535.024510638301</v>
      </c>
      <c r="S5534"/>
      <c r="T5534" s="1001">
        <f ca="1">SUMIF($P5475:$P5530,3,T5475:T5530)</f>
        <v>576.88064893617013</v>
      </c>
    </row>
    <row r="5535" spans="1:37" s="997" customFormat="1" ht="13.2">
      <c r="A5535" s="998"/>
      <c r="B5535" s="1000"/>
      <c r="C5535" s="990" t="s">
        <v>72</v>
      </c>
      <c r="D5535" s="1013"/>
      <c r="E5535"/>
      <c r="F5535" s="1014" t="s">
        <v>152</v>
      </c>
      <c r="G5535" s="1015"/>
      <c r="H5535">
        <v>3</v>
      </c>
      <c r="I5535"/>
      <c r="J5535"/>
      <c r="K5535"/>
      <c r="L5535"/>
      <c r="M5535"/>
      <c r="N5535"/>
      <c r="O5535" s="112"/>
      <c r="P5535"/>
      <c r="Q5535"/>
      <c r="R5535" s="1001">
        <f>SUMIF($P5475:$P5530,4,R5475:R5530)</f>
        <v>4175</v>
      </c>
      <c r="S5535"/>
      <c r="T5535" s="1001">
        <f>SUMIF($P5475:$P5530,4,T5475:T5530)</f>
        <v>12.600000000000001</v>
      </c>
    </row>
    <row r="5536" spans="1:37" s="997" customFormat="1" thickBot="1">
      <c r="A5536" s="1004"/>
      <c r="B5536" s="1009"/>
      <c r="C5536" s="1006"/>
      <c r="D5536" s="1016"/>
      <c r="E5536" s="1008"/>
      <c r="F5536" s="1017" t="s">
        <v>153</v>
      </c>
      <c r="G5536" s="1018"/>
      <c r="H5536" s="1019"/>
      <c r="I5536" s="1019"/>
      <c r="J5536" s="1019"/>
      <c r="K5536" s="1019"/>
      <c r="L5536" s="1019"/>
      <c r="M5536" s="1019"/>
      <c r="N5536" s="1019"/>
      <c r="O5536" s="1020"/>
      <c r="P5536" s="1019"/>
      <c r="Q5536" s="1019"/>
      <c r="R5536" s="1021">
        <f ca="1">SUM(R5532:R5535)</f>
        <v>162742.86437029947</v>
      </c>
      <c r="S5536" s="1022"/>
      <c r="T5536" s="1021">
        <f ca="1">SUM(T5532:T5535)</f>
        <v>2606.3322378784778</v>
      </c>
      <c r="U5536" s="1007"/>
      <c r="V5536" s="1007"/>
      <c r="W5536" s="1007"/>
      <c r="X5536" s="1007"/>
      <c r="Y5536" s="1007"/>
      <c r="Z5536" s="1007"/>
      <c r="AA5536" s="1007"/>
      <c r="AB5536" s="1007"/>
      <c r="AC5536" s="1007"/>
      <c r="AD5536" s="1007"/>
      <c r="AE5536" s="1007"/>
      <c r="AF5536" s="1007"/>
      <c r="AG5536" s="1007"/>
      <c r="AH5536" s="1007"/>
      <c r="AI5536" s="1007"/>
      <c r="AJ5536" s="1007"/>
      <c r="AK5536" s="1007"/>
    </row>
    <row r="5537" spans="1:17" customFormat="1" thickTop="1">
      <c r="A5537" s="504"/>
      <c r="B5537" s="1024" t="s">
        <v>945</v>
      </c>
      <c r="C5537" s="1013" t="s">
        <v>945</v>
      </c>
      <c r="D5537" s="1013"/>
      <c r="O5537" s="112"/>
    </row>
    <row r="5538" spans="1:17" customFormat="1" ht="13.2">
      <c r="A5538" s="997"/>
      <c r="O5538" s="112"/>
    </row>
    <row r="5539" spans="1:17" customFormat="1" ht="13.2">
      <c r="A5539" s="997"/>
      <c r="B5539" s="1025">
        <f t="shared" ref="B5539:B5570" ca="1" si="60">SUMIF($D$13:$D$5453,D5539,$C$13:$C$5453)</f>
        <v>70</v>
      </c>
      <c r="C5539" s="997"/>
      <c r="D5539" s="1026" t="str">
        <f>Elec_Rates!$D$15</f>
        <v>001# 5 core x 70 mm2 XLPE/SWA/LSZH/Cu Cable</v>
      </c>
      <c r="O5539" s="112"/>
      <c r="Q5539" s="50"/>
    </row>
    <row r="5540" spans="1:17" customFormat="1" ht="13.2">
      <c r="A5540" s="997"/>
      <c r="B5540" s="1025">
        <f t="shared" ca="1" si="60"/>
        <v>10</v>
      </c>
      <c r="C5540" s="997"/>
      <c r="D5540" s="1026" t="str">
        <f>Elec_Rates!$D$25</f>
        <v>002# 5 core x 70 mm2 FG16(O)M16 Cable</v>
      </c>
      <c r="O5540" s="112"/>
    </row>
    <row r="5541" spans="1:17" customFormat="1" ht="13.2">
      <c r="A5541" s="997"/>
      <c r="B5541" s="1025">
        <f t="shared" ca="1" si="60"/>
        <v>170</v>
      </c>
      <c r="C5541" s="997"/>
      <c r="D5541" s="1026" t="str">
        <f>Elec_Rates!$D$35</f>
        <v>003# 5 core x 50 mm2 FG16(O)M16 Cable</v>
      </c>
      <c r="O5541" s="112"/>
    </row>
    <row r="5542" spans="1:17" customFormat="1" ht="13.2">
      <c r="A5542" s="997"/>
      <c r="B5542" s="1025">
        <f t="shared" ca="1" si="60"/>
        <v>76</v>
      </c>
      <c r="C5542" s="997"/>
      <c r="D5542" s="1026" t="str">
        <f>Elec_Rates!$D$45</f>
        <v>004# 5 core x 25 mm2 FG16(O)M16 Cable</v>
      </c>
      <c r="O5542" s="112"/>
    </row>
    <row r="5543" spans="1:17" customFormat="1" ht="13.2">
      <c r="A5543" s="997"/>
      <c r="B5543" s="1025">
        <f t="shared" ca="1" si="60"/>
        <v>267</v>
      </c>
      <c r="C5543" s="997"/>
      <c r="D5543" s="1026" t="str">
        <f>Elec_Rates!$D$55</f>
        <v>005# 5 core x 10 mm2 FG16(O)M16 Cable</v>
      </c>
      <c r="O5543" s="112"/>
    </row>
    <row r="5544" spans="1:17" customFormat="1" ht="13.2">
      <c r="A5544" s="997"/>
      <c r="B5544" s="1025">
        <f t="shared" ca="1" si="60"/>
        <v>52</v>
      </c>
      <c r="C5544" s="997"/>
      <c r="D5544" s="1026" t="str">
        <f>Elec_Rates!$D$65</f>
        <v>006# 5 core x 6.0 mm2 FG16(O)M16 Cable</v>
      </c>
      <c r="O5544" s="112"/>
    </row>
    <row r="5545" spans="1:17" customFormat="1" ht="13.2">
      <c r="A5545" s="997"/>
      <c r="B5545" s="1025">
        <f t="shared" ca="1" si="60"/>
        <v>30</v>
      </c>
      <c r="C5545" s="997"/>
      <c r="D5545" s="1026" t="str">
        <f>Elec_Rates!$D$75</f>
        <v>007# 5 core x 2.5 mm2 FG16(O)M16 Cable</v>
      </c>
      <c r="O5545" s="112"/>
    </row>
    <row r="5546" spans="1:17" customFormat="1" ht="13.2">
      <c r="A5546" s="997"/>
      <c r="B5546" s="1025">
        <f t="shared" ca="1" si="60"/>
        <v>5</v>
      </c>
      <c r="C5546" s="997"/>
      <c r="D5546" s="1026" t="str">
        <f>Elec_Rates!$D$85</f>
        <v>008# 3 core x 6.0 mm2 FG16(O)M16 Cable</v>
      </c>
      <c r="O5546" s="112"/>
    </row>
    <row r="5547" spans="1:17" customFormat="1" ht="13.2">
      <c r="A5547" s="997"/>
      <c r="B5547" s="1025">
        <f t="shared" ca="1" si="60"/>
        <v>170</v>
      </c>
      <c r="C5547" s="997"/>
      <c r="D5547" s="1026" t="str">
        <f>Elec_Rates!$D$95</f>
        <v>009# 3 core x 4.0 mm2 FG16(O)M16 Cable</v>
      </c>
      <c r="O5547" s="112"/>
    </row>
    <row r="5548" spans="1:17" customFormat="1" ht="13.2">
      <c r="A5548" s="997"/>
      <c r="B5548" s="1025">
        <f t="shared" ca="1" si="60"/>
        <v>44</v>
      </c>
      <c r="C5548" s="997"/>
      <c r="D5548" s="1026" t="str">
        <f>Elec_Rates!$D$105</f>
        <v>010# 3 core x 2.5 mm2 FG16(O)M16 Cable</v>
      </c>
      <c r="O5548" s="112"/>
    </row>
    <row r="5549" spans="1:17" customFormat="1" ht="13.2">
      <c r="A5549" s="997"/>
      <c r="B5549" s="1025">
        <f t="shared" ca="1" si="60"/>
        <v>155</v>
      </c>
      <c r="C5549" s="997"/>
      <c r="D5549" s="1026" t="str">
        <f>Elec_Rates!$D$115</f>
        <v>011# 5 core x 6.0 mm2 Fire Rated F120 Cable</v>
      </c>
      <c r="O5549" s="112"/>
    </row>
    <row r="5550" spans="1:17" customFormat="1" ht="13.2">
      <c r="A5550" s="997"/>
      <c r="B5550" s="1025">
        <f t="shared" ca="1" si="60"/>
        <v>102</v>
      </c>
      <c r="C5550" s="997"/>
      <c r="D5550" s="1026" t="str">
        <f>Elec_Rates!$D$125</f>
        <v>012# 3 core x 2.5 mm2 Fire Rated F120 Cable</v>
      </c>
      <c r="O5550" s="112"/>
    </row>
    <row r="5551" spans="1:17" customFormat="1" ht="13.2">
      <c r="A5551" s="997"/>
      <c r="B5551" s="1025">
        <f t="shared" ca="1" si="60"/>
        <v>40</v>
      </c>
      <c r="C5551" s="997"/>
      <c r="D5551" s="1026" t="str">
        <f>Elec_Rates!$D$135</f>
        <v>013# HDG Cable Tray Size 100mm x 50mm</v>
      </c>
      <c r="O5551" s="112"/>
    </row>
    <row r="5552" spans="1:17" customFormat="1" ht="13.2">
      <c r="A5552" s="997"/>
      <c r="B5552" s="1025">
        <f t="shared" ca="1" si="60"/>
        <v>30</v>
      </c>
      <c r="C5552" s="997"/>
      <c r="D5552" s="1026" t="str">
        <f>Elec_Rates!$D$144</f>
        <v>014# HDG Cable Tray Size 200mm x 50mm</v>
      </c>
      <c r="O5552" s="112"/>
    </row>
    <row r="5553" spans="1:15" customFormat="1" ht="13.2">
      <c r="A5553" s="997"/>
      <c r="B5553" s="1025">
        <f t="shared" ca="1" si="60"/>
        <v>10</v>
      </c>
      <c r="C5553" s="997"/>
      <c r="D5553" s="1026" t="str">
        <f>Elec_Rates!$D$153</f>
        <v>015# HDG Cable Tray Size 300mm x 50mm</v>
      </c>
      <c r="O5553" s="112"/>
    </row>
    <row r="5554" spans="1:15" customFormat="1" ht="13.2">
      <c r="A5554" s="997"/>
      <c r="B5554" s="1025">
        <f t="shared" ca="1" si="60"/>
        <v>30</v>
      </c>
      <c r="C5554" s="997"/>
      <c r="D5554" s="1026" t="str">
        <f>Elec_Rates!$D$162</f>
        <v>016# HDG Cable Tray Size 400mm x 50mm</v>
      </c>
      <c r="O5554" s="112"/>
    </row>
    <row r="5555" spans="1:15" customFormat="1" ht="13.2">
      <c r="A5555" s="997"/>
      <c r="B5555" s="1025">
        <f t="shared" ca="1" si="60"/>
        <v>20</v>
      </c>
      <c r="C5555" s="997"/>
      <c r="D5555" s="1026" t="str">
        <f>Elec_Rates!$D$171</f>
        <v>017# HDG Cable Tray Size 500mm x 50mm</v>
      </c>
      <c r="O5555" s="112"/>
    </row>
    <row r="5556" spans="1:15" customFormat="1" ht="13.2">
      <c r="A5556" s="997"/>
      <c r="B5556" s="1025">
        <f t="shared" ca="1" si="60"/>
        <v>212</v>
      </c>
      <c r="C5556" s="997"/>
      <c r="D5556" s="1026" t="str">
        <f>Elec_Rates!$D$180</f>
        <v>018# Cable Containment Supports</v>
      </c>
      <c r="O5556" s="112"/>
    </row>
    <row r="5557" spans="1:15" customFormat="1" ht="13.2">
      <c r="A5557" s="997"/>
      <c r="B5557" s="1025">
        <f t="shared" ca="1" si="60"/>
        <v>666.5</v>
      </c>
      <c r="C5557" s="997"/>
      <c r="D5557" s="1026" t="str">
        <f>Elec_Rates!$D$200</f>
        <v>019# Lighting point in LSZH Conduit</v>
      </c>
      <c r="O5557" s="112"/>
    </row>
    <row r="5558" spans="1:15" customFormat="1" ht="13.2">
      <c r="A5558" s="997"/>
      <c r="B5558" s="1025">
        <f t="shared" ca="1" si="60"/>
        <v>65</v>
      </c>
      <c r="C5558" s="997"/>
      <c r="D5558" s="1026" t="str">
        <f>Elec_Rates!$D$210</f>
        <v>020# Movement Detector</v>
      </c>
      <c r="O5558" s="112"/>
    </row>
    <row r="5559" spans="1:15" customFormat="1" ht="13.2">
      <c r="A5559" s="997"/>
      <c r="B5559" s="1025">
        <f t="shared" ca="1" si="60"/>
        <v>8</v>
      </c>
      <c r="C5559" s="997"/>
      <c r="D5559" s="1026" t="str">
        <f>Elec_Rates!$D$216</f>
        <v>021# Supply Only - Type 600x600mm, 40W Soffit Recessed LED Panel</v>
      </c>
      <c r="O5559" s="112"/>
    </row>
    <row r="5560" spans="1:15" customFormat="1" ht="13.2">
      <c r="A5560" s="997"/>
      <c r="B5560" s="1025">
        <f t="shared" ca="1" si="60"/>
        <v>34</v>
      </c>
      <c r="C5560" s="997"/>
      <c r="D5560" s="1026" t="str">
        <f>Elec_Rates!$D$222</f>
        <v>022# Supply Only - Type 'E1' - Single Sided, Wall Mounted, Directional Exit Signage</v>
      </c>
      <c r="O5560" s="112"/>
    </row>
    <row r="5561" spans="1:15" customFormat="1" ht="13.2">
      <c r="A5561" s="997"/>
      <c r="B5561" s="1025">
        <f t="shared" ca="1" si="60"/>
        <v>6</v>
      </c>
      <c r="C5561" s="997"/>
      <c r="D5561" s="1026" t="str">
        <f>Elec_Rates!$D$228</f>
        <v>023# Supply Only - Type 'E2' - Double Sided, Ceiling Mounted/ Soffit Recessed, Directional Exit Signage.</v>
      </c>
      <c r="O5561" s="112"/>
    </row>
    <row r="5562" spans="1:15" customFormat="1" ht="13.2">
      <c r="A5562" s="997"/>
      <c r="B5562" s="1025">
        <f t="shared" ca="1" si="60"/>
        <v>8</v>
      </c>
      <c r="C5562" s="997"/>
      <c r="D5562" s="1026" t="str">
        <f>Elec_Rates!$D$234</f>
        <v>024# Supply Only - Outdoor wall lights for technical area, IP65</v>
      </c>
      <c r="O5562" s="112"/>
    </row>
    <row r="5563" spans="1:15" customFormat="1" ht="13.2">
      <c r="A5563" s="997"/>
      <c r="B5563" s="1025">
        <f t="shared" ca="1" si="60"/>
        <v>8</v>
      </c>
      <c r="C5563" s="997"/>
      <c r="D5563" s="1026" t="str">
        <f>Elec_Rates!$D$240</f>
        <v>025# Install and connect Only - Type 600x600mm, 40W Soffit Recessed LED Panel</v>
      </c>
      <c r="O5563" s="112"/>
    </row>
    <row r="5564" spans="1:15" customFormat="1" ht="13.2">
      <c r="A5564" s="997"/>
      <c r="B5564" s="1025">
        <f t="shared" ca="1" si="60"/>
        <v>34</v>
      </c>
      <c r="C5564" s="997"/>
      <c r="D5564" s="1026" t="str">
        <f>Elec_Rates!$D$247</f>
        <v>026# Install and connect Only - Type 'E1' - Single Sided, Wall Mounted, Directional Exit Signage</v>
      </c>
      <c r="O5564" s="112"/>
    </row>
    <row r="5565" spans="1:15" customFormat="1" ht="13.2">
      <c r="A5565" s="997"/>
      <c r="B5565" s="1025">
        <f t="shared" ca="1" si="60"/>
        <v>6</v>
      </c>
      <c r="C5565" s="997"/>
      <c r="D5565" s="1026" t="str">
        <f>Elec_Rates!$D$255</f>
        <v>027# Install and connect Only - Type 'E2' - Double Sided, Ceiling Mounted/ Soffit Recessed, Directional Exit Signage.</v>
      </c>
      <c r="O5565" s="112"/>
    </row>
    <row r="5566" spans="1:15" customFormat="1" ht="13.2">
      <c r="A5566" s="997"/>
      <c r="B5566" s="1025">
        <f t="shared" ca="1" si="60"/>
        <v>8</v>
      </c>
      <c r="C5566" s="997"/>
      <c r="D5566" s="1026" t="str">
        <f>Elec_Rates!$D$262</f>
        <v>028# Install and connect Only - Outdoor wall lights for technical area, IP65</v>
      </c>
      <c r="O5566" s="112"/>
    </row>
    <row r="5567" spans="1:15" customFormat="1" ht="13.2">
      <c r="A5567" s="997"/>
      <c r="B5567" s="1025">
        <f t="shared" ca="1" si="60"/>
        <v>40</v>
      </c>
      <c r="C5567" s="997"/>
      <c r="D5567" s="1026" t="str">
        <f>Elec_Rates!$D$270</f>
        <v>029# Install and connect Only - Battery Backup Kit for the light fittings supplied by others</v>
      </c>
      <c r="O5567" s="112"/>
    </row>
    <row r="5568" spans="1:15" customFormat="1" ht="13.2">
      <c r="A5568" s="997"/>
      <c r="B5568" s="1025">
        <f t="shared" ca="1" si="60"/>
        <v>7</v>
      </c>
      <c r="C5568" s="997"/>
      <c r="D5568" s="1026" t="str">
        <f>Elec_Rates!$D$277</f>
        <v>030# Install and connect Only - Type 'LD-01' - Rooms Art Light</v>
      </c>
      <c r="O5568" s="112"/>
    </row>
    <row r="5569" spans="1:15" customFormat="1" ht="13.2">
      <c r="A5569" s="997"/>
      <c r="B5569" s="1025">
        <f t="shared" ca="1" si="60"/>
        <v>19</v>
      </c>
      <c r="C5569" s="997"/>
      <c r="D5569" s="1026" t="str">
        <f>Elec_Rates!$D$285</f>
        <v>031# Install and connect Only - Type 'LD-02' - Common Areas Art Light</v>
      </c>
      <c r="O5569" s="112"/>
    </row>
    <row r="5570" spans="1:15" customFormat="1" ht="13.2">
      <c r="A5570" s="997"/>
      <c r="B5570" s="1025">
        <f t="shared" ca="1" si="60"/>
        <v>2</v>
      </c>
      <c r="C5570" s="997"/>
      <c r="D5570" s="1026" t="str">
        <f>Elec_Rates!$D$293</f>
        <v>032# Install and connect Only - Type 'LD-03' - Wall light fitting in Lobby</v>
      </c>
      <c r="O5570" s="112"/>
    </row>
    <row r="5571" spans="1:15" customFormat="1" ht="13.2">
      <c r="A5571" s="997"/>
      <c r="B5571" s="1025">
        <f t="shared" ref="B5571:B5600" ca="1" si="61">SUMIF($D$13:$D$5453,D5571,$C$13:$C$5453)</f>
        <v>3</v>
      </c>
      <c r="C5571" s="997"/>
      <c r="D5571" s="1026" t="str">
        <f>Elec_Rates!$D$301</f>
        <v>033# Install and connect Only - Type 'LD-5' - Lantern</v>
      </c>
      <c r="O5571" s="112"/>
    </row>
    <row r="5572" spans="1:15" customFormat="1" ht="13.2">
      <c r="A5572" s="997"/>
      <c r="B5572" s="1025">
        <f t="shared" ca="1" si="61"/>
        <v>10</v>
      </c>
      <c r="C5572" s="997"/>
      <c r="D5572" s="1026" t="str">
        <f>Elec_Rates!$D$308</f>
        <v>034# Install and connect Only - Type 'LD-08' - Staircase Wall Light</v>
      </c>
      <c r="O5572" s="112"/>
    </row>
    <row r="5573" spans="1:15" customFormat="1" ht="13.2">
      <c r="A5573" s="997"/>
      <c r="B5573" s="1025">
        <f t="shared" ca="1" si="61"/>
        <v>2</v>
      </c>
      <c r="C5573" s="997"/>
      <c r="D5573" s="1026" t="str">
        <f>Elec_Rates!$D$316</f>
        <v>035# Install and connect Only - Type 'LD-10' - Armchair Reading Light</v>
      </c>
      <c r="O5573" s="112"/>
    </row>
    <row r="5574" spans="1:15" customFormat="1" ht="13.2">
      <c r="A5574" s="997"/>
      <c r="B5574" s="1025">
        <f t="shared" ca="1" si="61"/>
        <v>19</v>
      </c>
      <c r="C5574" s="997"/>
      <c r="D5574" s="1026" t="str">
        <f>Elec_Rates!$D$322</f>
        <v>036# Install and connect Only - Type 'LD-11' - Hallway Wall Light</v>
      </c>
      <c r="O5574" s="112"/>
    </row>
    <row r="5575" spans="1:15" customFormat="1" ht="13.2">
      <c r="A5575" s="997"/>
      <c r="B5575" s="1025">
        <f t="shared" ca="1" si="61"/>
        <v>28</v>
      </c>
      <c r="C5575" s="997"/>
      <c r="D5575" s="1026" t="str">
        <f>Elec_Rates!$D$330</f>
        <v>037# Install and connect Only - Type 'LD-12' - Reading Lights</v>
      </c>
      <c r="O5575" s="112"/>
    </row>
    <row r="5576" spans="1:15" customFormat="1" ht="13.2">
      <c r="A5576" s="997"/>
      <c r="B5576" s="1025">
        <f t="shared" ca="1" si="61"/>
        <v>1</v>
      </c>
      <c r="C5576" s="997"/>
      <c r="D5576" s="1026" t="str">
        <f>Elec_Rates!$D$338</f>
        <v>038# Install and connect Only - Type 'LD-12' - Chandelier</v>
      </c>
      <c r="O5576" s="112"/>
    </row>
    <row r="5577" spans="1:15" customFormat="1" ht="13.2">
      <c r="A5577" s="997"/>
      <c r="B5577" s="1025">
        <f t="shared" ca="1" si="61"/>
        <v>6</v>
      </c>
      <c r="C5577" s="997"/>
      <c r="D5577" s="1026" t="str">
        <f>Elec_Rates!$D$345</f>
        <v>039# Install and connect Only - Type 'LD-14' - Terrace Wall Light</v>
      </c>
      <c r="O5577" s="112"/>
    </row>
    <row r="5578" spans="1:15" customFormat="1" ht="13.2">
      <c r="A5578" s="997"/>
      <c r="B5578" s="1025">
        <f t="shared" ca="1" si="61"/>
        <v>23</v>
      </c>
      <c r="C5578" s="997"/>
      <c r="D5578" s="1026" t="str">
        <f>Elec_Rates!$D$353</f>
        <v>040# Install and connect Only - Type 'LD-15' - Bathrooms Wall Light</v>
      </c>
      <c r="O5578" s="112"/>
    </row>
    <row r="5579" spans="1:15" customFormat="1" ht="13.2">
      <c r="A5579" s="997"/>
      <c r="B5579" s="1025">
        <f t="shared" ca="1" si="61"/>
        <v>4</v>
      </c>
      <c r="C5579" s="997"/>
      <c r="D5579" s="1026" t="str">
        <f>Elec_Rates!$D$361</f>
        <v>041# Install and connect Only - Type 'LD-16' - Toilets Wall Light</v>
      </c>
      <c r="O5579" s="112"/>
    </row>
    <row r="5580" spans="1:15" customFormat="1" ht="13.2">
      <c r="A5580" s="997"/>
      <c r="B5580" s="1025">
        <f t="shared" ca="1" si="61"/>
        <v>112</v>
      </c>
      <c r="C5580" s="997"/>
      <c r="D5580" s="1026" t="str">
        <f>Elec_Rates!$D$369</f>
        <v>042# Install and connect Only - Type 'LT-01' - 11W Soffit Recessed Light Fitting</v>
      </c>
      <c r="O5580" s="112"/>
    </row>
    <row r="5581" spans="1:15" customFormat="1" ht="13.2">
      <c r="A5581" s="997"/>
      <c r="B5581" s="1025">
        <f t="shared" ca="1" si="61"/>
        <v>44</v>
      </c>
      <c r="C5581" s="997"/>
      <c r="D5581" s="1026" t="str">
        <f>Elec_Rates!$D$376</f>
        <v>043# Install and connect Only - Type 'LT-02' - 11W Soffit Recessed Light Fitting</v>
      </c>
      <c r="O5581" s="112"/>
    </row>
    <row r="5582" spans="1:15" customFormat="1" ht="13.2">
      <c r="A5582" s="997"/>
      <c r="B5582" s="1025">
        <f t="shared" ca="1" si="61"/>
        <v>2</v>
      </c>
      <c r="C5582" s="997"/>
      <c r="D5582" s="1026" t="str">
        <f>Elec_Rates!$D$383</f>
        <v>044# Install and connect Only - Type 'LT-03' - Wall Light</v>
      </c>
      <c r="O5582" s="112"/>
    </row>
    <row r="5583" spans="1:15" customFormat="1" ht="13.2">
      <c r="A5583" s="997"/>
      <c r="B5583" s="1025">
        <f t="shared" ca="1" si="61"/>
        <v>74</v>
      </c>
      <c r="C5583" s="997"/>
      <c r="D5583" s="1026" t="str">
        <f>Elec_Rates!$D$391</f>
        <v>045# Install and connect Only - Type 'LT-04' - Wall Light</v>
      </c>
      <c r="O5583" s="112"/>
    </row>
    <row r="5584" spans="1:15" customFormat="1" ht="13.2">
      <c r="A5584" s="997"/>
      <c r="B5584" s="1025">
        <f t="shared" ca="1" si="61"/>
        <v>57</v>
      </c>
      <c r="C5584" s="997"/>
      <c r="D5584" s="1026" t="str">
        <f>Elec_Rates!$D$399</f>
        <v>046# Install and connect Only - Type 'LT-05' - Wall Light</v>
      </c>
      <c r="O5584" s="112"/>
    </row>
    <row r="5585" spans="1:15" customFormat="1" ht="13.2">
      <c r="A5585" s="997"/>
      <c r="B5585" s="1025">
        <f t="shared" ca="1" si="61"/>
        <v>19</v>
      </c>
      <c r="C5585" s="997"/>
      <c r="D5585" s="1026" t="str">
        <f>Elec_Rates!$D$407</f>
        <v>047# Install and connect Only - Type 'LT-06' - Wall Light</v>
      </c>
      <c r="O5585" s="112"/>
    </row>
    <row r="5586" spans="1:15" customFormat="1" ht="13.2">
      <c r="A5586" s="997"/>
      <c r="B5586" s="1025">
        <f t="shared" ca="1" si="61"/>
        <v>43</v>
      </c>
      <c r="C5586" s="997"/>
      <c r="D5586" s="1026" t="str">
        <f>Elec_Rates!$D$415</f>
        <v>048# Install and connect Only - Type 'LT-07' - 2W Wall Recessed Step Light, IP65</v>
      </c>
      <c r="O5586" s="112"/>
    </row>
    <row r="5587" spans="1:15" customFormat="1" ht="13.2">
      <c r="A5587" s="997"/>
      <c r="B5587" s="1025">
        <f t="shared" ca="1" si="61"/>
        <v>7</v>
      </c>
      <c r="C5587" s="997"/>
      <c r="D5587" s="1026" t="str">
        <f>Elec_Rates!$D$423</f>
        <v>049# Install and connect Only - Type 'LT-08' - Mini Soffit Recessed Downlighter</v>
      </c>
      <c r="O5587" s="112"/>
    </row>
    <row r="5588" spans="1:15" customFormat="1" ht="13.2">
      <c r="A5588" s="997"/>
      <c r="B5588" s="1025">
        <f t="shared" ca="1" si="61"/>
        <v>6</v>
      </c>
      <c r="C5588" s="997"/>
      <c r="D5588" s="1026" t="str">
        <f>Elec_Rates!$D$429</f>
        <v>050# Install and connect Only - Type 'LT-09' - 300mm x 300mm LED Panel Soffit Recessed</v>
      </c>
      <c r="O5588" s="112"/>
    </row>
    <row r="5589" spans="1:15" customFormat="1" ht="13.2">
      <c r="A5589" s="997"/>
      <c r="B5589" s="1025">
        <f t="shared" ca="1" si="61"/>
        <v>3</v>
      </c>
      <c r="C5589" s="997"/>
      <c r="D5589" s="1026" t="str">
        <f>Elec_Rates!$D$436</f>
        <v>051# Install and connect Only - Type 'LT-11' - 6W Pole Light</v>
      </c>
      <c r="O5589" s="112"/>
    </row>
    <row r="5590" spans="1:15" customFormat="1" ht="13.2">
      <c r="A5590" s="997"/>
      <c r="B5590" s="1025">
        <f t="shared" ca="1" si="61"/>
        <v>48</v>
      </c>
      <c r="C5590" s="997"/>
      <c r="D5590" s="1026" t="str">
        <f>Elec_Rates!$D$444</f>
        <v>052# Install and connect Only - Type 'LT-12' - 6W Recessed Floor Spotlight, Dimmable, IP65</v>
      </c>
      <c r="O5590" s="112"/>
    </row>
    <row r="5591" spans="1:15" customFormat="1" ht="13.2">
      <c r="A5591" s="997"/>
      <c r="B5591" s="1025">
        <f t="shared" ca="1" si="61"/>
        <v>23</v>
      </c>
      <c r="C5591" s="997"/>
      <c r="D5591" s="1026" t="str">
        <f>Elec_Rates!$D$452</f>
        <v>053# Install and connect Only - Type 'LT-13 - Dimmable Strip Light</v>
      </c>
      <c r="O5591" s="112"/>
    </row>
    <row r="5592" spans="1:15" customFormat="1" ht="13.2">
      <c r="A5592" s="997"/>
      <c r="B5592" s="1025">
        <f t="shared" ca="1" si="61"/>
        <v>22</v>
      </c>
      <c r="C5592" s="997"/>
      <c r="D5592" s="1026" t="str">
        <f>Elec_Rates!$D$458</f>
        <v>054# Install and connect Only - Type 'LT-14' - Dimmable Strip Light</v>
      </c>
      <c r="O5592" s="112"/>
    </row>
    <row r="5593" spans="1:15" customFormat="1" ht="13.2">
      <c r="A5593" s="997"/>
      <c r="B5593" s="1025">
        <f t="shared" ca="1" si="61"/>
        <v>15</v>
      </c>
      <c r="C5593" s="997"/>
      <c r="D5593" s="1026" t="str">
        <f>Elec_Rates!$D$464</f>
        <v>055# Install and connect Only - Type 'LT-15' - 8.5W Soffit Recessed Downlighter</v>
      </c>
      <c r="O5593" s="112"/>
    </row>
    <row r="5594" spans="1:15" customFormat="1" ht="13.2">
      <c r="A5594" s="997"/>
      <c r="B5594" s="1025">
        <f t="shared" ca="1" si="61"/>
        <v>1</v>
      </c>
      <c r="C5594" s="997"/>
      <c r="D5594" s="1026" t="str">
        <f>Elec_Rates!$D$471</f>
        <v>056# Install and connect Only - Type 'LT-16' - 8.5W Soffit Recessed Downlighter</v>
      </c>
      <c r="O5594" s="112"/>
    </row>
    <row r="5595" spans="1:15" customFormat="1" ht="13.2">
      <c r="A5595" s="997"/>
      <c r="B5595" s="1025">
        <f t="shared" ca="1" si="61"/>
        <v>14</v>
      </c>
      <c r="C5595" s="997"/>
      <c r="D5595" s="1026" t="str">
        <f>Elec_Rates!$D$478</f>
        <v>057# Install and connect Only - Magnifying Mirror in Bathroom</v>
      </c>
      <c r="O5595" s="112"/>
    </row>
    <row r="5596" spans="1:15" customFormat="1" ht="13.2">
      <c r="A5596" s="997"/>
      <c r="B5596" s="1025">
        <f t="shared" ca="1" si="61"/>
        <v>309</v>
      </c>
      <c r="C5596" s="997"/>
      <c r="D5596" s="1026" t="str">
        <f>Elec_Rates!$D$486</f>
        <v>058# General Power Point in LSZH Conduit</v>
      </c>
      <c r="O5596" s="112"/>
    </row>
    <row r="5597" spans="1:15" customFormat="1" ht="13.2">
      <c r="A5597" s="997"/>
      <c r="B5597" s="1025">
        <f t="shared" ca="1" si="61"/>
        <v>15</v>
      </c>
      <c r="C5597" s="997"/>
      <c r="D5597" s="1026" t="str">
        <f>Elec_Rates!$D$495</f>
        <v>059# Galvanized Steel Cable Trunking Size 75 x 50mm</v>
      </c>
      <c r="O5597" s="112"/>
    </row>
    <row r="5598" spans="1:15" customFormat="1" ht="13.2">
      <c r="A5598" s="997"/>
      <c r="B5598" s="1025">
        <f t="shared" ca="1" si="61"/>
        <v>5</v>
      </c>
      <c r="C5598" s="997"/>
      <c r="D5598" s="1026" t="str">
        <f>Elec_Rates!$D$506</f>
        <v>060# Galvanized Steel Cable Trunking Size 75 x 75mm</v>
      </c>
      <c r="O5598" s="112"/>
    </row>
    <row r="5599" spans="1:15" customFormat="1" ht="13.2">
      <c r="A5599" s="997"/>
      <c r="B5599" s="1025">
        <f t="shared" ca="1" si="61"/>
        <v>185</v>
      </c>
      <c r="C5599" s="997"/>
      <c r="D5599" s="1026" t="str">
        <f>Elec_Rates!$D$517</f>
        <v>061# DALI Wiring cables</v>
      </c>
      <c r="O5599" s="112"/>
    </row>
    <row r="5600" spans="1:15" customFormat="1" ht="13.2">
      <c r="A5600" s="997"/>
      <c r="B5600" s="1025">
        <f t="shared" ca="1" si="61"/>
        <v>13</v>
      </c>
      <c r="C5600" s="997"/>
      <c r="D5600" s="1026" t="str">
        <f>Elec_Rates!$D$524</f>
        <v>062# 230V 2P 16A Contactor</v>
      </c>
      <c r="O5600" s="112"/>
    </row>
    <row r="5601" spans="1:37" customFormat="1" thickBot="1">
      <c r="A5601" s="1007"/>
      <c r="B5601" s="1008"/>
      <c r="C5601" s="1008"/>
      <c r="D5601" s="1008"/>
      <c r="E5601" s="1008"/>
      <c r="F5601" s="1008"/>
      <c r="G5601" s="1008"/>
      <c r="H5601" s="1008"/>
      <c r="I5601" s="1008"/>
      <c r="J5601" s="1008"/>
      <c r="K5601" s="1008"/>
      <c r="L5601" s="1008"/>
      <c r="M5601" s="1008"/>
      <c r="N5601" s="1008"/>
      <c r="O5601" s="1010"/>
      <c r="P5601" s="1008"/>
      <c r="Q5601" s="1008"/>
      <c r="R5601" s="1008"/>
      <c r="S5601" s="1008"/>
      <c r="T5601" s="1008"/>
      <c r="U5601" s="1008"/>
      <c r="V5601" s="1008"/>
      <c r="W5601" s="1008"/>
      <c r="X5601" s="1008"/>
      <c r="Y5601" s="1008"/>
      <c r="Z5601" s="1008"/>
      <c r="AA5601" s="1008"/>
      <c r="AB5601" s="1008"/>
      <c r="AC5601" s="1008"/>
      <c r="AD5601" s="1008"/>
      <c r="AE5601" s="1008"/>
      <c r="AF5601" s="1008"/>
      <c r="AG5601" s="1008"/>
      <c r="AH5601" s="1008"/>
      <c r="AI5601" s="1008"/>
      <c r="AJ5601" s="1008"/>
      <c r="AK5601" s="1008"/>
    </row>
    <row r="5602" spans="1:37" ht="14.4" thickTop="1"/>
  </sheetData>
  <sheetProtection formatCells="0" formatColumns="0" formatRows="0" insertColumns="0" insertRows="0" insertHyperlinks="0" deleteColumns="0" deleteRows="0" sort="0" autoFilter="0" pivotTables="0"/>
  <mergeCells count="2">
    <mergeCell ref="D121:F121"/>
    <mergeCell ref="D135:F135"/>
  </mergeCells>
  <phoneticPr fontId="29"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indexed="10"/>
  </sheetPr>
  <dimension ref="A1:AD177"/>
  <sheetViews>
    <sheetView workbookViewId="0">
      <selection activeCell="D3" sqref="D3:E3"/>
    </sheetView>
  </sheetViews>
  <sheetFormatPr defaultColWidth="9.109375" defaultRowHeight="13.2"/>
  <cols>
    <col min="1" max="1" width="8.33203125" style="36" customWidth="1"/>
    <col min="2" max="2" width="12.44140625" style="136"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1.6640625" style="36" customWidth="1"/>
    <col min="21" max="21" width="8.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452" t="s">
        <v>0</v>
      </c>
      <c r="C1" s="449">
        <v>1</v>
      </c>
      <c r="D1" s="1401" t="s">
        <v>947</v>
      </c>
      <c r="E1" s="1402"/>
      <c r="G1" s="450" t="b">
        <v>1</v>
      </c>
      <c r="H1" s="450" t="b">
        <v>1</v>
      </c>
      <c r="I1" s="266">
        <v>1</v>
      </c>
      <c r="J1" s="267">
        <f t="shared" ref="J1:J10" si="0">$Q110</f>
        <v>1</v>
      </c>
      <c r="K1" s="267">
        <f t="shared" ref="K1:K10" si="1">$Q120</f>
        <v>1</v>
      </c>
      <c r="L1" s="267">
        <f t="shared" ref="L1:L10" si="2">$Q130</f>
        <v>1</v>
      </c>
      <c r="M1" s="267">
        <f t="shared" ref="M1:M10" si="3">$Q140</f>
        <v>1</v>
      </c>
      <c r="N1" s="267">
        <f t="shared" ref="N1:N9" si="4">$Q150</f>
        <v>1</v>
      </c>
      <c r="O1" s="267">
        <f t="shared" ref="O1:O6" si="5">$Q160</f>
        <v>1</v>
      </c>
      <c r="P1" s="11"/>
      <c r="Q1" s="421" t="str">
        <f>IF(C1=1,"€","Curr?")</f>
        <v>€</v>
      </c>
      <c r="R1" s="362" t="s">
        <v>205</v>
      </c>
      <c r="S1" s="440" t="str">
        <f>IF($S$39="PRINT","R","Do Not Print")</f>
        <v>R</v>
      </c>
      <c r="T1" s="466">
        <v>1.05</v>
      </c>
      <c r="V1" s="124">
        <f t="array" ref="V1">IF(OR(X1=AREAS),1,0)</f>
        <v>1</v>
      </c>
      <c r="W1" s="437" t="s">
        <v>176</v>
      </c>
      <c r="X1" s="125" t="s">
        <v>173</v>
      </c>
      <c r="Y1" s="125" t="s">
        <v>173</v>
      </c>
      <c r="Z1" s="125" t="s">
        <v>173</v>
      </c>
      <c r="AA1" s="125" t="s">
        <v>173</v>
      </c>
      <c r="AB1" s="125" t="s">
        <v>173</v>
      </c>
      <c r="AC1" s="125" t="s">
        <v>173</v>
      </c>
      <c r="AD1" s="125" t="s">
        <v>173</v>
      </c>
    </row>
    <row r="2" spans="1:30" ht="21.75" customHeight="1">
      <c r="A2" s="442"/>
      <c r="B2" s="452" t="s">
        <v>2</v>
      </c>
      <c r="C2" s="448">
        <f>IF($D$6="VAT INCLUDED",1.18,1)*(1-$Q2)*$C$1</f>
        <v>1</v>
      </c>
      <c r="D2" s="1401" t="s">
        <v>1990</v>
      </c>
      <c r="E2" s="1402"/>
      <c r="F2" s="355" t="s">
        <v>188</v>
      </c>
      <c r="G2" s="450" t="b">
        <v>1</v>
      </c>
      <c r="I2" s="266">
        <v>2</v>
      </c>
      <c r="J2" s="267">
        <f t="shared" si="0"/>
        <v>1</v>
      </c>
      <c r="K2" s="267">
        <f t="shared" si="1"/>
        <v>1</v>
      </c>
      <c r="L2" s="267">
        <f t="shared" si="2"/>
        <v>1</v>
      </c>
      <c r="M2" s="267">
        <f t="shared" si="3"/>
        <v>1</v>
      </c>
      <c r="N2" s="267">
        <f t="shared" si="4"/>
        <v>1</v>
      </c>
      <c r="O2" s="267">
        <f t="shared" si="5"/>
        <v>1</v>
      </c>
      <c r="P2" s="11"/>
      <c r="Q2" s="305"/>
      <c r="R2" s="320" t="str">
        <f>"A) " &amp; IF($S2=0,"",ROUND($S2,2) &amp; "-" &amp; ROUND($T2/$D$9,2))</f>
        <v>A) 1.22-1.22</v>
      </c>
      <c r="S2" s="296">
        <v>1.22</v>
      </c>
      <c r="T2" s="296">
        <f>$S2*$D$9</f>
        <v>35.176259999999999</v>
      </c>
      <c r="U2" s="296">
        <v>1.26</v>
      </c>
      <c r="V2" s="133"/>
      <c r="W2" s="133"/>
      <c r="X2" s="125" t="s">
        <v>173</v>
      </c>
      <c r="Y2" s="125" t="s">
        <v>173</v>
      </c>
      <c r="Z2" s="125" t="s">
        <v>173</v>
      </c>
      <c r="AA2" s="125" t="s">
        <v>173</v>
      </c>
      <c r="AB2" s="125" t="s">
        <v>173</v>
      </c>
      <c r="AC2" s="125" t="s">
        <v>173</v>
      </c>
      <c r="AD2" s="125" t="s">
        <v>173</v>
      </c>
    </row>
    <row r="3" spans="1:30" ht="21" customHeight="1">
      <c r="A3" s="443"/>
      <c r="B3" s="452" t="s">
        <v>4</v>
      </c>
      <c r="C3" s="448">
        <f t="shared" ref="C3:C12" si="6">IF($D$6="VAT INCLUDED",1.18,1)*(1-$Q3)*$C$1</f>
        <v>1</v>
      </c>
      <c r="D3" s="1401" t="s">
        <v>948</v>
      </c>
      <c r="E3" s="1402"/>
      <c r="F3" s="355" t="s">
        <v>1546</v>
      </c>
      <c r="G3" s="450" t="b">
        <v>1</v>
      </c>
      <c r="I3" s="266">
        <v>3</v>
      </c>
      <c r="J3" s="267">
        <f t="shared" si="0"/>
        <v>1</v>
      </c>
      <c r="K3" s="267">
        <f t="shared" si="1"/>
        <v>1</v>
      </c>
      <c r="L3" s="267">
        <f t="shared" si="2"/>
        <v>1</v>
      </c>
      <c r="M3" s="267">
        <f t="shared" si="3"/>
        <v>1</v>
      </c>
      <c r="N3" s="267">
        <f t="shared" si="4"/>
        <v>1</v>
      </c>
      <c r="O3" s="267">
        <f t="shared" si="5"/>
        <v>1</v>
      </c>
      <c r="P3" s="11"/>
      <c r="Q3" s="305"/>
      <c r="R3" s="321" t="str">
        <f>"B) " &amp; IF($S3=0,"",ROUND($S3,2) &amp; "-" &amp; ROUND($T3/$D$9,2))</f>
        <v>B) 1.22-3</v>
      </c>
      <c r="S3" s="296">
        <v>1.22</v>
      </c>
      <c r="T3" s="296">
        <f>$D$11</f>
        <v>86.64</v>
      </c>
      <c r="U3" s="296">
        <v>1.26</v>
      </c>
      <c r="V3" s="133"/>
      <c r="W3" s="133"/>
      <c r="X3" s="125" t="s">
        <v>173</v>
      </c>
      <c r="Y3" s="125" t="s">
        <v>173</v>
      </c>
      <c r="Z3" s="125" t="s">
        <v>173</v>
      </c>
      <c r="AA3" s="125" t="s">
        <v>173</v>
      </c>
      <c r="AB3" s="125" t="s">
        <v>173</v>
      </c>
      <c r="AC3" s="125" t="s">
        <v>173</v>
      </c>
      <c r="AD3" s="125" t="s">
        <v>173</v>
      </c>
    </row>
    <row r="4" spans="1:30" ht="15.75" customHeight="1">
      <c r="A4" s="444"/>
      <c r="B4" s="453" t="s">
        <v>240</v>
      </c>
      <c r="C4" s="376">
        <f t="shared" si="6"/>
        <v>1</v>
      </c>
      <c r="D4" s="13" t="s">
        <v>1562</v>
      </c>
      <c r="E4" s="282"/>
      <c r="F4" s="355" t="s">
        <v>1547</v>
      </c>
      <c r="G4" s="450" t="b">
        <v>1</v>
      </c>
      <c r="I4" s="266">
        <v>4</v>
      </c>
      <c r="J4" s="267">
        <f t="shared" si="0"/>
        <v>1</v>
      </c>
      <c r="K4" s="267">
        <f t="shared" si="1"/>
        <v>1</v>
      </c>
      <c r="L4" s="267">
        <f t="shared" si="2"/>
        <v>1</v>
      </c>
      <c r="M4" s="267">
        <f t="shared" si="3"/>
        <v>1</v>
      </c>
      <c r="N4" s="267">
        <f t="shared" si="4"/>
        <v>1</v>
      </c>
      <c r="O4" s="267">
        <f t="shared" si="5"/>
        <v>1</v>
      </c>
      <c r="P4" s="11"/>
      <c r="Q4" s="305"/>
      <c r="R4" s="322" t="str">
        <f>"C) " &amp; IF($S4=0,"",ROUND($S4,2) &amp; "-" &amp; ROUND($T4/$D$9,2))</f>
        <v>C) 1.22-1.78</v>
      </c>
      <c r="S4" s="296">
        <v>1.22</v>
      </c>
      <c r="T4" s="296">
        <f>D10</f>
        <v>51.41</v>
      </c>
      <c r="U4" s="296">
        <v>1.26</v>
      </c>
      <c r="V4" s="133"/>
      <c r="W4" s="133"/>
      <c r="X4" s="125" t="s">
        <v>173</v>
      </c>
      <c r="Y4" s="125" t="s">
        <v>173</v>
      </c>
      <c r="Z4" s="125" t="s">
        <v>173</v>
      </c>
      <c r="AA4" s="125" t="s">
        <v>173</v>
      </c>
      <c r="AB4" s="125" t="s">
        <v>173</v>
      </c>
      <c r="AC4" s="125" t="s">
        <v>173</v>
      </c>
      <c r="AD4" s="125" t="s">
        <v>173</v>
      </c>
    </row>
    <row r="5" spans="1:30" ht="13.8">
      <c r="A5" s="442"/>
      <c r="B5" s="454" t="s">
        <v>186</v>
      </c>
      <c r="C5" s="376">
        <f t="shared" si="6"/>
        <v>1</v>
      </c>
      <c r="D5" s="13" t="s">
        <v>1558</v>
      </c>
      <c r="E5" s="306"/>
      <c r="F5" s="355" t="s">
        <v>1460</v>
      </c>
      <c r="G5" s="450" t="b">
        <v>1</v>
      </c>
      <c r="I5" s="266">
        <v>5</v>
      </c>
      <c r="J5" s="267">
        <f t="shared" si="0"/>
        <v>1</v>
      </c>
      <c r="K5" s="267">
        <f t="shared" si="1"/>
        <v>1</v>
      </c>
      <c r="L5" s="267">
        <f t="shared" si="2"/>
        <v>1</v>
      </c>
      <c r="M5" s="267">
        <f t="shared" si="3"/>
        <v>1</v>
      </c>
      <c r="N5" s="267">
        <f t="shared" si="4"/>
        <v>1</v>
      </c>
      <c r="O5" s="267">
        <f t="shared" si="5"/>
        <v>1</v>
      </c>
      <c r="P5" s="12"/>
      <c r="Q5" s="305"/>
      <c r="R5" s="323" t="str">
        <f>"D) " &amp; IF($S5=0,"",ROUND($S5,2) &amp; "-" &amp; ROUND($T5/$D$9,2))</f>
        <v>D) 1.08-1.08</v>
      </c>
      <c r="S5" s="1328">
        <v>1.075</v>
      </c>
      <c r="T5" s="296">
        <f>$S5*$D$9</f>
        <v>30.995474999999995</v>
      </c>
      <c r="U5" s="296">
        <f>1.1</f>
        <v>1.1000000000000001</v>
      </c>
      <c r="V5" s="133"/>
      <c r="W5" s="133"/>
      <c r="X5" s="125" t="s">
        <v>173</v>
      </c>
      <c r="Y5" s="125" t="s">
        <v>173</v>
      </c>
      <c r="Z5" s="125" t="s">
        <v>173</v>
      </c>
      <c r="AA5" s="125" t="s">
        <v>173</v>
      </c>
      <c r="AB5" s="125" t="s">
        <v>173</v>
      </c>
      <c r="AC5" s="125" t="s">
        <v>173</v>
      </c>
      <c r="AD5" s="125" t="s">
        <v>173</v>
      </c>
    </row>
    <row r="6" spans="1:30" ht="13.8">
      <c r="A6" s="444"/>
      <c r="B6" s="454" t="s">
        <v>236</v>
      </c>
      <c r="C6" s="376">
        <f t="shared" si="6"/>
        <v>1</v>
      </c>
      <c r="D6" s="377" t="s">
        <v>200</v>
      </c>
      <c r="E6"/>
      <c r="F6" s="355" t="s">
        <v>1461</v>
      </c>
      <c r="G6" s="450" t="b">
        <v>1</v>
      </c>
      <c r="I6" s="266">
        <v>6</v>
      </c>
      <c r="J6" s="267">
        <f t="shared" si="0"/>
        <v>1</v>
      </c>
      <c r="K6" s="267">
        <f t="shared" si="1"/>
        <v>1</v>
      </c>
      <c r="L6" s="267">
        <f t="shared" si="2"/>
        <v>1</v>
      </c>
      <c r="M6" s="267">
        <f t="shared" si="3"/>
        <v>1</v>
      </c>
      <c r="N6" s="267">
        <f t="shared" si="4"/>
        <v>1</v>
      </c>
      <c r="O6" s="267">
        <f t="shared" si="5"/>
        <v>1</v>
      </c>
      <c r="P6" s="12"/>
      <c r="Q6" s="305"/>
      <c r="R6" s="324" t="str">
        <f>"E) " &amp; IF($S6=0,"",ROUND($S6,2) &amp; "-" &amp; ROUND($T6/$D$9,2))</f>
        <v>E) 1.1-1.1</v>
      </c>
      <c r="S6" s="296">
        <v>1.1000000000000001</v>
      </c>
      <c r="T6" s="296">
        <f>$S6*$D$9</f>
        <v>31.7163</v>
      </c>
      <c r="U6" s="296">
        <f>1.15</f>
        <v>1.1499999999999999</v>
      </c>
      <c r="V6" s="133"/>
      <c r="W6" s="133"/>
      <c r="X6" s="125" t="s">
        <v>173</v>
      </c>
      <c r="Y6" s="125" t="s">
        <v>173</v>
      </c>
      <c r="Z6" s="125" t="s">
        <v>173</v>
      </c>
      <c r="AA6" s="125" t="s">
        <v>173</v>
      </c>
      <c r="AB6" s="125" t="s">
        <v>173</v>
      </c>
      <c r="AC6" s="125" t="s">
        <v>173</v>
      </c>
      <c r="AD6" s="125" t="s">
        <v>173</v>
      </c>
    </row>
    <row r="7" spans="1:30" ht="13.8">
      <c r="A7" s="444"/>
      <c r="B7" s="454" t="s">
        <v>11</v>
      </c>
      <c r="C7" s="376">
        <f t="shared" si="6"/>
        <v>1</v>
      </c>
      <c r="D7" s="14">
        <v>46034</v>
      </c>
      <c r="E7"/>
      <c r="F7" s="355"/>
      <c r="G7" s="450" t="b">
        <v>1</v>
      </c>
      <c r="I7" s="266">
        <v>7</v>
      </c>
      <c r="J7" s="267">
        <f t="shared" si="0"/>
        <v>1</v>
      </c>
      <c r="K7" s="267">
        <f t="shared" si="1"/>
        <v>1</v>
      </c>
      <c r="L7" s="267">
        <f t="shared" si="2"/>
        <v>1</v>
      </c>
      <c r="M7" s="267">
        <f t="shared" si="3"/>
        <v>1</v>
      </c>
      <c r="N7" s="267">
        <f t="shared" si="4"/>
        <v>1</v>
      </c>
      <c r="O7" s="267"/>
      <c r="P7" s="135"/>
      <c r="Q7" s="305"/>
      <c r="R7" s="325" t="str">
        <f>"F) " &amp; IF($S7=0,"",ROUND($S7,2) &amp; "-" &amp; ROUND($T7/$D$9,2))</f>
        <v xml:space="preserve">F) </v>
      </c>
      <c r="S7" s="296"/>
      <c r="T7" s="296"/>
      <c r="U7" s="296"/>
      <c r="V7" s="133"/>
      <c r="W7" s="133"/>
      <c r="X7" s="125" t="s">
        <v>173</v>
      </c>
      <c r="Y7" s="125" t="s">
        <v>173</v>
      </c>
      <c r="Z7" s="125" t="s">
        <v>173</v>
      </c>
      <c r="AA7" s="125" t="s">
        <v>173</v>
      </c>
      <c r="AB7" s="125" t="s">
        <v>173</v>
      </c>
      <c r="AC7" s="125" t="s">
        <v>173</v>
      </c>
      <c r="AD7" s="125" t="s">
        <v>173</v>
      </c>
    </row>
    <row r="8" spans="1:30" ht="13.8">
      <c r="A8" s="442"/>
      <c r="B8" s="454" t="s">
        <v>13</v>
      </c>
      <c r="C8" s="376">
        <f t="shared" si="6"/>
        <v>1</v>
      </c>
      <c r="D8" s="15" t="s">
        <v>946</v>
      </c>
      <c r="E8"/>
      <c r="F8" s="355"/>
      <c r="G8" s="450" t="b">
        <v>1</v>
      </c>
      <c r="I8" s="266">
        <v>8</v>
      </c>
      <c r="J8" s="267">
        <f t="shared" si="0"/>
        <v>1</v>
      </c>
      <c r="K8" s="267">
        <f t="shared" si="1"/>
        <v>1</v>
      </c>
      <c r="L8" s="267">
        <f t="shared" si="2"/>
        <v>1</v>
      </c>
      <c r="M8" s="267">
        <f t="shared" si="3"/>
        <v>1</v>
      </c>
      <c r="N8" s="267">
        <f t="shared" si="4"/>
        <v>1</v>
      </c>
      <c r="O8" s="267"/>
      <c r="P8" s="16"/>
      <c r="Q8" s="305"/>
      <c r="R8" s="326" t="str">
        <f>"G) " &amp; IF($S8=0,"",ROUND($S8,2) &amp; "-" &amp; ROUND($T8/$D$9,2))</f>
        <v xml:space="preserve">G) </v>
      </c>
      <c r="S8" s="296"/>
      <c r="T8" s="296"/>
      <c r="U8" s="296"/>
      <c r="V8" s="133"/>
      <c r="W8" s="133"/>
      <c r="X8" s="125" t="s">
        <v>173</v>
      </c>
      <c r="Y8" s="125" t="s">
        <v>173</v>
      </c>
      <c r="Z8" s="125" t="s">
        <v>173</v>
      </c>
      <c r="AA8" s="125" t="s">
        <v>173</v>
      </c>
      <c r="AB8" s="125" t="s">
        <v>173</v>
      </c>
      <c r="AC8" s="125" t="s">
        <v>173</v>
      </c>
      <c r="AD8" s="125" t="s">
        <v>173</v>
      </c>
    </row>
    <row r="9" spans="1:30" ht="13.8">
      <c r="A9" s="444"/>
      <c r="B9" s="454" t="s">
        <v>237</v>
      </c>
      <c r="C9" s="376">
        <f t="shared" si="6"/>
        <v>1</v>
      </c>
      <c r="D9" s="516">
        <v>28.832999999999998</v>
      </c>
      <c r="E9" s="132" t="s">
        <v>1538</v>
      </c>
      <c r="F9" s="355"/>
      <c r="G9" s="450" t="b">
        <v>1</v>
      </c>
      <c r="I9" s="266">
        <v>9</v>
      </c>
      <c r="J9" s="267">
        <f t="shared" si="0"/>
        <v>1</v>
      </c>
      <c r="K9" s="267">
        <f t="shared" si="1"/>
        <v>1</v>
      </c>
      <c r="L9" s="267">
        <f t="shared" si="2"/>
        <v>1</v>
      </c>
      <c r="M9" s="267">
        <f t="shared" si="3"/>
        <v>1</v>
      </c>
      <c r="N9" s="267">
        <f t="shared" si="4"/>
        <v>1</v>
      </c>
      <c r="O9" s="267"/>
      <c r="P9" s="16"/>
      <c r="Q9" s="305"/>
      <c r="R9" s="327" t="str">
        <f>"H) " &amp; IF($S9=0,"",ROUND($S9,2) &amp; "-" &amp; ROUND($T9/$D$9,2))</f>
        <v xml:space="preserve">H) </v>
      </c>
      <c r="S9" s="296"/>
      <c r="T9" s="296"/>
      <c r="U9" s="296"/>
      <c r="V9" s="133"/>
      <c r="W9" s="133"/>
      <c r="X9" s="125" t="s">
        <v>173</v>
      </c>
      <c r="Y9" s="125" t="s">
        <v>173</v>
      </c>
      <c r="Z9" s="125" t="s">
        <v>173</v>
      </c>
      <c r="AA9" s="125" t="s">
        <v>173</v>
      </c>
      <c r="AB9" s="125" t="s">
        <v>173</v>
      </c>
      <c r="AC9" s="125" t="s">
        <v>173</v>
      </c>
      <c r="AD9" s="125" t="s">
        <v>173</v>
      </c>
    </row>
    <row r="10" spans="1:30" ht="13.8">
      <c r="A10" s="444"/>
      <c r="B10" s="455"/>
      <c r="C10" s="376">
        <f t="shared" si="6"/>
        <v>1</v>
      </c>
      <c r="D10" s="1318">
        <v>51.41</v>
      </c>
      <c r="E10" s="1319" t="s">
        <v>1545</v>
      </c>
      <c r="F10" s="355" t="s">
        <v>1410</v>
      </c>
      <c r="G10" s="450" t="b">
        <v>1</v>
      </c>
      <c r="I10" s="266">
        <v>10</v>
      </c>
      <c r="J10" s="267">
        <f t="shared" si="0"/>
        <v>1</v>
      </c>
      <c r="K10" s="267">
        <f t="shared" si="1"/>
        <v>1</v>
      </c>
      <c r="L10" s="267">
        <f t="shared" si="2"/>
        <v>1</v>
      </c>
      <c r="M10" s="267">
        <f t="shared" si="3"/>
        <v>1</v>
      </c>
      <c r="N10" s="267">
        <f>$Q159</f>
        <v>1</v>
      </c>
      <c r="O10" s="267">
        <f>Q109</f>
        <v>1</v>
      </c>
      <c r="P10" s="16"/>
      <c r="Q10" s="305"/>
      <c r="R10" s="328" t="str">
        <f>" I) " &amp; IF($S10=0,"",ROUND($S10,2) &amp; "-" &amp; ROUND($T10/$D$9,2))</f>
        <v xml:space="preserve"> I) 1.1-1.1</v>
      </c>
      <c r="S10" s="296">
        <f>1.1</f>
        <v>1.1000000000000001</v>
      </c>
      <c r="T10" s="296">
        <f>$S10*$D$9</f>
        <v>31.7163</v>
      </c>
      <c r="U10" s="296">
        <f>1.1</f>
        <v>1.1000000000000001</v>
      </c>
      <c r="V10" s="133"/>
      <c r="W10" s="133"/>
      <c r="X10" s="125" t="s">
        <v>173</v>
      </c>
      <c r="Y10" s="125" t="s">
        <v>173</v>
      </c>
      <c r="Z10" s="125" t="s">
        <v>173</v>
      </c>
      <c r="AA10" s="125" t="s">
        <v>173</v>
      </c>
      <c r="AB10" s="125" t="s">
        <v>173</v>
      </c>
      <c r="AC10" s="125" t="s">
        <v>173</v>
      </c>
      <c r="AD10" s="125" t="s">
        <v>173</v>
      </c>
    </row>
    <row r="11" spans="1:30" ht="14.4">
      <c r="A11" s="445"/>
      <c r="B11" s="456"/>
      <c r="C11" s="376">
        <f t="shared" si="6"/>
        <v>1</v>
      </c>
      <c r="D11" s="1318">
        <f>43.32*2</f>
        <v>86.64</v>
      </c>
      <c r="E11" s="1319" t="s">
        <v>1544</v>
      </c>
      <c r="F11" s="446"/>
      <c r="H11"/>
      <c r="I11" s="268"/>
      <c r="J11" s="268"/>
      <c r="K11" s="268"/>
      <c r="L11" s="268"/>
      <c r="M11" s="268"/>
      <c r="N11" s="268"/>
      <c r="O11" s="268"/>
      <c r="P11" s="131"/>
      <c r="Q11" s="305"/>
      <c r="R11" s="329" t="str">
        <f>"J) " &amp; IF($S11=0,"",ROUND($S11,2) &amp; "-" &amp; ROUND($T11/$D$9,2))</f>
        <v xml:space="preserve">J) </v>
      </c>
      <c r="S11" s="296"/>
      <c r="T11" s="296"/>
      <c r="X11" s="125" t="s">
        <v>173</v>
      </c>
      <c r="Y11" s="125" t="s">
        <v>173</v>
      </c>
      <c r="Z11" s="125" t="s">
        <v>173</v>
      </c>
      <c r="AA11" s="125" t="s">
        <v>173</v>
      </c>
      <c r="AB11" s="125" t="s">
        <v>173</v>
      </c>
      <c r="AC11" s="125" t="s">
        <v>173</v>
      </c>
      <c r="AD11" s="125" t="s">
        <v>173</v>
      </c>
    </row>
    <row r="12" spans="1:30" ht="12.75" customHeight="1" thickBot="1">
      <c r="A12" s="442"/>
      <c r="B12"/>
      <c r="C12" s="376">
        <f t="shared" si="6"/>
        <v>1</v>
      </c>
      <c r="D12" s="312"/>
      <c r="E12" s="313"/>
      <c r="F12" s="356"/>
      <c r="G12" s="281" t="s">
        <v>28</v>
      </c>
      <c r="H12" s="281" t="s">
        <v>28</v>
      </c>
      <c r="I12" s="281" t="s">
        <v>28</v>
      </c>
      <c r="J12" s="281" t="s">
        <v>28</v>
      </c>
      <c r="K12" s="281" t="s">
        <v>28</v>
      </c>
      <c r="L12" s="281" t="s">
        <v>28</v>
      </c>
      <c r="M12" s="281" t="s">
        <v>28</v>
      </c>
      <c r="N12" s="281" t="s">
        <v>28</v>
      </c>
      <c r="O12" s="281" t="s">
        <v>28</v>
      </c>
      <c r="P12" s="281" t="s">
        <v>28</v>
      </c>
      <c r="Q12" s="393"/>
      <c r="R12" s="360" t="s">
        <v>206</v>
      </c>
      <c r="S12" s="423" t="s">
        <v>30</v>
      </c>
      <c r="T12" s="424" t="s">
        <v>31</v>
      </c>
      <c r="X12" s="125" t="s">
        <v>173</v>
      </c>
      <c r="Y12" s="125" t="s">
        <v>173</v>
      </c>
      <c r="Z12" s="125" t="s">
        <v>173</v>
      </c>
      <c r="AA12" s="125" t="s">
        <v>173</v>
      </c>
      <c r="AB12" s="125" t="s">
        <v>173</v>
      </c>
      <c r="AC12" s="125" t="s">
        <v>173</v>
      </c>
      <c r="AD12" s="125" t="s">
        <v>173</v>
      </c>
    </row>
    <row r="13" spans="1:30" ht="17.25" customHeight="1" thickBot="1">
      <c r="A13" s="387"/>
      <c r="B13" s="388" t="s">
        <v>213</v>
      </c>
      <c r="C13" s="389"/>
      <c r="D13" s="390"/>
      <c r="E13" s="391"/>
      <c r="F13" s="392"/>
      <c r="G13" s="314" t="s">
        <v>196</v>
      </c>
      <c r="H13" s="315" t="s">
        <v>197</v>
      </c>
      <c r="I13" s="316" t="s">
        <v>20</v>
      </c>
      <c r="J13" s="316" t="s">
        <v>21</v>
      </c>
      <c r="K13" s="317" t="s">
        <v>22</v>
      </c>
      <c r="L13" s="314" t="s">
        <v>23</v>
      </c>
      <c r="M13" s="314" t="s">
        <v>24</v>
      </c>
      <c r="N13" s="315" t="s">
        <v>198</v>
      </c>
      <c r="O13" s="314" t="s">
        <v>26</v>
      </c>
      <c r="P13" s="318" t="s">
        <v>27</v>
      </c>
      <c r="Q13" s="385" t="s">
        <v>194</v>
      </c>
      <c r="R13" s="361" t="s">
        <v>207</v>
      </c>
      <c r="S13" s="425" t="s">
        <v>232</v>
      </c>
      <c r="T13" s="457">
        <f>SUM(Q109:Q165)/57</f>
        <v>1</v>
      </c>
      <c r="X13" s="125"/>
      <c r="Y13" s="125"/>
      <c r="Z13" s="125"/>
      <c r="AA13" s="125"/>
      <c r="AB13" s="125"/>
      <c r="AC13" s="125"/>
      <c r="AD13" s="125"/>
    </row>
    <row r="14" spans="1:30" ht="27.75" customHeight="1">
      <c r="A14" s="134"/>
      <c r="B14" s="1404" t="str">
        <f>IF($D$6&lt;&gt;"VAT EXCL.", "QUOTE ISSUED WITH                    VAT INCLUDED", "")</f>
        <v/>
      </c>
      <c r="C14" s="1404"/>
      <c r="D14" s="1404"/>
      <c r="E14" s="1404"/>
      <c r="F14" s="7"/>
      <c r="G14" s="7"/>
      <c r="H14" s="7"/>
      <c r="I14" s="7"/>
      <c r="J14" s="7"/>
      <c r="K14" s="7"/>
      <c r="L14" s="7"/>
      <c r="M14" s="7"/>
      <c r="N14" s="7"/>
      <c r="O14" s="7"/>
      <c r="P14" s="7"/>
      <c r="Q14" s="7"/>
      <c r="R14" s="137"/>
      <c r="S14"/>
      <c r="T14" s="138"/>
      <c r="X14" s="125" t="s">
        <v>173</v>
      </c>
      <c r="Y14" s="125" t="s">
        <v>173</v>
      </c>
      <c r="Z14" s="125" t="s">
        <v>173</v>
      </c>
      <c r="AA14" s="125" t="s">
        <v>173</v>
      </c>
      <c r="AB14" s="125" t="s">
        <v>173</v>
      </c>
      <c r="AC14" s="125" t="s">
        <v>173</v>
      </c>
      <c r="AD14" s="125" t="s">
        <v>173</v>
      </c>
    </row>
    <row r="15" spans="1:30" ht="14.25" customHeight="1">
      <c r="A15" s="304"/>
      <c r="B15" s="1404"/>
      <c r="C15" s="1404"/>
      <c r="D15" s="1404"/>
      <c r="E15" s="1404"/>
      <c r="F15" s="304"/>
      <c r="G15" s="304"/>
      <c r="H15" s="304"/>
      <c r="I15" s="304"/>
      <c r="J15" s="304"/>
      <c r="K15" s="304"/>
      <c r="L15" s="304"/>
      <c r="M15" s="304"/>
      <c r="N15" s="304"/>
      <c r="O15" s="304"/>
      <c r="P15" s="304"/>
      <c r="Q15" s="403">
        <f ca="1">(C73-F35)/C73</f>
        <v>0</v>
      </c>
      <c r="R15" s="291" t="s">
        <v>211</v>
      </c>
      <c r="S15" s="289"/>
      <c r="T15" s="290"/>
      <c r="X15" s="125" t="s">
        <v>173</v>
      </c>
      <c r="Y15" s="125" t="s">
        <v>173</v>
      </c>
      <c r="Z15" s="125" t="s">
        <v>173</v>
      </c>
      <c r="AA15" s="125" t="s">
        <v>173</v>
      </c>
      <c r="AB15" s="125" t="s">
        <v>173</v>
      </c>
      <c r="AC15" s="125" t="s">
        <v>173</v>
      </c>
      <c r="AD15" s="125" t="s">
        <v>173</v>
      </c>
    </row>
    <row r="16" spans="1:30" ht="13.5" customHeight="1">
      <c r="A16" s="134"/>
      <c r="B16" s="1403" t="str">
        <f>IF($W$1&lt;&gt;"BOQ", "DIFF SET TO " &amp; W1,"")</f>
        <v/>
      </c>
      <c r="C16" s="1403"/>
      <c r="D16" s="1403"/>
      <c r="E16" s="1403"/>
      <c r="F16" s="132"/>
      <c r="G16" s="132"/>
      <c r="H16" s="132"/>
      <c r="I16" s="132"/>
      <c r="J16" s="132"/>
      <c r="K16" s="132"/>
      <c r="L16" s="132"/>
      <c r="M16" s="132"/>
      <c r="N16" s="132"/>
      <c r="O16" s="132"/>
      <c r="P16" s="132"/>
      <c r="Q16" s="404">
        <f ca="1">(F35-E35)/F35</f>
        <v>0</v>
      </c>
      <c r="R16" s="297" t="s">
        <v>212</v>
      </c>
      <c r="S16" s="298"/>
      <c r="T16" s="299"/>
      <c r="X16" s="125" t="s">
        <v>173</v>
      </c>
      <c r="Y16" s="125" t="s">
        <v>173</v>
      </c>
      <c r="Z16" s="125" t="s">
        <v>173</v>
      </c>
      <c r="AA16" s="125" t="s">
        <v>173</v>
      </c>
      <c r="AB16" s="125" t="s">
        <v>173</v>
      </c>
      <c r="AC16" s="125" t="s">
        <v>173</v>
      </c>
      <c r="AD16" s="125" t="s">
        <v>173</v>
      </c>
    </row>
    <row r="17" spans="1:24" ht="13.5" customHeight="1">
      <c r="B17" s="1403"/>
      <c r="C17" s="1403"/>
      <c r="D17" s="1403"/>
      <c r="E17" s="1403"/>
      <c r="G17" s="8"/>
      <c r="H17" s="8"/>
      <c r="I17" s="8"/>
      <c r="J17" s="8"/>
      <c r="K17" s="8"/>
      <c r="L17" s="8"/>
      <c r="M17" s="8"/>
      <c r="N17" s="8"/>
      <c r="O17" s="8"/>
      <c r="P17" s="8"/>
      <c r="Q17" s="405">
        <f ca="1">F75</f>
        <v>0</v>
      </c>
      <c r="R17" s="300" t="s">
        <v>209</v>
      </c>
      <c r="S17" s="301"/>
      <c r="T17" s="344"/>
    </row>
    <row r="18" spans="1:24" ht="18.75" customHeight="1">
      <c r="A18" s="364"/>
      <c r="B18" s="1387" t="str">
        <f>IF(AND(G1,G2,G3,G4,G5,G6,G7,G8,G9,G10,H1)=TRUE, "", "CHECKLIST INCOMPLETE !" )</f>
        <v/>
      </c>
      <c r="C18" s="1387"/>
      <c r="D18" s="1387"/>
      <c r="E18" s="1387"/>
      <c r="F18" s="364"/>
      <c r="G18"/>
      <c r="H18"/>
      <c r="I18"/>
      <c r="J18"/>
      <c r="K18"/>
      <c r="L18"/>
      <c r="M18"/>
      <c r="N18"/>
      <c r="O18"/>
      <c r="P18"/>
      <c r="Q18" s="1399"/>
      <c r="R18" s="1399"/>
      <c r="S18" s="1399"/>
      <c r="T18" s="1399"/>
    </row>
    <row r="19" spans="1:24" ht="18" customHeight="1">
      <c r="B19" s="1400" t="str">
        <f ca="1">IF(ABS(SUM(A23:A32))&gt;100,"[Discy A-J] are high, Check it out."," ")</f>
        <v xml:space="preserve"> </v>
      </c>
      <c r="C19" s="1400"/>
      <c r="D19" s="1400"/>
      <c r="E19" s="1400"/>
      <c r="G19"/>
      <c r="H19"/>
      <c r="I19"/>
      <c r="J19"/>
      <c r="K19"/>
      <c r="L19"/>
      <c r="M19"/>
      <c r="N19"/>
      <c r="O19"/>
      <c r="P19"/>
      <c r="Q19" s="406">
        <f ca="1">R84</f>
        <v>1.2039064063517733</v>
      </c>
      <c r="R19" s="300" t="s">
        <v>210</v>
      </c>
      <c r="S19" s="371"/>
      <c r="T19" s="372"/>
    </row>
    <row r="20" spans="1:24" ht="12.75" customHeight="1">
      <c r="A20" s="447"/>
      <c r="B20" s="447"/>
      <c r="C20" s="447"/>
      <c r="D20" s="447"/>
      <c r="E20" s="447"/>
      <c r="F20"/>
      <c r="G20"/>
      <c r="H20"/>
      <c r="I20"/>
      <c r="J20"/>
      <c r="K20"/>
      <c r="L20"/>
      <c r="M20"/>
      <c r="N20"/>
      <c r="O20"/>
      <c r="P20"/>
      <c r="Q20"/>
      <c r="R20"/>
      <c r="S20"/>
      <c r="T20"/>
    </row>
    <row r="21" spans="1:24" ht="13.8">
      <c r="A21"/>
      <c r="B21" s="140"/>
      <c r="C21" s="141"/>
      <c r="D21" s="292"/>
      <c r="E21" s="302" t="s">
        <v>190</v>
      </c>
      <c r="F21" s="283" t="s">
        <v>32</v>
      </c>
      <c r="G21" s="77"/>
      <c r="H21" s="77"/>
      <c r="I21" s="77"/>
      <c r="J21" s="77"/>
      <c r="K21" s="77"/>
      <c r="L21" s="77"/>
      <c r="M21" s="77"/>
      <c r="N21" s="77"/>
      <c r="O21" s="77"/>
      <c r="P21" s="77"/>
      <c r="Q21" s="293" t="s">
        <v>192</v>
      </c>
      <c r="R21" s="283" t="s">
        <v>33</v>
      </c>
      <c r="S21" s="77"/>
      <c r="T21" s="283" t="s">
        <v>34</v>
      </c>
      <c r="V21"/>
      <c r="W21"/>
      <c r="X21"/>
    </row>
    <row r="22" spans="1:24">
      <c r="A22" s="358" t="s">
        <v>201</v>
      </c>
      <c r="B22" s="319" t="s">
        <v>193</v>
      </c>
      <c r="C22"/>
      <c r="D22" s="292"/>
      <c r="E22" s="303" t="str">
        <f>"SELLING  " &amp; $Q$1</f>
        <v>SELLING  €</v>
      </c>
      <c r="F22" s="409" t="str">
        <f>$Q$1</f>
        <v>€</v>
      </c>
      <c r="G22" s="285" t="s">
        <v>249</v>
      </c>
      <c r="H22" s="495" t="s">
        <v>246</v>
      </c>
      <c r="I22" s="495" t="s">
        <v>247</v>
      </c>
      <c r="J22" s="496" t="s">
        <v>248</v>
      </c>
      <c r="K22" s="285"/>
      <c r="L22" s="285"/>
      <c r="M22" s="285"/>
      <c r="N22" s="285"/>
      <c r="O22" s="285"/>
      <c r="P22" s="285"/>
      <c r="Q22" s="294" t="s">
        <v>191</v>
      </c>
      <c r="R22" s="286" t="s">
        <v>226</v>
      </c>
      <c r="S22" s="285"/>
      <c r="T22" s="284" t="s">
        <v>227</v>
      </c>
      <c r="V22"/>
      <c r="W22"/>
      <c r="X22"/>
    </row>
    <row r="23" spans="1:24">
      <c r="A23" s="373">
        <f ca="1">IF($F23=0,"",($F23/$C2)-($R23*$S2+$T23*$T2))</f>
        <v>-2.0069440704246517</v>
      </c>
      <c r="B23" s="320" t="str">
        <f ca="1">IF(F23=0,"",IF(R23=0,"A) "&amp;"---,    "&amp;ROUND(($F23/$C2-($R23*$S2))/$T23,2),IF(T23=0,"A) "&amp;ROUND(($F23/$C2)/$R23,2),"A) "&amp;ROUND(($F23/$C2-($T23*$T2))/$R23,2)&amp;", "
&amp;ROUND(($F23/$C2-($R23*$S2))/$T23,2))))</f>
        <v>A) 1.22, 35.18</v>
      </c>
      <c r="C23"/>
      <c r="D23" s="357" t="str">
        <f>IF($F2="","",$F2)</f>
        <v>Electrical</v>
      </c>
      <c r="E23" s="460">
        <f ca="1">F23*(1-Q23)</f>
        <v>225676.33999999988</v>
      </c>
      <c r="F23" s="459">
        <f ca="1">Elec_Est!F5454</f>
        <v>225676.33999999988</v>
      </c>
      <c r="G23" s="273">
        <f>C2</f>
        <v>1</v>
      </c>
      <c r="H23" s="359">
        <f>$S2</f>
        <v>1.22</v>
      </c>
      <c r="I23" s="359">
        <f>$T2</f>
        <v>35.176259999999999</v>
      </c>
      <c r="J23" s="273">
        <f>$D$9</f>
        <v>28.832999999999998</v>
      </c>
      <c r="K23" s="273"/>
      <c r="L23" s="273"/>
      <c r="M23" s="273"/>
      <c r="N23" s="273"/>
      <c r="O23" s="273"/>
      <c r="P23" s="273"/>
      <c r="Q23" s="295"/>
      <c r="R23" s="459">
        <f ca="1">Elec_Est!R5454</f>
        <v>113304.29300000024</v>
      </c>
      <c r="S23" s="273"/>
      <c r="T23" s="459">
        <f ca="1">Elec_Est!T5454</f>
        <v>2485.9695000000002</v>
      </c>
      <c r="V23"/>
      <c r="W23"/>
      <c r="X23"/>
    </row>
    <row r="24" spans="1:24">
      <c r="A24" s="374">
        <f t="shared" ref="A24:A32" ca="1" si="7">IF($F24=0,"",($F24/$C3)-($R24*$S3+$T24*$T3))</f>
        <v>6.2599999999292777E-2</v>
      </c>
      <c r="B24" s="321" t="str">
        <f t="shared" ref="B24:B32" ca="1" si="8">IF(F24=0,"",IF(R24=0,"A) "&amp;"---,    "&amp;ROUND(($F24/$C3-($R24*$S3))/$T24,2),IF(T24=0,"A) "&amp;ROUND(($F24/$C3)/$R24,2),"A) "&amp;ROUND(($F24/$C3-($T24*$T3))/$R24,2)&amp;", "
&amp;ROUND(($F24/$C3-($R24*$S3))/$T24,2))))</f>
        <v>A) 1.22, 86.64</v>
      </c>
      <c r="C24"/>
      <c r="D24" s="357" t="str">
        <f t="shared" ref="D24:D32" si="9">IF($F3="","",$F3)</f>
        <v>Controls Section (DALI)</v>
      </c>
      <c r="E24" s="460">
        <f t="shared" ref="E24:E32" ca="1" si="10">F24*(1-Q24)</f>
        <v>5699.92</v>
      </c>
      <c r="F24" s="459">
        <f ca="1">Elec_Est!F5455</f>
        <v>5699.92</v>
      </c>
      <c r="G24" s="273">
        <f t="shared" ref="G24:G32" si="11">C3</f>
        <v>1</v>
      </c>
      <c r="H24" s="359">
        <f t="shared" ref="H24:H32" si="12">$S3</f>
        <v>1.22</v>
      </c>
      <c r="I24" s="359">
        <f t="shared" ref="I24:I32" si="13">$T3</f>
        <v>86.64</v>
      </c>
      <c r="J24" s="273">
        <f t="shared" ref="J24:J32" si="14">$D$9</f>
        <v>28.832999999999998</v>
      </c>
      <c r="K24" s="273"/>
      <c r="L24" s="273"/>
      <c r="M24" s="273"/>
      <c r="N24" s="273"/>
      <c r="O24" s="273"/>
      <c r="P24" s="273"/>
      <c r="Q24" s="295"/>
      <c r="R24" s="459">
        <f>Elec_Est!R5455</f>
        <v>3180.6700000000005</v>
      </c>
      <c r="S24" s="273"/>
      <c r="T24" s="459">
        <f>Elec_Est!T5455</f>
        <v>21</v>
      </c>
      <c r="V24"/>
      <c r="W24"/>
      <c r="X24"/>
    </row>
    <row r="25" spans="1:24">
      <c r="A25" s="374">
        <f t="shared" ca="1" si="7"/>
        <v>3.0000000006111804E-3</v>
      </c>
      <c r="B25" s="322" t="str">
        <f t="shared" ca="1" si="8"/>
        <v>A) ---,    51.41</v>
      </c>
      <c r="C25"/>
      <c r="D25" s="357" t="str">
        <f t="shared" si="9"/>
        <v>Controls Section Engineer (DALI)</v>
      </c>
      <c r="E25" s="460">
        <f t="shared" ca="1" si="10"/>
        <v>5074.17</v>
      </c>
      <c r="F25" s="459">
        <f ca="1">Elec_Est!F5456</f>
        <v>5074.17</v>
      </c>
      <c r="G25" s="273">
        <f t="shared" si="11"/>
        <v>1</v>
      </c>
      <c r="H25" s="359">
        <f t="shared" si="12"/>
        <v>1.22</v>
      </c>
      <c r="I25" s="359">
        <f t="shared" si="13"/>
        <v>51.41</v>
      </c>
      <c r="J25" s="273">
        <f t="shared" si="14"/>
        <v>28.832999999999998</v>
      </c>
      <c r="K25" s="273"/>
      <c r="L25" s="273"/>
      <c r="M25" s="273"/>
      <c r="N25" s="273"/>
      <c r="O25" s="273"/>
      <c r="P25" s="273"/>
      <c r="Q25" s="295"/>
      <c r="R25" s="459">
        <f>Elec_Est!R5456</f>
        <v>0</v>
      </c>
      <c r="S25" s="273"/>
      <c r="T25" s="459">
        <f>Elec_Est!T5456</f>
        <v>98.699999999999989</v>
      </c>
      <c r="V25"/>
      <c r="W25"/>
      <c r="X25"/>
    </row>
    <row r="26" spans="1:24">
      <c r="A26" s="374">
        <f t="shared" si="7"/>
        <v>-1.6287500000107684</v>
      </c>
      <c r="B26" s="323" t="str">
        <f t="shared" si="8"/>
        <v>A) 1.07</v>
      </c>
      <c r="C26"/>
      <c r="D26" s="357" t="str">
        <f t="shared" si="9"/>
        <v>ELV Sub-Contractor - APCO</v>
      </c>
      <c r="E26" s="460">
        <f t="shared" si="10"/>
        <v>42819.759999999987</v>
      </c>
      <c r="F26" s="459">
        <f>Elec_Est!F5457</f>
        <v>42819.759999999987</v>
      </c>
      <c r="G26" s="273">
        <f t="shared" si="11"/>
        <v>1</v>
      </c>
      <c r="H26" s="359">
        <f t="shared" si="12"/>
        <v>1.075</v>
      </c>
      <c r="I26" s="359">
        <f t="shared" si="13"/>
        <v>30.995474999999995</v>
      </c>
      <c r="J26" s="273">
        <f t="shared" si="14"/>
        <v>28.832999999999998</v>
      </c>
      <c r="K26" s="273"/>
      <c r="L26" s="273"/>
      <c r="M26" s="273"/>
      <c r="N26" s="273"/>
      <c r="O26" s="273"/>
      <c r="P26" s="273"/>
      <c r="Q26" s="295"/>
      <c r="R26" s="459">
        <f>Elec_Est!R5457</f>
        <v>39833.85</v>
      </c>
      <c r="S26" s="273"/>
      <c r="T26" s="459">
        <f>Elec_Est!T5457</f>
        <v>0</v>
      </c>
      <c r="V26"/>
      <c r="W26"/>
      <c r="X26"/>
    </row>
    <row r="27" spans="1:24">
      <c r="A27" s="374">
        <f t="shared" si="7"/>
        <v>-9.0949470177292824E-13</v>
      </c>
      <c r="B27" s="324" t="str">
        <f t="shared" si="8"/>
        <v>A) 1.1</v>
      </c>
      <c r="C27"/>
      <c r="D27" s="357" t="str">
        <f t="shared" si="9"/>
        <v>ELV Sub-Contractor - DATA</v>
      </c>
      <c r="E27" s="460">
        <f t="shared" si="10"/>
        <v>6072</v>
      </c>
      <c r="F27" s="459">
        <f>Elec_Est!F5458</f>
        <v>6072</v>
      </c>
      <c r="G27" s="273">
        <f t="shared" si="11"/>
        <v>1</v>
      </c>
      <c r="H27" s="359">
        <f t="shared" si="12"/>
        <v>1.1000000000000001</v>
      </c>
      <c r="I27" s="359">
        <f t="shared" si="13"/>
        <v>31.7163</v>
      </c>
      <c r="J27" s="273">
        <f t="shared" si="14"/>
        <v>28.832999999999998</v>
      </c>
      <c r="K27" s="273"/>
      <c r="L27" s="273"/>
      <c r="M27" s="273"/>
      <c r="N27" s="273"/>
      <c r="O27" s="273"/>
      <c r="P27" s="273"/>
      <c r="Q27" s="295"/>
      <c r="R27" s="459">
        <f>Elec_Est!R5458</f>
        <v>5520</v>
      </c>
      <c r="S27" s="273"/>
      <c r="T27" s="459">
        <f>Elec_Est!T5458</f>
        <v>0</v>
      </c>
      <c r="V27"/>
      <c r="W27"/>
      <c r="X27"/>
    </row>
    <row r="28" spans="1:24">
      <c r="A28" s="374" t="str">
        <f t="shared" si="7"/>
        <v/>
      </c>
      <c r="B28" s="325" t="str">
        <f t="shared" si="8"/>
        <v/>
      </c>
      <c r="C28"/>
      <c r="D28" s="357" t="str">
        <f t="shared" si="9"/>
        <v/>
      </c>
      <c r="E28" s="460">
        <f t="shared" si="10"/>
        <v>0</v>
      </c>
      <c r="F28" s="459">
        <f>Elec_Est!F5459</f>
        <v>0</v>
      </c>
      <c r="G28" s="273">
        <f t="shared" si="11"/>
        <v>1</v>
      </c>
      <c r="H28" s="359">
        <f t="shared" si="12"/>
        <v>0</v>
      </c>
      <c r="I28" s="359">
        <f t="shared" si="13"/>
        <v>0</v>
      </c>
      <c r="J28" s="273">
        <f t="shared" si="14"/>
        <v>28.832999999999998</v>
      </c>
      <c r="K28" s="273"/>
      <c r="L28" s="273"/>
      <c r="M28" s="273"/>
      <c r="N28" s="273"/>
      <c r="O28" s="273"/>
      <c r="P28" s="273"/>
      <c r="Q28" s="295"/>
      <c r="R28" s="459">
        <f>Elec_Est!R5459</f>
        <v>0</v>
      </c>
      <c r="S28" s="273"/>
      <c r="T28" s="459">
        <f>Elec_Est!T5459</f>
        <v>0</v>
      </c>
      <c r="V28"/>
      <c r="W28"/>
      <c r="X28"/>
    </row>
    <row r="29" spans="1:24">
      <c r="A29" s="374" t="str">
        <f t="shared" si="7"/>
        <v/>
      </c>
      <c r="B29" s="326" t="str">
        <f t="shared" si="8"/>
        <v/>
      </c>
      <c r="C29"/>
      <c r="D29" s="357" t="str">
        <f t="shared" si="9"/>
        <v/>
      </c>
      <c r="E29" s="460">
        <f t="shared" si="10"/>
        <v>0</v>
      </c>
      <c r="F29" s="459">
        <f>Elec_Est!F5460</f>
        <v>0</v>
      </c>
      <c r="G29" s="273">
        <f t="shared" si="11"/>
        <v>1</v>
      </c>
      <c r="H29" s="359">
        <f t="shared" si="12"/>
        <v>0</v>
      </c>
      <c r="I29" s="359">
        <f t="shared" si="13"/>
        <v>0</v>
      </c>
      <c r="J29" s="273">
        <f t="shared" si="14"/>
        <v>28.832999999999998</v>
      </c>
      <c r="K29" s="273"/>
      <c r="L29" s="273"/>
      <c r="M29" s="273"/>
      <c r="N29" s="273"/>
      <c r="O29" s="273"/>
      <c r="P29" s="273"/>
      <c r="Q29" s="295"/>
      <c r="R29" s="459">
        <f>Elec_Est!R5460</f>
        <v>0</v>
      </c>
      <c r="S29" s="273"/>
      <c r="T29" s="459">
        <f>Elec_Est!T5460</f>
        <v>0</v>
      </c>
      <c r="V29"/>
      <c r="W29"/>
      <c r="X29"/>
    </row>
    <row r="30" spans="1:24">
      <c r="A30" s="374" t="str">
        <f t="shared" si="7"/>
        <v/>
      </c>
      <c r="B30" s="327" t="str">
        <f t="shared" si="8"/>
        <v/>
      </c>
      <c r="C30"/>
      <c r="D30" s="357" t="str">
        <f t="shared" si="9"/>
        <v/>
      </c>
      <c r="E30" s="460">
        <f t="shared" si="10"/>
        <v>0</v>
      </c>
      <c r="F30" s="459">
        <f>Elec_Est!F5461</f>
        <v>0</v>
      </c>
      <c r="G30" s="273">
        <f t="shared" si="11"/>
        <v>1</v>
      </c>
      <c r="H30" s="359">
        <f t="shared" si="12"/>
        <v>0</v>
      </c>
      <c r="I30" s="359">
        <f t="shared" si="13"/>
        <v>0</v>
      </c>
      <c r="J30" s="273">
        <f t="shared" si="14"/>
        <v>28.832999999999998</v>
      </c>
      <c r="K30" s="273"/>
      <c r="L30" s="273"/>
      <c r="M30" s="273"/>
      <c r="N30" s="273"/>
      <c r="O30" s="273"/>
      <c r="P30" s="273"/>
      <c r="Q30" s="295"/>
      <c r="R30" s="459">
        <f>Elec_Est!R5461</f>
        <v>0</v>
      </c>
      <c r="S30" s="273"/>
      <c r="T30" s="459">
        <f>Elec_Est!T5461</f>
        <v>0</v>
      </c>
      <c r="V30"/>
      <c r="W30"/>
      <c r="X30"/>
    </row>
    <row r="31" spans="1:24">
      <c r="A31" s="374">
        <f t="shared" si="7"/>
        <v>-4.2300000002342131E-3</v>
      </c>
      <c r="B31" s="328" t="str">
        <f t="shared" si="8"/>
        <v>A) 1.1, 31.71</v>
      </c>
      <c r="C31"/>
      <c r="D31" s="357" t="str">
        <f t="shared" si="9"/>
        <v>Enemalta 3Ph Application</v>
      </c>
      <c r="E31" s="460">
        <f t="shared" si="10"/>
        <v>1056.5999999999999</v>
      </c>
      <c r="F31" s="459">
        <f>Elec_Est!F5462</f>
        <v>1056.5999999999999</v>
      </c>
      <c r="G31" s="273">
        <f t="shared" si="11"/>
        <v>1</v>
      </c>
      <c r="H31" s="359">
        <f t="shared" si="12"/>
        <v>1.1000000000000001</v>
      </c>
      <c r="I31" s="359">
        <f t="shared" si="13"/>
        <v>31.7163</v>
      </c>
      <c r="J31" s="273">
        <f t="shared" si="14"/>
        <v>28.832999999999998</v>
      </c>
      <c r="K31" s="273"/>
      <c r="L31" s="273"/>
      <c r="M31" s="273"/>
      <c r="N31" s="273"/>
      <c r="O31" s="273"/>
      <c r="P31" s="273"/>
      <c r="Q31" s="295"/>
      <c r="R31" s="459">
        <f>Elec_Est!R5462</f>
        <v>900</v>
      </c>
      <c r="S31" s="273"/>
      <c r="T31" s="459">
        <f>Elec_Est!T5462</f>
        <v>2.1</v>
      </c>
      <c r="V31"/>
      <c r="W31"/>
      <c r="X31"/>
    </row>
    <row r="32" spans="1:24">
      <c r="A32" s="375" t="str">
        <f t="shared" si="7"/>
        <v/>
      </c>
      <c r="B32" s="426" t="str">
        <f t="shared" si="8"/>
        <v/>
      </c>
      <c r="C32"/>
      <c r="D32" s="357" t="str">
        <f t="shared" si="9"/>
        <v/>
      </c>
      <c r="E32" s="460">
        <f t="shared" si="10"/>
        <v>0</v>
      </c>
      <c r="F32" s="459">
        <f>Elec_Est!F5463</f>
        <v>0</v>
      </c>
      <c r="G32" s="273">
        <f t="shared" si="11"/>
        <v>1</v>
      </c>
      <c r="H32" s="359">
        <f t="shared" si="12"/>
        <v>0</v>
      </c>
      <c r="I32" s="359">
        <f t="shared" si="13"/>
        <v>0</v>
      </c>
      <c r="J32" s="273">
        <f t="shared" si="14"/>
        <v>28.832999999999998</v>
      </c>
      <c r="K32" s="273"/>
      <c r="L32" s="273"/>
      <c r="M32" s="273"/>
      <c r="N32" s="273"/>
      <c r="O32" s="273"/>
      <c r="P32" s="273"/>
      <c r="Q32" s="295"/>
      <c r="R32" s="459">
        <f>Elec_Est!R5463</f>
        <v>0</v>
      </c>
      <c r="S32" s="273"/>
      <c r="T32" s="459">
        <f>Elec_Est!T5463</f>
        <v>0</v>
      </c>
      <c r="V32"/>
      <c r="W32"/>
      <c r="X32"/>
    </row>
    <row r="33" spans="1:24">
      <c r="B33"/>
      <c r="C33" s="335" t="s">
        <v>199</v>
      </c>
      <c r="D33"/>
      <c r="E33"/>
      <c r="F33" s="334"/>
      <c r="G33" s="273"/>
      <c r="H33" s="273"/>
      <c r="I33" s="273"/>
      <c r="J33" s="273"/>
      <c r="K33" s="273"/>
      <c r="L33" s="273"/>
      <c r="M33" s="273"/>
      <c r="N33" s="273"/>
      <c r="O33" s="273"/>
      <c r="P33" s="273"/>
      <c r="R33" s="335"/>
      <c r="S33" s="273"/>
      <c r="T33" s="334"/>
      <c r="V33"/>
      <c r="W33"/>
      <c r="X33"/>
    </row>
    <row r="34" spans="1:24" ht="13.8" thickBot="1">
      <c r="B34" s="36"/>
      <c r="C34"/>
      <c r="R34" s="280"/>
      <c r="S34" s="280"/>
      <c r="T34" s="280"/>
      <c r="V34"/>
      <c r="W34"/>
      <c r="X34"/>
    </row>
    <row r="35" spans="1:24">
      <c r="A35" s="427" t="s">
        <v>202</v>
      </c>
      <c r="B35" s="431">
        <f ca="1">'SUMMARY PG'!H233</f>
        <v>286398.78999999998</v>
      </c>
      <c r="D35" s="1023">
        <f ca="1">B35-E35</f>
        <v>0</v>
      </c>
      <c r="E35" s="460">
        <f ca="1">SUM(E23:E32)</f>
        <v>286398.78999999986</v>
      </c>
      <c r="F35" s="459">
        <f ca="1">SUM(F23:F32)</f>
        <v>286398.78999999986</v>
      </c>
      <c r="G35" s="274"/>
      <c r="H35" s="274"/>
      <c r="I35" s="274"/>
      <c r="J35" s="274"/>
      <c r="K35" s="274"/>
      <c r="L35" s="274"/>
      <c r="M35" s="274"/>
      <c r="N35" s="274"/>
      <c r="O35" s="274"/>
      <c r="P35" s="274"/>
      <c r="Q35" s="275"/>
      <c r="R35" s="279">
        <f ca="1">SUM(R23:R32)</f>
        <v>162738.81300000023</v>
      </c>
      <c r="S35" s="276"/>
      <c r="T35" s="279">
        <f ca="1">SUM(T23:T32)</f>
        <v>2607.7694999999999</v>
      </c>
      <c r="V35"/>
      <c r="W35"/>
      <c r="X35"/>
    </row>
    <row r="36" spans="1:24" ht="14.4" thickBot="1">
      <c r="A36" s="428" t="str">
        <f xml:space="preserve"> IF(A39=0,"0.00",A39-(A38*A37))</f>
        <v>0.00</v>
      </c>
      <c r="B36" s="430" t="s">
        <v>233</v>
      </c>
      <c r="E36" s="494" t="str">
        <f>"ESTIM TOTAL (" &amp; $Q$1 &amp; ")"</f>
        <v>ESTIM TOTAL (€)</v>
      </c>
      <c r="G36" s="274"/>
      <c r="H36" s="274"/>
      <c r="I36" s="274"/>
      <c r="J36" s="274"/>
      <c r="K36" s="274"/>
      <c r="L36" s="274"/>
      <c r="M36" s="274"/>
      <c r="N36" s="274"/>
      <c r="O36" s="274"/>
      <c r="P36" s="274"/>
      <c r="Q36" s="275"/>
      <c r="V36"/>
      <c r="W36"/>
      <c r="X36"/>
    </row>
    <row r="37" spans="1:24" ht="13.8">
      <c r="A37" s="366">
        <v>1.125</v>
      </c>
      <c r="B37" s="429" t="s">
        <v>223</v>
      </c>
      <c r="C37" s="257"/>
      <c r="D37"/>
      <c r="E37" s="370"/>
      <c r="G37"/>
      <c r="H37"/>
      <c r="I37"/>
      <c r="J37"/>
      <c r="K37"/>
      <c r="L37"/>
      <c r="M37"/>
      <c r="N37"/>
      <c r="O37"/>
      <c r="P37"/>
      <c r="Q37"/>
      <c r="R37" s="411">
        <f ca="1">R166</f>
        <v>162742.86437029944</v>
      </c>
      <c r="S37" s="412" t="s">
        <v>195</v>
      </c>
      <c r="T37" s="410">
        <f ca="1">T166</f>
        <v>2606.3322378784783</v>
      </c>
      <c r="V37"/>
      <c r="W37"/>
      <c r="X37"/>
    </row>
    <row r="38" spans="1:24">
      <c r="A38" s="368"/>
      <c r="B38" s="367" t="s">
        <v>221</v>
      </c>
      <c r="C38"/>
      <c r="D38"/>
      <c r="G38"/>
      <c r="H38"/>
      <c r="I38"/>
      <c r="J38"/>
      <c r="K38"/>
      <c r="L38"/>
      <c r="M38"/>
      <c r="N38"/>
      <c r="O38"/>
      <c r="P38"/>
      <c r="Q38"/>
      <c r="R38"/>
      <c r="S38"/>
      <c r="T38"/>
    </row>
    <row r="39" spans="1:24">
      <c r="A39" s="369"/>
      <c r="B39" s="367" t="s">
        <v>222</v>
      </c>
      <c r="C39"/>
      <c r="D39"/>
      <c r="E39"/>
      <c r="F39"/>
      <c r="G39" s="256"/>
      <c r="H39" s="256"/>
      <c r="I39" s="256"/>
      <c r="J39" s="256"/>
      <c r="K39" s="256"/>
      <c r="L39" s="256"/>
      <c r="M39" s="256"/>
      <c r="N39" s="256"/>
      <c r="O39" s="256"/>
      <c r="P39" s="256"/>
      <c r="Q39" s="365" t="s">
        <v>203</v>
      </c>
      <c r="R39" s="413">
        <f ca="1">R37-R35</f>
        <v>4.051370299217524</v>
      </c>
      <c r="S39" s="441" t="s">
        <v>235</v>
      </c>
      <c r="T39" s="414">
        <f ca="1">T37-T35</f>
        <v>-1.4372621215215986</v>
      </c>
    </row>
    <row r="40" spans="1:24" ht="14.25" customHeight="1">
      <c r="S40" s="451"/>
    </row>
    <row r="41" spans="1:24">
      <c r="B41" s="415" t="s">
        <v>224</v>
      </c>
      <c r="C41" s="416"/>
      <c r="D41" s="407">
        <v>45953</v>
      </c>
      <c r="E41" s="417">
        <v>315655.23999999987</v>
      </c>
      <c r="F41" s="417">
        <v>315655.23999999987</v>
      </c>
      <c r="G41" s="418"/>
      <c r="H41" s="418"/>
      <c r="I41" s="418"/>
      <c r="J41" s="418"/>
      <c r="K41" s="418"/>
      <c r="L41" s="418"/>
      <c r="M41" s="418"/>
      <c r="N41" s="418"/>
      <c r="O41" s="418"/>
      <c r="P41" s="418"/>
      <c r="Q41" s="419"/>
      <c r="R41" s="417">
        <v>173598.97300000023</v>
      </c>
      <c r="S41" s="419"/>
      <c r="T41" s="417">
        <v>2779.9440000000004</v>
      </c>
    </row>
    <row r="42" spans="1:24">
      <c r="B42" s="415" t="s">
        <v>224</v>
      </c>
      <c r="C42" s="1327"/>
      <c r="D42" s="407">
        <v>45957</v>
      </c>
      <c r="E42" s="417">
        <v>310694.80999999988</v>
      </c>
      <c r="F42" s="417">
        <v>310694.80999999988</v>
      </c>
      <c r="G42" s="418"/>
      <c r="H42" s="418"/>
      <c r="I42" s="418"/>
      <c r="J42" s="418"/>
      <c r="K42" s="418"/>
      <c r="L42" s="418"/>
      <c r="M42" s="418"/>
      <c r="N42" s="418"/>
      <c r="O42" s="418"/>
      <c r="P42" s="418"/>
      <c r="Q42" s="419"/>
      <c r="R42" s="417">
        <v>172956.00300000026</v>
      </c>
      <c r="S42" s="419"/>
      <c r="T42" s="417">
        <v>2715.0440000000008</v>
      </c>
    </row>
    <row r="43" spans="1:24">
      <c r="B43" s="415" t="s">
        <v>224</v>
      </c>
      <c r="C43" s="1327"/>
      <c r="D43" s="407">
        <v>46002</v>
      </c>
      <c r="E43" s="417">
        <v>310900.79999999987</v>
      </c>
      <c r="F43" s="417">
        <v>310900.79999999987</v>
      </c>
      <c r="G43" s="418"/>
      <c r="H43" s="418"/>
      <c r="I43" s="418"/>
      <c r="J43" s="418"/>
      <c r="K43" s="418"/>
      <c r="L43" s="418"/>
      <c r="M43" s="418"/>
      <c r="N43" s="418"/>
      <c r="O43" s="418"/>
      <c r="P43" s="418"/>
      <c r="Q43" s="418"/>
      <c r="R43" s="417">
        <v>173103.63300000023</v>
      </c>
      <c r="S43" s="418"/>
      <c r="T43" s="417">
        <v>2715.594000000001</v>
      </c>
    </row>
    <row r="44" spans="1:24">
      <c r="B44" s="1320" t="s">
        <v>224</v>
      </c>
      <c r="C44" s="1321"/>
      <c r="D44" s="407">
        <v>46034</v>
      </c>
      <c r="E44" s="417">
        <v>301797.20000000019</v>
      </c>
      <c r="F44" s="417">
        <v>301797.20000000019</v>
      </c>
      <c r="G44" s="418"/>
      <c r="H44" s="418"/>
      <c r="I44" s="418"/>
      <c r="J44" s="418"/>
      <c r="K44" s="418"/>
      <c r="L44" s="418"/>
      <c r="M44" s="418"/>
      <c r="N44" s="418"/>
      <c r="O44" s="418"/>
      <c r="P44" s="418"/>
      <c r="Q44" s="419"/>
      <c r="R44" s="417">
        <v>167814.21300000025</v>
      </c>
      <c r="S44" s="419"/>
      <c r="T44" s="417">
        <v>2715.594000000001</v>
      </c>
    </row>
    <row r="45" spans="1:24">
      <c r="B45" s="1320" t="s">
        <v>224</v>
      </c>
      <c r="C45" s="1321"/>
      <c r="D45" s="1322">
        <v>46072</v>
      </c>
      <c r="E45" s="1323">
        <v>286398.78999999986</v>
      </c>
      <c r="F45" s="1323">
        <v>286398.78999999986</v>
      </c>
      <c r="G45" s="1324"/>
      <c r="H45" s="1324"/>
      <c r="I45" s="1324"/>
      <c r="J45" s="1324"/>
      <c r="K45" s="1324"/>
      <c r="L45" s="1324"/>
      <c r="M45" s="1324"/>
      <c r="N45" s="1324"/>
      <c r="O45" s="1324"/>
      <c r="P45" s="1324"/>
      <c r="Q45" s="1325"/>
      <c r="R45" s="1323">
        <v>162738.81300000023</v>
      </c>
      <c r="S45" s="1325"/>
      <c r="T45" s="1323">
        <v>2607.7694999999999</v>
      </c>
    </row>
    <row r="46" spans="1:24">
      <c r="B46" s="1320"/>
      <c r="C46" s="1321"/>
      <c r="D46" s="1322"/>
      <c r="E46" s="1330"/>
      <c r="F46" s="1323"/>
      <c r="G46" s="1324"/>
      <c r="H46" s="1324"/>
      <c r="I46" s="1324"/>
      <c r="J46" s="1324"/>
      <c r="K46" s="1324"/>
      <c r="L46" s="1324"/>
      <c r="M46" s="1324"/>
      <c r="N46" s="1324"/>
      <c r="O46" s="1324"/>
      <c r="P46" s="1324"/>
      <c r="Q46" s="1325"/>
      <c r="R46" s="1323"/>
      <c r="S46" s="1325"/>
      <c r="T46" s="1323"/>
    </row>
    <row r="47" spans="1:24" s="148" customFormat="1" ht="14.25" customHeight="1">
      <c r="A47" s="145"/>
      <c r="B47" s="1313" t="s">
        <v>1543</v>
      </c>
      <c r="C47" s="143"/>
      <c r="D47" s="143"/>
    </row>
    <row r="48" spans="1:24" s="148" customFormat="1" ht="13.8">
      <c r="A48" s="363" t="s">
        <v>35</v>
      </c>
      <c r="C48" s="36"/>
      <c r="D48" s="36"/>
    </row>
    <row r="49" spans="1:20" s="148" customFormat="1" ht="14.25" customHeight="1">
      <c r="A49" s="1398" t="s">
        <v>208</v>
      </c>
      <c r="B49" s="1398"/>
      <c r="C49" s="1398"/>
      <c r="D49" s="1398"/>
      <c r="E49" s="1398"/>
      <c r="F49" s="1398"/>
      <c r="G49" s="1398"/>
      <c r="H49" s="1398"/>
      <c r="I49" s="1398"/>
      <c r="J49" s="1398"/>
      <c r="K49" s="1398"/>
      <c r="L49" s="1398"/>
      <c r="M49" s="1398"/>
      <c r="N49" s="1398"/>
      <c r="O49" s="1398"/>
      <c r="P49" s="1398"/>
      <c r="Q49" s="1398"/>
      <c r="R49" s="1398"/>
      <c r="S49" s="1398"/>
    </row>
    <row r="50" spans="1:20" s="148" customFormat="1" ht="14.25" customHeight="1">
      <c r="A50" s="1398"/>
      <c r="B50" s="1398"/>
      <c r="C50" s="1398"/>
      <c r="D50" s="1398"/>
      <c r="E50" s="1398"/>
      <c r="F50" s="1398"/>
      <c r="G50" s="1398"/>
      <c r="H50" s="1398"/>
      <c r="I50" s="1398"/>
      <c r="J50" s="1398"/>
      <c r="K50" s="1398"/>
      <c r="L50" s="1398"/>
      <c r="M50" s="1398"/>
      <c r="N50" s="1398"/>
      <c r="O50" s="1398"/>
      <c r="P50" s="1398"/>
      <c r="Q50" s="1398"/>
      <c r="R50" s="1398"/>
      <c r="S50" s="1398"/>
      <c r="T50" s="36"/>
    </row>
    <row r="51" spans="1:20" s="148" customFormat="1" ht="13.5" customHeight="1">
      <c r="A51" s="132"/>
      <c r="B51" s="143"/>
      <c r="C51" s="132"/>
      <c r="D51" s="132"/>
      <c r="E51" s="132"/>
      <c r="F51" s="132"/>
      <c r="G51" s="132"/>
      <c r="H51" s="132"/>
      <c r="I51" s="132"/>
      <c r="J51" s="132"/>
      <c r="K51" s="132"/>
      <c r="L51" s="132"/>
      <c r="M51" s="132"/>
      <c r="N51" s="132"/>
      <c r="O51" s="132"/>
      <c r="P51" s="132"/>
      <c r="Q51" s="132"/>
      <c r="R51" s="132"/>
      <c r="S51" s="132"/>
      <c r="T51" s="132"/>
    </row>
    <row r="52" spans="1:20" s="148" customFormat="1" ht="13.5" customHeight="1" thickBot="1">
      <c r="A52" s="149" t="s">
        <v>36</v>
      </c>
      <c r="B52" s="150"/>
      <c r="C52" s="151"/>
      <c r="D52" s="151" t="str">
        <f>D8</f>
        <v>R.Farrugia</v>
      </c>
      <c r="E52" s="132"/>
      <c r="F52" s="152"/>
      <c r="G52" s="153"/>
      <c r="H52" s="153"/>
      <c r="I52" s="153"/>
      <c r="J52" s="153"/>
      <c r="K52" s="153"/>
      <c r="L52" s="153"/>
      <c r="M52" s="132"/>
      <c r="N52" s="132"/>
      <c r="O52" s="132"/>
      <c r="P52" s="132"/>
      <c r="Q52" s="149" t="s">
        <v>37</v>
      </c>
      <c r="R52" s="151"/>
      <c r="S52" s="151"/>
      <c r="T52" s="151"/>
    </row>
    <row r="53" spans="1:20" s="148" customFormat="1" ht="13.5" customHeight="1" thickTop="1">
      <c r="A53" s="154"/>
      <c r="B53" s="143"/>
      <c r="C53" s="132"/>
      <c r="D53" s="132"/>
      <c r="E53" s="132"/>
      <c r="F53" s="132"/>
      <c r="G53" s="132"/>
      <c r="H53" s="132"/>
      <c r="I53" s="132"/>
      <c r="J53" s="132"/>
      <c r="K53" s="132"/>
      <c r="L53" s="132"/>
      <c r="M53" s="132"/>
      <c r="N53" s="132"/>
      <c r="O53" s="132"/>
      <c r="P53" s="132"/>
      <c r="Q53" s="154"/>
      <c r="R53" s="132"/>
      <c r="S53" s="132"/>
      <c r="T53" s="132"/>
    </row>
    <row r="54" spans="1:20" s="148" customFormat="1" ht="13.5" customHeight="1" thickBot="1">
      <c r="A54" s="155" t="s">
        <v>38</v>
      </c>
      <c r="B54" s="151"/>
      <c r="C54" s="151"/>
      <c r="D54" s="151"/>
      <c r="E54" s="132"/>
      <c r="F54" s="152"/>
      <c r="G54" s="153"/>
      <c r="H54" s="153"/>
      <c r="I54" s="153"/>
      <c r="J54" s="153"/>
      <c r="K54" s="153"/>
      <c r="L54" s="153"/>
      <c r="M54" s="132"/>
      <c r="N54" s="132"/>
      <c r="O54" s="132"/>
      <c r="P54" s="132"/>
      <c r="Q54" s="154" t="s">
        <v>39</v>
      </c>
      <c r="R54" s="132"/>
      <c r="S54" s="151"/>
      <c r="T54" s="151"/>
    </row>
    <row r="55" spans="1:20" s="148" customFormat="1" ht="13.5" customHeight="1" thickTop="1">
      <c r="A55" s="155"/>
      <c r="B55" s="143"/>
      <c r="C55" s="132"/>
      <c r="D55" s="132"/>
      <c r="E55" s="132"/>
      <c r="F55" s="152"/>
      <c r="G55" s="132"/>
      <c r="H55" s="132"/>
      <c r="I55" s="132"/>
      <c r="J55" s="132"/>
      <c r="K55" s="132"/>
      <c r="L55" s="132"/>
      <c r="M55" s="132"/>
      <c r="N55" s="132"/>
      <c r="O55" s="132"/>
      <c r="P55" s="132"/>
      <c r="Q55" s="154"/>
      <c r="R55" s="132"/>
      <c r="S55" s="132"/>
      <c r="T55" s="132"/>
    </row>
    <row r="56" spans="1:20" s="148" customFormat="1" ht="13.5" customHeight="1">
      <c r="A56" s="1397" t="s">
        <v>185</v>
      </c>
      <c r="B56" s="1397"/>
      <c r="C56" s="12"/>
      <c r="D56" s="352" t="str">
        <f ca="1" xml:space="preserve"> CELL("filename")</f>
        <v>https://d.docs.live.net/d8e42587b76b10ba/Documents/Visual Code Studio/Claude/BMS-Attribution-Model/projects/J01111_Brit_Hotel/[EL25_0662B_Brittania_Hotel_Elec_Revised_Estim_B.xlsx]Elec_Est</v>
      </c>
      <c r="E56" s="258"/>
      <c r="F56" s="353"/>
      <c r="G56" s="258"/>
      <c r="H56" s="258"/>
      <c r="I56" s="258"/>
      <c r="J56" s="258"/>
      <c r="K56" s="258"/>
      <c r="L56" s="258"/>
      <c r="M56" s="258"/>
      <c r="N56" s="258"/>
      <c r="O56" s="258"/>
      <c r="P56" s="258"/>
      <c r="Q56" s="354"/>
      <c r="R56" s="132"/>
      <c r="S56" s="132"/>
      <c r="T56" s="132"/>
    </row>
    <row r="57" spans="1:20" s="148" customFormat="1" ht="12.75" customHeight="1">
      <c r="A57" s="269"/>
      <c r="B57" s="269"/>
      <c r="C57" s="12"/>
      <c r="D57" s="13"/>
      <c r="E57" s="132"/>
      <c r="F57" s="152"/>
      <c r="G57" s="132"/>
      <c r="H57" s="132"/>
      <c r="I57" s="132"/>
      <c r="J57" s="132"/>
      <c r="K57" s="132"/>
      <c r="L57" s="132"/>
      <c r="M57" s="132"/>
      <c r="N57" s="132"/>
      <c r="O57" s="132"/>
      <c r="P57" s="132"/>
      <c r="Q57" s="154"/>
      <c r="R57" s="132"/>
      <c r="S57" s="132"/>
      <c r="T57" s="132"/>
    </row>
    <row r="58" spans="1:20" ht="21" customHeight="1">
      <c r="B58" s="1390" t="s">
        <v>40</v>
      </c>
      <c r="C58" s="1391"/>
      <c r="D58" s="1391"/>
      <c r="E58" s="1391"/>
      <c r="F58" s="1391"/>
      <c r="G58" s="1391"/>
      <c r="H58" s="1391"/>
      <c r="I58" s="1391"/>
      <c r="J58" s="1391"/>
      <c r="K58" s="1391"/>
      <c r="L58" s="1391"/>
      <c r="M58" s="1391"/>
      <c r="N58" s="1391"/>
      <c r="O58" s="1391"/>
      <c r="P58" s="1391"/>
      <c r="Q58" s="1391"/>
      <c r="R58" s="1391"/>
      <c r="S58" s="1391"/>
      <c r="T58" s="1392"/>
    </row>
    <row r="59" spans="1:20" ht="18" customHeight="1">
      <c r="B59" s="1393" t="s">
        <v>41</v>
      </c>
      <c r="C59" s="1394"/>
      <c r="D59" s="1394"/>
      <c r="E59" s="1394"/>
      <c r="F59" s="1394"/>
      <c r="G59" s="1394"/>
      <c r="H59" s="1394"/>
      <c r="I59" s="1394"/>
      <c r="J59" s="1394"/>
      <c r="K59" s="1394"/>
      <c r="L59" s="1394"/>
      <c r="M59" s="1394"/>
      <c r="N59" s="1394"/>
      <c r="O59" s="1394"/>
      <c r="P59" s="1394"/>
      <c r="Q59" s="1394"/>
      <c r="R59" s="1394"/>
      <c r="S59" s="1395"/>
      <c r="T59" s="1396"/>
    </row>
    <row r="60" spans="1:20">
      <c r="B60" s="156"/>
      <c r="S60" s="157" t="s">
        <v>42</v>
      </c>
      <c r="T60" s="144"/>
    </row>
    <row r="61" spans="1:20">
      <c r="B61" s="156"/>
      <c r="D61" s="158" t="s">
        <v>43</v>
      </c>
      <c r="E61" s="259" t="str">
        <f>D1</f>
        <v>Battery Street Limited</v>
      </c>
      <c r="F61" s="260"/>
      <c r="G61" s="89"/>
      <c r="H61" s="89"/>
      <c r="I61" s="89"/>
      <c r="J61" s="89"/>
      <c r="K61" s="89"/>
      <c r="L61" s="89"/>
      <c r="M61" s="89"/>
      <c r="N61" s="89"/>
      <c r="O61" s="89"/>
      <c r="P61" s="89"/>
      <c r="Q61" s="261"/>
      <c r="R61" s="89"/>
      <c r="S61" s="157" t="s">
        <v>263</v>
      </c>
      <c r="T61" s="144"/>
    </row>
    <row r="62" spans="1:20">
      <c r="B62" s="156"/>
      <c r="D62" s="159" t="s">
        <v>44</v>
      </c>
      <c r="E62" s="259" t="str">
        <f>D2</f>
        <v>MEP Works British Hotel</v>
      </c>
      <c r="F62" s="260"/>
      <c r="G62" s="89"/>
      <c r="H62" s="89"/>
      <c r="I62" s="89"/>
      <c r="J62" s="89"/>
      <c r="K62" s="89"/>
      <c r="L62" s="89"/>
      <c r="M62" s="89"/>
      <c r="N62" s="89"/>
      <c r="O62" s="89"/>
      <c r="P62" s="89"/>
      <c r="Q62" s="261"/>
      <c r="R62" s="89"/>
      <c r="S62" s="157" t="s">
        <v>258</v>
      </c>
      <c r="T62" s="144"/>
    </row>
    <row r="63" spans="1:20">
      <c r="B63" s="156"/>
      <c r="D63" s="158" t="s">
        <v>45</v>
      </c>
      <c r="E63" s="259" t="str">
        <f>D3</f>
        <v>Electrical and ELV Systems</v>
      </c>
      <c r="F63" s="260"/>
      <c r="G63" s="89"/>
      <c r="H63" s="89"/>
      <c r="I63" s="89"/>
      <c r="J63" s="89"/>
      <c r="K63" s="89"/>
      <c r="L63" s="89"/>
      <c r="M63" s="89"/>
      <c r="N63" s="89"/>
      <c r="O63" s="89"/>
      <c r="P63" s="89"/>
      <c r="Q63" s="261"/>
      <c r="R63" s="89"/>
      <c r="S63" s="157" t="s">
        <v>262</v>
      </c>
      <c r="T63" s="144"/>
    </row>
    <row r="64" spans="1:20">
      <c r="B64" s="156"/>
      <c r="D64" s="160" t="s">
        <v>48</v>
      </c>
      <c r="E64" s="259" t="str">
        <f>D4</f>
        <v>EL25-0662B</v>
      </c>
      <c r="F64" s="260"/>
      <c r="G64" s="89"/>
      <c r="H64" s="89"/>
      <c r="I64" s="89"/>
      <c r="J64" s="89"/>
      <c r="K64" s="89"/>
      <c r="L64" s="89"/>
      <c r="M64" s="89"/>
      <c r="N64" s="89"/>
      <c r="O64" s="89"/>
      <c r="P64" s="89"/>
      <c r="Q64" s="261"/>
      <c r="R64" s="89"/>
      <c r="S64" s="157"/>
      <c r="T64" s="144"/>
    </row>
    <row r="65" spans="2:20">
      <c r="B65" s="156"/>
      <c r="D65" s="160" t="s">
        <v>49</v>
      </c>
      <c r="E65" s="259" t="str">
        <f>D5</f>
        <v>MEP REVISED</v>
      </c>
      <c r="F65" s="260"/>
      <c r="G65" s="89"/>
      <c r="H65" s="89"/>
      <c r="I65" s="89"/>
      <c r="J65" s="89"/>
      <c r="K65" s="89"/>
      <c r="L65" s="89"/>
      <c r="M65" s="89"/>
      <c r="N65" s="89"/>
      <c r="O65" s="89"/>
      <c r="P65" s="89"/>
      <c r="Q65" s="261"/>
      <c r="R65" s="89"/>
      <c r="S65" s="157"/>
      <c r="T65" s="144"/>
    </row>
    <row r="66" spans="2:20">
      <c r="B66" s="156"/>
      <c r="S66" s="157" t="s">
        <v>47</v>
      </c>
      <c r="T66" s="144"/>
    </row>
    <row r="67" spans="2:20">
      <c r="B67" s="156"/>
      <c r="D67" s="160" t="s">
        <v>46</v>
      </c>
      <c r="E67" s="161"/>
      <c r="F67" s="161"/>
      <c r="G67" s="162"/>
      <c r="H67" s="162"/>
      <c r="I67" s="162"/>
      <c r="J67" s="162"/>
      <c r="K67" s="162"/>
      <c r="L67" s="162"/>
      <c r="M67" s="162"/>
      <c r="N67" s="162"/>
      <c r="O67" s="162"/>
      <c r="P67" s="162"/>
      <c r="S67" s="163"/>
      <c r="T67" s="164"/>
    </row>
    <row r="68" spans="2:20">
      <c r="B68" s="156"/>
      <c r="D68" s="160" t="s">
        <v>239</v>
      </c>
      <c r="E68" s="161"/>
      <c r="F68" s="161"/>
      <c r="G68" s="162"/>
      <c r="H68" s="162"/>
      <c r="I68" s="162"/>
      <c r="J68" s="162"/>
      <c r="K68" s="162"/>
      <c r="L68" s="162"/>
      <c r="M68" s="162"/>
      <c r="N68" s="162"/>
      <c r="O68" s="162"/>
      <c r="P68" s="162"/>
      <c r="S68" s="163"/>
      <c r="T68" s="164"/>
    </row>
    <row r="69" spans="2:20">
      <c r="B69" s="165"/>
      <c r="C69" s="57"/>
      <c r="D69" s="57"/>
      <c r="E69" s="57"/>
      <c r="F69" s="57"/>
      <c r="G69" s="57"/>
      <c r="H69" s="57"/>
      <c r="I69" s="57"/>
      <c r="J69" s="57"/>
      <c r="K69" s="57"/>
      <c r="L69" s="57"/>
      <c r="M69" s="57"/>
      <c r="N69" s="57"/>
      <c r="O69" s="57"/>
      <c r="P69" s="57"/>
      <c r="Q69" s="57"/>
      <c r="R69" s="57"/>
      <c r="S69" s="57"/>
      <c r="T69" s="166"/>
    </row>
    <row r="70" spans="2:20" ht="14.25" customHeight="1">
      <c r="B70" s="156"/>
      <c r="T70" s="164"/>
    </row>
    <row r="71" spans="2:20" ht="15.6">
      <c r="B71" s="156"/>
      <c r="E71" s="167" t="s">
        <v>189</v>
      </c>
      <c r="F71" s="142"/>
      <c r="G71" s="142"/>
      <c r="H71" s="142"/>
      <c r="I71" s="142"/>
      <c r="J71" s="142"/>
      <c r="K71" s="142"/>
      <c r="L71" s="142"/>
      <c r="M71" s="142"/>
      <c r="N71" s="142"/>
      <c r="O71" s="142"/>
      <c r="P71" s="142"/>
      <c r="Q71" s="142"/>
      <c r="R71" s="142"/>
      <c r="S71" s="67"/>
      <c r="T71" s="164"/>
    </row>
    <row r="72" spans="2:20">
      <c r="B72" s="156"/>
      <c r="E72" s="169"/>
      <c r="F72" s="142"/>
      <c r="G72" s="142"/>
      <c r="H72" s="142"/>
      <c r="I72" s="142"/>
      <c r="J72" s="142"/>
      <c r="K72" s="142"/>
      <c r="L72" s="142"/>
      <c r="M72" s="142"/>
      <c r="N72" s="142"/>
      <c r="O72" s="142"/>
      <c r="P72" s="142"/>
      <c r="Q72" s="142"/>
      <c r="R72" s="142"/>
      <c r="S72" s="67"/>
      <c r="T72" s="164"/>
    </row>
    <row r="73" spans="2:20">
      <c r="B73" s="287"/>
      <c r="C73" s="333">
        <f ca="1">IF($A$33="MIXED",F23/(1-Q2)+F24/(1-Q3)+F25/(1-Q4)+F26/(1-Q5)+F27/(1-Q6)+F28/(1-Q7)+F29/(1-Q8)+F30/(1-Q9)+F31/(1-Q10)+F32/(1-Q11)-SUM(A23:A32),   F23/(1-Q2)+F24/(1-Q3)+F25/(1-Q4)+F26/(1-Q5)+F27/(1-Q6)+F28/(1-Q7)+F29/(1-Q8)+F30/(1-Q9)+F31/(1-Q10)+F32/(1-Q11))</f>
        <v>286398.78999999986</v>
      </c>
      <c r="E73" s="139" t="s">
        <v>230</v>
      </c>
      <c r="F73" s="394">
        <f ca="1">IF(D6="VAT INCLUDED",C73/($C$1*1.18),C73/$C$1)</f>
        <v>286398.78999999986</v>
      </c>
      <c r="G73" s="142"/>
      <c r="H73" s="142"/>
      <c r="I73" s="142"/>
      <c r="J73" s="142"/>
      <c r="K73" s="142"/>
      <c r="L73" s="142"/>
      <c r="M73" s="142"/>
      <c r="N73" s="142"/>
      <c r="O73" s="142"/>
      <c r="P73" s="142"/>
      <c r="Q73" s="142"/>
      <c r="R73" s="142"/>
      <c r="S73" s="67"/>
      <c r="T73" s="164"/>
    </row>
    <row r="74" spans="2:20">
      <c r="B74" s="156"/>
      <c r="F74" s="399"/>
      <c r="G74" s="142"/>
      <c r="H74" s="142"/>
      <c r="I74" s="142"/>
      <c r="J74" s="142"/>
      <c r="K74" s="142"/>
      <c r="L74" s="142"/>
      <c r="M74" s="142"/>
      <c r="N74" s="142"/>
      <c r="O74" s="142"/>
      <c r="P74" s="142"/>
      <c r="Q74" s="142"/>
      <c r="R74" s="142"/>
      <c r="S74" s="67"/>
      <c r="T74" s="164"/>
    </row>
    <row r="75" spans="2:20" ht="15" customHeight="1">
      <c r="B75" s="287"/>
      <c r="E75" s="402" t="s">
        <v>231</v>
      </c>
      <c r="F75" s="400">
        <f ca="1">(F73-F76)/F73</f>
        <v>0</v>
      </c>
      <c r="G75" s="170"/>
      <c r="H75" s="170"/>
      <c r="I75" s="170"/>
      <c r="J75" s="170"/>
      <c r="K75" s="170"/>
      <c r="L75" s="170"/>
      <c r="M75" s="170"/>
      <c r="N75" s="170"/>
      <c r="O75" s="170"/>
      <c r="P75" s="170"/>
      <c r="Q75" s="171"/>
      <c r="T75" s="164"/>
    </row>
    <row r="76" spans="2:20">
      <c r="B76" s="288"/>
      <c r="E76" s="159" t="s">
        <v>229</v>
      </c>
      <c r="F76" s="401">
        <f ca="1">IF(D6="VAT INCLUDED",E35/($C$1*1.18),E35/$C$1)</f>
        <v>286398.78999999986</v>
      </c>
      <c r="T76" s="164"/>
    </row>
    <row r="77" spans="2:20" ht="14.25" customHeight="1">
      <c r="B77" s="156"/>
      <c r="E77" s="139"/>
      <c r="F77" s="262"/>
      <c r="R77" s="139"/>
      <c r="T77" s="164"/>
    </row>
    <row r="78" spans="2:20" ht="15.6">
      <c r="B78" s="172"/>
      <c r="C78" s="173"/>
      <c r="E78" s="174" t="s">
        <v>187</v>
      </c>
      <c r="F78" s="420">
        <f>$D$9</f>
        <v>28.832999999999998</v>
      </c>
      <c r="G78" s="175"/>
      <c r="H78" s="176"/>
      <c r="I78" s="177"/>
      <c r="J78" s="178"/>
      <c r="K78" s="178"/>
      <c r="L78" s="178"/>
      <c r="M78" s="178"/>
      <c r="N78" s="178"/>
      <c r="O78" s="178"/>
      <c r="P78" s="178"/>
      <c r="Q78" s="179"/>
      <c r="R78" s="139" t="s">
        <v>168</v>
      </c>
      <c r="S78" s="168"/>
      <c r="T78" s="164"/>
    </row>
    <row r="79" spans="2:20" ht="15.6">
      <c r="B79" s="172"/>
      <c r="C79" s="173"/>
      <c r="E79" s="180"/>
      <c r="F79" s="181"/>
      <c r="G79" s="182"/>
      <c r="H79" s="183"/>
      <c r="I79" s="184"/>
      <c r="J79" s="179"/>
      <c r="K79" s="179"/>
      <c r="L79" s="179"/>
      <c r="M79" s="179"/>
      <c r="N79" s="179"/>
      <c r="O79" s="179"/>
      <c r="P79" s="179"/>
      <c r="Q79" s="179"/>
      <c r="T79" s="164"/>
    </row>
    <row r="80" spans="2:20" ht="15.6">
      <c r="B80" s="172"/>
      <c r="C80" s="173"/>
      <c r="E80" s="180"/>
      <c r="F80" s="181"/>
      <c r="G80" s="182"/>
      <c r="H80" s="183"/>
      <c r="I80" s="184"/>
      <c r="J80" s="179"/>
      <c r="K80" s="179"/>
      <c r="L80" s="179"/>
      <c r="M80" s="179"/>
      <c r="N80" s="179"/>
      <c r="O80" s="179"/>
      <c r="P80" s="179"/>
      <c r="Q80" s="179"/>
      <c r="T80" s="164"/>
    </row>
    <row r="81" spans="2:20" ht="15">
      <c r="B81" s="172"/>
      <c r="C81" s="173"/>
      <c r="D81" s="185" t="s">
        <v>50</v>
      </c>
      <c r="E81" s="186" t="s">
        <v>67</v>
      </c>
      <c r="F81" s="187" t="s">
        <v>51</v>
      </c>
      <c r="G81" s="188"/>
      <c r="H81" s="188"/>
      <c r="I81" s="188"/>
      <c r="J81" s="188"/>
      <c r="K81" s="188"/>
      <c r="L81" s="188"/>
      <c r="M81" s="188"/>
      <c r="N81" s="188"/>
      <c r="O81" s="188"/>
      <c r="P81" s="188"/>
      <c r="Q81" s="188"/>
      <c r="R81" s="186" t="s">
        <v>220</v>
      </c>
      <c r="S81" s="189"/>
      <c r="T81" s="164"/>
    </row>
    <row r="82" spans="2:20" ht="13.8">
      <c r="B82" s="156"/>
      <c r="D82" s="190" t="s">
        <v>226</v>
      </c>
      <c r="E82" s="77" t="s">
        <v>228</v>
      </c>
      <c r="F82" s="191" t="s">
        <v>226</v>
      </c>
      <c r="R82" s="271"/>
      <c r="S82" s="164"/>
      <c r="T82" s="192"/>
    </row>
    <row r="83" spans="2:20">
      <c r="B83" s="156"/>
      <c r="D83" s="193"/>
      <c r="S83" s="194"/>
      <c r="T83" s="164"/>
    </row>
    <row r="84" spans="2:20">
      <c r="B84" s="156"/>
      <c r="D84" s="395">
        <f ca="1">R166</f>
        <v>162742.86437029944</v>
      </c>
      <c r="E84" s="396">
        <f ca="1">T166</f>
        <v>2606.3322378784783</v>
      </c>
      <c r="F84" s="397">
        <f ca="1">R166+S166</f>
        <v>237891.24178504961</v>
      </c>
      <c r="G84" s="398"/>
      <c r="H84" s="398"/>
      <c r="I84" s="398"/>
      <c r="J84" s="398"/>
      <c r="K84" s="398"/>
      <c r="L84" s="398"/>
      <c r="M84" s="398"/>
      <c r="N84" s="398"/>
      <c r="O84" s="398"/>
      <c r="P84" s="398"/>
      <c r="Q84" s="398"/>
      <c r="R84" s="1329">
        <f ca="1">IF(F84=0,0,F76/F84)</f>
        <v>1.2039064063517733</v>
      </c>
      <c r="S84" s="194"/>
      <c r="T84" s="164"/>
    </row>
    <row r="85" spans="2:20">
      <c r="B85" s="156"/>
      <c r="D85" s="1388" t="s">
        <v>169</v>
      </c>
      <c r="E85" s="1389"/>
      <c r="S85" s="164"/>
      <c r="T85" s="194"/>
    </row>
    <row r="86" spans="2:20" ht="15">
      <c r="B86" s="156"/>
      <c r="D86" s="195"/>
      <c r="E86" s="57"/>
      <c r="F86" s="57"/>
      <c r="G86" s="57"/>
      <c r="H86" s="196"/>
      <c r="I86" s="197"/>
      <c r="J86" s="57"/>
      <c r="K86" s="57"/>
      <c r="L86" s="57"/>
      <c r="M86" s="57"/>
      <c r="N86" s="57"/>
      <c r="O86" s="57"/>
      <c r="P86" s="57"/>
      <c r="Q86" s="57"/>
      <c r="R86" s="57"/>
      <c r="S86" s="166"/>
      <c r="T86" s="164"/>
    </row>
    <row r="87" spans="2:20" ht="15">
      <c r="B87" s="156"/>
      <c r="H87" s="198"/>
      <c r="I87" s="173"/>
      <c r="T87" s="164"/>
    </row>
    <row r="88" spans="2:20" ht="15">
      <c r="B88" s="156"/>
      <c r="H88" s="198"/>
      <c r="I88" s="173"/>
      <c r="R88" s="139" t="s">
        <v>52</v>
      </c>
      <c r="S88" s="199"/>
      <c r="T88" s="164"/>
    </row>
    <row r="89" spans="2:20" ht="15">
      <c r="B89" s="156"/>
      <c r="H89" s="198"/>
      <c r="I89" s="173"/>
      <c r="R89" s="139" t="s">
        <v>53</v>
      </c>
      <c r="S89" s="199"/>
      <c r="T89" s="164"/>
    </row>
    <row r="90" spans="2:20" ht="15">
      <c r="B90" s="156"/>
      <c r="H90" s="198"/>
      <c r="I90" s="173"/>
      <c r="R90" s="139"/>
      <c r="S90" s="200"/>
      <c r="T90" s="164"/>
    </row>
    <row r="91" spans="2:20" ht="15">
      <c r="B91" s="156"/>
      <c r="H91" s="198"/>
      <c r="I91" s="173"/>
      <c r="R91" s="139" t="s">
        <v>54</v>
      </c>
      <c r="S91" s="201"/>
      <c r="T91" s="164"/>
    </row>
    <row r="92" spans="2:20" ht="15">
      <c r="B92" s="156"/>
      <c r="I92" s="173"/>
      <c r="R92" s="139" t="s">
        <v>55</v>
      </c>
      <c r="S92" s="202"/>
      <c r="T92" s="164"/>
    </row>
    <row r="93" spans="2:20" ht="15">
      <c r="B93" s="156"/>
      <c r="I93" s="173"/>
      <c r="J93" s="203"/>
      <c r="K93" s="204"/>
      <c r="L93" s="204"/>
      <c r="M93" s="204"/>
      <c r="N93" s="204"/>
      <c r="O93" s="204"/>
      <c r="P93" s="204"/>
      <c r="Q93" s="204"/>
      <c r="R93" s="139" t="s">
        <v>56</v>
      </c>
      <c r="S93" s="202"/>
      <c r="T93" s="164"/>
    </row>
    <row r="94" spans="2:20" ht="15">
      <c r="B94" s="156"/>
      <c r="D94" s="205" t="s">
        <v>57</v>
      </c>
      <c r="G94" s="206"/>
      <c r="I94" s="173"/>
      <c r="J94" s="203"/>
      <c r="K94" s="204"/>
      <c r="L94" s="204"/>
      <c r="M94" s="204"/>
      <c r="N94" s="204"/>
      <c r="O94" s="204"/>
      <c r="P94" s="204"/>
      <c r="Q94" s="204"/>
      <c r="R94" s="139"/>
      <c r="T94" s="164"/>
    </row>
    <row r="95" spans="2:20" ht="15.6">
      <c r="B95" s="156"/>
      <c r="D95" s="207" t="s">
        <v>264</v>
      </c>
      <c r="G95" s="206"/>
      <c r="I95" s="173"/>
      <c r="J95" s="203"/>
      <c r="K95" s="204"/>
      <c r="L95" s="204"/>
      <c r="M95" s="204"/>
      <c r="N95" s="204"/>
      <c r="O95" s="204"/>
      <c r="P95" s="204"/>
      <c r="Q95" s="204"/>
      <c r="R95" s="139" t="s">
        <v>58</v>
      </c>
      <c r="S95" s="202"/>
      <c r="T95" s="164"/>
    </row>
    <row r="96" spans="2:20" ht="15">
      <c r="B96" s="156"/>
      <c r="D96" s="208">
        <f ca="1">NOW()</f>
        <v>46114.407916666663</v>
      </c>
      <c r="G96" s="206"/>
      <c r="I96" s="173"/>
      <c r="J96" s="203"/>
      <c r="K96" s="204"/>
      <c r="L96" s="204"/>
      <c r="M96" s="204"/>
      <c r="N96" s="204"/>
      <c r="O96" s="204"/>
      <c r="P96" s="204"/>
      <c r="Q96" s="204"/>
      <c r="R96" s="204"/>
      <c r="T96" s="164"/>
    </row>
    <row r="97" spans="1:20" s="213" customFormat="1" ht="15">
      <c r="B97" s="165"/>
      <c r="C97" s="57"/>
      <c r="D97" s="57"/>
      <c r="E97" s="57"/>
      <c r="F97" s="57"/>
      <c r="G97" s="57"/>
      <c r="H97" s="57"/>
      <c r="I97" s="197"/>
      <c r="J97" s="209"/>
      <c r="K97" s="210"/>
      <c r="L97" s="210"/>
      <c r="M97" s="210"/>
      <c r="N97" s="210"/>
      <c r="O97" s="210"/>
      <c r="P97" s="210"/>
      <c r="Q97" s="210"/>
      <c r="R97" s="210"/>
      <c r="S97" s="211"/>
      <c r="T97" s="212"/>
    </row>
    <row r="98" spans="1:20" s="213" customFormat="1" ht="12" customHeight="1">
      <c r="B98" s="136"/>
      <c r="C98" s="36"/>
      <c r="D98" s="36"/>
      <c r="E98" s="36"/>
      <c r="F98" s="36"/>
      <c r="G98" s="36"/>
      <c r="H98" s="173"/>
      <c r="I98" s="173"/>
      <c r="J98" s="203"/>
      <c r="K98" s="204"/>
      <c r="L98" s="204"/>
      <c r="M98" s="204"/>
      <c r="N98" s="204"/>
      <c r="O98" s="204"/>
      <c r="P98" s="204"/>
      <c r="Q98" s="204"/>
      <c r="R98" s="204"/>
      <c r="S98" s="148"/>
      <c r="T98" s="148"/>
    </row>
    <row r="99" spans="1:20" ht="21" customHeight="1">
      <c r="B99" s="214"/>
      <c r="C99" s="215"/>
      <c r="D99" s="215" t="s">
        <v>40</v>
      </c>
      <c r="E99" s="216"/>
      <c r="F99" s="216"/>
      <c r="G99" s="216"/>
      <c r="H99" s="217"/>
      <c r="I99" s="218"/>
      <c r="J99" s="219"/>
      <c r="K99" s="219"/>
      <c r="L99" s="219"/>
      <c r="M99" s="219"/>
      <c r="N99" s="219"/>
      <c r="O99" s="219"/>
      <c r="P99" s="219"/>
      <c r="Q99" s="219"/>
      <c r="R99" s="219"/>
      <c r="S99" s="220"/>
      <c r="T99" s="221"/>
    </row>
    <row r="100" spans="1:20" ht="15">
      <c r="B100" s="222"/>
      <c r="C100" s="223"/>
      <c r="D100" s="223" t="s">
        <v>59</v>
      </c>
      <c r="E100" s="224"/>
      <c r="F100" s="224"/>
      <c r="G100" s="224"/>
      <c r="H100" s="225"/>
      <c r="I100" s="196"/>
      <c r="J100" s="226"/>
      <c r="K100" s="226"/>
      <c r="L100" s="226"/>
      <c r="M100" s="226"/>
      <c r="N100" s="226"/>
      <c r="O100" s="226"/>
      <c r="P100" s="226"/>
      <c r="Q100" s="226"/>
      <c r="R100" s="226"/>
      <c r="S100" s="226"/>
      <c r="T100" s="227"/>
    </row>
    <row r="101" spans="1:20" ht="15">
      <c r="B101" s="228"/>
      <c r="C101" s="229"/>
      <c r="D101" s="230"/>
      <c r="E101" s="142"/>
      <c r="F101" s="142"/>
      <c r="G101" s="142"/>
      <c r="H101" s="206"/>
      <c r="I101" s="198"/>
      <c r="J101" s="231"/>
      <c r="K101" s="231"/>
      <c r="L101" s="231"/>
      <c r="M101" s="231"/>
      <c r="N101" s="231"/>
      <c r="O101" s="231"/>
      <c r="P101" s="231"/>
      <c r="Q101" s="231"/>
      <c r="R101" s="231"/>
      <c r="S101" s="231"/>
      <c r="T101" s="232"/>
    </row>
    <row r="102" spans="1:20" ht="15">
      <c r="B102" s="156"/>
      <c r="D102" s="233" t="s">
        <v>60</v>
      </c>
      <c r="E102" s="263" t="str">
        <f>E62</f>
        <v>MEP Works British Hotel</v>
      </c>
      <c r="F102" s="261"/>
      <c r="G102" s="264"/>
      <c r="H102" s="265"/>
      <c r="I102" s="265"/>
      <c r="J102" s="261"/>
      <c r="K102" s="261"/>
      <c r="L102" s="261"/>
      <c r="M102" s="261"/>
      <c r="N102" s="261"/>
      <c r="O102" s="261"/>
      <c r="P102" s="261"/>
      <c r="Q102" s="261"/>
      <c r="R102" s="261"/>
      <c r="S102" s="89"/>
      <c r="T102" s="164"/>
    </row>
    <row r="103" spans="1:20" ht="15">
      <c r="B103" s="156"/>
      <c r="D103" s="233" t="s">
        <v>61</v>
      </c>
      <c r="E103" s="263" t="str">
        <f>E63</f>
        <v>Electrical and ELV Systems</v>
      </c>
      <c r="F103" s="261"/>
      <c r="G103" s="264"/>
      <c r="H103" s="265"/>
      <c r="I103" s="265"/>
      <c r="J103" s="261"/>
      <c r="K103" s="261"/>
      <c r="L103" s="261"/>
      <c r="M103" s="261"/>
      <c r="N103" s="261"/>
      <c r="O103" s="261"/>
      <c r="P103" s="261"/>
      <c r="Q103" s="261"/>
      <c r="R103" s="261"/>
      <c r="S103" s="89"/>
      <c r="T103" s="164"/>
    </row>
    <row r="104" spans="1:20" ht="15">
      <c r="B104" s="234"/>
      <c r="C104" s="235"/>
      <c r="D104" s="160" t="s">
        <v>49</v>
      </c>
      <c r="E104" s="263" t="str">
        <f>E65</f>
        <v>MEP REVISED</v>
      </c>
      <c r="F104" s="89"/>
      <c r="G104" s="89"/>
      <c r="H104" s="265"/>
      <c r="I104" s="265"/>
      <c r="J104" s="89"/>
      <c r="K104" s="89"/>
      <c r="L104" s="89"/>
      <c r="M104" s="89"/>
      <c r="N104" s="89"/>
      <c r="O104" s="89"/>
      <c r="P104" s="89"/>
      <c r="Q104" s="89"/>
      <c r="R104" s="89"/>
      <c r="S104" s="89"/>
      <c r="T104" s="164"/>
    </row>
    <row r="105" spans="1:20" ht="15">
      <c r="B105" s="234"/>
      <c r="C105" s="235"/>
      <c r="D105" s="236"/>
      <c r="F105" s="237"/>
      <c r="G105" s="134"/>
      <c r="H105" s="173"/>
      <c r="I105" s="173"/>
      <c r="T105" s="238"/>
    </row>
    <row r="106" spans="1:20">
      <c r="B106" s="239"/>
      <c r="C106" s="188"/>
      <c r="D106" s="188"/>
      <c r="E106" s="188"/>
      <c r="F106" s="240"/>
      <c r="G106" s="188"/>
      <c r="H106" s="188"/>
      <c r="I106" s="188"/>
      <c r="J106" s="188"/>
      <c r="K106" s="188"/>
      <c r="L106" s="188"/>
      <c r="M106" s="188"/>
      <c r="N106" s="188"/>
      <c r="O106" s="188"/>
      <c r="P106" s="188"/>
      <c r="Q106" s="240"/>
      <c r="R106" s="189"/>
      <c r="S106" s="189"/>
      <c r="T106" s="189"/>
    </row>
    <row r="107" spans="1:20">
      <c r="B107" s="156"/>
      <c r="D107" s="78" t="s">
        <v>62</v>
      </c>
      <c r="F107" s="380" t="s">
        <v>63</v>
      </c>
      <c r="G107" s="381"/>
      <c r="H107" s="382"/>
      <c r="I107" s="382"/>
      <c r="J107" s="382"/>
      <c r="K107" s="382"/>
      <c r="L107" s="382"/>
      <c r="M107" s="382"/>
      <c r="N107" s="382"/>
      <c r="O107" s="382"/>
      <c r="P107" s="383"/>
      <c r="Q107" s="380" t="s">
        <v>64</v>
      </c>
      <c r="R107" s="379" t="s">
        <v>65</v>
      </c>
      <c r="S107" s="379" t="s">
        <v>66</v>
      </c>
      <c r="T107" s="379" t="s">
        <v>67</v>
      </c>
    </row>
    <row r="108" spans="1:20" ht="13.8">
      <c r="B108" s="241"/>
      <c r="C108" s="242"/>
      <c r="D108" s="6"/>
      <c r="F108" s="380" t="s">
        <v>68</v>
      </c>
      <c r="G108" s="381"/>
      <c r="H108" s="382"/>
      <c r="I108" s="382"/>
      <c r="J108" s="382"/>
      <c r="K108" s="382"/>
      <c r="L108" s="382"/>
      <c r="M108" s="382"/>
      <c r="N108" s="382"/>
      <c r="O108" s="382"/>
      <c r="P108" s="384"/>
      <c r="Q108" s="380" t="s">
        <v>69</v>
      </c>
      <c r="R108" s="243" t="s">
        <v>226</v>
      </c>
      <c r="S108" s="408">
        <f>$D$9</f>
        <v>28.832999999999998</v>
      </c>
      <c r="T108" s="243" t="s">
        <v>228</v>
      </c>
    </row>
    <row r="109" spans="1:20">
      <c r="B109" s="458" t="s">
        <v>70</v>
      </c>
      <c r="C109" s="57"/>
      <c r="D109" s="332" t="s">
        <v>204</v>
      </c>
      <c r="E109" s="57"/>
      <c r="F109" s="244"/>
      <c r="P109" s="343" t="s">
        <v>26</v>
      </c>
      <c r="Q109" s="249">
        <v>1</v>
      </c>
      <c r="R109" s="166"/>
      <c r="S109" s="166"/>
      <c r="T109" s="166"/>
    </row>
    <row r="110" spans="1:20">
      <c r="A110" s="164"/>
      <c r="B110" s="463" t="s">
        <v>71</v>
      </c>
      <c r="C110" s="6" t="s">
        <v>72</v>
      </c>
      <c r="D110" s="36" t="s">
        <v>73</v>
      </c>
      <c r="E110" s="164"/>
      <c r="F110" s="351">
        <v>501</v>
      </c>
      <c r="G110" s="63"/>
      <c r="P110" s="341">
        <v>1</v>
      </c>
      <c r="Q110" s="245">
        <v>1</v>
      </c>
      <c r="R110" s="278">
        <f ca="1">Elec_Est!R5475</f>
        <v>772.91670549450566</v>
      </c>
      <c r="S110" s="378">
        <f ca="1">T110*$D$9</f>
        <v>1516.3940076923077</v>
      </c>
      <c r="T110" s="278">
        <f ca="1">Elec_Est!T5475</f>
        <v>52.592307692307699</v>
      </c>
    </row>
    <row r="111" spans="1:20" hidden="1">
      <c r="A111" s="164"/>
      <c r="B111" s="463">
        <v>2</v>
      </c>
      <c r="C111" s="6" t="s">
        <v>72</v>
      </c>
      <c r="D111" s="36" t="s">
        <v>74</v>
      </c>
      <c r="E111" s="164"/>
      <c r="F111" s="351">
        <v>505</v>
      </c>
      <c r="G111" s="63"/>
      <c r="P111" s="341">
        <v>1</v>
      </c>
      <c r="Q111" s="245">
        <v>1</v>
      </c>
      <c r="R111" s="278">
        <f>Elec_Est!R5476</f>
        <v>0</v>
      </c>
      <c r="S111" s="378">
        <f t="shared" ref="S111:S165" si="15">T111*$D$9</f>
        <v>0</v>
      </c>
      <c r="T111" s="278">
        <f>Elec_Est!T5476</f>
        <v>0</v>
      </c>
    </row>
    <row r="112" spans="1:20">
      <c r="A112" s="164"/>
      <c r="B112" s="463">
        <v>3</v>
      </c>
      <c r="C112" s="6" t="s">
        <v>72</v>
      </c>
      <c r="D112" s="36" t="s">
        <v>75</v>
      </c>
      <c r="E112" s="164"/>
      <c r="F112" s="351">
        <v>510</v>
      </c>
      <c r="G112" s="63"/>
      <c r="P112" s="341">
        <v>2</v>
      </c>
      <c r="Q112" s="245">
        <v>1</v>
      </c>
      <c r="R112" s="278">
        <f>Elec_Est!R5477</f>
        <v>39380.270000000004</v>
      </c>
      <c r="S112" s="378">
        <f t="shared" si="15"/>
        <v>5292.0088199999982</v>
      </c>
      <c r="T112" s="278">
        <f>Elec_Est!T5477</f>
        <v>183.53999999999994</v>
      </c>
    </row>
    <row r="113" spans="1:20" hidden="1">
      <c r="A113" s="164"/>
      <c r="B113" s="463">
        <v>4</v>
      </c>
      <c r="C113" s="6" t="s">
        <v>72</v>
      </c>
      <c r="D113" s="36" t="s">
        <v>76</v>
      </c>
      <c r="E113" s="164"/>
      <c r="F113" s="351">
        <v>511</v>
      </c>
      <c r="G113" s="63"/>
      <c r="P113" s="341">
        <v>2</v>
      </c>
      <c r="Q113" s="245">
        <v>1</v>
      </c>
      <c r="R113" s="278">
        <f>Elec_Est!R5478</f>
        <v>0</v>
      </c>
      <c r="S113" s="378">
        <f t="shared" si="15"/>
        <v>0</v>
      </c>
      <c r="T113" s="278">
        <f>Elec_Est!T5478</f>
        <v>0</v>
      </c>
    </row>
    <row r="114" spans="1:20" hidden="1">
      <c r="A114" s="164"/>
      <c r="B114" s="463">
        <v>5</v>
      </c>
      <c r="C114" s="6" t="s">
        <v>72</v>
      </c>
      <c r="D114" s="36" t="s">
        <v>77</v>
      </c>
      <c r="E114" s="164"/>
      <c r="F114" s="351">
        <v>512</v>
      </c>
      <c r="G114" s="63"/>
      <c r="P114" s="341">
        <v>2</v>
      </c>
      <c r="Q114" s="245">
        <v>1</v>
      </c>
      <c r="R114" s="278">
        <f>Elec_Est!R5479</f>
        <v>3180.6700000000005</v>
      </c>
      <c r="S114" s="378">
        <f t="shared" si="15"/>
        <v>605.49299999999994</v>
      </c>
      <c r="T114" s="278">
        <f>Elec_Est!T5479</f>
        <v>21</v>
      </c>
    </row>
    <row r="115" spans="1:20" hidden="1">
      <c r="A115" s="164"/>
      <c r="B115" s="463">
        <v>6</v>
      </c>
      <c r="C115" s="6" t="s">
        <v>72</v>
      </c>
      <c r="D115" s="36" t="s">
        <v>78</v>
      </c>
      <c r="E115" s="164"/>
      <c r="F115" s="351">
        <v>520</v>
      </c>
      <c r="G115" s="63"/>
      <c r="P115" s="341">
        <v>1</v>
      </c>
      <c r="Q115" s="245">
        <v>1</v>
      </c>
      <c r="R115" s="278">
        <f>Elec_Est!R5480</f>
        <v>0</v>
      </c>
      <c r="S115" s="378">
        <f t="shared" si="15"/>
        <v>0</v>
      </c>
      <c r="T115" s="278">
        <f>Elec_Est!T5480</f>
        <v>0</v>
      </c>
    </row>
    <row r="116" spans="1:20" hidden="1">
      <c r="A116" s="164"/>
      <c r="B116" s="463">
        <v>7</v>
      </c>
      <c r="C116" s="6" t="s">
        <v>72</v>
      </c>
      <c r="D116" s="36" t="s">
        <v>79</v>
      </c>
      <c r="E116" s="164"/>
      <c r="F116" s="351">
        <v>530</v>
      </c>
      <c r="G116" s="63"/>
      <c r="P116" s="341">
        <v>2</v>
      </c>
      <c r="Q116" s="245">
        <v>1</v>
      </c>
      <c r="R116" s="278">
        <f>Elec_Est!R5481</f>
        <v>0</v>
      </c>
      <c r="S116" s="378">
        <f t="shared" si="15"/>
        <v>0</v>
      </c>
      <c r="T116" s="278">
        <f>Elec_Est!T5481</f>
        <v>0</v>
      </c>
    </row>
    <row r="117" spans="1:20" hidden="1">
      <c r="A117" s="164"/>
      <c r="B117" s="463">
        <v>8</v>
      </c>
      <c r="C117" s="6" t="s">
        <v>72</v>
      </c>
      <c r="D117" s="36" t="s">
        <v>80</v>
      </c>
      <c r="E117" s="164"/>
      <c r="F117" s="351">
        <v>550</v>
      </c>
      <c r="G117" s="63"/>
      <c r="P117" s="341">
        <v>2</v>
      </c>
      <c r="Q117" s="245">
        <v>1</v>
      </c>
      <c r="R117" s="278">
        <f>Elec_Est!R5482</f>
        <v>0</v>
      </c>
      <c r="S117" s="378">
        <f t="shared" si="15"/>
        <v>0</v>
      </c>
      <c r="T117" s="278">
        <f>Elec_Est!T5482</f>
        <v>0</v>
      </c>
    </row>
    <row r="118" spans="1:20">
      <c r="A118" s="164"/>
      <c r="B118" s="463">
        <v>9</v>
      </c>
      <c r="C118" s="6" t="s">
        <v>72</v>
      </c>
      <c r="D118" s="36" t="s">
        <v>81</v>
      </c>
      <c r="E118" s="164"/>
      <c r="F118" s="351">
        <v>570</v>
      </c>
      <c r="G118" s="63"/>
      <c r="P118" s="341">
        <v>2</v>
      </c>
      <c r="Q118" s="245">
        <v>1</v>
      </c>
      <c r="R118" s="278">
        <f ca="1">Elec_Est!R5483</f>
        <v>1358.4649999999999</v>
      </c>
      <c r="S118" s="378">
        <f t="shared" ca="1" si="15"/>
        <v>484.39440000000002</v>
      </c>
      <c r="T118" s="278">
        <f ca="1">Elec_Est!T5483</f>
        <v>16.8</v>
      </c>
    </row>
    <row r="119" spans="1:20">
      <c r="A119" s="164"/>
      <c r="B119" s="463">
        <v>10</v>
      </c>
      <c r="C119" s="6" t="s">
        <v>72</v>
      </c>
      <c r="D119" s="36" t="s">
        <v>82</v>
      </c>
      <c r="E119" s="164"/>
      <c r="F119" s="351">
        <v>615</v>
      </c>
      <c r="G119" s="63"/>
      <c r="P119" s="341">
        <v>2</v>
      </c>
      <c r="Q119" s="245">
        <v>1</v>
      </c>
      <c r="R119" s="278">
        <f ca="1">Elec_Est!R5484</f>
        <v>7055.8075000000008</v>
      </c>
      <c r="S119" s="378">
        <f t="shared" ca="1" si="15"/>
        <v>15193.484475750003</v>
      </c>
      <c r="T119" s="278">
        <f ca="1">Elec_Est!T5484</f>
        <v>526.94775000000016</v>
      </c>
    </row>
    <row r="120" spans="1:20">
      <c r="A120" s="164"/>
      <c r="B120" s="463" t="s">
        <v>83</v>
      </c>
      <c r="C120" s="6" t="s">
        <v>72</v>
      </c>
      <c r="D120" s="36" t="s">
        <v>84</v>
      </c>
      <c r="E120" s="164"/>
      <c r="F120" s="351">
        <v>616</v>
      </c>
      <c r="G120" s="63"/>
      <c r="P120" s="341">
        <v>2</v>
      </c>
      <c r="Q120" s="245">
        <v>1</v>
      </c>
      <c r="R120" s="278">
        <f ca="1">Elec_Est!R5485</f>
        <v>15341.309300000001</v>
      </c>
      <c r="S120" s="378">
        <f t="shared" ca="1" si="15"/>
        <v>3493.089117</v>
      </c>
      <c r="T120" s="278">
        <f ca="1">Elec_Est!T5485</f>
        <v>121.149</v>
      </c>
    </row>
    <row r="121" spans="1:20" hidden="1">
      <c r="A121" s="164"/>
      <c r="B121" s="463">
        <v>12</v>
      </c>
      <c r="C121" s="6" t="s">
        <v>72</v>
      </c>
      <c r="D121" s="36" t="s">
        <v>85</v>
      </c>
      <c r="E121" s="164"/>
      <c r="F121" s="351">
        <v>617</v>
      </c>
      <c r="G121" s="63"/>
      <c r="P121" s="341">
        <v>2</v>
      </c>
      <c r="Q121" s="245">
        <v>1</v>
      </c>
      <c r="R121" s="278">
        <f>Elec_Est!R5486</f>
        <v>0</v>
      </c>
      <c r="S121" s="378">
        <f t="shared" si="15"/>
        <v>0</v>
      </c>
      <c r="T121" s="278">
        <f>Elec_Est!T5486</f>
        <v>0</v>
      </c>
    </row>
    <row r="122" spans="1:20">
      <c r="A122" s="164"/>
      <c r="B122" s="463">
        <v>13</v>
      </c>
      <c r="C122" s="6" t="s">
        <v>72</v>
      </c>
      <c r="D122" s="36" t="s">
        <v>86</v>
      </c>
      <c r="E122" s="164"/>
      <c r="F122" s="351">
        <v>620</v>
      </c>
      <c r="G122" s="63"/>
      <c r="P122" s="341">
        <v>2</v>
      </c>
      <c r="Q122" s="245">
        <v>1</v>
      </c>
      <c r="R122" s="278">
        <f ca="1">Elec_Est!R5487</f>
        <v>418.7000000000001</v>
      </c>
      <c r="S122" s="378">
        <f t="shared" ca="1" si="15"/>
        <v>1977.5401380000008</v>
      </c>
      <c r="T122" s="278">
        <f ca="1">Elec_Est!T5487</f>
        <v>68.586000000000027</v>
      </c>
    </row>
    <row r="123" spans="1:20">
      <c r="A123" s="164"/>
      <c r="B123" s="463">
        <v>14</v>
      </c>
      <c r="C123" s="6" t="s">
        <v>72</v>
      </c>
      <c r="D123" s="36" t="s">
        <v>87</v>
      </c>
      <c r="E123" s="164"/>
      <c r="F123" s="351">
        <v>650</v>
      </c>
      <c r="G123" s="63"/>
      <c r="P123" s="341">
        <v>1</v>
      </c>
      <c r="Q123" s="245">
        <v>1</v>
      </c>
      <c r="R123" s="278">
        <f ca="1">Elec_Est!R5488</f>
        <v>947.64266666666674</v>
      </c>
      <c r="S123" s="378">
        <f t="shared" ca="1" si="15"/>
        <v>1256.3979750000001</v>
      </c>
      <c r="T123" s="278">
        <f ca="1">Elec_Est!T5488</f>
        <v>43.575000000000003</v>
      </c>
    </row>
    <row r="124" spans="1:20" hidden="1">
      <c r="A124" s="164"/>
      <c r="B124" s="463">
        <v>15</v>
      </c>
      <c r="C124" s="6" t="s">
        <v>72</v>
      </c>
      <c r="D124" s="36" t="s">
        <v>88</v>
      </c>
      <c r="E124" s="164"/>
      <c r="F124" s="351">
        <v>651</v>
      </c>
      <c r="G124" s="63"/>
      <c r="P124" s="341">
        <v>1</v>
      </c>
      <c r="Q124" s="245">
        <v>1</v>
      </c>
      <c r="R124" s="278">
        <f>Elec_Est!R5489</f>
        <v>0</v>
      </c>
      <c r="S124" s="378">
        <f t="shared" si="15"/>
        <v>0</v>
      </c>
      <c r="T124" s="278">
        <f>Elec_Est!T5489</f>
        <v>0</v>
      </c>
    </row>
    <row r="125" spans="1:20" hidden="1">
      <c r="A125" s="164"/>
      <c r="B125" s="463">
        <v>16</v>
      </c>
      <c r="C125" s="6" t="s">
        <v>72</v>
      </c>
      <c r="D125" s="36" t="s">
        <v>89</v>
      </c>
      <c r="E125" s="164"/>
      <c r="F125" s="351">
        <v>652</v>
      </c>
      <c r="G125" s="63"/>
      <c r="P125" s="341">
        <v>1</v>
      </c>
      <c r="Q125" s="245">
        <v>1</v>
      </c>
      <c r="R125" s="278">
        <f>Elec_Est!R5490</f>
        <v>0</v>
      </c>
      <c r="S125" s="378">
        <f t="shared" si="15"/>
        <v>0</v>
      </c>
      <c r="T125" s="278">
        <f>Elec_Est!T5490</f>
        <v>0</v>
      </c>
    </row>
    <row r="126" spans="1:20" hidden="1">
      <c r="A126" s="164"/>
      <c r="B126" s="463">
        <v>17</v>
      </c>
      <c r="C126" s="6" t="s">
        <v>72</v>
      </c>
      <c r="D126" s="36" t="s">
        <v>90</v>
      </c>
      <c r="E126" s="164"/>
      <c r="F126" s="351">
        <v>654</v>
      </c>
      <c r="G126" s="63"/>
      <c r="P126" s="341">
        <v>1</v>
      </c>
      <c r="Q126" s="245">
        <v>1</v>
      </c>
      <c r="R126" s="278">
        <f>Elec_Est!R5491</f>
        <v>0</v>
      </c>
      <c r="S126" s="378">
        <f t="shared" si="15"/>
        <v>0</v>
      </c>
      <c r="T126" s="278">
        <f>Elec_Est!T5491</f>
        <v>0</v>
      </c>
    </row>
    <row r="127" spans="1:20">
      <c r="A127" s="164"/>
      <c r="B127" s="463">
        <v>18</v>
      </c>
      <c r="C127" s="6" t="s">
        <v>72</v>
      </c>
      <c r="D127" s="36" t="s">
        <v>91</v>
      </c>
      <c r="E127" s="164"/>
      <c r="F127" s="351">
        <v>675</v>
      </c>
      <c r="G127" s="63"/>
      <c r="P127" s="341">
        <v>1</v>
      </c>
      <c r="Q127" s="245">
        <v>1</v>
      </c>
      <c r="R127" s="278">
        <f ca="1">Elec_Est!R5492</f>
        <v>108.01231249999999</v>
      </c>
      <c r="S127" s="378">
        <f t="shared" ca="1" si="15"/>
        <v>205.86762000000002</v>
      </c>
      <c r="T127" s="278">
        <f ca="1">Elec_Est!T5492</f>
        <v>7.1400000000000006</v>
      </c>
    </row>
    <row r="128" spans="1:20" hidden="1">
      <c r="A128" s="164"/>
      <c r="B128" s="463">
        <v>19</v>
      </c>
      <c r="C128" s="6" t="s">
        <v>72</v>
      </c>
      <c r="D128" s="36" t="s">
        <v>92</v>
      </c>
      <c r="E128" s="164"/>
      <c r="F128" s="351">
        <v>676</v>
      </c>
      <c r="G128" s="63"/>
      <c r="P128" s="341">
        <v>1</v>
      </c>
      <c r="Q128" s="245">
        <v>1</v>
      </c>
      <c r="R128" s="278">
        <f>Elec_Est!R5493</f>
        <v>0</v>
      </c>
      <c r="S128" s="378">
        <f t="shared" si="15"/>
        <v>0</v>
      </c>
      <c r="T128" s="278">
        <f>Elec_Est!T5493</f>
        <v>0</v>
      </c>
    </row>
    <row r="129" spans="1:20" hidden="1">
      <c r="A129" s="164"/>
      <c r="B129" s="463">
        <v>20</v>
      </c>
      <c r="C129" s="6" t="s">
        <v>72</v>
      </c>
      <c r="D129" s="36" t="s">
        <v>93</v>
      </c>
      <c r="E129" s="164"/>
      <c r="F129" s="351">
        <v>680</v>
      </c>
      <c r="G129" s="63"/>
      <c r="P129" s="341">
        <v>1</v>
      </c>
      <c r="Q129" s="245">
        <v>1</v>
      </c>
      <c r="R129" s="278">
        <f>Elec_Est!R5494</f>
        <v>0</v>
      </c>
      <c r="S129" s="378">
        <f t="shared" si="15"/>
        <v>0</v>
      </c>
      <c r="T129" s="278">
        <f>Elec_Est!T5494</f>
        <v>0</v>
      </c>
    </row>
    <row r="130" spans="1:20" hidden="1">
      <c r="A130" s="164"/>
      <c r="B130" s="463" t="s">
        <v>94</v>
      </c>
      <c r="C130" s="6" t="s">
        <v>72</v>
      </c>
      <c r="D130" s="36" t="s">
        <v>95</v>
      </c>
      <c r="E130" s="164"/>
      <c r="F130" s="351">
        <v>681</v>
      </c>
      <c r="G130" s="63"/>
      <c r="P130" s="341">
        <v>1</v>
      </c>
      <c r="Q130" s="245">
        <v>1</v>
      </c>
      <c r="R130" s="278">
        <f>Elec_Est!R5495</f>
        <v>0</v>
      </c>
      <c r="S130" s="378">
        <f t="shared" si="15"/>
        <v>0</v>
      </c>
      <c r="T130" s="278">
        <f>Elec_Est!T5495</f>
        <v>0</v>
      </c>
    </row>
    <row r="131" spans="1:20" hidden="1">
      <c r="A131" s="164"/>
      <c r="B131" s="463">
        <v>22</v>
      </c>
      <c r="C131" s="6" t="s">
        <v>72</v>
      </c>
      <c r="D131" s="36" t="s">
        <v>96</v>
      </c>
      <c r="E131" s="164"/>
      <c r="F131" s="351">
        <v>690</v>
      </c>
      <c r="G131" s="63"/>
      <c r="P131" s="341">
        <v>1</v>
      </c>
      <c r="Q131" s="245">
        <v>1</v>
      </c>
      <c r="R131" s="278">
        <f>Elec_Est!R5496</f>
        <v>0</v>
      </c>
      <c r="S131" s="378">
        <f t="shared" si="15"/>
        <v>0</v>
      </c>
      <c r="T131" s="278">
        <f>Elec_Est!T5496</f>
        <v>0</v>
      </c>
    </row>
    <row r="132" spans="1:20">
      <c r="A132" s="164"/>
      <c r="B132" s="463">
        <v>23</v>
      </c>
      <c r="C132" s="6" t="s">
        <v>72</v>
      </c>
      <c r="D132" s="36" t="s">
        <v>97</v>
      </c>
      <c r="E132" s="164"/>
      <c r="F132" s="351">
        <v>700</v>
      </c>
      <c r="G132" s="63"/>
      <c r="P132" s="341">
        <v>1</v>
      </c>
      <c r="Q132" s="245">
        <v>1</v>
      </c>
      <c r="R132" s="278">
        <f ca="1">Elec_Est!R5497</f>
        <v>5254.6743750000005</v>
      </c>
      <c r="S132" s="378">
        <f t="shared" ca="1" si="15"/>
        <v>27728.495170031256</v>
      </c>
      <c r="T132" s="278">
        <f ca="1">Elec_Est!T5497</f>
        <v>961.69303125000022</v>
      </c>
    </row>
    <row r="133" spans="1:20">
      <c r="A133" s="164"/>
      <c r="B133" s="463">
        <v>24</v>
      </c>
      <c r="C133" s="6" t="s">
        <v>72</v>
      </c>
      <c r="D133" s="36" t="s">
        <v>98</v>
      </c>
      <c r="E133" s="164"/>
      <c r="F133" s="351">
        <v>705</v>
      </c>
      <c r="G133" s="63"/>
      <c r="P133" s="341">
        <v>3</v>
      </c>
      <c r="Q133" s="245">
        <v>1</v>
      </c>
      <c r="R133" s="278">
        <f ca="1">Elec_Est!R5498</f>
        <v>8281.4785106382969</v>
      </c>
      <c r="S133" s="378">
        <f t="shared" ca="1" si="15"/>
        <v>3006.5797857765942</v>
      </c>
      <c r="T133" s="278">
        <f ca="1">Elec_Est!T5498</f>
        <v>104.27564893617017</v>
      </c>
    </row>
    <row r="134" spans="1:20">
      <c r="A134" s="164"/>
      <c r="B134" s="463">
        <v>25</v>
      </c>
      <c r="C134" s="6" t="s">
        <v>72</v>
      </c>
      <c r="D134" s="36" t="s">
        <v>99</v>
      </c>
      <c r="E134" s="164"/>
      <c r="F134" s="351">
        <v>706</v>
      </c>
      <c r="G134" s="63"/>
      <c r="P134" s="341">
        <v>3</v>
      </c>
      <c r="Q134" s="245">
        <v>1</v>
      </c>
      <c r="R134" s="278">
        <f>Elec_Est!R5499</f>
        <v>0</v>
      </c>
      <c r="S134" s="378">
        <f t="shared" si="15"/>
        <v>2845.8170999999993</v>
      </c>
      <c r="T134" s="278">
        <f>Elec_Est!T5499</f>
        <v>98.699999999999989</v>
      </c>
    </row>
    <row r="135" spans="1:20">
      <c r="A135" s="164"/>
      <c r="B135" s="463">
        <v>26</v>
      </c>
      <c r="C135" s="6" t="s">
        <v>72</v>
      </c>
      <c r="D135" s="36" t="s">
        <v>100</v>
      </c>
      <c r="E135" s="164"/>
      <c r="F135" s="351">
        <v>725</v>
      </c>
      <c r="G135" s="63"/>
      <c r="P135" s="341">
        <v>3</v>
      </c>
      <c r="Q135" s="245">
        <v>1</v>
      </c>
      <c r="R135" s="278">
        <f>Elec_Est!R5500</f>
        <v>29589.890000000003</v>
      </c>
      <c r="S135" s="378">
        <f t="shared" si="15"/>
        <v>0</v>
      </c>
      <c r="T135" s="278">
        <f>Elec_Est!T5500</f>
        <v>0</v>
      </c>
    </row>
    <row r="136" spans="1:20">
      <c r="A136" s="164"/>
      <c r="B136" s="463">
        <v>27</v>
      </c>
      <c r="C136" s="6" t="s">
        <v>72</v>
      </c>
      <c r="D136" s="36" t="s">
        <v>101</v>
      </c>
      <c r="E136" s="164"/>
      <c r="F136" s="351">
        <v>726</v>
      </c>
      <c r="G136" s="63"/>
      <c r="P136" s="341">
        <v>3</v>
      </c>
      <c r="Q136" s="245">
        <v>1</v>
      </c>
      <c r="R136" s="278">
        <f>Elec_Est!R5501</f>
        <v>847.29000000000008</v>
      </c>
      <c r="S136" s="378">
        <f t="shared" si="15"/>
        <v>1032.3655649999998</v>
      </c>
      <c r="T136" s="278">
        <f>Elec_Est!T5501</f>
        <v>35.805</v>
      </c>
    </row>
    <row r="137" spans="1:20" hidden="1">
      <c r="A137" s="164"/>
      <c r="B137" s="463">
        <v>28</v>
      </c>
      <c r="C137" s="6" t="s">
        <v>72</v>
      </c>
      <c r="D137" s="36" t="s">
        <v>102</v>
      </c>
      <c r="E137" s="164"/>
      <c r="F137" s="351">
        <v>750</v>
      </c>
      <c r="G137" s="63"/>
      <c r="P137" s="341">
        <v>3</v>
      </c>
      <c r="Q137" s="245">
        <v>1</v>
      </c>
      <c r="R137" s="278">
        <f>Elec_Est!R5502</f>
        <v>0</v>
      </c>
      <c r="S137" s="378">
        <f t="shared" si="15"/>
        <v>0</v>
      </c>
      <c r="T137" s="278">
        <f>Elec_Est!T5502</f>
        <v>0</v>
      </c>
    </row>
    <row r="138" spans="1:20">
      <c r="A138" s="164"/>
      <c r="B138" s="463">
        <v>29</v>
      </c>
      <c r="C138" s="6" t="s">
        <v>72</v>
      </c>
      <c r="D138" s="36" t="s">
        <v>103</v>
      </c>
      <c r="E138" s="164"/>
      <c r="F138" s="351">
        <v>751</v>
      </c>
      <c r="G138" s="63"/>
      <c r="P138" s="341">
        <v>3</v>
      </c>
      <c r="Q138" s="245">
        <v>1</v>
      </c>
      <c r="R138" s="278">
        <f>Elec_Est!R5503</f>
        <v>7846.14</v>
      </c>
      <c r="S138" s="378">
        <f t="shared" si="15"/>
        <v>1089.8874000000001</v>
      </c>
      <c r="T138" s="278">
        <f>Elec_Est!T5503</f>
        <v>37.800000000000004</v>
      </c>
    </row>
    <row r="139" spans="1:20" hidden="1">
      <c r="A139" s="164"/>
      <c r="B139" s="463">
        <v>30</v>
      </c>
      <c r="C139" s="6" t="s">
        <v>72</v>
      </c>
      <c r="D139" s="36" t="s">
        <v>104</v>
      </c>
      <c r="E139" s="164"/>
      <c r="F139" s="351">
        <v>752</v>
      </c>
      <c r="G139" s="63"/>
      <c r="P139" s="341">
        <v>3</v>
      </c>
      <c r="Q139" s="245">
        <v>1</v>
      </c>
      <c r="R139" s="278">
        <f>Elec_Est!R5504</f>
        <v>0</v>
      </c>
      <c r="S139" s="378">
        <f t="shared" si="15"/>
        <v>0</v>
      </c>
      <c r="T139" s="278">
        <f>Elec_Est!T5504</f>
        <v>0</v>
      </c>
    </row>
    <row r="140" spans="1:20" hidden="1">
      <c r="A140" s="164"/>
      <c r="B140" s="463" t="s">
        <v>105</v>
      </c>
      <c r="C140" s="6" t="s">
        <v>72</v>
      </c>
      <c r="D140" s="515" t="s">
        <v>257</v>
      </c>
      <c r="E140" s="164"/>
      <c r="F140" s="351">
        <v>753</v>
      </c>
      <c r="G140" s="63"/>
      <c r="P140" s="341">
        <v>3</v>
      </c>
      <c r="Q140" s="245">
        <v>1</v>
      </c>
      <c r="R140" s="278">
        <f>Elec_Est!R5505</f>
        <v>0</v>
      </c>
      <c r="S140" s="378">
        <f t="shared" si="15"/>
        <v>0</v>
      </c>
      <c r="T140" s="278">
        <f>Elec_Est!T5505</f>
        <v>0</v>
      </c>
    </row>
    <row r="141" spans="1:20" hidden="1">
      <c r="A141" s="164"/>
      <c r="B141" s="463">
        <v>32</v>
      </c>
      <c r="C141" s="6" t="s">
        <v>72</v>
      </c>
      <c r="D141" s="36" t="s">
        <v>106</v>
      </c>
      <c r="E141" s="164"/>
      <c r="F141" s="351">
        <v>770</v>
      </c>
      <c r="G141" s="63"/>
      <c r="P141" s="341">
        <v>3</v>
      </c>
      <c r="Q141" s="245">
        <v>1</v>
      </c>
      <c r="R141" s="278">
        <f>Elec_Est!R5506</f>
        <v>0</v>
      </c>
      <c r="S141" s="378">
        <f t="shared" si="15"/>
        <v>0</v>
      </c>
      <c r="T141" s="278">
        <f>Elec_Est!T5506</f>
        <v>0</v>
      </c>
    </row>
    <row r="142" spans="1:20" hidden="1">
      <c r="A142" s="164"/>
      <c r="B142" s="463">
        <v>33</v>
      </c>
      <c r="C142" s="6" t="s">
        <v>72</v>
      </c>
      <c r="D142" s="36" t="s">
        <v>107</v>
      </c>
      <c r="E142" s="164"/>
      <c r="F142" s="351">
        <v>790</v>
      </c>
      <c r="G142" s="63"/>
      <c r="P142" s="341">
        <v>3</v>
      </c>
      <c r="Q142" s="245">
        <v>1</v>
      </c>
      <c r="R142" s="278">
        <f>Elec_Est!R5507</f>
        <v>0</v>
      </c>
      <c r="S142" s="378">
        <f t="shared" si="15"/>
        <v>0</v>
      </c>
      <c r="T142" s="278">
        <f>Elec_Est!T5507</f>
        <v>0</v>
      </c>
    </row>
    <row r="143" spans="1:20" hidden="1">
      <c r="A143" s="164"/>
      <c r="B143" s="463">
        <v>34</v>
      </c>
      <c r="C143" s="6" t="s">
        <v>72</v>
      </c>
      <c r="D143" s="36" t="s">
        <v>108</v>
      </c>
      <c r="E143" s="164"/>
      <c r="F143" s="351">
        <v>791</v>
      </c>
      <c r="G143" s="63"/>
      <c r="P143" s="341">
        <v>3</v>
      </c>
      <c r="Q143" s="245">
        <v>1</v>
      </c>
      <c r="R143" s="278">
        <f>Elec_Est!R5508</f>
        <v>0</v>
      </c>
      <c r="S143" s="378">
        <f t="shared" si="15"/>
        <v>0</v>
      </c>
      <c r="T143" s="278">
        <f>Elec_Est!T5508</f>
        <v>0</v>
      </c>
    </row>
    <row r="144" spans="1:20">
      <c r="A144" s="164"/>
      <c r="B144" s="463">
        <v>35</v>
      </c>
      <c r="C144" s="6" t="s">
        <v>72</v>
      </c>
      <c r="D144" s="36" t="s">
        <v>109</v>
      </c>
      <c r="E144" s="164"/>
      <c r="F144" s="351">
        <v>810</v>
      </c>
      <c r="G144" s="63"/>
      <c r="P144" s="341">
        <v>3</v>
      </c>
      <c r="Q144" s="245">
        <v>1</v>
      </c>
      <c r="R144" s="278">
        <f>Elec_Est!R5509</f>
        <v>855.34999999999991</v>
      </c>
      <c r="S144" s="378">
        <f t="shared" si="15"/>
        <v>15.137325000000001</v>
      </c>
      <c r="T144" s="278">
        <f>Elec_Est!T5509</f>
        <v>0.52500000000000002</v>
      </c>
    </row>
    <row r="145" spans="1:20" hidden="1">
      <c r="A145" s="164"/>
      <c r="B145" s="463">
        <v>36</v>
      </c>
      <c r="C145" s="6" t="s">
        <v>72</v>
      </c>
      <c r="D145" s="36" t="s">
        <v>110</v>
      </c>
      <c r="E145" s="164"/>
      <c r="F145" s="351">
        <v>815</v>
      </c>
      <c r="G145" s="63"/>
      <c r="P145" s="341">
        <v>3</v>
      </c>
      <c r="Q145" s="245">
        <v>1</v>
      </c>
      <c r="R145" s="278">
        <f>Elec_Est!R5510</f>
        <v>0</v>
      </c>
      <c r="S145" s="378">
        <f t="shared" si="15"/>
        <v>0</v>
      </c>
      <c r="T145" s="278">
        <f>Elec_Est!T5510</f>
        <v>0</v>
      </c>
    </row>
    <row r="146" spans="1:20" hidden="1">
      <c r="A146" s="164"/>
      <c r="B146" s="463">
        <v>37</v>
      </c>
      <c r="C146" s="6" t="s">
        <v>72</v>
      </c>
      <c r="D146" s="36" t="s">
        <v>111</v>
      </c>
      <c r="E146" s="164"/>
      <c r="F146" s="351">
        <v>820</v>
      </c>
      <c r="G146" s="63"/>
      <c r="P146" s="341">
        <v>2</v>
      </c>
      <c r="Q146" s="245">
        <v>1</v>
      </c>
      <c r="R146" s="278">
        <f>Elec_Est!R5511</f>
        <v>0</v>
      </c>
      <c r="S146" s="378">
        <f t="shared" si="15"/>
        <v>0</v>
      </c>
      <c r="T146" s="278">
        <f>Elec_Est!T5511</f>
        <v>0</v>
      </c>
    </row>
    <row r="147" spans="1:20">
      <c r="A147" s="164"/>
      <c r="B147" s="463">
        <v>38</v>
      </c>
      <c r="C147" s="6" t="s">
        <v>72</v>
      </c>
      <c r="D147" s="36" t="s">
        <v>112</v>
      </c>
      <c r="E147" s="164"/>
      <c r="F147" s="351">
        <v>821</v>
      </c>
      <c r="G147" s="63"/>
      <c r="P147" s="341">
        <v>3</v>
      </c>
      <c r="Q147" s="245">
        <v>1</v>
      </c>
      <c r="R147" s="278">
        <f>Elec_Est!R5512</f>
        <v>5520</v>
      </c>
      <c r="S147" s="378">
        <f t="shared" si="15"/>
        <v>0</v>
      </c>
      <c r="T147" s="278">
        <f>Elec_Est!T5512</f>
        <v>0</v>
      </c>
    </row>
    <row r="148" spans="1:20">
      <c r="A148" s="164"/>
      <c r="B148" s="463">
        <v>39</v>
      </c>
      <c r="C148" s="6" t="s">
        <v>72</v>
      </c>
      <c r="D148" s="36" t="s">
        <v>113</v>
      </c>
      <c r="E148" s="164"/>
      <c r="F148" s="351">
        <v>835</v>
      </c>
      <c r="G148" s="63"/>
      <c r="P148" s="341">
        <v>3</v>
      </c>
      <c r="Q148" s="245">
        <v>1</v>
      </c>
      <c r="R148" s="278">
        <f ca="1">Elec_Est!R5513</f>
        <v>1840.4</v>
      </c>
      <c r="S148" s="378">
        <f t="shared" ca="1" si="15"/>
        <v>6826.933575</v>
      </c>
      <c r="T148" s="278">
        <f ca="1">Elec_Est!T5513</f>
        <v>236.77500000000001</v>
      </c>
    </row>
    <row r="149" spans="1:20">
      <c r="A149" s="164"/>
      <c r="B149" s="463">
        <v>40</v>
      </c>
      <c r="C149" s="6" t="s">
        <v>72</v>
      </c>
      <c r="D149" s="36" t="s">
        <v>114</v>
      </c>
      <c r="E149" s="164"/>
      <c r="F149" s="351">
        <v>845</v>
      </c>
      <c r="G149" s="63"/>
      <c r="P149" s="341">
        <v>2</v>
      </c>
      <c r="Q149" s="245">
        <v>1</v>
      </c>
      <c r="R149" s="278">
        <f>Elec_Est!R5514</f>
        <v>20720</v>
      </c>
      <c r="S149" s="378">
        <f t="shared" si="15"/>
        <v>363.29580000000004</v>
      </c>
      <c r="T149" s="278">
        <f>Elec_Est!T5514</f>
        <v>12.600000000000001</v>
      </c>
    </row>
    <row r="150" spans="1:20" hidden="1">
      <c r="A150" s="164"/>
      <c r="B150" s="463" t="s">
        <v>115</v>
      </c>
      <c r="C150" s="6" t="s">
        <v>72</v>
      </c>
      <c r="D150" s="36" t="s">
        <v>116</v>
      </c>
      <c r="E150" s="164"/>
      <c r="F150" s="351">
        <v>855</v>
      </c>
      <c r="G150" s="63"/>
      <c r="P150" s="341">
        <v>3</v>
      </c>
      <c r="Q150" s="245">
        <v>1</v>
      </c>
      <c r="R150" s="278">
        <f>Elec_Est!R5515</f>
        <v>0</v>
      </c>
      <c r="S150" s="378">
        <f t="shared" si="15"/>
        <v>0</v>
      </c>
      <c r="T150" s="278">
        <f>Elec_Est!T5515</f>
        <v>0</v>
      </c>
    </row>
    <row r="151" spans="1:20" hidden="1">
      <c r="A151" s="164"/>
      <c r="B151" s="463">
        <v>42</v>
      </c>
      <c r="C151" s="6" t="s">
        <v>72</v>
      </c>
      <c r="D151" s="36" t="s">
        <v>117</v>
      </c>
      <c r="E151" s="164"/>
      <c r="F151" s="351">
        <v>856</v>
      </c>
      <c r="G151" s="63"/>
      <c r="P151" s="341">
        <v>3</v>
      </c>
      <c r="Q151" s="245">
        <v>1</v>
      </c>
      <c r="R151" s="278">
        <f>Elec_Est!R5516</f>
        <v>0</v>
      </c>
      <c r="S151" s="378">
        <f t="shared" si="15"/>
        <v>0</v>
      </c>
      <c r="T151" s="278">
        <f>Elec_Est!T5516</f>
        <v>0</v>
      </c>
    </row>
    <row r="152" spans="1:20" hidden="1">
      <c r="A152" s="164"/>
      <c r="B152" s="463">
        <v>43</v>
      </c>
      <c r="C152" s="6" t="s">
        <v>72</v>
      </c>
      <c r="D152" s="36" t="s">
        <v>238</v>
      </c>
      <c r="E152" s="164"/>
      <c r="F152" s="351">
        <v>857</v>
      </c>
      <c r="G152" s="63"/>
      <c r="P152" s="341">
        <v>4</v>
      </c>
      <c r="Q152" s="245">
        <v>1</v>
      </c>
      <c r="R152" s="278">
        <f>Elec_Est!R5517</f>
        <v>0</v>
      </c>
      <c r="S152" s="378">
        <f t="shared" si="15"/>
        <v>0</v>
      </c>
      <c r="T152" s="278">
        <f>Elec_Est!T5517</f>
        <v>0</v>
      </c>
    </row>
    <row r="153" spans="1:20">
      <c r="A153" s="164"/>
      <c r="B153" s="463">
        <v>44</v>
      </c>
      <c r="C153" s="6" t="s">
        <v>72</v>
      </c>
      <c r="D153" s="36" t="s">
        <v>118</v>
      </c>
      <c r="E153" s="164"/>
      <c r="F153" s="351">
        <v>858</v>
      </c>
      <c r="G153" s="63"/>
      <c r="P153" s="341">
        <v>3</v>
      </c>
      <c r="Q153" s="245">
        <v>1</v>
      </c>
      <c r="R153" s="278">
        <f>Elec_Est!R5518</f>
        <v>1060.1199999999999</v>
      </c>
      <c r="S153" s="378">
        <f t="shared" si="15"/>
        <v>0</v>
      </c>
      <c r="T153" s="278">
        <f>Elec_Est!T5518</f>
        <v>0</v>
      </c>
    </row>
    <row r="154" spans="1:20">
      <c r="A154" s="164"/>
      <c r="B154" s="463">
        <v>45</v>
      </c>
      <c r="C154" s="6" t="s">
        <v>72</v>
      </c>
      <c r="D154" s="36" t="s">
        <v>119</v>
      </c>
      <c r="E154" s="164"/>
      <c r="F154" s="351">
        <v>865</v>
      </c>
      <c r="G154" s="63"/>
      <c r="P154" s="341">
        <v>3</v>
      </c>
      <c r="Q154" s="245">
        <v>1</v>
      </c>
      <c r="R154" s="278">
        <f>Elec_Est!R5519</f>
        <v>2353.6999999999998</v>
      </c>
      <c r="S154" s="378">
        <f t="shared" si="15"/>
        <v>0</v>
      </c>
      <c r="T154" s="278">
        <f>Elec_Est!T5519</f>
        <v>0</v>
      </c>
    </row>
    <row r="155" spans="1:20" hidden="1">
      <c r="A155" s="164"/>
      <c r="B155" s="463">
        <v>46</v>
      </c>
      <c r="C155" s="6" t="s">
        <v>72</v>
      </c>
      <c r="D155" s="36" t="s">
        <v>120</v>
      </c>
      <c r="E155" s="164"/>
      <c r="F155" s="351">
        <v>870</v>
      </c>
      <c r="G155" s="63"/>
      <c r="P155" s="341">
        <v>4</v>
      </c>
      <c r="Q155" s="245">
        <v>1</v>
      </c>
      <c r="R155" s="278">
        <f>Elec_Est!R5520</f>
        <v>0</v>
      </c>
      <c r="S155" s="378">
        <f t="shared" si="15"/>
        <v>0</v>
      </c>
      <c r="T155" s="278">
        <f>Elec_Est!T5520</f>
        <v>0</v>
      </c>
    </row>
    <row r="156" spans="1:20">
      <c r="A156" s="164"/>
      <c r="B156" s="463">
        <v>47</v>
      </c>
      <c r="C156" s="6" t="s">
        <v>72</v>
      </c>
      <c r="D156" s="36" t="s">
        <v>121</v>
      </c>
      <c r="E156" s="164"/>
      <c r="F156" s="351">
        <v>875</v>
      </c>
      <c r="G156" s="63"/>
      <c r="P156" s="341">
        <v>1</v>
      </c>
      <c r="Q156" s="245">
        <v>1</v>
      </c>
      <c r="R156" s="278">
        <f ca="1">Elec_Est!R5521</f>
        <v>944.37200000000303</v>
      </c>
      <c r="S156" s="378">
        <f t="shared" ca="1" si="15"/>
        <v>35.421340499999999</v>
      </c>
      <c r="T156" s="278">
        <f ca="1">Elec_Est!T5521</f>
        <v>1.2285000000000001</v>
      </c>
    </row>
    <row r="157" spans="1:20">
      <c r="A157" s="164"/>
      <c r="B157" s="463">
        <v>48</v>
      </c>
      <c r="C157" s="6" t="s">
        <v>72</v>
      </c>
      <c r="D157" s="36" t="s">
        <v>122</v>
      </c>
      <c r="E157" s="164"/>
      <c r="F157" s="351">
        <v>880</v>
      </c>
      <c r="G157" s="63"/>
      <c r="P157" s="341">
        <v>3</v>
      </c>
      <c r="Q157" s="245">
        <v>1</v>
      </c>
      <c r="R157" s="278">
        <f>Elec_Est!R5522</f>
        <v>100.65600000000003</v>
      </c>
      <c r="S157" s="378">
        <f t="shared" si="15"/>
        <v>0</v>
      </c>
      <c r="T157" s="278">
        <f>Elec_Est!T5522</f>
        <v>0</v>
      </c>
    </row>
    <row r="158" spans="1:20" hidden="1">
      <c r="A158" s="164"/>
      <c r="B158" s="463">
        <v>49</v>
      </c>
      <c r="C158" s="6" t="s">
        <v>72</v>
      </c>
      <c r="D158" s="36" t="s">
        <v>123</v>
      </c>
      <c r="E158" s="164"/>
      <c r="F158" s="351">
        <v>885</v>
      </c>
      <c r="G158" s="63"/>
      <c r="P158" s="341">
        <v>4</v>
      </c>
      <c r="Q158" s="245">
        <v>1</v>
      </c>
      <c r="R158" s="278">
        <f>Elec_Est!R5523</f>
        <v>0</v>
      </c>
      <c r="S158" s="378">
        <f t="shared" si="15"/>
        <v>0</v>
      </c>
      <c r="T158" s="278">
        <f>Elec_Est!T5523</f>
        <v>0</v>
      </c>
    </row>
    <row r="159" spans="1:20">
      <c r="A159" s="164"/>
      <c r="B159" s="463">
        <v>50</v>
      </c>
      <c r="C159" s="6" t="s">
        <v>72</v>
      </c>
      <c r="D159" s="36" t="s">
        <v>67</v>
      </c>
      <c r="E159" s="164"/>
      <c r="F159" s="351">
        <v>900</v>
      </c>
      <c r="G159" s="63"/>
      <c r="P159" s="341">
        <v>3</v>
      </c>
      <c r="Q159" s="245">
        <v>1</v>
      </c>
      <c r="R159" s="278">
        <f>Elec_Est!R5524</f>
        <v>0</v>
      </c>
      <c r="S159" s="378">
        <f t="shared" si="15"/>
        <v>302.74649999999997</v>
      </c>
      <c r="T159" s="278">
        <f>Elec_Est!T5524</f>
        <v>10.5</v>
      </c>
    </row>
    <row r="160" spans="1:20" hidden="1">
      <c r="A160" s="164"/>
      <c r="B160" s="463" t="s">
        <v>124</v>
      </c>
      <c r="C160" s="6" t="s">
        <v>72</v>
      </c>
      <c r="D160" s="36" t="s">
        <v>125</v>
      </c>
      <c r="E160" s="164"/>
      <c r="F160" s="351">
        <v>901</v>
      </c>
      <c r="G160" s="63"/>
      <c r="P160" s="341">
        <v>1</v>
      </c>
      <c r="Q160" s="245">
        <v>1</v>
      </c>
      <c r="R160" s="278">
        <f>Elec_Est!R5525</f>
        <v>0</v>
      </c>
      <c r="S160" s="378">
        <f t="shared" si="15"/>
        <v>0</v>
      </c>
      <c r="T160" s="278">
        <f>Elec_Est!T5525</f>
        <v>0</v>
      </c>
    </row>
    <row r="161" spans="1:28">
      <c r="A161" s="164"/>
      <c r="B161" s="463">
        <v>52</v>
      </c>
      <c r="C161" s="6" t="s">
        <v>72</v>
      </c>
      <c r="D161" s="36" t="s">
        <v>126</v>
      </c>
      <c r="E161" s="164"/>
      <c r="F161" s="351">
        <v>902</v>
      </c>
      <c r="G161" s="63"/>
      <c r="P161" s="341">
        <v>3</v>
      </c>
      <c r="Q161" s="245">
        <v>1</v>
      </c>
      <c r="R161" s="278">
        <f>Elec_Est!R5526</f>
        <v>1340</v>
      </c>
      <c r="S161" s="378">
        <f t="shared" si="15"/>
        <v>1453.1831999999999</v>
      </c>
      <c r="T161" s="278">
        <f>Elec_Est!T5526</f>
        <v>50.4</v>
      </c>
    </row>
    <row r="162" spans="1:28">
      <c r="A162" s="164"/>
      <c r="B162" s="463">
        <v>53</v>
      </c>
      <c r="C162" s="6" t="s">
        <v>72</v>
      </c>
      <c r="D162" s="67" t="s">
        <v>127</v>
      </c>
      <c r="E162" s="164"/>
      <c r="F162" s="351">
        <v>960</v>
      </c>
      <c r="G162" s="63"/>
      <c r="P162" s="341">
        <v>4</v>
      </c>
      <c r="Q162" s="245">
        <v>1</v>
      </c>
      <c r="R162" s="278">
        <f>Elec_Est!R5527</f>
        <v>2150</v>
      </c>
      <c r="S162" s="378">
        <f t="shared" si="15"/>
        <v>0</v>
      </c>
      <c r="T162" s="278">
        <f>Elec_Est!T5527</f>
        <v>0</v>
      </c>
    </row>
    <row r="163" spans="1:28">
      <c r="A163" s="164"/>
      <c r="B163" s="463">
        <v>54</v>
      </c>
      <c r="C163" s="6" t="s">
        <v>72</v>
      </c>
      <c r="D163" s="67" t="s">
        <v>128</v>
      </c>
      <c r="E163" s="164"/>
      <c r="F163" s="351">
        <v>961</v>
      </c>
      <c r="G163" s="63"/>
      <c r="P163" s="341">
        <v>3</v>
      </c>
      <c r="Q163" s="245">
        <v>1</v>
      </c>
      <c r="R163" s="278">
        <f>Elec_Est!R5528</f>
        <v>900</v>
      </c>
      <c r="S163" s="378">
        <f t="shared" si="15"/>
        <v>60.549300000000002</v>
      </c>
      <c r="T163" s="278">
        <f>Elec_Est!T5528</f>
        <v>2.1</v>
      </c>
    </row>
    <row r="164" spans="1:28">
      <c r="A164" s="164"/>
      <c r="B164" s="463">
        <v>55</v>
      </c>
      <c r="C164" s="6" t="s">
        <v>72</v>
      </c>
      <c r="D164" s="67" t="s">
        <v>129</v>
      </c>
      <c r="E164" s="164"/>
      <c r="F164" s="351">
        <v>962</v>
      </c>
      <c r="G164" s="63"/>
      <c r="P164" s="341">
        <v>1</v>
      </c>
      <c r="Q164" s="245">
        <v>1</v>
      </c>
      <c r="R164" s="278">
        <f>Elec_Est!R5529</f>
        <v>2550</v>
      </c>
      <c r="S164" s="378">
        <f t="shared" si="15"/>
        <v>0</v>
      </c>
      <c r="T164" s="278">
        <f>Elec_Est!T5529</f>
        <v>0</v>
      </c>
    </row>
    <row r="165" spans="1:28">
      <c r="A165" s="164"/>
      <c r="B165" s="463">
        <v>56</v>
      </c>
      <c r="C165" s="6" t="s">
        <v>72</v>
      </c>
      <c r="D165" s="246" t="s">
        <v>130</v>
      </c>
      <c r="E165" s="164"/>
      <c r="F165" s="351">
        <v>970</v>
      </c>
      <c r="G165" s="247"/>
      <c r="H165" s="57"/>
      <c r="I165" s="57"/>
      <c r="J165" s="248"/>
      <c r="K165" s="248"/>
      <c r="L165" s="248"/>
      <c r="M165" s="248"/>
      <c r="N165" s="248"/>
      <c r="O165" s="248"/>
      <c r="P165" s="342">
        <v>4</v>
      </c>
      <c r="Q165" s="249">
        <v>1</v>
      </c>
      <c r="R165" s="278">
        <f>Elec_Est!R5530</f>
        <v>2025</v>
      </c>
      <c r="S165" s="378">
        <f t="shared" si="15"/>
        <v>363.29580000000004</v>
      </c>
      <c r="T165" s="278">
        <f>Elec_Est!T5530</f>
        <v>12.600000000000001</v>
      </c>
    </row>
    <row r="166" spans="1:28" ht="13.8" thickBot="1">
      <c r="A166" s="164"/>
      <c r="B166" s="350"/>
      <c r="C166" s="250"/>
      <c r="D166" s="251" t="s">
        <v>170</v>
      </c>
      <c r="E166" s="252"/>
      <c r="F166" s="85"/>
      <c r="G166" s="72"/>
      <c r="H166" s="72"/>
      <c r="I166" s="72"/>
      <c r="J166" s="253"/>
      <c r="K166" s="253"/>
      <c r="L166" s="253"/>
      <c r="M166" s="253"/>
      <c r="N166" s="253"/>
      <c r="O166" s="253"/>
      <c r="P166" s="253"/>
      <c r="Q166" s="254"/>
      <c r="R166" s="277">
        <f ca="1">SUM(R110:R165)</f>
        <v>162742.86437029944</v>
      </c>
      <c r="S166" s="277">
        <f ca="1">SUM(S110:S165)</f>
        <v>75148.377414750183</v>
      </c>
      <c r="T166" s="277">
        <f ca="1">SUM(T110:T165)</f>
        <v>2606.3322378784783</v>
      </c>
    </row>
    <row r="167" spans="1:28" ht="14.4" thickTop="1">
      <c r="A167" s="62"/>
      <c r="B167" s="339"/>
      <c r="C167" s="6" t="s">
        <v>72</v>
      </c>
      <c r="D167" s="78"/>
      <c r="F167" s="79" t="s">
        <v>149</v>
      </c>
      <c r="G167" s="80"/>
      <c r="H167" s="36">
        <v>1</v>
      </c>
      <c r="O167" s="64"/>
      <c r="R167" s="347">
        <f ca="1">SUMIF($P110:$P165,1,R110:R165)</f>
        <v>10577.618059661176</v>
      </c>
      <c r="T167" s="345">
        <f ca="1">SUMIF($P110:$P165,1,T110:T165)</f>
        <v>1066.2288389423079</v>
      </c>
      <c r="V167" s="311"/>
      <c r="W167" s="311"/>
      <c r="X167" s="311"/>
      <c r="Y167" s="311"/>
      <c r="Z167" s="311"/>
      <c r="AA167" s="311"/>
      <c r="AB167" s="311"/>
    </row>
    <row r="168" spans="1:28" ht="13.8">
      <c r="A168" s="62"/>
      <c r="B168" s="190"/>
      <c r="C168" s="6" t="s">
        <v>72</v>
      </c>
      <c r="D168" s="78"/>
      <c r="F168" s="79" t="s">
        <v>150</v>
      </c>
      <c r="G168" s="80"/>
      <c r="H168" s="36">
        <v>2</v>
      </c>
      <c r="O168" s="64"/>
      <c r="R168" s="347">
        <f ca="1">SUMIF($P110:$P165,2,R110:R165)</f>
        <v>87455.221799999999</v>
      </c>
      <c r="T168" s="346">
        <f ca="1">SUMIF($P110:$P165,2,T110:T165)</f>
        <v>950.62275000000011</v>
      </c>
      <c r="V168" s="311"/>
      <c r="W168" s="311"/>
      <c r="X168" s="311"/>
      <c r="Y168" s="311"/>
      <c r="Z168" s="311"/>
      <c r="AA168" s="311"/>
      <c r="AB168" s="311"/>
    </row>
    <row r="169" spans="1:28" ht="13.8">
      <c r="A169" s="62"/>
      <c r="B169" s="190"/>
      <c r="C169" s="6" t="s">
        <v>72</v>
      </c>
      <c r="D169" s="78"/>
      <c r="F169" s="79" t="s">
        <v>151</v>
      </c>
      <c r="G169" s="80"/>
      <c r="H169" s="36">
        <v>2</v>
      </c>
      <c r="O169" s="64"/>
      <c r="R169" s="347">
        <f ca="1">SUMIF($P110:$P165,3,R110:R165)</f>
        <v>60535.024510638301</v>
      </c>
      <c r="T169" s="346">
        <f ca="1">SUMIF($P110:$P165,3,T110:T165)</f>
        <v>576.88064893617013</v>
      </c>
      <c r="V169" s="311"/>
      <c r="W169" s="311"/>
      <c r="X169" s="311"/>
      <c r="Y169" s="311"/>
      <c r="Z169" s="311"/>
      <c r="AA169" s="311"/>
      <c r="AB169" s="311"/>
    </row>
    <row r="170" spans="1:28" ht="13.8">
      <c r="A170" s="62"/>
      <c r="B170" s="190"/>
      <c r="C170" s="6" t="s">
        <v>72</v>
      </c>
      <c r="D170" s="78"/>
      <c r="F170" s="79" t="s">
        <v>152</v>
      </c>
      <c r="G170" s="80"/>
      <c r="H170" s="36">
        <v>3</v>
      </c>
      <c r="O170" s="64"/>
      <c r="R170" s="347">
        <f>SUMIF($P110:$P165,4,R110:R165)</f>
        <v>4175</v>
      </c>
      <c r="T170" s="346">
        <f>SUMIF($P110:$P165,4,T110:T165)</f>
        <v>12.600000000000001</v>
      </c>
      <c r="V170" s="311"/>
      <c r="W170" s="311"/>
      <c r="X170" s="311"/>
      <c r="Y170" s="311"/>
      <c r="Z170" s="311"/>
      <c r="AA170" s="311"/>
      <c r="AB170" s="311"/>
    </row>
    <row r="171" spans="1:28" ht="14.4" thickBot="1">
      <c r="A171" s="62"/>
      <c r="B171" s="340"/>
      <c r="C171" s="70" t="s">
        <v>72</v>
      </c>
      <c r="D171" s="82"/>
      <c r="E171" s="72"/>
      <c r="F171" s="83" t="s">
        <v>153</v>
      </c>
      <c r="G171" s="84"/>
      <c r="H171" s="85"/>
      <c r="I171" s="85"/>
      <c r="J171" s="85"/>
      <c r="K171" s="85"/>
      <c r="L171" s="85"/>
      <c r="M171" s="85"/>
      <c r="N171" s="85"/>
      <c r="O171" s="86"/>
      <c r="P171" s="85"/>
      <c r="Q171" s="85"/>
      <c r="R171" s="348">
        <f ca="1">SUM(R167:R170)</f>
        <v>162742.86437029947</v>
      </c>
      <c r="S171" s="88"/>
      <c r="T171" s="349">
        <f ca="1">SUM(T167:T170)</f>
        <v>2606.3322378784778</v>
      </c>
      <c r="V171" s="311"/>
      <c r="W171" s="311"/>
      <c r="X171" s="311"/>
      <c r="Y171" s="311"/>
      <c r="Z171" s="311"/>
      <c r="AA171" s="311"/>
      <c r="AB171" s="311"/>
    </row>
    <row r="172" spans="1:28" ht="14.4" thickTop="1">
      <c r="B172" s="36"/>
      <c r="E172" s="146"/>
      <c r="F172" s="147"/>
      <c r="G172" s="132"/>
      <c r="H172" s="132"/>
      <c r="I172" s="132"/>
      <c r="J172" s="132"/>
      <c r="K172" s="132"/>
      <c r="L172" s="132"/>
      <c r="M172" s="132"/>
      <c r="N172" s="132"/>
      <c r="O172" s="132"/>
      <c r="P172" s="132"/>
      <c r="Q172" s="147"/>
      <c r="R172" s="147"/>
      <c r="S172" s="147"/>
      <c r="T172" s="147"/>
    </row>
    <row r="173" spans="1:28">
      <c r="C173" s="34"/>
      <c r="D173" s="34"/>
      <c r="E173" s="34"/>
      <c r="F173" s="34"/>
      <c r="G173" s="34"/>
      <c r="J173" s="34"/>
      <c r="K173" s="34"/>
      <c r="L173" s="34"/>
      <c r="M173" s="34"/>
      <c r="N173" s="34"/>
      <c r="O173" s="34"/>
      <c r="P173" s="34"/>
      <c r="Q173" s="34"/>
      <c r="R173" s="34"/>
      <c r="S173" s="34"/>
      <c r="T173" s="34"/>
    </row>
    <row r="174" spans="1:28">
      <c r="D174" s="36" t="s">
        <v>57</v>
      </c>
      <c r="E174" s="10"/>
      <c r="F174" s="142"/>
      <c r="G174" s="2"/>
      <c r="S174" s="33"/>
      <c r="T174" s="33"/>
    </row>
    <row r="175" spans="1:28" ht="15.6">
      <c r="D175" s="207" t="s">
        <v>264</v>
      </c>
    </row>
    <row r="176" spans="1:28">
      <c r="D176" s="255">
        <f ca="1">D96</f>
        <v>46114.407916666663</v>
      </c>
    </row>
    <row r="177" spans="1:1">
      <c r="A177" s="34"/>
    </row>
  </sheetData>
  <sheetProtection formatCells="0" formatColumns="0" formatRows="0" insertHyperlinks="0"/>
  <mergeCells count="14">
    <mergeCell ref="D1:E1"/>
    <mergeCell ref="D2:E2"/>
    <mergeCell ref="D3:E3"/>
    <mergeCell ref="B16:E17"/>
    <mergeCell ref="B14:E15"/>
    <mergeCell ref="B18:E18"/>
    <mergeCell ref="D85:E85"/>
    <mergeCell ref="B58:T58"/>
    <mergeCell ref="B59:T59"/>
    <mergeCell ref="A56:B56"/>
    <mergeCell ref="A50:S50"/>
    <mergeCell ref="Q18:T18"/>
    <mergeCell ref="A49:S49"/>
    <mergeCell ref="B19:E19"/>
  </mergeCells>
  <phoneticPr fontId="29" type="noConversion"/>
  <conditionalFormatting sqref="B11">
    <cfRule type="cellIs" dxfId="23" priority="17" stopIfTrue="1" operator="equal">
      <formula>"CHECKLIST IS INCOMPLETE !"</formula>
    </cfRule>
    <cfRule type="cellIs" dxfId="22" priority="18" stopIfTrue="1" operator="equal">
      <formula>"CHECKLIST OK"</formula>
    </cfRule>
  </conditionalFormatting>
  <conditionalFormatting sqref="B14">
    <cfRule type="cellIs" dxfId="21" priority="9" stopIfTrue="1" operator="equal">
      <formula>"QUOTE ISSUED WITH                    VAT INCLUDED"</formula>
    </cfRule>
    <cfRule type="cellIs" dxfId="20" priority="10" stopIfTrue="1" operator="notEqual">
      <formula>"QUOTE ISSUED WITH                    VAT INCLUDED"</formula>
    </cfRule>
  </conditionalFormatting>
  <conditionalFormatting sqref="B35">
    <cfRule type="cellIs" dxfId="19" priority="21" stopIfTrue="1" operator="notEqual">
      <formula>ROUND($E$35,2)</formula>
    </cfRule>
  </conditionalFormatting>
  <conditionalFormatting sqref="B18:E18">
    <cfRule type="cellIs" dxfId="18" priority="19" stopIfTrue="1" operator="equal">
      <formula>"CHECKLIST INCOMPLETE !"</formula>
    </cfRule>
  </conditionalFormatting>
  <conditionalFormatting sqref="D6 E37">
    <cfRule type="cellIs" dxfId="17" priority="3" stopIfTrue="1" operator="equal">
      <formula>"VAT INCLUDED"</formula>
    </cfRule>
    <cfRule type="cellIs" dxfId="16" priority="4" stopIfTrue="1" operator="equal">
      <formula>"VAT EXCL."</formula>
    </cfRule>
  </conditionalFormatting>
  <conditionalFormatting sqref="E24:E32">
    <cfRule type="cellIs" dxfId="15" priority="20" stopIfTrue="1" operator="equal">
      <formula>0</formula>
    </cfRule>
  </conditionalFormatting>
  <conditionalFormatting sqref="E36">
    <cfRule type="cellIs" dxfId="14" priority="12" stopIfTrue="1" operator="equal">
      <formula>"Final Sell Curr?"</formula>
    </cfRule>
  </conditionalFormatting>
  <conditionalFormatting sqref="F11">
    <cfRule type="cellIs" dxfId="13" priority="16" stopIfTrue="1" operator="equal">
      <formula>"CHECKLIST IS STILL INCOMPLETE"</formula>
    </cfRule>
  </conditionalFormatting>
  <conditionalFormatting sqref="Q1">
    <cfRule type="cellIs" dxfId="12" priority="11" stopIfTrue="1" operator="notEqual">
      <formula>"€"</formula>
    </cfRule>
  </conditionalFormatting>
  <conditionalFormatting sqref="Q2:Q12 Q23:Q32">
    <cfRule type="cellIs" dxfId="11" priority="5" stopIfTrue="1" operator="greaterThan">
      <formula>0</formula>
    </cfRule>
    <cfRule type="cellIs" dxfId="10" priority="6" stopIfTrue="1" operator="equal">
      <formula>0</formula>
    </cfRule>
  </conditionalFormatting>
  <conditionalFormatting sqref="S1">
    <cfRule type="cellIs" dxfId="9" priority="14" stopIfTrue="1" operator="notEqual">
      <formula>"R"</formula>
    </cfRule>
    <cfRule type="cellIs" dxfId="8" priority="15" stopIfTrue="1" operator="equal">
      <formula>"R"</formula>
    </cfRule>
  </conditionalFormatting>
  <conditionalFormatting sqref="S39">
    <cfRule type="cellIs" dxfId="7" priority="13" stopIfTrue="1" operator="notEqual">
      <formula>"PRINT"</formula>
    </cfRule>
  </conditionalFormatting>
  <conditionalFormatting sqref="S2:T11">
    <cfRule type="cellIs" dxfId="6" priority="7" stopIfTrue="1" operator="greaterThan">
      <formula>0</formula>
    </cfRule>
    <cfRule type="cellIs" dxfId="5" priority="8" stopIfTrue="1" operator="equal">
      <formula>0</formula>
    </cfRule>
  </conditionalFormatting>
  <conditionalFormatting sqref="U2:U10">
    <cfRule type="cellIs" dxfId="4" priority="1" stopIfTrue="1" operator="greaterThan">
      <formula>0</formula>
    </cfRule>
    <cfRule type="cellIs" dxfId="3" priority="2" stopIfTrue="1" operator="equal">
      <formula>0</formula>
    </cfRule>
  </conditionalFormatting>
  <dataValidations xWindow="275" yWindow="522" count="8">
    <dataValidation type="list" allowBlank="1" showInputMessage="1" showErrorMessage="1" sqref="D6" xr:uid="{00000000-0002-0000-0300-000000000000}">
      <formula1>"VAT EXCL., VAT INCLUDED, VAT IN MARKUPS"</formula1>
    </dataValidation>
    <dataValidation type="list" allowBlank="1" showInputMessage="1" showErrorMessage="1" sqref="W1" xr:uid="{00000000-0002-0000-0300-000001000000}">
      <formula1>"BOQ,TDWG,ACT,DIF_TD,DIF_A"</formula1>
    </dataValidation>
    <dataValidation type="textLength" showInputMessage="1" showErrorMessage="1" sqref="S1" xr:uid="{00000000-0002-0000-0300-000002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300-000003000000}">
      <formula1>"PRINT,Test for 0.00,"</formula1>
    </dataValidation>
    <dataValidation type="list" allowBlank="1" showInputMessage="1" showErrorMessage="1" sqref="A33" xr:uid="{00000000-0002-0000-0300-000004000000}">
      <formula1>"MIXED, ,"</formula1>
    </dataValidation>
    <dataValidation type="list" allowBlank="1" showInputMessage="1" showErrorMessage="1" sqref="Q1" xr:uid="{00000000-0002-0000-0300-000005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_x000a_€28.83 for 2026" sqref="D9" xr:uid="{00000000-0002-0000-0300-000006000000}">
      <formula1>"28.833,27.46,24.50,23.95,22.96,23.02,23.52,22.42,21.57,24.39,23.36,23.23,24.10,23.75,26.30,not used"</formula1>
    </dataValidation>
    <dataValidation type="list" allowBlank="1" showInputMessage="1" showErrorMessage="1" sqref="D8" xr:uid="{00000000-0002-0000-0300-000007000000}">
      <formula1>"M.Scicluna,Umut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7" max="16383" man="1"/>
    <brk id="9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3"/>
  </sheetPr>
  <dimension ref="A1:U58"/>
  <sheetViews>
    <sheetView topLeftCell="A31" workbookViewId="0">
      <selection activeCell="Q55" sqref="Q55"/>
    </sheetView>
  </sheetViews>
  <sheetFormatPr defaultColWidth="9.109375" defaultRowHeight="14.4"/>
  <cols>
    <col min="1" max="2" width="8" style="519" customWidth="1"/>
    <col min="3" max="3" width="3.88671875" style="519" hidden="1" customWidth="1"/>
    <col min="4" max="4" width="15.6640625" style="519" customWidth="1"/>
    <col min="5" max="6" width="12.6640625" style="519" customWidth="1"/>
    <col min="7" max="7" width="9.6640625" style="519" hidden="1" customWidth="1"/>
    <col min="8" max="8" width="7.6640625" style="519" hidden="1" customWidth="1"/>
    <col min="9" max="11" width="8.6640625" style="519" hidden="1" customWidth="1"/>
    <col min="12" max="12" width="6.6640625" style="519" hidden="1" customWidth="1"/>
    <col min="13" max="16" width="8.6640625" style="519" hidden="1" customWidth="1"/>
    <col min="17" max="17" width="12.88671875" style="519" customWidth="1"/>
    <col min="18" max="18" width="8.6640625" style="519" customWidth="1"/>
    <col min="19" max="19" width="10.109375" style="519" customWidth="1"/>
    <col min="20" max="20" width="8.33203125" style="519" customWidth="1"/>
    <col min="21" max="16384" width="9.109375" style="519"/>
  </cols>
  <sheetData>
    <row r="1" spans="1:21" s="517" customFormat="1">
      <c r="A1" s="1405" t="str">
        <f>IF(AND(UPPER(LEFT(TRIM($D$8),11))="01",UPPER(LEFT(TRIM($D$9),3))&lt;&gt;"ELM"),"PANTA RETAIL LTD.","PANTA CONTRACTING LIMITED")</f>
        <v>PANTA CONTRACTING LIMITED</v>
      </c>
      <c r="B1" s="1405"/>
      <c r="C1" s="1405"/>
      <c r="D1" s="1405"/>
      <c r="E1" s="1405"/>
      <c r="F1" s="1405"/>
      <c r="G1" s="1405"/>
      <c r="H1" s="1405"/>
      <c r="I1" s="1405"/>
      <c r="J1" s="1405"/>
      <c r="K1" s="1405"/>
      <c r="L1" s="1405"/>
      <c r="M1" s="1405"/>
      <c r="N1" s="1405"/>
      <c r="O1" s="1405"/>
      <c r="P1" s="1405"/>
      <c r="Q1" s="1405"/>
      <c r="R1" s="1405"/>
      <c r="S1" s="1405"/>
      <c r="T1" s="1405"/>
      <c r="U1" s="520"/>
    </row>
    <row r="2" spans="1:21" s="517" customFormat="1">
      <c r="A2" s="1406" t="str">
        <f>IF(UPPER(LEFT(TRIM($D$9),3))="ELM","ELEC-FOR-MECH INTERNAL QUOTATION","ELECTRICAL INTERNAL QUOTATION")</f>
        <v>ELECTRICAL INTERNAL QUOTATION</v>
      </c>
      <c r="B2" s="1406"/>
      <c r="C2" s="1406"/>
      <c r="D2" s="1406"/>
      <c r="E2" s="1406"/>
      <c r="F2" s="1406"/>
      <c r="G2" s="1406"/>
      <c r="H2" s="1406"/>
      <c r="I2" s="1406"/>
      <c r="J2" s="1406"/>
      <c r="K2" s="1406"/>
      <c r="L2" s="1406"/>
      <c r="M2" s="1406"/>
      <c r="N2" s="1406"/>
      <c r="O2" s="1406"/>
      <c r="P2" s="1406"/>
      <c r="Q2" s="1406"/>
      <c r="R2" s="1406"/>
      <c r="S2" s="1406"/>
      <c r="T2" s="1406"/>
    </row>
    <row r="3" spans="1:21" s="517" customFormat="1">
      <c r="B3" s="518"/>
      <c r="G3" s="519"/>
      <c r="H3" s="519"/>
      <c r="I3" s="519"/>
      <c r="J3" s="519"/>
    </row>
    <row r="4" spans="1:21" s="517" customFormat="1">
      <c r="A4" s="519"/>
      <c r="B4" s="519"/>
      <c r="C4" s="519"/>
      <c r="D4" s="519"/>
      <c r="E4" s="519"/>
      <c r="F4" s="519"/>
      <c r="G4" s="519"/>
      <c r="H4" s="519"/>
      <c r="I4" s="519"/>
      <c r="J4" s="519"/>
      <c r="K4" s="519"/>
      <c r="L4" s="519"/>
      <c r="M4" s="519"/>
      <c r="N4" s="519"/>
      <c r="O4" s="519"/>
      <c r="P4" s="519"/>
      <c r="Q4" s="519"/>
      <c r="R4" s="519"/>
      <c r="S4" s="519"/>
      <c r="T4" s="519"/>
    </row>
    <row r="5" spans="1:21" s="517" customFormat="1">
      <c r="B5" s="518" t="s">
        <v>214</v>
      </c>
      <c r="C5" s="519"/>
      <c r="D5" s="520" t="str">
        <f>IF(A2="Internal Quotation", "Mechanical Division","")</f>
        <v/>
      </c>
      <c r="E5" s="519"/>
      <c r="F5" s="519"/>
      <c r="G5" s="521"/>
      <c r="H5" s="521"/>
      <c r="I5" s="522"/>
      <c r="J5" s="522"/>
      <c r="K5" s="521"/>
      <c r="L5" s="521"/>
      <c r="M5" s="521"/>
      <c r="N5" s="521"/>
      <c r="O5" s="521"/>
      <c r="P5" s="521"/>
      <c r="Q5" s="519"/>
      <c r="R5" s="523" t="s">
        <v>179</v>
      </c>
      <c r="S5" s="524">
        <f ca="1">NOW()</f>
        <v>46114.407916666663</v>
      </c>
      <c r="T5" s="519"/>
    </row>
    <row r="6" spans="1:21" s="517" customFormat="1">
      <c r="A6" s="543"/>
      <c r="B6" s="543" t="s">
        <v>0</v>
      </c>
      <c r="C6" s="525" t="s">
        <v>215</v>
      </c>
      <c r="D6" s="517" t="str">
        <f>ML_Sum!D1</f>
        <v>Battery Street Limited</v>
      </c>
      <c r="G6" s="519"/>
      <c r="H6" s="519"/>
      <c r="I6" s="519"/>
      <c r="J6" s="519"/>
      <c r="R6" s="519"/>
      <c r="S6" s="519"/>
      <c r="T6" s="519"/>
    </row>
    <row r="7" spans="1:21" s="517" customFormat="1">
      <c r="A7" s="543"/>
      <c r="B7" s="543" t="s">
        <v>2</v>
      </c>
      <c r="C7" s="525" t="s">
        <v>216</v>
      </c>
      <c r="D7" s="517" t="str">
        <f>ML_Sum!D2</f>
        <v>MEP Works British Hotel</v>
      </c>
      <c r="G7" s="519"/>
      <c r="H7" s="519"/>
      <c r="I7" s="519"/>
      <c r="J7" s="519"/>
      <c r="R7" s="519"/>
      <c r="S7" s="519"/>
      <c r="T7" s="519"/>
    </row>
    <row r="8" spans="1:21" s="517" customFormat="1">
      <c r="A8" s="543"/>
      <c r="B8" s="543" t="s">
        <v>4</v>
      </c>
      <c r="C8" s="525" t="s">
        <v>217</v>
      </c>
      <c r="D8" s="517" t="str">
        <f>ML_Sum!D3</f>
        <v>Electrical and ELV Systems</v>
      </c>
      <c r="G8" s="519"/>
      <c r="H8" s="519"/>
      <c r="I8" s="519"/>
      <c r="J8" s="519"/>
      <c r="R8" s="519"/>
      <c r="S8" s="519"/>
      <c r="T8" s="519"/>
    </row>
    <row r="9" spans="1:21" s="517" customFormat="1">
      <c r="A9" s="519"/>
      <c r="B9" s="518" t="s">
        <v>6</v>
      </c>
      <c r="C9" s="525" t="s">
        <v>218</v>
      </c>
      <c r="D9" s="517" t="str">
        <f>ML_Sum!D4</f>
        <v>EL25-0662B</v>
      </c>
      <c r="G9" s="519"/>
      <c r="H9" s="519"/>
      <c r="I9" s="519"/>
      <c r="J9" s="519"/>
    </row>
    <row r="10" spans="1:21" s="517" customFormat="1">
      <c r="A10" s="519"/>
      <c r="B10" s="523" t="s">
        <v>171</v>
      </c>
      <c r="C10" s="525" t="s">
        <v>219</v>
      </c>
      <c r="D10" s="517" t="str">
        <f>ML_Sum!D5</f>
        <v>MEP REVISED</v>
      </c>
      <c r="E10" s="519"/>
      <c r="F10" s="519"/>
      <c r="G10" s="519"/>
      <c r="H10" s="519"/>
      <c r="I10" s="519"/>
      <c r="J10" s="519"/>
      <c r="K10" s="519"/>
      <c r="L10" s="519"/>
      <c r="M10" s="519"/>
      <c r="N10" s="519"/>
      <c r="O10" s="519"/>
      <c r="P10" s="519"/>
      <c r="Q10" s="519"/>
      <c r="R10" s="519"/>
      <c r="S10" s="519"/>
      <c r="T10" s="519"/>
    </row>
    <row r="11" spans="1:21" s="517" customFormat="1">
      <c r="A11" s="519"/>
      <c r="B11" s="519"/>
      <c r="C11" s="521"/>
      <c r="D11" s="519"/>
      <c r="E11" s="519"/>
      <c r="F11" s="519"/>
      <c r="G11" s="519"/>
      <c r="H11" s="519"/>
      <c r="I11" s="519"/>
      <c r="J11" s="519"/>
      <c r="K11" s="519"/>
      <c r="L11" s="519"/>
      <c r="M11" s="519"/>
      <c r="N11" s="519"/>
      <c r="O11" s="519"/>
      <c r="P11" s="519"/>
      <c r="Q11" s="519"/>
      <c r="R11" s="519"/>
      <c r="S11" s="519"/>
      <c r="T11" s="519"/>
    </row>
    <row r="12" spans="1:21" s="517" customFormat="1">
      <c r="D12" s="519"/>
      <c r="E12" s="519"/>
      <c r="F12" s="519"/>
      <c r="G12" s="519"/>
      <c r="H12" s="519"/>
      <c r="I12" s="519"/>
      <c r="J12" s="519"/>
      <c r="K12" s="519"/>
      <c r="L12" s="519"/>
      <c r="M12" s="519"/>
      <c r="N12" s="519"/>
      <c r="O12" s="519"/>
      <c r="P12" s="519"/>
      <c r="Q12" s="519"/>
      <c r="R12" s="519"/>
      <c r="S12" s="519"/>
      <c r="T12" s="519"/>
    </row>
    <row r="13" spans="1:21" s="517" customFormat="1">
      <c r="A13" s="526"/>
      <c r="D13" s="519"/>
      <c r="E13" s="519"/>
      <c r="F13" s="519"/>
      <c r="G13" s="519"/>
      <c r="H13" s="519"/>
      <c r="I13" s="519"/>
      <c r="J13" s="519"/>
      <c r="K13" s="519"/>
      <c r="L13" s="519"/>
      <c r="M13" s="519"/>
      <c r="N13" s="519"/>
      <c r="O13" s="519"/>
      <c r="P13" s="519"/>
      <c r="Q13" s="519"/>
      <c r="R13" s="519"/>
      <c r="S13" s="519"/>
      <c r="T13" s="519"/>
    </row>
    <row r="14" spans="1:21" s="517" customFormat="1">
      <c r="G14" s="519"/>
      <c r="H14" s="519"/>
      <c r="I14" s="519"/>
      <c r="J14" s="519"/>
    </row>
    <row r="15" spans="1:21" s="517" customFormat="1">
      <c r="G15" s="519"/>
      <c r="H15" s="519"/>
      <c r="I15" s="519"/>
      <c r="J15" s="519"/>
    </row>
    <row r="16" spans="1:21" s="517" customFormat="1">
      <c r="G16" s="519"/>
      <c r="H16" s="519"/>
      <c r="I16" s="519"/>
      <c r="J16" s="519"/>
    </row>
    <row r="17" spans="1:20" s="517" customFormat="1">
      <c r="G17" s="519"/>
      <c r="H17" s="519"/>
      <c r="I17" s="519"/>
      <c r="J17" s="519"/>
    </row>
    <row r="18" spans="1:20" s="517" customFormat="1">
      <c r="G18" s="519"/>
      <c r="H18" s="519"/>
      <c r="I18" s="519"/>
      <c r="J18" s="519"/>
    </row>
    <row r="19" spans="1:20" s="517" customFormat="1">
      <c r="G19" s="519"/>
      <c r="H19" s="519"/>
      <c r="I19" s="519"/>
      <c r="J19" s="519"/>
    </row>
    <row r="20" spans="1:20" s="517" customFormat="1">
      <c r="G20" s="519"/>
      <c r="H20" s="519"/>
      <c r="I20" s="519"/>
      <c r="J20" s="519"/>
    </row>
    <row r="21" spans="1:20" s="517" customFormat="1">
      <c r="G21" s="519"/>
      <c r="H21" s="519"/>
      <c r="I21" s="519"/>
      <c r="J21" s="519"/>
    </row>
    <row r="22" spans="1:20" s="517" customFormat="1">
      <c r="A22" s="519"/>
      <c r="B22" s="519"/>
      <c r="C22" s="519"/>
      <c r="D22" s="527" t="s">
        <v>225</v>
      </c>
      <c r="E22" s="528">
        <f ca="1">ML_Sum!E35</f>
        <v>286398.78999999986</v>
      </c>
      <c r="F22" s="525" t="str">
        <f>ML_Sum!D6</f>
        <v>VAT EXCL.</v>
      </c>
      <c r="G22" s="544" t="s">
        <v>180</v>
      </c>
      <c r="H22" s="544" t="s">
        <v>180</v>
      </c>
      <c r="I22" s="544" t="s">
        <v>180</v>
      </c>
      <c r="J22" s="544" t="s">
        <v>180</v>
      </c>
      <c r="K22" s="544" t="s">
        <v>180</v>
      </c>
      <c r="L22" s="544" t="s">
        <v>180</v>
      </c>
      <c r="M22" s="544" t="s">
        <v>180</v>
      </c>
      <c r="N22" s="544" t="s">
        <v>180</v>
      </c>
      <c r="O22" s="544" t="s">
        <v>180</v>
      </c>
      <c r="P22" s="544" t="s">
        <v>180</v>
      </c>
      <c r="Q22" s="545"/>
      <c r="R22" s="519"/>
      <c r="S22" s="519"/>
      <c r="T22" s="519"/>
    </row>
    <row r="23" spans="1:20" s="517" customFormat="1">
      <c r="A23" s="519"/>
      <c r="B23" s="519"/>
      <c r="C23" s="519"/>
      <c r="D23" s="546"/>
      <c r="E23" s="529"/>
      <c r="F23" s="529"/>
      <c r="G23" s="545"/>
      <c r="H23" s="545"/>
      <c r="I23" s="545"/>
      <c r="J23" s="545"/>
      <c r="K23" s="545"/>
      <c r="L23" s="545"/>
      <c r="M23" s="545"/>
      <c r="N23" s="545"/>
      <c r="O23" s="545"/>
      <c r="P23" s="545"/>
      <c r="Q23" s="545"/>
      <c r="S23" s="519"/>
    </row>
    <row r="24" spans="1:20" s="517" customFormat="1">
      <c r="A24" s="519"/>
      <c r="B24" s="519"/>
      <c r="C24" s="519"/>
      <c r="D24" s="530"/>
      <c r="E24" s="545"/>
      <c r="F24" s="545"/>
      <c r="G24" s="545"/>
      <c r="H24" s="545"/>
      <c r="I24" s="545"/>
      <c r="J24" s="545"/>
      <c r="K24" s="545"/>
      <c r="L24" s="545"/>
      <c r="M24" s="545"/>
      <c r="N24" s="545"/>
      <c r="O24" s="545"/>
      <c r="P24" s="545"/>
      <c r="Q24" s="545"/>
      <c r="S24" s="519"/>
    </row>
    <row r="25" spans="1:20" s="517" customFormat="1">
      <c r="A25" s="531"/>
      <c r="B25" s="532"/>
      <c r="C25" s="532"/>
      <c r="D25" s="519"/>
      <c r="E25" s="519"/>
      <c r="F25" s="519"/>
      <c r="G25" s="519"/>
      <c r="H25" s="519"/>
      <c r="I25" s="519"/>
      <c r="J25" s="519"/>
      <c r="K25" s="519"/>
      <c r="L25" s="519"/>
      <c r="M25" s="519"/>
      <c r="N25" s="519"/>
      <c r="O25" s="519"/>
      <c r="P25" s="519"/>
      <c r="Q25" s="519"/>
    </row>
    <row r="26" spans="1:20" s="517" customFormat="1">
      <c r="A26" s="520"/>
      <c r="G26" s="519"/>
      <c r="H26" s="519"/>
      <c r="I26" s="519"/>
      <c r="J26" s="519"/>
    </row>
    <row r="27" spans="1:20" s="517" customFormat="1">
      <c r="A27" s="520"/>
      <c r="G27" s="519"/>
      <c r="H27" s="519"/>
      <c r="I27" s="519"/>
      <c r="J27" s="519"/>
    </row>
    <row r="28" spans="1:20" s="517" customFormat="1">
      <c r="A28" s="520"/>
      <c r="G28" s="519"/>
      <c r="H28" s="519"/>
      <c r="I28" s="519"/>
      <c r="J28" s="519"/>
    </row>
    <row r="29" spans="1:20" s="517" customFormat="1">
      <c r="A29" s="520"/>
      <c r="G29" s="519"/>
      <c r="H29" s="519"/>
      <c r="I29" s="519"/>
      <c r="J29" s="519"/>
    </row>
    <row r="30" spans="1:20" s="517" customFormat="1">
      <c r="A30" s="520"/>
      <c r="G30" s="519"/>
      <c r="H30" s="519"/>
      <c r="I30" s="519"/>
      <c r="J30" s="519"/>
    </row>
    <row r="31" spans="1:20" s="517" customFormat="1">
      <c r="A31" s="520"/>
      <c r="G31" s="519"/>
      <c r="H31" s="519"/>
      <c r="I31" s="519"/>
      <c r="J31" s="519"/>
    </row>
    <row r="32" spans="1:20" s="517" customFormat="1">
      <c r="A32" s="520"/>
      <c r="G32" s="519"/>
      <c r="H32" s="519"/>
      <c r="I32" s="519"/>
      <c r="J32" s="519"/>
    </row>
    <row r="33" spans="1:20" s="517" customFormat="1">
      <c r="G33" s="519"/>
      <c r="H33" s="519"/>
      <c r="I33" s="519"/>
      <c r="J33" s="519"/>
    </row>
    <row r="34" spans="1:20" s="517" customFormat="1">
      <c r="A34" s="519"/>
      <c r="B34" s="519"/>
      <c r="C34" s="519"/>
      <c r="D34" s="519"/>
      <c r="E34" s="519"/>
      <c r="F34" s="519"/>
      <c r="G34" s="519"/>
      <c r="H34" s="519"/>
      <c r="I34" s="519"/>
      <c r="J34" s="519"/>
      <c r="K34" s="519"/>
      <c r="L34" s="519"/>
      <c r="M34" s="519"/>
      <c r="N34" s="519"/>
      <c r="O34" s="519"/>
      <c r="P34" s="519"/>
      <c r="Q34" s="519"/>
      <c r="R34" s="519"/>
      <c r="S34" s="519"/>
      <c r="T34" s="519"/>
    </row>
    <row r="35" spans="1:20" s="517" customFormat="1">
      <c r="A35" s="519"/>
      <c r="B35" s="519"/>
      <c r="C35" s="519"/>
      <c r="D35" s="519"/>
      <c r="E35" s="519"/>
      <c r="F35" s="519"/>
      <c r="G35" s="519"/>
      <c r="H35" s="519"/>
      <c r="I35" s="519"/>
      <c r="J35" s="519"/>
      <c r="K35" s="519"/>
      <c r="L35" s="519"/>
      <c r="M35" s="519"/>
      <c r="N35" s="519"/>
      <c r="O35" s="519"/>
      <c r="P35" s="519"/>
      <c r="Q35" s="519"/>
      <c r="R35" s="519"/>
      <c r="S35" s="519"/>
      <c r="T35" s="519"/>
    </row>
    <row r="36" spans="1:20" s="517" customFormat="1">
      <c r="A36" s="519"/>
      <c r="B36" s="519"/>
      <c r="C36" s="519"/>
      <c r="D36" s="519"/>
      <c r="E36" s="519"/>
      <c r="F36" s="519"/>
      <c r="G36" s="519"/>
      <c r="H36" s="519"/>
      <c r="I36" s="519"/>
      <c r="J36" s="519"/>
      <c r="K36" s="519"/>
      <c r="L36" s="519"/>
      <c r="M36" s="519"/>
      <c r="N36" s="519"/>
      <c r="O36" s="519"/>
      <c r="P36" s="519"/>
      <c r="Q36" s="519"/>
      <c r="R36" s="519"/>
      <c r="S36" s="519"/>
      <c r="T36" s="519"/>
    </row>
    <row r="37" spans="1:20" s="517" customFormat="1">
      <c r="G37" s="519"/>
      <c r="H37" s="519"/>
      <c r="I37" s="519"/>
      <c r="J37" s="519"/>
    </row>
    <row r="38" spans="1:20" s="517" customFormat="1">
      <c r="A38" s="526"/>
      <c r="B38" s="533"/>
      <c r="G38" s="519"/>
      <c r="H38" s="519"/>
      <c r="I38" s="519"/>
      <c r="J38" s="519"/>
    </row>
    <row r="39" spans="1:20" s="517" customFormat="1">
      <c r="A39" s="520"/>
      <c r="G39" s="519"/>
      <c r="H39" s="519"/>
      <c r="I39" s="519"/>
      <c r="J39" s="519"/>
    </row>
    <row r="40" spans="1:20" s="517" customFormat="1">
      <c r="A40" s="520"/>
      <c r="G40" s="519"/>
      <c r="H40" s="519"/>
      <c r="I40" s="519"/>
      <c r="J40" s="519"/>
    </row>
    <row r="41" spans="1:20" s="517" customFormat="1">
      <c r="A41" s="520"/>
      <c r="G41" s="519"/>
      <c r="H41" s="519"/>
      <c r="I41" s="519"/>
      <c r="J41" s="519"/>
    </row>
    <row r="42" spans="1:20" s="517" customFormat="1">
      <c r="A42" s="520"/>
      <c r="G42" s="519"/>
      <c r="H42" s="519"/>
      <c r="I42" s="519"/>
      <c r="J42" s="519"/>
    </row>
    <row r="43" spans="1:20" s="517" customFormat="1">
      <c r="A43" s="520"/>
      <c r="G43" s="519"/>
      <c r="H43" s="519"/>
      <c r="I43" s="519"/>
      <c r="J43" s="519"/>
    </row>
    <row r="44" spans="1:20" s="517" customFormat="1">
      <c r="A44" s="520"/>
      <c r="G44" s="519"/>
      <c r="H44" s="519"/>
      <c r="I44" s="519"/>
      <c r="J44" s="519"/>
    </row>
    <row r="45" spans="1:20" s="517" customFormat="1">
      <c r="A45" s="520"/>
      <c r="G45" s="519"/>
      <c r="H45" s="519"/>
      <c r="I45" s="519"/>
      <c r="J45" s="519"/>
    </row>
    <row r="46" spans="1:20" s="517" customFormat="1">
      <c r="A46" s="520"/>
      <c r="G46" s="519"/>
      <c r="H46" s="519"/>
      <c r="I46" s="519"/>
      <c r="J46" s="519"/>
    </row>
    <row r="47" spans="1:20" s="517" customFormat="1">
      <c r="A47" s="520"/>
      <c r="G47" s="519"/>
      <c r="H47" s="519"/>
      <c r="I47" s="519"/>
      <c r="J47" s="519"/>
    </row>
    <row r="48" spans="1:20" s="517" customFormat="1">
      <c r="G48" s="519"/>
      <c r="H48" s="519"/>
      <c r="I48" s="519"/>
      <c r="J48" s="519"/>
    </row>
    <row r="49" spans="1:19" s="517" customFormat="1">
      <c r="G49" s="519"/>
      <c r="H49" s="519"/>
      <c r="I49" s="519"/>
      <c r="J49" s="519"/>
    </row>
    <row r="50" spans="1:19" s="517" customFormat="1">
      <c r="A50" s="521"/>
      <c r="B50" s="521"/>
      <c r="C50" s="521"/>
      <c r="G50" s="519"/>
      <c r="H50" s="519"/>
      <c r="I50" s="519"/>
      <c r="J50" s="519"/>
      <c r="Q50" s="521"/>
      <c r="R50" s="521"/>
      <c r="S50" s="521"/>
    </row>
    <row r="51" spans="1:19" s="517" customFormat="1">
      <c r="A51" s="517" t="s">
        <v>131</v>
      </c>
      <c r="D51" s="534"/>
      <c r="G51" s="519"/>
      <c r="H51" s="519"/>
      <c r="I51" s="519"/>
      <c r="J51" s="519"/>
      <c r="Q51" s="517" t="s">
        <v>131</v>
      </c>
    </row>
    <row r="52" spans="1:19" s="517" customFormat="1">
      <c r="A52" s="517" t="s">
        <v>132</v>
      </c>
      <c r="G52" s="519"/>
      <c r="H52" s="519"/>
      <c r="I52" s="519"/>
      <c r="J52" s="519"/>
      <c r="Q52" s="517" t="s">
        <v>181</v>
      </c>
    </row>
    <row r="53" spans="1:19" s="517" customFormat="1" ht="15" thickBot="1">
      <c r="G53" s="519"/>
      <c r="H53" s="519"/>
      <c r="I53" s="519"/>
      <c r="J53" s="519"/>
    </row>
    <row r="54" spans="1:19" s="517" customFormat="1">
      <c r="G54" s="519"/>
      <c r="H54" s="519"/>
      <c r="I54" s="519"/>
      <c r="J54" s="519"/>
      <c r="Q54" s="535" t="s">
        <v>182</v>
      </c>
      <c r="R54" s="536"/>
    </row>
    <row r="55" spans="1:19" s="517" customFormat="1">
      <c r="G55" s="519"/>
      <c r="H55" s="519"/>
      <c r="I55" s="519"/>
      <c r="J55" s="519"/>
      <c r="Q55" s="537" t="s">
        <v>262</v>
      </c>
      <c r="R55" s="538"/>
    </row>
    <row r="56" spans="1:19" s="517" customFormat="1">
      <c r="G56" s="519"/>
      <c r="H56" s="519"/>
      <c r="I56" s="519"/>
      <c r="J56" s="519"/>
      <c r="Q56" s="537"/>
      <c r="R56" s="538"/>
    </row>
    <row r="57" spans="1:19" s="517" customFormat="1" ht="15" thickBot="1">
      <c r="A57" s="539"/>
      <c r="Q57" s="540" t="s">
        <v>183</v>
      </c>
      <c r="R57" s="541"/>
    </row>
    <row r="58" spans="1:19" s="517" customFormat="1">
      <c r="A58" s="547"/>
      <c r="B58" s="542"/>
      <c r="C58" s="542"/>
      <c r="D58" s="542"/>
      <c r="E58" s="542"/>
      <c r="F58" s="542"/>
    </row>
  </sheetData>
  <sheetProtection formatCells="0" formatColumns="0" formatRows="0" insertColumns="0" insertRows="0"/>
  <mergeCells count="2">
    <mergeCell ref="A1:T1"/>
    <mergeCell ref="A2:T2"/>
  </mergeCells>
  <conditionalFormatting sqref="A1:T1">
    <cfRule type="cellIs" dxfId="2" priority="3" stopIfTrue="1" operator="equal">
      <formula>"PANTA RETAIL LTD."</formula>
    </cfRule>
  </conditionalFormatting>
  <conditionalFormatting sqref="C6:C10 F22">
    <cfRule type="cellIs" dxfId="1" priority="1" stopIfTrue="1" operator="equal">
      <formula>"VAT INCLUDED"</formula>
    </cfRule>
    <cfRule type="cellIs" dxfId="0"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G98"/>
  <sheetViews>
    <sheetView topLeftCell="A30" workbookViewId="0">
      <selection activeCell="G95" sqref="G95"/>
    </sheetView>
  </sheetViews>
  <sheetFormatPr defaultColWidth="9.109375" defaultRowHeight="13.2"/>
  <cols>
    <col min="1" max="1" width="7.6640625" style="618" customWidth="1"/>
    <col min="2" max="2" width="48.6640625" style="554" customWidth="1"/>
    <col min="3" max="3" width="5.6640625" style="619" customWidth="1"/>
    <col min="4" max="4" width="7.6640625" style="554" customWidth="1"/>
    <col min="5" max="5" width="10.33203125" style="620" customWidth="1"/>
    <col min="6" max="6" width="12.109375" style="621" customWidth="1"/>
    <col min="7" max="16384" width="9.109375" style="554"/>
  </cols>
  <sheetData>
    <row r="1" spans="1:6" ht="17.399999999999999">
      <c r="A1" s="548" t="s">
        <v>265</v>
      </c>
      <c r="B1" s="550"/>
      <c r="C1" s="551"/>
      <c r="D1" s="550"/>
      <c r="E1" s="552"/>
      <c r="F1" s="553"/>
    </row>
    <row r="2" spans="1:6">
      <c r="A2" s="555" t="s">
        <v>266</v>
      </c>
      <c r="B2" s="557"/>
      <c r="C2" s="558"/>
      <c r="D2" s="557"/>
      <c r="E2" s="559"/>
      <c r="F2" s="560"/>
    </row>
    <row r="3" spans="1:6">
      <c r="A3" s="555"/>
      <c r="B3" s="557"/>
      <c r="C3" s="558"/>
      <c r="D3" s="557"/>
      <c r="E3" s="559"/>
      <c r="F3" s="561"/>
    </row>
    <row r="4" spans="1:6">
      <c r="A4" s="562"/>
      <c r="B4" s="563"/>
      <c r="C4" s="564"/>
      <c r="D4" s="563"/>
      <c r="E4" s="565"/>
      <c r="F4" s="561"/>
    </row>
    <row r="5" spans="1:6" ht="13.8" thickBot="1">
      <c r="A5" s="566" t="s">
        <v>267</v>
      </c>
      <c r="B5" s="567"/>
      <c r="C5" s="569" t="s">
        <v>269</v>
      </c>
      <c r="D5" s="568" t="s">
        <v>259</v>
      </c>
      <c r="E5" s="570" t="s">
        <v>270</v>
      </c>
      <c r="F5" s="571" t="s">
        <v>260</v>
      </c>
    </row>
    <row r="6" spans="1:6">
      <c r="A6" s="572"/>
      <c r="B6" s="573"/>
      <c r="C6" s="575"/>
      <c r="D6" s="574"/>
      <c r="E6" s="576"/>
      <c r="F6" s="577"/>
    </row>
    <row r="7" spans="1:6">
      <c r="A7" s="572"/>
      <c r="B7" s="578"/>
      <c r="C7" s="579"/>
      <c r="D7" s="574"/>
      <c r="E7" s="576"/>
      <c r="F7" s="580"/>
    </row>
    <row r="8" spans="1:6" s="585" customFormat="1" ht="26.4">
      <c r="A8" s="572">
        <v>1</v>
      </c>
      <c r="B8" s="582" t="s">
        <v>271</v>
      </c>
      <c r="C8" s="579">
        <v>1</v>
      </c>
      <c r="D8" s="574" t="s">
        <v>272</v>
      </c>
      <c r="E8" s="576">
        <f>Elec_Est!E19</f>
        <v>610</v>
      </c>
      <c r="F8" s="584">
        <f>E8*C8</f>
        <v>610</v>
      </c>
    </row>
    <row r="9" spans="1:6">
      <c r="A9" s="572"/>
      <c r="B9" s="582"/>
      <c r="C9" s="579"/>
      <c r="D9" s="574"/>
      <c r="E9" s="576"/>
      <c r="F9" s="584"/>
    </row>
    <row r="10" spans="1:6">
      <c r="A10" s="572"/>
      <c r="B10" s="582"/>
      <c r="C10" s="579"/>
      <c r="D10" s="574"/>
      <c r="E10" s="576"/>
      <c r="F10" s="584"/>
    </row>
    <row r="11" spans="1:6" ht="26.4">
      <c r="A11" s="572">
        <v>2</v>
      </c>
      <c r="B11" s="582" t="s">
        <v>273</v>
      </c>
      <c r="C11" s="579">
        <v>1</v>
      </c>
      <c r="D11" s="574" t="s">
        <v>272</v>
      </c>
      <c r="E11" s="576" t="str">
        <f>Elec_Est!Q25</f>
        <v>Included</v>
      </c>
      <c r="F11" s="584"/>
    </row>
    <row r="12" spans="1:6">
      <c r="A12" s="572"/>
      <c r="B12" s="582"/>
      <c r="C12" s="579"/>
      <c r="D12" s="574"/>
      <c r="E12" s="576"/>
      <c r="F12" s="584"/>
    </row>
    <row r="13" spans="1:6">
      <c r="A13" s="572"/>
      <c r="B13" s="582"/>
      <c r="C13" s="579"/>
      <c r="D13" s="574"/>
      <c r="E13" s="576"/>
      <c r="F13" s="584"/>
    </row>
    <row r="14" spans="1:6" ht="26.4">
      <c r="A14" s="572">
        <v>3</v>
      </c>
      <c r="B14" s="582" t="s">
        <v>274</v>
      </c>
      <c r="C14" s="579">
        <v>1</v>
      </c>
      <c r="D14" s="574" t="s">
        <v>272</v>
      </c>
      <c r="E14" s="576" t="str">
        <f>Elec_Est!Q32</f>
        <v>Included</v>
      </c>
      <c r="F14" s="584"/>
    </row>
    <row r="15" spans="1:6">
      <c r="A15" s="572"/>
      <c r="B15" s="582"/>
      <c r="C15" s="579"/>
      <c r="D15" s="574"/>
      <c r="E15" s="576"/>
      <c r="F15" s="584"/>
    </row>
    <row r="16" spans="1:6">
      <c r="A16" s="572"/>
      <c r="B16" s="582"/>
      <c r="C16" s="579"/>
      <c r="D16" s="574"/>
      <c r="E16" s="576"/>
      <c r="F16" s="584"/>
    </row>
    <row r="17" spans="1:6" ht="39.6">
      <c r="A17" s="572">
        <v>4</v>
      </c>
      <c r="B17" s="582" t="s">
        <v>275</v>
      </c>
      <c r="C17" s="579">
        <v>1</v>
      </c>
      <c r="D17" s="574" t="s">
        <v>272</v>
      </c>
      <c r="E17" s="576" t="str">
        <f>Elec_Est!Q38</f>
        <v>Included</v>
      </c>
      <c r="F17" s="584"/>
    </row>
    <row r="18" spans="1:6">
      <c r="A18" s="572"/>
      <c r="B18" s="582"/>
      <c r="C18" s="579"/>
      <c r="D18" s="574"/>
      <c r="E18" s="576"/>
      <c r="F18" s="584"/>
    </row>
    <row r="19" spans="1:6">
      <c r="A19" s="572"/>
      <c r="B19" s="582"/>
      <c r="C19" s="579"/>
      <c r="D19" s="574"/>
      <c r="E19" s="576"/>
      <c r="F19" s="584"/>
    </row>
    <row r="20" spans="1:6" ht="39.6">
      <c r="A20" s="572">
        <v>5</v>
      </c>
      <c r="B20" s="582" t="s">
        <v>276</v>
      </c>
      <c r="C20" s="579">
        <v>1</v>
      </c>
      <c r="D20" s="574" t="s">
        <v>272</v>
      </c>
      <c r="E20" s="576" t="str">
        <f>Elec_Est!Q45</f>
        <v>Included</v>
      </c>
      <c r="F20" s="584"/>
    </row>
    <row r="21" spans="1:6">
      <c r="A21" s="572"/>
      <c r="B21" s="582"/>
      <c r="C21" s="579"/>
      <c r="D21" s="574"/>
      <c r="E21" s="576"/>
      <c r="F21" s="584"/>
    </row>
    <row r="22" spans="1:6">
      <c r="A22" s="572"/>
      <c r="B22" s="582"/>
      <c r="C22" s="579"/>
      <c r="D22" s="574"/>
      <c r="E22" s="576"/>
      <c r="F22" s="584"/>
    </row>
    <row r="23" spans="1:6" ht="39.6">
      <c r="A23" s="572">
        <v>6</v>
      </c>
      <c r="B23" s="582" t="s">
        <v>277</v>
      </c>
      <c r="C23" s="579">
        <v>1</v>
      </c>
      <c r="D23" s="574" t="s">
        <v>272</v>
      </c>
      <c r="E23" s="576" t="str">
        <f>Elec_Est!Q52</f>
        <v>Included</v>
      </c>
      <c r="F23" s="584"/>
    </row>
    <row r="24" spans="1:6">
      <c r="A24" s="572"/>
      <c r="B24" s="586"/>
      <c r="C24" s="587"/>
      <c r="D24" s="574"/>
      <c r="E24" s="576"/>
      <c r="F24" s="584"/>
    </row>
    <row r="25" spans="1:6">
      <c r="A25" s="572"/>
      <c r="B25" s="586"/>
      <c r="C25" s="587"/>
      <c r="D25" s="574"/>
      <c r="E25" s="576"/>
      <c r="F25" s="584"/>
    </row>
    <row r="26" spans="1:6" ht="68.25" customHeight="1">
      <c r="A26" s="1331">
        <v>7</v>
      </c>
      <c r="B26" s="1337" t="s">
        <v>278</v>
      </c>
      <c r="C26" s="1338">
        <v>1</v>
      </c>
      <c r="D26" s="1334" t="s">
        <v>272</v>
      </c>
      <c r="E26" s="1335" t="str">
        <f>Elec_Est!Q59</f>
        <v>Included</v>
      </c>
      <c r="F26" s="1339"/>
    </row>
    <row r="27" spans="1:6">
      <c r="A27" s="572"/>
      <c r="B27" s="588"/>
      <c r="C27" s="579"/>
      <c r="D27" s="574"/>
      <c r="E27" s="576"/>
      <c r="F27" s="584"/>
    </row>
    <row r="28" spans="1:6">
      <c r="A28" s="572"/>
      <c r="B28" s="586"/>
      <c r="C28" s="587"/>
      <c r="D28" s="574"/>
      <c r="E28" s="576"/>
      <c r="F28" s="584"/>
    </row>
    <row r="29" spans="1:6" ht="39.6">
      <c r="A29" s="572">
        <v>8</v>
      </c>
      <c r="B29" s="586" t="s">
        <v>279</v>
      </c>
      <c r="C29" s="579">
        <v>1</v>
      </c>
      <c r="D29" s="574" t="s">
        <v>272</v>
      </c>
      <c r="E29" s="576" t="str">
        <f>Elec_Est!Q65</f>
        <v>Included</v>
      </c>
      <c r="F29" s="584"/>
    </row>
    <row r="30" spans="1:6">
      <c r="A30" s="572"/>
      <c r="B30" s="586"/>
      <c r="C30" s="579"/>
      <c r="D30" s="574"/>
      <c r="E30" s="576"/>
      <c r="F30" s="584"/>
    </row>
    <row r="31" spans="1:6">
      <c r="A31" s="572"/>
      <c r="B31" s="586"/>
      <c r="C31" s="579"/>
      <c r="D31" s="574"/>
      <c r="E31" s="576"/>
      <c r="F31" s="584"/>
    </row>
    <row r="32" spans="1:6" ht="26.4">
      <c r="A32" s="572">
        <v>9</v>
      </c>
      <c r="B32" s="582" t="s">
        <v>280</v>
      </c>
      <c r="C32" s="579">
        <v>1</v>
      </c>
      <c r="D32" s="574" t="s">
        <v>272</v>
      </c>
      <c r="E32" s="576">
        <f>Elec_Est!E72</f>
        <v>1049.2</v>
      </c>
      <c r="F32" s="584">
        <f>E32*C32</f>
        <v>1049.2</v>
      </c>
    </row>
    <row r="33" spans="1:7">
      <c r="A33" s="572"/>
      <c r="B33" s="586"/>
      <c r="C33" s="579"/>
      <c r="D33" s="574"/>
      <c r="E33" s="576"/>
      <c r="F33" s="584"/>
    </row>
    <row r="34" spans="1:7">
      <c r="A34" s="572"/>
      <c r="B34" s="589"/>
      <c r="C34" s="579"/>
      <c r="D34" s="574"/>
      <c r="E34" s="576"/>
      <c r="F34" s="584"/>
    </row>
    <row r="35" spans="1:7" ht="26.4">
      <c r="A35" s="572">
        <v>10</v>
      </c>
      <c r="B35" s="582" t="s">
        <v>281</v>
      </c>
      <c r="C35" s="579">
        <v>1</v>
      </c>
      <c r="D35" s="574" t="s">
        <v>272</v>
      </c>
      <c r="E35" s="576">
        <f>Elec_Est!E78</f>
        <v>585.6</v>
      </c>
      <c r="F35" s="584">
        <f>E35*C35</f>
        <v>585.6</v>
      </c>
    </row>
    <row r="36" spans="1:7">
      <c r="A36" s="572"/>
      <c r="B36" s="582"/>
      <c r="C36" s="579"/>
      <c r="D36" s="574"/>
      <c r="E36" s="576"/>
      <c r="F36" s="584"/>
    </row>
    <row r="37" spans="1:7">
      <c r="A37" s="572"/>
      <c r="B37" s="582"/>
      <c r="C37" s="579"/>
      <c r="D37" s="574"/>
      <c r="E37" s="576"/>
      <c r="F37" s="584"/>
    </row>
    <row r="38" spans="1:7">
      <c r="A38" s="572"/>
      <c r="B38" s="582"/>
      <c r="C38" s="579"/>
      <c r="D38" s="574"/>
      <c r="E38" s="576"/>
      <c r="F38" s="584"/>
    </row>
    <row r="39" spans="1:7">
      <c r="A39" s="572"/>
      <c r="B39" s="582"/>
      <c r="C39" s="579"/>
      <c r="D39" s="574"/>
      <c r="E39" s="576"/>
      <c r="F39" s="584"/>
    </row>
    <row r="40" spans="1:7" ht="13.8" thickBot="1">
      <c r="A40" s="572"/>
      <c r="B40" s="590"/>
      <c r="C40" s="575"/>
      <c r="D40" s="574"/>
      <c r="E40" s="576"/>
      <c r="F40" s="584"/>
    </row>
    <row r="41" spans="1:7">
      <c r="A41" s="591"/>
      <c r="B41" s="592"/>
      <c r="C41" s="594"/>
      <c r="D41" s="593"/>
      <c r="E41" s="595"/>
      <c r="F41" s="596"/>
    </row>
    <row r="42" spans="1:7">
      <c r="A42" s="597" t="s">
        <v>702</v>
      </c>
      <c r="B42" s="598" t="s">
        <v>282</v>
      </c>
      <c r="C42" s="600"/>
      <c r="D42" s="599"/>
      <c r="E42" s="601"/>
      <c r="F42" s="602">
        <f>SUM(F6:F40)</f>
        <v>2244.8000000000002</v>
      </c>
      <c r="G42" s="1203">
        <f>Elec_Est!F85</f>
        <v>2244.8000000000002</v>
      </c>
    </row>
    <row r="43" spans="1:7">
      <c r="A43" s="603"/>
      <c r="B43" s="604"/>
      <c r="C43" s="606"/>
      <c r="D43" s="605"/>
      <c r="E43" s="607"/>
      <c r="F43" s="608"/>
    </row>
    <row r="44" spans="1:7" ht="17.399999999999999">
      <c r="A44" s="609"/>
      <c r="B44" s="610"/>
      <c r="C44" s="551"/>
      <c r="D44" s="550"/>
      <c r="E44" s="552"/>
      <c r="F44" s="611"/>
    </row>
    <row r="45" spans="1:7">
      <c r="A45" s="612"/>
      <c r="B45" s="613"/>
      <c r="C45" s="558"/>
      <c r="D45" s="557"/>
      <c r="E45" s="559"/>
      <c r="F45" s="561"/>
    </row>
    <row r="46" spans="1:7">
      <c r="A46" s="612"/>
      <c r="B46" s="613"/>
      <c r="C46" s="558"/>
      <c r="D46" s="557"/>
      <c r="E46" s="559"/>
      <c r="F46" s="561"/>
    </row>
    <row r="47" spans="1:7">
      <c r="A47" s="597"/>
      <c r="B47" s="615"/>
      <c r="C47" s="564"/>
      <c r="D47" s="563"/>
      <c r="E47" s="565"/>
      <c r="F47" s="561"/>
    </row>
    <row r="48" spans="1:7" ht="13.8" thickBot="1">
      <c r="A48" s="616" t="s">
        <v>267</v>
      </c>
      <c r="B48" s="567"/>
      <c r="C48" s="569" t="s">
        <v>269</v>
      </c>
      <c r="D48" s="568" t="s">
        <v>259</v>
      </c>
      <c r="E48" s="570" t="s">
        <v>270</v>
      </c>
      <c r="F48" s="571" t="s">
        <v>260</v>
      </c>
    </row>
    <row r="49" spans="1:6">
      <c r="A49" s="572"/>
      <c r="B49" s="573"/>
      <c r="C49" s="575"/>
      <c r="D49" s="574"/>
      <c r="E49" s="576"/>
      <c r="F49" s="577"/>
    </row>
    <row r="50" spans="1:6">
      <c r="A50" s="572"/>
      <c r="B50" s="582"/>
      <c r="C50" s="579"/>
      <c r="D50" s="574"/>
      <c r="E50" s="576"/>
      <c r="F50" s="580"/>
    </row>
    <row r="51" spans="1:6" ht="26.4">
      <c r="A51" s="572">
        <v>11</v>
      </c>
      <c r="B51" s="582" t="s">
        <v>283</v>
      </c>
      <c r="C51" s="579">
        <v>1</v>
      </c>
      <c r="D51" s="574" t="s">
        <v>272</v>
      </c>
      <c r="E51" s="1298" t="str">
        <f>Elec_Est!Q90</f>
        <v>Refer to covering letter.</v>
      </c>
      <c r="F51" s="580"/>
    </row>
    <row r="52" spans="1:6">
      <c r="A52" s="572"/>
      <c r="B52" s="582"/>
      <c r="C52" s="579"/>
      <c r="D52" s="574"/>
      <c r="E52" s="576"/>
      <c r="F52" s="580"/>
    </row>
    <row r="53" spans="1:6">
      <c r="A53" s="572"/>
      <c r="B53" s="582"/>
      <c r="C53" s="579"/>
      <c r="D53" s="574"/>
      <c r="E53" s="576"/>
      <c r="F53" s="580"/>
    </row>
    <row r="54" spans="1:6">
      <c r="A54" s="572">
        <v>12</v>
      </c>
      <c r="B54" s="586" t="s">
        <v>284</v>
      </c>
      <c r="C54" s="587">
        <v>1</v>
      </c>
      <c r="D54" s="574" t="s">
        <v>272</v>
      </c>
      <c r="E54" s="576" t="str">
        <f>Elec_Est!Q97</f>
        <v>Included</v>
      </c>
      <c r="F54" s="580"/>
    </row>
    <row r="55" spans="1:6">
      <c r="A55" s="572"/>
      <c r="B55" s="586"/>
      <c r="C55" s="587"/>
      <c r="D55" s="574"/>
      <c r="E55" s="576"/>
      <c r="F55" s="580"/>
    </row>
    <row r="56" spans="1:6">
      <c r="A56" s="572"/>
      <c r="B56" s="586"/>
      <c r="C56" s="587"/>
      <c r="D56" s="574"/>
      <c r="E56" s="576"/>
      <c r="F56" s="580"/>
    </row>
    <row r="57" spans="1:6" ht="26.4">
      <c r="A57" s="1331">
        <v>13</v>
      </c>
      <c r="B57" s="1332" t="s">
        <v>285</v>
      </c>
      <c r="C57" s="1333">
        <v>1</v>
      </c>
      <c r="D57" s="1334" t="s">
        <v>272</v>
      </c>
      <c r="E57" s="1335">
        <f>Elec_Est!E104</f>
        <v>2623</v>
      </c>
      <c r="F57" s="1336">
        <f>E57*C57</f>
        <v>2623</v>
      </c>
    </row>
    <row r="58" spans="1:6">
      <c r="A58" s="572"/>
      <c r="B58" s="586"/>
      <c r="C58" s="587"/>
      <c r="D58" s="574"/>
      <c r="E58" s="576"/>
      <c r="F58" s="580"/>
    </row>
    <row r="59" spans="1:6">
      <c r="A59" s="572"/>
      <c r="B59" s="586"/>
      <c r="C59" s="587"/>
      <c r="D59" s="574"/>
      <c r="E59" s="576"/>
      <c r="F59" s="580"/>
    </row>
    <row r="60" spans="1:6" ht="26.4">
      <c r="A60" s="572">
        <v>14</v>
      </c>
      <c r="B60" s="586" t="s">
        <v>286</v>
      </c>
      <c r="C60" s="587">
        <v>1</v>
      </c>
      <c r="D60" s="574" t="s">
        <v>272</v>
      </c>
      <c r="E60" s="576" t="str">
        <f>Elec_Est!Q111</f>
        <v>Included</v>
      </c>
      <c r="F60" s="580"/>
    </row>
    <row r="61" spans="1:6">
      <c r="A61" s="572"/>
      <c r="B61" s="586"/>
      <c r="C61" s="587"/>
      <c r="D61" s="574"/>
      <c r="E61" s="576"/>
      <c r="F61" s="580"/>
    </row>
    <row r="62" spans="1:6">
      <c r="A62" s="572"/>
      <c r="B62" s="586"/>
      <c r="C62" s="587"/>
      <c r="D62" s="574"/>
      <c r="E62" s="576"/>
      <c r="F62" s="580"/>
    </row>
    <row r="63" spans="1:6" ht="26.4">
      <c r="A63" s="572">
        <v>15</v>
      </c>
      <c r="B63" s="586" t="s">
        <v>287</v>
      </c>
      <c r="C63" s="587">
        <v>1</v>
      </c>
      <c r="D63" s="574" t="s">
        <v>272</v>
      </c>
      <c r="E63" s="1298" t="str">
        <f>Elec_Est!Q118</f>
        <v>Refer to covering letter.</v>
      </c>
      <c r="F63" s="580"/>
    </row>
    <row r="64" spans="1:6">
      <c r="A64" s="572"/>
      <c r="B64" s="586"/>
      <c r="C64" s="587"/>
      <c r="D64" s="574"/>
      <c r="E64" s="576"/>
      <c r="F64" s="580"/>
    </row>
    <row r="65" spans="1:6">
      <c r="A65" s="572"/>
      <c r="B65" s="586"/>
      <c r="C65" s="587"/>
      <c r="D65" s="574"/>
      <c r="E65" s="576"/>
      <c r="F65" s="580"/>
    </row>
    <row r="66" spans="1:6">
      <c r="A66" s="1331">
        <v>16</v>
      </c>
      <c r="B66" s="1332" t="s">
        <v>288</v>
      </c>
      <c r="C66" s="1333">
        <v>1</v>
      </c>
      <c r="D66" s="1334" t="s">
        <v>272</v>
      </c>
      <c r="E66" s="1335">
        <f>Elec_Est!E125</f>
        <v>2913.72</v>
      </c>
      <c r="F66" s="1336">
        <f>E66*C66</f>
        <v>2913.72</v>
      </c>
    </row>
    <row r="67" spans="1:6">
      <c r="A67" s="572"/>
      <c r="B67" s="586"/>
      <c r="C67" s="587"/>
      <c r="D67" s="574"/>
      <c r="E67" s="576"/>
      <c r="F67" s="580"/>
    </row>
    <row r="68" spans="1:6">
      <c r="A68" s="572"/>
      <c r="B68" s="586"/>
      <c r="C68" s="587"/>
      <c r="D68" s="574"/>
      <c r="E68" s="576"/>
      <c r="F68" s="580"/>
    </row>
    <row r="69" spans="1:6" ht="26.4">
      <c r="A69" s="572">
        <v>17</v>
      </c>
      <c r="B69" s="617" t="s">
        <v>289</v>
      </c>
      <c r="C69" s="587">
        <v>1</v>
      </c>
      <c r="D69" s="574" t="s">
        <v>272</v>
      </c>
      <c r="E69" s="1298" t="str">
        <f>Elec_Est!Q132</f>
        <v>Refer to covering letter.</v>
      </c>
      <c r="F69" s="580"/>
    </row>
    <row r="70" spans="1:6">
      <c r="A70" s="572"/>
      <c r="B70" s="586"/>
      <c r="C70" s="587"/>
      <c r="D70" s="574"/>
      <c r="E70" s="576"/>
      <c r="F70" s="580"/>
    </row>
    <row r="71" spans="1:6">
      <c r="A71" s="572"/>
      <c r="B71" s="586"/>
      <c r="C71" s="587"/>
      <c r="D71" s="574"/>
      <c r="E71" s="576"/>
      <c r="F71" s="580"/>
    </row>
    <row r="72" spans="1:6">
      <c r="A72" s="572"/>
      <c r="B72" s="586"/>
      <c r="C72" s="587"/>
      <c r="D72" s="574"/>
      <c r="E72" s="576"/>
      <c r="F72" s="580"/>
    </row>
    <row r="73" spans="1:6">
      <c r="A73" s="572"/>
      <c r="B73" s="586"/>
      <c r="C73" s="587"/>
      <c r="D73" s="574"/>
      <c r="E73" s="576"/>
      <c r="F73" s="580"/>
    </row>
    <row r="74" spans="1:6">
      <c r="A74" s="572"/>
      <c r="B74" s="586"/>
      <c r="C74" s="587"/>
      <c r="D74" s="574"/>
      <c r="E74" s="576"/>
      <c r="F74" s="580"/>
    </row>
    <row r="75" spans="1:6">
      <c r="A75" s="572"/>
      <c r="B75" s="586"/>
      <c r="C75" s="587"/>
      <c r="D75" s="574"/>
      <c r="E75" s="576"/>
      <c r="F75" s="580"/>
    </row>
    <row r="76" spans="1:6">
      <c r="A76" s="572"/>
      <c r="B76" s="586"/>
      <c r="C76" s="587"/>
      <c r="D76" s="574"/>
      <c r="E76" s="576"/>
      <c r="F76" s="580"/>
    </row>
    <row r="77" spans="1:6">
      <c r="A77" s="572"/>
      <c r="B77" s="586"/>
      <c r="C77" s="587"/>
      <c r="D77" s="574"/>
      <c r="E77" s="576"/>
      <c r="F77" s="580"/>
    </row>
    <row r="78" spans="1:6">
      <c r="A78" s="572"/>
      <c r="B78" s="586"/>
      <c r="C78" s="587"/>
      <c r="D78" s="574"/>
      <c r="E78" s="576"/>
      <c r="F78" s="580"/>
    </row>
    <row r="79" spans="1:6">
      <c r="A79" s="572"/>
      <c r="B79" s="586"/>
      <c r="C79" s="587"/>
      <c r="D79" s="574"/>
      <c r="E79" s="576"/>
      <c r="F79" s="580"/>
    </row>
    <row r="80" spans="1:6">
      <c r="A80" s="572"/>
      <c r="B80" s="586"/>
      <c r="C80" s="587"/>
      <c r="D80" s="574"/>
      <c r="E80" s="576"/>
      <c r="F80" s="580"/>
    </row>
    <row r="81" spans="1:6">
      <c r="A81" s="572"/>
      <c r="B81" s="586"/>
      <c r="C81" s="587"/>
      <c r="D81" s="574"/>
      <c r="E81" s="576"/>
      <c r="F81" s="580"/>
    </row>
    <row r="82" spans="1:6">
      <c r="A82" s="572"/>
      <c r="B82" s="586"/>
      <c r="C82" s="587"/>
      <c r="D82" s="574"/>
      <c r="E82" s="576"/>
      <c r="F82" s="580"/>
    </row>
    <row r="83" spans="1:6">
      <c r="A83" s="572"/>
      <c r="B83" s="586"/>
      <c r="C83" s="587"/>
      <c r="D83" s="574"/>
      <c r="E83" s="576"/>
      <c r="F83" s="580"/>
    </row>
    <row r="84" spans="1:6">
      <c r="A84" s="572"/>
      <c r="B84" s="586"/>
      <c r="C84" s="587"/>
      <c r="D84" s="574"/>
      <c r="E84" s="576"/>
      <c r="F84" s="580"/>
    </row>
    <row r="85" spans="1:6">
      <c r="A85" s="572"/>
      <c r="B85" s="586"/>
      <c r="C85" s="587"/>
      <c r="D85" s="574"/>
      <c r="E85" s="576"/>
      <c r="F85" s="580"/>
    </row>
    <row r="86" spans="1:6">
      <c r="A86" s="572"/>
      <c r="B86" s="586"/>
      <c r="C86" s="587"/>
      <c r="D86" s="574"/>
      <c r="E86" s="576"/>
      <c r="F86" s="580"/>
    </row>
    <row r="87" spans="1:6">
      <c r="A87" s="572"/>
      <c r="B87" s="586"/>
      <c r="C87" s="587"/>
      <c r="D87" s="574"/>
      <c r="E87" s="576"/>
      <c r="F87" s="580"/>
    </row>
    <row r="88" spans="1:6">
      <c r="A88" s="572"/>
      <c r="B88" s="586"/>
      <c r="C88" s="587"/>
      <c r="D88" s="574"/>
      <c r="E88" s="576"/>
      <c r="F88" s="580"/>
    </row>
    <row r="89" spans="1:6">
      <c r="A89" s="572"/>
      <c r="B89" s="586"/>
      <c r="C89" s="587"/>
      <c r="D89" s="574"/>
      <c r="E89" s="576"/>
      <c r="F89" s="580"/>
    </row>
    <row r="90" spans="1:6">
      <c r="A90" s="572"/>
      <c r="B90" s="586"/>
      <c r="C90" s="587"/>
      <c r="D90" s="574"/>
      <c r="E90" s="576"/>
      <c r="F90" s="580"/>
    </row>
    <row r="91" spans="1:6">
      <c r="A91" s="572"/>
      <c r="B91" s="586"/>
      <c r="C91" s="587"/>
      <c r="D91" s="574"/>
      <c r="E91" s="576"/>
      <c r="F91" s="580"/>
    </row>
    <row r="92" spans="1:6">
      <c r="A92" s="572"/>
      <c r="B92" s="586"/>
      <c r="C92" s="587"/>
      <c r="D92" s="574"/>
      <c r="E92" s="576"/>
      <c r="F92" s="580"/>
    </row>
    <row r="93" spans="1:6">
      <c r="A93" s="572"/>
      <c r="B93" s="586"/>
      <c r="C93" s="587"/>
      <c r="D93" s="574"/>
      <c r="E93" s="576"/>
      <c r="F93" s="577"/>
    </row>
    <row r="94" spans="1:6">
      <c r="A94" s="572"/>
      <c r="B94" s="586"/>
      <c r="C94" s="587"/>
      <c r="D94" s="574"/>
      <c r="E94" s="576"/>
      <c r="F94" s="577"/>
    </row>
    <row r="95" spans="1:6" ht="13.8" thickBot="1">
      <c r="A95" s="572"/>
      <c r="B95" s="573"/>
      <c r="C95" s="575"/>
      <c r="D95" s="574"/>
      <c r="E95" s="576"/>
      <c r="F95" s="577"/>
    </row>
    <row r="96" spans="1:6">
      <c r="A96" s="591"/>
      <c r="B96" s="592"/>
      <c r="C96" s="594"/>
      <c r="D96" s="593"/>
      <c r="E96" s="595"/>
      <c r="F96" s="596"/>
    </row>
    <row r="97" spans="1:7">
      <c r="A97" s="597" t="s">
        <v>702</v>
      </c>
      <c r="B97" s="598" t="s">
        <v>282</v>
      </c>
      <c r="C97" s="600"/>
      <c r="D97" s="599"/>
      <c r="E97" s="601"/>
      <c r="F97" s="602">
        <f>SUM(F49:F95)</f>
        <v>5536.7199999999993</v>
      </c>
      <c r="G97" s="1203">
        <f>Elec_Est!F141</f>
        <v>5536.7199999999993</v>
      </c>
    </row>
    <row r="98" spans="1:7">
      <c r="A98" s="603"/>
      <c r="B98" s="604"/>
      <c r="C98" s="606"/>
      <c r="D98" s="605"/>
      <c r="E98" s="607"/>
      <c r="F98" s="60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J1790"/>
  <sheetViews>
    <sheetView topLeftCell="A201" workbookViewId="0">
      <selection activeCell="B249" sqref="B249"/>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1202"/>
    <col min="8" max="16384" width="9.109375" style="554"/>
  </cols>
  <sheetData>
    <row r="1" spans="1:6">
      <c r="A1" s="855" t="s">
        <v>265</v>
      </c>
      <c r="B1" s="549"/>
      <c r="C1" s="549"/>
      <c r="D1" s="549"/>
      <c r="E1" s="622"/>
      <c r="F1" s="623"/>
    </row>
    <row r="2" spans="1:6">
      <c r="A2" s="856" t="s">
        <v>290</v>
      </c>
      <c r="B2" s="556"/>
      <c r="C2" s="556"/>
      <c r="D2" s="556"/>
      <c r="E2" s="624"/>
      <c r="F2" s="625"/>
    </row>
    <row r="3" spans="1:6">
      <c r="A3" s="555"/>
      <c r="B3" s="556"/>
      <c r="C3" s="556"/>
      <c r="D3" s="556"/>
      <c r="E3" s="624"/>
      <c r="F3" s="625"/>
    </row>
    <row r="4" spans="1:6">
      <c r="A4" s="562"/>
      <c r="B4" s="563"/>
      <c r="C4" s="564"/>
      <c r="D4" s="563"/>
      <c r="E4" s="626"/>
      <c r="F4" s="561"/>
    </row>
    <row r="5" spans="1:6" ht="13.8" thickBot="1">
      <c r="A5" s="858" t="s">
        <v>267</v>
      </c>
      <c r="B5" s="857" t="s">
        <v>268</v>
      </c>
      <c r="C5" s="569" t="s">
        <v>269</v>
      </c>
      <c r="D5" s="568" t="s">
        <v>259</v>
      </c>
      <c r="E5" s="570" t="s">
        <v>270</v>
      </c>
      <c r="F5" s="571" t="s">
        <v>260</v>
      </c>
    </row>
    <row r="6" spans="1:6">
      <c r="A6" s="859" t="s">
        <v>675</v>
      </c>
      <c r="B6" s="628"/>
      <c r="C6" s="630"/>
      <c r="D6" s="629"/>
      <c r="E6" s="631"/>
      <c r="F6" s="596"/>
    </row>
    <row r="7" spans="1:6" ht="15.6">
      <c r="A7" s="860" t="s">
        <v>703</v>
      </c>
      <c r="B7" s="634" t="s">
        <v>291</v>
      </c>
      <c r="C7" s="636"/>
      <c r="D7" s="635"/>
      <c r="E7" s="637"/>
      <c r="F7" s="577"/>
    </row>
    <row r="8" spans="1:6">
      <c r="A8" s="860" t="s">
        <v>675</v>
      </c>
      <c r="B8" s="638"/>
      <c r="C8" s="636"/>
      <c r="D8" s="635"/>
      <c r="E8" s="637"/>
      <c r="F8" s="577"/>
    </row>
    <row r="9" spans="1:6">
      <c r="A9" s="860" t="s">
        <v>703</v>
      </c>
      <c r="B9" s="639" t="s">
        <v>292</v>
      </c>
      <c r="C9" s="636"/>
      <c r="D9" s="574"/>
      <c r="E9" s="583"/>
      <c r="F9" s="580"/>
    </row>
    <row r="10" spans="1:6">
      <c r="A10" s="746" t="s">
        <v>675</v>
      </c>
      <c r="B10" s="638"/>
      <c r="C10" s="636"/>
      <c r="D10" s="574"/>
      <c r="E10" s="583"/>
      <c r="F10" s="580"/>
    </row>
    <row r="11" spans="1:6" ht="24.6" customHeight="1">
      <c r="A11" s="747" t="s">
        <v>705</v>
      </c>
      <c r="B11" s="582" t="s">
        <v>293</v>
      </c>
      <c r="C11" s="636"/>
      <c r="D11" s="574"/>
      <c r="E11" s="583"/>
      <c r="F11" s="580"/>
    </row>
    <row r="12" spans="1:6">
      <c r="A12" s="746" t="s">
        <v>675</v>
      </c>
      <c r="B12" s="638"/>
      <c r="C12" s="636"/>
      <c r="D12" s="574"/>
      <c r="E12" s="583"/>
      <c r="F12" s="580"/>
    </row>
    <row r="13" spans="1:6" ht="26.4">
      <c r="A13" s="861" t="s">
        <v>294</v>
      </c>
      <c r="B13" s="586" t="s">
        <v>295</v>
      </c>
      <c r="C13" s="575">
        <v>1</v>
      </c>
      <c r="D13" s="574" t="s">
        <v>272</v>
      </c>
      <c r="E13" s="576">
        <f>Elec_Est!E168</f>
        <v>1256.56</v>
      </c>
      <c r="F13" s="580">
        <f>E13*C13</f>
        <v>1256.56</v>
      </c>
    </row>
    <row r="14" spans="1:6">
      <c r="A14" s="861" t="s">
        <v>675</v>
      </c>
      <c r="B14" s="586"/>
      <c r="C14" s="575"/>
      <c r="D14" s="574"/>
      <c r="E14" s="576"/>
      <c r="F14" s="580"/>
    </row>
    <row r="15" spans="1:6" ht="26.4">
      <c r="A15" s="861" t="s">
        <v>296</v>
      </c>
      <c r="B15" s="586" t="s">
        <v>297</v>
      </c>
      <c r="C15" s="575">
        <v>1</v>
      </c>
      <c r="D15" s="574" t="s">
        <v>272</v>
      </c>
      <c r="E15" s="576">
        <f>Elec_Est!E174</f>
        <v>8432.7099999999991</v>
      </c>
      <c r="F15" s="580">
        <f>E15*C15</f>
        <v>8432.7099999999991</v>
      </c>
    </row>
    <row r="16" spans="1:6">
      <c r="A16" s="861" t="s">
        <v>675</v>
      </c>
      <c r="B16" s="586"/>
      <c r="C16" s="575"/>
      <c r="D16" s="574"/>
      <c r="E16" s="576"/>
      <c r="F16" s="580"/>
    </row>
    <row r="17" spans="1:6">
      <c r="A17" s="861" t="s">
        <v>298</v>
      </c>
      <c r="B17" s="586" t="s">
        <v>299</v>
      </c>
      <c r="C17" s="575">
        <v>1</v>
      </c>
      <c r="D17" s="574" t="s">
        <v>272</v>
      </c>
      <c r="E17" s="576">
        <f>Elec_Est!E181</f>
        <v>15258.49</v>
      </c>
      <c r="F17" s="580">
        <f>E17*C17</f>
        <v>15258.49</v>
      </c>
    </row>
    <row r="18" spans="1:6">
      <c r="A18" s="861" t="s">
        <v>675</v>
      </c>
      <c r="B18" s="586"/>
      <c r="C18" s="575"/>
      <c r="D18" s="574"/>
      <c r="E18" s="576"/>
      <c r="F18" s="580"/>
    </row>
    <row r="19" spans="1:6">
      <c r="A19" s="861" t="s">
        <v>300</v>
      </c>
      <c r="B19" s="586" t="s">
        <v>301</v>
      </c>
      <c r="C19" s="575">
        <v>1</v>
      </c>
      <c r="D19" s="574" t="s">
        <v>272</v>
      </c>
      <c r="E19" s="576">
        <f>Elec_Est!E188</f>
        <v>4016.24</v>
      </c>
      <c r="F19" s="580">
        <f>E19*C19</f>
        <v>4016.24</v>
      </c>
    </row>
    <row r="20" spans="1:6">
      <c r="A20" s="861" t="s">
        <v>675</v>
      </c>
      <c r="B20" s="586"/>
      <c r="C20" s="575"/>
      <c r="D20" s="574"/>
      <c r="E20" s="576"/>
      <c r="F20" s="580"/>
    </row>
    <row r="21" spans="1:6" ht="26.4">
      <c r="A21" s="861" t="s">
        <v>302</v>
      </c>
      <c r="B21" s="586" t="s">
        <v>303</v>
      </c>
      <c r="C21" s="575">
        <v>1</v>
      </c>
      <c r="D21" s="574" t="s">
        <v>272</v>
      </c>
      <c r="E21" s="576">
        <f>Elec_Est!E194</f>
        <v>7182.43</v>
      </c>
      <c r="F21" s="580">
        <f>E21*C21</f>
        <v>7182.43</v>
      </c>
    </row>
    <row r="22" spans="1:6">
      <c r="A22" s="746" t="s">
        <v>675</v>
      </c>
      <c r="B22" s="586"/>
      <c r="C22" s="575"/>
      <c r="D22" s="574"/>
      <c r="E22" s="576"/>
      <c r="F22" s="580"/>
    </row>
    <row r="23" spans="1:6">
      <c r="A23" s="746" t="s">
        <v>675</v>
      </c>
      <c r="B23" s="586"/>
      <c r="C23" s="575"/>
      <c r="D23" s="574"/>
      <c r="E23" s="576"/>
      <c r="F23" s="580"/>
    </row>
    <row r="24" spans="1:6" ht="26.4">
      <c r="A24" s="747" t="s">
        <v>706</v>
      </c>
      <c r="B24" s="582" t="s">
        <v>304</v>
      </c>
      <c r="C24" s="575"/>
      <c r="D24" s="574"/>
      <c r="E24" s="576"/>
      <c r="F24" s="580"/>
    </row>
    <row r="25" spans="1:6">
      <c r="A25" s="746" t="s">
        <v>675</v>
      </c>
      <c r="B25" s="586"/>
      <c r="C25" s="575"/>
      <c r="D25" s="574"/>
      <c r="E25" s="576"/>
      <c r="F25" s="580"/>
    </row>
    <row r="26" spans="1:6" ht="26.4">
      <c r="A26" s="861" t="s">
        <v>294</v>
      </c>
      <c r="B26" s="586" t="s">
        <v>295</v>
      </c>
      <c r="C26" s="575">
        <v>1</v>
      </c>
      <c r="D26" s="574" t="s">
        <v>272</v>
      </c>
      <c r="E26" s="576">
        <f>Elec_Est!E204</f>
        <v>204.92</v>
      </c>
      <c r="F26" s="580">
        <f>E26*C26</f>
        <v>204.92</v>
      </c>
    </row>
    <row r="27" spans="1:6">
      <c r="A27" s="861" t="s">
        <v>675</v>
      </c>
      <c r="B27" s="586"/>
      <c r="C27" s="575"/>
      <c r="D27" s="574"/>
      <c r="E27" s="576"/>
      <c r="F27" s="580"/>
    </row>
    <row r="28" spans="1:6" ht="26.4">
      <c r="A28" s="861" t="s">
        <v>296</v>
      </c>
      <c r="B28" s="586" t="s">
        <v>297</v>
      </c>
      <c r="C28" s="575">
        <v>1</v>
      </c>
      <c r="D28" s="574" t="s">
        <v>272</v>
      </c>
      <c r="E28" s="576">
        <f>Elec_Est!E213</f>
        <v>940.25</v>
      </c>
      <c r="F28" s="580">
        <f>E28*C28</f>
        <v>940.25</v>
      </c>
    </row>
    <row r="29" spans="1:6">
      <c r="A29" s="861" t="s">
        <v>675</v>
      </c>
      <c r="B29" s="586"/>
      <c r="C29" s="575"/>
      <c r="D29" s="574"/>
      <c r="E29" s="576"/>
      <c r="F29" s="580"/>
    </row>
    <row r="30" spans="1:6">
      <c r="A30" s="861" t="s">
        <v>298</v>
      </c>
      <c r="B30" s="586" t="s">
        <v>299</v>
      </c>
      <c r="C30" s="575">
        <v>1</v>
      </c>
      <c r="D30" s="574" t="s">
        <v>272</v>
      </c>
      <c r="E30" s="576">
        <f>Elec_Est!E226</f>
        <v>1198.79</v>
      </c>
      <c r="F30" s="580">
        <f>E30*C30</f>
        <v>1198.79</v>
      </c>
    </row>
    <row r="31" spans="1:6">
      <c r="A31" s="861" t="s">
        <v>675</v>
      </c>
      <c r="B31" s="586"/>
      <c r="C31" s="575"/>
      <c r="D31" s="574"/>
      <c r="E31" s="576"/>
      <c r="F31" s="580"/>
    </row>
    <row r="32" spans="1:6">
      <c r="A32" s="861" t="s">
        <v>300</v>
      </c>
      <c r="B32" s="586" t="s">
        <v>301</v>
      </c>
      <c r="C32" s="575">
        <v>1</v>
      </c>
      <c r="D32" s="574" t="s">
        <v>272</v>
      </c>
      <c r="E32" s="576">
        <f>Elec_Est!E239</f>
        <v>462.67</v>
      </c>
      <c r="F32" s="580">
        <f>E32*C32</f>
        <v>462.67</v>
      </c>
    </row>
    <row r="33" spans="1:6">
      <c r="A33" s="861" t="s">
        <v>675</v>
      </c>
      <c r="B33" s="586"/>
      <c r="C33" s="575"/>
      <c r="D33" s="574"/>
      <c r="E33" s="576"/>
      <c r="F33" s="580"/>
    </row>
    <row r="34" spans="1:6" ht="26.4">
      <c r="A34" s="861" t="s">
        <v>302</v>
      </c>
      <c r="B34" s="586" t="s">
        <v>303</v>
      </c>
      <c r="C34" s="575">
        <v>1</v>
      </c>
      <c r="D34" s="574" t="s">
        <v>272</v>
      </c>
      <c r="E34" s="576">
        <f>Elec_Est!E248</f>
        <v>915.41</v>
      </c>
      <c r="F34" s="580">
        <f>E34*C34</f>
        <v>915.41</v>
      </c>
    </row>
    <row r="35" spans="1:6">
      <c r="A35" s="746" t="s">
        <v>675</v>
      </c>
      <c r="B35" s="586"/>
      <c r="C35" s="575"/>
      <c r="D35" s="574"/>
      <c r="E35" s="583"/>
      <c r="F35" s="580"/>
    </row>
    <row r="36" spans="1:6">
      <c r="A36" s="746" t="s">
        <v>675</v>
      </c>
      <c r="B36" s="586"/>
      <c r="C36" s="575"/>
      <c r="D36" s="574"/>
      <c r="E36" s="583"/>
      <c r="F36" s="580"/>
    </row>
    <row r="37" spans="1:6">
      <c r="A37" s="747" t="s">
        <v>675</v>
      </c>
      <c r="B37" s="586"/>
      <c r="C37" s="575"/>
      <c r="D37" s="574"/>
      <c r="E37" s="583"/>
      <c r="F37" s="580"/>
    </row>
    <row r="38" spans="1:6">
      <c r="A38" s="747" t="s">
        <v>675</v>
      </c>
      <c r="B38" s="586"/>
      <c r="C38" s="575"/>
      <c r="D38" s="574"/>
      <c r="E38" s="583"/>
      <c r="F38" s="580"/>
    </row>
    <row r="39" spans="1:6">
      <c r="A39" s="747" t="s">
        <v>675</v>
      </c>
      <c r="B39" s="586"/>
      <c r="C39" s="575"/>
      <c r="D39" s="574"/>
      <c r="E39" s="583"/>
      <c r="F39" s="580"/>
    </row>
    <row r="40" spans="1:6">
      <c r="A40" s="747" t="s">
        <v>675</v>
      </c>
      <c r="B40" s="586"/>
      <c r="C40" s="575"/>
      <c r="D40" s="574"/>
      <c r="E40" s="583"/>
      <c r="F40" s="580"/>
    </row>
    <row r="41" spans="1:6">
      <c r="A41" s="747" t="s">
        <v>675</v>
      </c>
      <c r="B41" s="586"/>
      <c r="C41" s="575"/>
      <c r="D41" s="574"/>
      <c r="E41" s="583"/>
      <c r="F41" s="580"/>
    </row>
    <row r="42" spans="1:6">
      <c r="A42" s="747" t="s">
        <v>675</v>
      </c>
      <c r="B42" s="586"/>
      <c r="C42" s="575"/>
      <c r="D42" s="574"/>
      <c r="E42" s="583"/>
      <c r="F42" s="580"/>
    </row>
    <row r="43" spans="1:6">
      <c r="A43" s="747" t="s">
        <v>675</v>
      </c>
      <c r="B43" s="586"/>
      <c r="C43" s="575"/>
      <c r="D43" s="574"/>
      <c r="E43" s="583"/>
      <c r="F43" s="580"/>
    </row>
    <row r="44" spans="1:6" ht="12.75" customHeight="1">
      <c r="A44" s="747" t="s">
        <v>675</v>
      </c>
      <c r="B44" s="586"/>
      <c r="C44" s="575"/>
      <c r="D44" s="574"/>
      <c r="E44" s="583"/>
      <c r="F44" s="580"/>
    </row>
    <row r="45" spans="1:6">
      <c r="A45" s="747" t="s">
        <v>675</v>
      </c>
      <c r="B45" s="586"/>
      <c r="C45" s="575"/>
      <c r="D45" s="635"/>
      <c r="E45" s="583"/>
      <c r="F45" s="580"/>
    </row>
    <row r="46" spans="1:6">
      <c r="A46" s="747" t="s">
        <v>675</v>
      </c>
      <c r="B46" s="586"/>
      <c r="C46" s="575"/>
      <c r="D46" s="574"/>
      <c r="E46" s="583"/>
      <c r="F46" s="580"/>
    </row>
    <row r="47" spans="1:6">
      <c r="A47" s="747" t="s">
        <v>675</v>
      </c>
      <c r="B47" s="586"/>
      <c r="C47" s="575"/>
      <c r="D47" s="574"/>
      <c r="E47" s="583"/>
      <c r="F47" s="580"/>
    </row>
    <row r="48" spans="1:6">
      <c r="A48" s="746" t="s">
        <v>675</v>
      </c>
      <c r="B48" s="586"/>
      <c r="C48" s="575"/>
      <c r="D48" s="635"/>
      <c r="E48" s="583"/>
      <c r="F48" s="580"/>
    </row>
    <row r="49" spans="1:8" ht="13.8" thickBot="1">
      <c r="A49" s="747" t="s">
        <v>675</v>
      </c>
      <c r="B49" s="642"/>
      <c r="C49" s="575"/>
      <c r="D49" s="574"/>
      <c r="E49" s="576"/>
      <c r="F49" s="580"/>
    </row>
    <row r="50" spans="1:8">
      <c r="A50" s="862" t="s">
        <v>675</v>
      </c>
      <c r="B50" s="592"/>
      <c r="C50" s="594"/>
      <c r="D50" s="593"/>
      <c r="E50" s="643"/>
      <c r="F50" s="596"/>
    </row>
    <row r="51" spans="1:8">
      <c r="A51" s="863" t="s">
        <v>702</v>
      </c>
      <c r="B51" s="598" t="s">
        <v>282</v>
      </c>
      <c r="C51" s="600"/>
      <c r="D51" s="599"/>
      <c r="E51" s="601"/>
      <c r="F51" s="602">
        <f>SUM(F6:F49)</f>
        <v>39868.47</v>
      </c>
      <c r="G51" s="1202">
        <f>Elec_Est!F258</f>
        <v>39868.47</v>
      </c>
      <c r="H51" s="1203">
        <f>F51-G51</f>
        <v>0</v>
      </c>
    </row>
    <row r="52" spans="1:8">
      <c r="A52" s="864" t="s">
        <v>675</v>
      </c>
      <c r="B52" s="604"/>
      <c r="C52" s="606"/>
      <c r="D52" s="605"/>
      <c r="E52" s="644"/>
      <c r="F52" s="608"/>
    </row>
    <row r="53" spans="1:8" ht="17.399999999999999">
      <c r="A53" s="609" t="s">
        <v>675</v>
      </c>
      <c r="B53" s="610"/>
      <c r="C53" s="551"/>
      <c r="D53" s="550"/>
      <c r="E53" s="645"/>
      <c r="F53" s="611"/>
    </row>
    <row r="54" spans="1:8" ht="12.75" customHeight="1">
      <c r="A54" s="612" t="s">
        <v>675</v>
      </c>
      <c r="B54" s="646"/>
      <c r="C54" s="648"/>
      <c r="D54" s="647"/>
      <c r="E54" s="649"/>
      <c r="F54" s="650"/>
    </row>
    <row r="55" spans="1:8" ht="12.75" customHeight="1">
      <c r="A55" s="612" t="s">
        <v>675</v>
      </c>
      <c r="B55" s="646"/>
      <c r="C55" s="648"/>
      <c r="D55" s="647"/>
      <c r="E55" s="649"/>
      <c r="F55" s="650"/>
    </row>
    <row r="56" spans="1:8" ht="13.2" customHeight="1">
      <c r="A56" s="603" t="s">
        <v>675</v>
      </c>
      <c r="B56" s="604"/>
      <c r="C56" s="606"/>
      <c r="D56" s="605"/>
      <c r="E56" s="644"/>
      <c r="F56" s="651"/>
    </row>
    <row r="57" spans="1:8" ht="13.8" thickBot="1">
      <c r="A57" s="616" t="s">
        <v>267</v>
      </c>
      <c r="B57" s="652" t="s">
        <v>268</v>
      </c>
      <c r="C57" s="569" t="s">
        <v>269</v>
      </c>
      <c r="D57" s="568" t="s">
        <v>259</v>
      </c>
      <c r="E57" s="570" t="s">
        <v>270</v>
      </c>
      <c r="F57" s="571" t="s">
        <v>260</v>
      </c>
    </row>
    <row r="58" spans="1:8">
      <c r="A58" s="653" t="s">
        <v>675</v>
      </c>
      <c r="B58" s="642"/>
      <c r="C58" s="656"/>
      <c r="D58" s="655"/>
      <c r="E58" s="657"/>
      <c r="F58" s="577"/>
    </row>
    <row r="59" spans="1:8">
      <c r="A59" s="572" t="s">
        <v>703</v>
      </c>
      <c r="B59" s="578" t="s">
        <v>305</v>
      </c>
      <c r="C59" s="575"/>
      <c r="D59" s="574"/>
      <c r="E59" s="576"/>
      <c r="F59" s="580"/>
    </row>
    <row r="60" spans="1:8">
      <c r="A60" s="572" t="s">
        <v>675</v>
      </c>
      <c r="B60" s="658"/>
      <c r="C60" s="575"/>
      <c r="D60" s="574"/>
      <c r="E60" s="576"/>
      <c r="F60" s="580"/>
    </row>
    <row r="61" spans="1:8" ht="39.6">
      <c r="A61" s="572" t="s">
        <v>704</v>
      </c>
      <c r="B61" s="706" t="s">
        <v>687</v>
      </c>
      <c r="C61" s="575"/>
      <c r="D61" s="574"/>
      <c r="E61" s="576"/>
      <c r="F61" s="580"/>
    </row>
    <row r="62" spans="1:8">
      <c r="A62" s="660" t="s">
        <v>675</v>
      </c>
      <c r="B62" s="659"/>
      <c r="C62" s="575"/>
      <c r="D62" s="574"/>
      <c r="E62" s="576"/>
      <c r="F62" s="580"/>
    </row>
    <row r="63" spans="1:8">
      <c r="A63" s="572" t="s">
        <v>675</v>
      </c>
      <c r="B63" s="866"/>
      <c r="C63" s="575"/>
      <c r="D63" s="574"/>
      <c r="E63" s="576"/>
      <c r="F63" s="580"/>
    </row>
    <row r="64" spans="1:8">
      <c r="A64" s="572" t="s">
        <v>675</v>
      </c>
      <c r="B64" s="642"/>
      <c r="C64" s="575"/>
      <c r="D64" s="574"/>
      <c r="E64" s="576"/>
      <c r="F64" s="580"/>
    </row>
    <row r="65" spans="1:6">
      <c r="C65" s="575"/>
      <c r="D65" s="574"/>
      <c r="E65" s="576"/>
      <c r="F65" s="580"/>
    </row>
    <row r="66" spans="1:6" ht="26.4">
      <c r="A66" s="572" t="s">
        <v>294</v>
      </c>
      <c r="B66" s="706" t="s">
        <v>688</v>
      </c>
      <c r="C66" s="575">
        <v>35</v>
      </c>
      <c r="D66" s="661" t="s">
        <v>306</v>
      </c>
      <c r="E66" s="576">
        <f ca="1">Elec_Est!E271</f>
        <v>124.11</v>
      </c>
      <c r="F66" s="580">
        <f ca="1">E66*C66</f>
        <v>4343.8500000000004</v>
      </c>
    </row>
    <row r="67" spans="1:6">
      <c r="A67" s="654" t="s">
        <v>675</v>
      </c>
      <c r="B67" s="642"/>
      <c r="C67" s="656"/>
      <c r="D67" s="655"/>
      <c r="E67" s="662"/>
      <c r="F67" s="580"/>
    </row>
    <row r="68" spans="1:6">
      <c r="C68" s="575"/>
      <c r="D68" s="574"/>
      <c r="E68" s="576"/>
      <c r="F68" s="580"/>
    </row>
    <row r="69" spans="1:6" ht="26.4">
      <c r="A69" s="572" t="s">
        <v>296</v>
      </c>
      <c r="B69" s="706" t="s">
        <v>689</v>
      </c>
      <c r="C69" s="575">
        <v>65</v>
      </c>
      <c r="D69" s="661" t="s">
        <v>306</v>
      </c>
      <c r="E69" s="576">
        <f ca="1">Elec_Est!E278</f>
        <v>96.07</v>
      </c>
      <c r="F69" s="580">
        <f ca="1">E69*C69</f>
        <v>6244.5499999999993</v>
      </c>
    </row>
    <row r="70" spans="1:6">
      <c r="A70" s="572" t="s">
        <v>675</v>
      </c>
      <c r="B70" s="614"/>
      <c r="C70" s="575"/>
      <c r="D70" s="661"/>
      <c r="E70" s="576"/>
      <c r="F70" s="580"/>
    </row>
    <row r="71" spans="1:6">
      <c r="C71" s="575"/>
      <c r="D71" s="661"/>
      <c r="E71" s="576"/>
      <c r="F71" s="580"/>
    </row>
    <row r="72" spans="1:6" ht="26.4">
      <c r="A72" s="572" t="s">
        <v>298</v>
      </c>
      <c r="B72" s="706" t="s">
        <v>690</v>
      </c>
      <c r="C72" s="575">
        <v>10</v>
      </c>
      <c r="D72" s="661" t="s">
        <v>306</v>
      </c>
      <c r="E72" s="576">
        <f ca="1">Elec_Est!E285</f>
        <v>96.07</v>
      </c>
      <c r="F72" s="580">
        <f ca="1">E72*C72</f>
        <v>960.69999999999993</v>
      </c>
    </row>
    <row r="73" spans="1:6">
      <c r="A73" s="572" t="s">
        <v>675</v>
      </c>
      <c r="B73" s="614"/>
      <c r="C73" s="575"/>
      <c r="D73" s="661"/>
      <c r="E73" s="576"/>
      <c r="F73" s="580"/>
    </row>
    <row r="74" spans="1:6">
      <c r="C74" s="575"/>
      <c r="D74" s="661"/>
      <c r="E74" s="576"/>
      <c r="F74" s="580"/>
    </row>
    <row r="75" spans="1:6" ht="26.4">
      <c r="A75" s="572" t="s">
        <v>300</v>
      </c>
      <c r="B75" s="706" t="s">
        <v>691</v>
      </c>
      <c r="C75" s="575">
        <v>10</v>
      </c>
      <c r="D75" s="661" t="s">
        <v>306</v>
      </c>
      <c r="E75" s="576">
        <f ca="1">Elec_Est!E292</f>
        <v>96.07</v>
      </c>
      <c r="F75" s="580">
        <f ca="1">E75*C75</f>
        <v>960.69999999999993</v>
      </c>
    </row>
    <row r="76" spans="1:6">
      <c r="A76" s="572" t="s">
        <v>675</v>
      </c>
      <c r="B76" s="614"/>
      <c r="C76" s="575"/>
      <c r="D76" s="661"/>
      <c r="E76" s="576"/>
      <c r="F76" s="580"/>
    </row>
    <row r="77" spans="1:6">
      <c r="C77" s="575"/>
      <c r="D77" s="661"/>
      <c r="E77" s="576"/>
      <c r="F77" s="580"/>
    </row>
    <row r="78" spans="1:6" ht="26.4">
      <c r="A78" s="572" t="s">
        <v>302</v>
      </c>
      <c r="B78" s="706" t="s">
        <v>692</v>
      </c>
      <c r="C78" s="575">
        <v>10</v>
      </c>
      <c r="D78" s="661" t="s">
        <v>306</v>
      </c>
      <c r="E78" s="576">
        <f ca="1">Elec_Est!E299</f>
        <v>73.209999999999994</v>
      </c>
      <c r="F78" s="580">
        <f ca="1">E78*C78</f>
        <v>732.09999999999991</v>
      </c>
    </row>
    <row r="79" spans="1:6">
      <c r="A79" s="572" t="s">
        <v>675</v>
      </c>
      <c r="B79" s="614"/>
      <c r="C79" s="575"/>
      <c r="D79" s="574"/>
      <c r="E79" s="576"/>
      <c r="F79" s="580"/>
    </row>
    <row r="80" spans="1:6">
      <c r="C80" s="575"/>
      <c r="D80" s="661"/>
      <c r="E80" s="576"/>
      <c r="F80" s="580"/>
    </row>
    <row r="81" spans="1:6" ht="26.4">
      <c r="A81" s="572" t="s">
        <v>307</v>
      </c>
      <c r="B81" s="706" t="s">
        <v>693</v>
      </c>
      <c r="C81" s="575">
        <v>54</v>
      </c>
      <c r="D81" s="661" t="s">
        <v>306</v>
      </c>
      <c r="E81" s="576">
        <f ca="1">Elec_Est!E306</f>
        <v>24.84</v>
      </c>
      <c r="F81" s="580">
        <f ca="1">E81*C81</f>
        <v>1341.36</v>
      </c>
    </row>
    <row r="82" spans="1:6">
      <c r="A82" s="572" t="s">
        <v>675</v>
      </c>
      <c r="B82" s="614"/>
      <c r="C82" s="575"/>
      <c r="D82" s="574"/>
      <c r="E82" s="576"/>
      <c r="F82" s="580"/>
    </row>
    <row r="83" spans="1:6">
      <c r="C83" s="575"/>
      <c r="D83" s="574"/>
      <c r="E83" s="576"/>
      <c r="F83" s="580"/>
    </row>
    <row r="84" spans="1:6" ht="26.4">
      <c r="A84" s="572" t="s">
        <v>308</v>
      </c>
      <c r="B84" s="706" t="s">
        <v>694</v>
      </c>
      <c r="C84" s="575">
        <v>55</v>
      </c>
      <c r="D84" s="661" t="s">
        <v>306</v>
      </c>
      <c r="E84" s="576">
        <f ca="1">Elec_Est!E313</f>
        <v>23.58</v>
      </c>
      <c r="F84" s="580">
        <f ca="1">E84*C84</f>
        <v>1296.8999999999999</v>
      </c>
    </row>
    <row r="85" spans="1:6">
      <c r="A85" s="572" t="s">
        <v>675</v>
      </c>
      <c r="B85" s="614"/>
      <c r="C85" s="575"/>
      <c r="D85" s="661"/>
      <c r="E85" s="576"/>
      <c r="F85" s="580"/>
    </row>
    <row r="86" spans="1:6">
      <c r="C86" s="575"/>
      <c r="D86" s="663"/>
      <c r="E86" s="576"/>
      <c r="F86" s="580"/>
    </row>
    <row r="87" spans="1:6" ht="26.4">
      <c r="A87" s="572" t="s">
        <v>309</v>
      </c>
      <c r="B87" s="706" t="s">
        <v>695</v>
      </c>
      <c r="C87" s="575">
        <v>20</v>
      </c>
      <c r="D87" s="661" t="s">
        <v>306</v>
      </c>
      <c r="E87" s="576">
        <f ca="1">Elec_Est!E320</f>
        <v>23.58</v>
      </c>
      <c r="F87" s="580">
        <f ca="1">E87*C87</f>
        <v>471.59999999999997</v>
      </c>
    </row>
    <row r="88" spans="1:6">
      <c r="A88" s="572" t="s">
        <v>675</v>
      </c>
      <c r="B88" s="614"/>
      <c r="C88" s="575"/>
      <c r="D88" s="661"/>
      <c r="E88" s="576"/>
      <c r="F88" s="580"/>
    </row>
    <row r="89" spans="1:6">
      <c r="C89" s="575"/>
      <c r="D89" s="574"/>
      <c r="E89" s="576"/>
      <c r="F89" s="580"/>
    </row>
    <row r="90" spans="1:6" ht="26.4">
      <c r="A90" s="572" t="s">
        <v>310</v>
      </c>
      <c r="B90" s="706" t="s">
        <v>696</v>
      </c>
      <c r="C90" s="575">
        <v>15</v>
      </c>
      <c r="D90" s="661" t="s">
        <v>306</v>
      </c>
      <c r="E90" s="576">
        <f ca="1">Elec_Est!E327</f>
        <v>23.58</v>
      </c>
      <c r="F90" s="580">
        <f ca="1">E90*C90</f>
        <v>353.7</v>
      </c>
    </row>
    <row r="91" spans="1:6">
      <c r="A91" s="572" t="s">
        <v>675</v>
      </c>
      <c r="B91" s="642"/>
      <c r="C91" s="575"/>
      <c r="D91" s="574"/>
      <c r="E91" s="576"/>
      <c r="F91" s="580"/>
    </row>
    <row r="92" spans="1:6">
      <c r="C92" s="664"/>
      <c r="D92" s="661"/>
      <c r="E92" s="576"/>
      <c r="F92" s="580"/>
    </row>
    <row r="93" spans="1:6" ht="26.4">
      <c r="A93" s="572" t="s">
        <v>311</v>
      </c>
      <c r="B93" s="706" t="s">
        <v>697</v>
      </c>
      <c r="C93" s="664">
        <v>13</v>
      </c>
      <c r="D93" s="661" t="s">
        <v>306</v>
      </c>
      <c r="E93" s="576">
        <f ca="1">Elec_Est!E334</f>
        <v>13.11</v>
      </c>
      <c r="F93" s="580">
        <f ca="1">E93*C93</f>
        <v>170.43</v>
      </c>
    </row>
    <row r="94" spans="1:6">
      <c r="A94" s="572" t="s">
        <v>675</v>
      </c>
      <c r="B94" s="665"/>
      <c r="C94" s="664"/>
      <c r="D94" s="655"/>
      <c r="E94" s="576"/>
      <c r="F94" s="580"/>
    </row>
    <row r="95" spans="1:6">
      <c r="C95" s="664"/>
      <c r="D95" s="661"/>
      <c r="E95" s="576"/>
      <c r="F95" s="580"/>
    </row>
    <row r="96" spans="1:6" ht="26.4">
      <c r="A96" s="572" t="s">
        <v>312</v>
      </c>
      <c r="B96" s="706" t="s">
        <v>698</v>
      </c>
      <c r="C96" s="664">
        <v>22</v>
      </c>
      <c r="D96" s="655" t="s">
        <v>306</v>
      </c>
      <c r="E96" s="576">
        <f ca="1">Elec_Est!E341</f>
        <v>24.84</v>
      </c>
      <c r="F96" s="580">
        <f ca="1">E96*C96</f>
        <v>546.48</v>
      </c>
    </row>
    <row r="97" spans="1:8">
      <c r="A97" s="572" t="s">
        <v>675</v>
      </c>
      <c r="B97" s="614"/>
      <c r="C97" s="664"/>
      <c r="D97" s="655"/>
      <c r="E97" s="576"/>
      <c r="F97" s="580"/>
    </row>
    <row r="98" spans="1:8">
      <c r="C98" s="664"/>
      <c r="D98" s="655"/>
      <c r="E98" s="576"/>
      <c r="F98" s="580"/>
    </row>
    <row r="99" spans="1:8" ht="26.4">
      <c r="A99" s="572" t="s">
        <v>313</v>
      </c>
      <c r="B99" s="706" t="s">
        <v>699</v>
      </c>
      <c r="C99" s="664">
        <v>7</v>
      </c>
      <c r="D99" s="655" t="s">
        <v>306</v>
      </c>
      <c r="E99" s="576">
        <f ca="1">Elec_Est!E348</f>
        <v>13.11</v>
      </c>
      <c r="F99" s="580">
        <f ca="1">E99*C99</f>
        <v>91.77</v>
      </c>
    </row>
    <row r="100" spans="1:8">
      <c r="A100" s="633" t="s">
        <v>675</v>
      </c>
      <c r="B100" s="614"/>
      <c r="C100" s="664"/>
      <c r="D100" s="655"/>
      <c r="E100" s="576"/>
      <c r="F100" s="580"/>
    </row>
    <row r="101" spans="1:8">
      <c r="C101" s="664"/>
      <c r="D101" s="655"/>
      <c r="E101" s="576"/>
      <c r="F101" s="580"/>
    </row>
    <row r="102" spans="1:8" ht="26.4">
      <c r="A102" s="641" t="s">
        <v>314</v>
      </c>
      <c r="B102" s="706" t="s">
        <v>700</v>
      </c>
      <c r="C102" s="664">
        <v>38</v>
      </c>
      <c r="D102" s="655" t="s">
        <v>306</v>
      </c>
      <c r="E102" s="576">
        <f ca="1">Elec_Est!E355</f>
        <v>13.11</v>
      </c>
      <c r="F102" s="580">
        <f ca="1">E102*C102</f>
        <v>498.17999999999995</v>
      </c>
    </row>
    <row r="103" spans="1:8">
      <c r="A103" s="641" t="s">
        <v>675</v>
      </c>
      <c r="B103" s="586"/>
      <c r="C103" s="636"/>
      <c r="D103" s="635"/>
      <c r="E103" s="583"/>
      <c r="F103" s="580"/>
    </row>
    <row r="104" spans="1:8">
      <c r="C104" s="636"/>
      <c r="D104" s="635"/>
      <c r="E104" s="583"/>
      <c r="F104" s="580"/>
    </row>
    <row r="105" spans="1:8" ht="26.4">
      <c r="A105" s="641" t="s">
        <v>315</v>
      </c>
      <c r="B105" s="706" t="s">
        <v>701</v>
      </c>
      <c r="C105" s="575">
        <v>40</v>
      </c>
      <c r="D105" s="655" t="s">
        <v>306</v>
      </c>
      <c r="E105" s="576">
        <f ca="1">Elec_Est!E362</f>
        <v>13.11</v>
      </c>
      <c r="F105" s="580">
        <f ca="1">E105*C105</f>
        <v>524.4</v>
      </c>
    </row>
    <row r="106" spans="1:8">
      <c r="A106" s="572" t="s">
        <v>675</v>
      </c>
      <c r="B106" s="614"/>
      <c r="C106" s="575"/>
      <c r="D106" s="574"/>
      <c r="E106" s="576"/>
      <c r="F106" s="580"/>
    </row>
    <row r="107" spans="1:8" ht="13.8" thickBot="1">
      <c r="A107" s="653" t="s">
        <v>675</v>
      </c>
      <c r="B107" s="588"/>
      <c r="C107" s="667"/>
      <c r="D107" s="666"/>
      <c r="E107" s="668"/>
      <c r="F107" s="577"/>
    </row>
    <row r="108" spans="1:8">
      <c r="A108" s="591" t="s">
        <v>675</v>
      </c>
      <c r="B108" s="592"/>
      <c r="C108" s="594"/>
      <c r="D108" s="593"/>
      <c r="E108" s="643"/>
      <c r="F108" s="596"/>
    </row>
    <row r="109" spans="1:8">
      <c r="A109" s="597" t="s">
        <v>702</v>
      </c>
      <c r="B109" s="598" t="s">
        <v>282</v>
      </c>
      <c r="C109" s="600"/>
      <c r="D109" s="599"/>
      <c r="E109" s="601"/>
      <c r="F109" s="602">
        <f ca="1">SUM(F58:F107)</f>
        <v>18536.720000000005</v>
      </c>
      <c r="G109" s="1202">
        <f ca="1">Elec_Est!F370</f>
        <v>18536.720000000005</v>
      </c>
      <c r="H109" s="1203">
        <f ca="1">F109-G109</f>
        <v>0</v>
      </c>
    </row>
    <row r="110" spans="1:8">
      <c r="A110" s="603" t="s">
        <v>675</v>
      </c>
      <c r="B110" s="604"/>
      <c r="C110" s="606"/>
      <c r="D110" s="605"/>
      <c r="E110" s="644"/>
      <c r="F110" s="608"/>
    </row>
    <row r="111" spans="1:8" ht="17.399999999999999">
      <c r="A111" s="609" t="s">
        <v>675</v>
      </c>
      <c r="B111" s="610"/>
      <c r="C111" s="551"/>
      <c r="D111" s="550"/>
      <c r="E111" s="645"/>
      <c r="F111" s="611"/>
    </row>
    <row r="112" spans="1:8" ht="12.75" customHeight="1">
      <c r="A112" s="612" t="s">
        <v>675</v>
      </c>
      <c r="B112" s="646"/>
      <c r="C112" s="648"/>
      <c r="D112" s="647"/>
      <c r="E112" s="649"/>
      <c r="F112" s="650"/>
    </row>
    <row r="113" spans="1:6" ht="12.75" customHeight="1">
      <c r="A113" s="612" t="s">
        <v>675</v>
      </c>
      <c r="B113" s="646"/>
      <c r="C113" s="648"/>
      <c r="D113" s="647"/>
      <c r="E113" s="649"/>
      <c r="F113" s="650"/>
    </row>
    <row r="114" spans="1:6" ht="13.2" customHeight="1">
      <c r="A114" s="603" t="s">
        <v>675</v>
      </c>
      <c r="B114" s="604"/>
      <c r="C114" s="606"/>
      <c r="D114" s="605"/>
      <c r="E114" s="644"/>
      <c r="F114" s="651"/>
    </row>
    <row r="115" spans="1:6" ht="13.8" thickBot="1">
      <c r="A115" s="616" t="s">
        <v>267</v>
      </c>
      <c r="B115" s="652" t="s">
        <v>268</v>
      </c>
      <c r="C115" s="569" t="s">
        <v>269</v>
      </c>
      <c r="D115" s="568" t="s">
        <v>259</v>
      </c>
      <c r="E115" s="570" t="s">
        <v>270</v>
      </c>
      <c r="F115" s="571" t="s">
        <v>260</v>
      </c>
    </row>
    <row r="116" spans="1:6">
      <c r="A116" s="653" t="s">
        <v>675</v>
      </c>
      <c r="B116" s="642"/>
      <c r="C116" s="656"/>
      <c r="D116" s="655"/>
      <c r="E116" s="657"/>
      <c r="F116" s="577"/>
    </row>
    <row r="117" spans="1:6">
      <c r="C117" s="664"/>
      <c r="D117" s="655"/>
      <c r="E117" s="669"/>
      <c r="F117" s="577"/>
    </row>
    <row r="118" spans="1:6" ht="26.4">
      <c r="A118" s="572" t="s">
        <v>316</v>
      </c>
      <c r="B118" s="706" t="s">
        <v>707</v>
      </c>
      <c r="C118" s="664">
        <v>48</v>
      </c>
      <c r="D118" s="655" t="s">
        <v>306</v>
      </c>
      <c r="E118" s="576">
        <f ca="1">Elec_Est!E375</f>
        <v>13.11</v>
      </c>
      <c r="F118" s="580">
        <f ca="1">E118*C118</f>
        <v>629.28</v>
      </c>
    </row>
    <row r="119" spans="1:6">
      <c r="A119" s="572" t="s">
        <v>675</v>
      </c>
      <c r="B119" s="614"/>
      <c r="C119" s="664"/>
      <c r="D119" s="655"/>
      <c r="E119" s="576"/>
      <c r="F119" s="580"/>
    </row>
    <row r="120" spans="1:6">
      <c r="A120" s="641" t="s">
        <v>675</v>
      </c>
      <c r="B120" s="614"/>
      <c r="C120" s="664"/>
      <c r="D120" s="655"/>
      <c r="E120" s="576"/>
      <c r="F120" s="580"/>
    </row>
    <row r="121" spans="1:6" ht="26.4">
      <c r="A121" s="641" t="s">
        <v>317</v>
      </c>
      <c r="B121" s="706" t="s">
        <v>708</v>
      </c>
      <c r="C121" s="664">
        <v>51</v>
      </c>
      <c r="D121" s="655" t="s">
        <v>306</v>
      </c>
      <c r="E121" s="576">
        <f ca="1">Elec_Est!E382</f>
        <v>13.11</v>
      </c>
      <c r="F121" s="580">
        <f ca="1">E121*C121</f>
        <v>668.61</v>
      </c>
    </row>
    <row r="122" spans="1:6">
      <c r="A122" s="572" t="s">
        <v>675</v>
      </c>
      <c r="B122" s="614"/>
      <c r="C122" s="636"/>
      <c r="D122" s="635"/>
      <c r="E122" s="583"/>
      <c r="F122" s="580"/>
    </row>
    <row r="123" spans="1:6">
      <c r="A123" s="572" t="s">
        <v>675</v>
      </c>
      <c r="B123" s="586"/>
      <c r="C123" s="636"/>
      <c r="D123" s="635"/>
      <c r="E123" s="583"/>
      <c r="F123" s="580"/>
    </row>
    <row r="124" spans="1:6" ht="26.4">
      <c r="A124" s="641" t="s">
        <v>318</v>
      </c>
      <c r="B124" s="706" t="s">
        <v>709</v>
      </c>
      <c r="C124" s="575">
        <v>51</v>
      </c>
      <c r="D124" s="655" t="s">
        <v>306</v>
      </c>
      <c r="E124" s="576">
        <f ca="1">Elec_Est!E389</f>
        <v>13.11</v>
      </c>
      <c r="F124" s="580">
        <f ca="1">E124*C124</f>
        <v>668.61</v>
      </c>
    </row>
    <row r="125" spans="1:6">
      <c r="A125" s="572" t="s">
        <v>675</v>
      </c>
      <c r="B125" s="614"/>
      <c r="C125" s="575"/>
      <c r="D125" s="574"/>
      <c r="E125" s="576"/>
      <c r="F125" s="580"/>
    </row>
    <row r="126" spans="1:6">
      <c r="A126" s="572" t="s">
        <v>675</v>
      </c>
      <c r="B126" s="614"/>
      <c r="C126" s="636"/>
      <c r="D126" s="635"/>
      <c r="E126" s="583"/>
      <c r="F126" s="580"/>
    </row>
    <row r="127" spans="1:6" ht="26.4">
      <c r="A127" s="572" t="s">
        <v>319</v>
      </c>
      <c r="B127" s="706" t="s">
        <v>710</v>
      </c>
      <c r="C127" s="575">
        <v>7</v>
      </c>
      <c r="D127" s="655" t="s">
        <v>306</v>
      </c>
      <c r="E127" s="576">
        <f ca="1">Elec_Est!E396</f>
        <v>13.11</v>
      </c>
      <c r="F127" s="580">
        <f ca="1">E127*C127</f>
        <v>91.77</v>
      </c>
    </row>
    <row r="128" spans="1:6">
      <c r="A128" s="572" t="s">
        <v>675</v>
      </c>
      <c r="B128" s="614"/>
      <c r="C128" s="575"/>
      <c r="D128" s="655"/>
      <c r="E128" s="576"/>
      <c r="F128" s="580"/>
    </row>
    <row r="129" spans="1:6">
      <c r="A129" s="572" t="s">
        <v>675</v>
      </c>
      <c r="B129" s="614"/>
      <c r="C129" s="575"/>
      <c r="D129" s="655"/>
      <c r="E129" s="576"/>
      <c r="F129" s="580"/>
    </row>
    <row r="130" spans="1:6" ht="26.4">
      <c r="A130" s="572" t="s">
        <v>320</v>
      </c>
      <c r="B130" s="706" t="s">
        <v>711</v>
      </c>
      <c r="C130" s="575">
        <v>35</v>
      </c>
      <c r="D130" s="655" t="s">
        <v>306</v>
      </c>
      <c r="E130" s="576">
        <f ca="1">Elec_Est!E403</f>
        <v>13.4</v>
      </c>
      <c r="F130" s="580">
        <f ca="1">E130*C130</f>
        <v>469</v>
      </c>
    </row>
    <row r="131" spans="1:6">
      <c r="A131" s="654" t="s">
        <v>675</v>
      </c>
      <c r="B131" s="614"/>
      <c r="C131" s="575"/>
      <c r="D131" s="655"/>
      <c r="E131" s="576"/>
      <c r="F131" s="580"/>
    </row>
    <row r="132" spans="1:6">
      <c r="A132" s="654" t="s">
        <v>675</v>
      </c>
      <c r="B132" s="614"/>
      <c r="C132" s="575"/>
      <c r="D132" s="655"/>
      <c r="E132" s="576"/>
      <c r="F132" s="580"/>
    </row>
    <row r="133" spans="1:6" ht="26.4">
      <c r="A133" s="654" t="s">
        <v>321</v>
      </c>
      <c r="B133" s="706" t="s">
        <v>712</v>
      </c>
      <c r="C133" s="575">
        <v>35</v>
      </c>
      <c r="D133" s="655" t="s">
        <v>306</v>
      </c>
      <c r="E133" s="662">
        <f ca="1">Elec_Est!E410</f>
        <v>13.4</v>
      </c>
      <c r="F133" s="580">
        <f ca="1">E133*C133</f>
        <v>469</v>
      </c>
    </row>
    <row r="134" spans="1:6">
      <c r="A134" s="660" t="s">
        <v>675</v>
      </c>
      <c r="B134" s="614"/>
      <c r="C134" s="575"/>
      <c r="D134" s="655"/>
      <c r="E134" s="662"/>
      <c r="F134" s="580"/>
    </row>
    <row r="135" spans="1:6">
      <c r="A135" s="660" t="s">
        <v>675</v>
      </c>
      <c r="B135" s="614"/>
      <c r="C135" s="575"/>
      <c r="D135" s="655"/>
      <c r="E135" s="662"/>
      <c r="F135" s="580"/>
    </row>
    <row r="136" spans="1:6" ht="26.4">
      <c r="A136" s="865" t="s">
        <v>322</v>
      </c>
      <c r="B136" s="706" t="s">
        <v>713</v>
      </c>
      <c r="C136" s="575">
        <v>32</v>
      </c>
      <c r="D136" s="655" t="s">
        <v>306</v>
      </c>
      <c r="E136" s="662">
        <f ca="1">Elec_Est!E417</f>
        <v>13.4</v>
      </c>
      <c r="F136" s="580">
        <f ca="1">E136*C136</f>
        <v>428.8</v>
      </c>
    </row>
    <row r="137" spans="1:6">
      <c r="A137" s="654" t="s">
        <v>675</v>
      </c>
      <c r="B137" s="614"/>
      <c r="C137" s="575"/>
      <c r="D137" s="655"/>
      <c r="E137" s="662"/>
      <c r="F137" s="580"/>
    </row>
    <row r="138" spans="1:6">
      <c r="A138" s="654" t="s">
        <v>675</v>
      </c>
      <c r="B138" s="614"/>
      <c r="C138" s="575"/>
      <c r="D138" s="655"/>
      <c r="E138" s="662"/>
      <c r="F138" s="580"/>
    </row>
    <row r="139" spans="1:6" ht="26.4">
      <c r="A139" s="654" t="s">
        <v>323</v>
      </c>
      <c r="B139" s="706" t="s">
        <v>714</v>
      </c>
      <c r="C139" s="575">
        <v>65</v>
      </c>
      <c r="D139" s="655" t="s">
        <v>306</v>
      </c>
      <c r="E139" s="662">
        <f ca="1">Elec_Est!E424</f>
        <v>23.58</v>
      </c>
      <c r="F139" s="580">
        <f ca="1">E139*C139</f>
        <v>1532.6999999999998</v>
      </c>
    </row>
    <row r="140" spans="1:6">
      <c r="A140" s="653" t="s">
        <v>675</v>
      </c>
      <c r="B140" s="614"/>
      <c r="C140" s="575"/>
      <c r="D140" s="655"/>
      <c r="E140" s="662"/>
      <c r="F140" s="580"/>
    </row>
    <row r="141" spans="1:6">
      <c r="A141" s="653" t="s">
        <v>675</v>
      </c>
      <c r="B141" s="642"/>
      <c r="C141" s="656"/>
      <c r="D141" s="655"/>
      <c r="E141" s="662"/>
      <c r="F141" s="580"/>
    </row>
    <row r="142" spans="1:6">
      <c r="A142" s="572" t="s">
        <v>703</v>
      </c>
      <c r="B142" s="578" t="s">
        <v>324</v>
      </c>
      <c r="C142" s="575"/>
      <c r="D142" s="574"/>
      <c r="E142" s="576"/>
      <c r="F142" s="580"/>
    </row>
    <row r="143" spans="1:6">
      <c r="A143" s="572" t="s">
        <v>675</v>
      </c>
      <c r="B143" s="642"/>
      <c r="C143" s="575"/>
      <c r="D143" s="574"/>
      <c r="E143" s="576"/>
      <c r="F143" s="580"/>
    </row>
    <row r="144" spans="1:6" ht="26.4">
      <c r="A144" s="572" t="s">
        <v>716</v>
      </c>
      <c r="B144" s="706" t="s">
        <v>715</v>
      </c>
      <c r="C144" s="575"/>
      <c r="D144" s="574"/>
      <c r="E144" s="576"/>
      <c r="F144" s="580"/>
    </row>
    <row r="145" spans="1:6">
      <c r="A145" s="572" t="s">
        <v>675</v>
      </c>
      <c r="B145" s="659"/>
      <c r="C145" s="575"/>
      <c r="D145" s="574"/>
      <c r="E145" s="576"/>
      <c r="F145" s="580"/>
    </row>
    <row r="146" spans="1:6">
      <c r="A146" s="572" t="s">
        <v>675</v>
      </c>
      <c r="B146" s="639"/>
      <c r="C146" s="575"/>
      <c r="D146" s="574"/>
      <c r="E146" s="576"/>
      <c r="F146" s="580"/>
    </row>
    <row r="147" spans="1:6">
      <c r="A147" s="572" t="s">
        <v>294</v>
      </c>
      <c r="B147" s="573" t="s">
        <v>325</v>
      </c>
      <c r="C147" s="575">
        <v>30</v>
      </c>
      <c r="D147" s="574" t="s">
        <v>326</v>
      </c>
      <c r="E147" s="576">
        <f ca="1">Elec_Est!E439</f>
        <v>25.53</v>
      </c>
      <c r="F147" s="580">
        <f ca="1">E147*C147</f>
        <v>765.90000000000009</v>
      </c>
    </row>
    <row r="148" spans="1:6">
      <c r="A148" s="572" t="s">
        <v>675</v>
      </c>
      <c r="B148" s="573"/>
      <c r="C148" s="575"/>
      <c r="D148" s="574"/>
      <c r="E148" s="576"/>
      <c r="F148" s="580"/>
    </row>
    <row r="149" spans="1:6">
      <c r="A149" s="572" t="s">
        <v>296</v>
      </c>
      <c r="B149" s="573" t="s">
        <v>327</v>
      </c>
      <c r="C149" s="575">
        <v>30</v>
      </c>
      <c r="D149" s="574" t="s">
        <v>326</v>
      </c>
      <c r="E149" s="576">
        <f ca="1">Elec_Est!E448</f>
        <v>36.520000000000003</v>
      </c>
      <c r="F149" s="580">
        <f ca="1">E149*C149</f>
        <v>1095.6000000000001</v>
      </c>
    </row>
    <row r="150" spans="1:6">
      <c r="A150" s="572" t="s">
        <v>675</v>
      </c>
      <c r="B150" s="573"/>
      <c r="C150" s="575"/>
      <c r="D150" s="574"/>
      <c r="E150" s="576"/>
      <c r="F150" s="580"/>
    </row>
    <row r="151" spans="1:6">
      <c r="A151" s="572" t="s">
        <v>298</v>
      </c>
      <c r="B151" s="573" t="s">
        <v>328</v>
      </c>
      <c r="C151" s="575">
        <v>10</v>
      </c>
      <c r="D151" s="574" t="s">
        <v>326</v>
      </c>
      <c r="E151" s="576">
        <f ca="1">Elec_Est!E457</f>
        <v>42.77</v>
      </c>
      <c r="F151" s="580">
        <f ca="1">E151*C151</f>
        <v>427.70000000000005</v>
      </c>
    </row>
    <row r="152" spans="1:6">
      <c r="A152" s="572" t="s">
        <v>675</v>
      </c>
      <c r="B152" s="573"/>
      <c r="C152" s="575"/>
      <c r="D152" s="574"/>
      <c r="E152" s="576"/>
      <c r="F152" s="580"/>
    </row>
    <row r="153" spans="1:6">
      <c r="A153" s="572" t="s">
        <v>300</v>
      </c>
      <c r="B153" s="573" t="s">
        <v>329</v>
      </c>
      <c r="C153" s="575">
        <v>30</v>
      </c>
      <c r="D153" s="574" t="s">
        <v>326</v>
      </c>
      <c r="E153" s="576">
        <f ca="1">Elec_Est!E466</f>
        <v>51.17</v>
      </c>
      <c r="F153" s="580">
        <f ca="1">E153*C153</f>
        <v>1535.1000000000001</v>
      </c>
    </row>
    <row r="154" spans="1:6">
      <c r="A154" s="572" t="s">
        <v>675</v>
      </c>
      <c r="B154" s="573"/>
      <c r="C154" s="587"/>
      <c r="D154" s="684"/>
      <c r="E154" s="670"/>
      <c r="F154" s="580"/>
    </row>
    <row r="155" spans="1:6">
      <c r="A155" s="572" t="s">
        <v>302</v>
      </c>
      <c r="B155" s="573" t="s">
        <v>330</v>
      </c>
      <c r="C155" s="587">
        <v>20</v>
      </c>
      <c r="D155" s="684" t="s">
        <v>326</v>
      </c>
      <c r="E155" s="670">
        <f ca="1">Elec_Est!E475</f>
        <v>57.85</v>
      </c>
      <c r="F155" s="580">
        <f ca="1">E155*C155</f>
        <v>1157</v>
      </c>
    </row>
    <row r="156" spans="1:6">
      <c r="A156" s="572" t="s">
        <v>675</v>
      </c>
      <c r="B156" s="573"/>
      <c r="C156" s="587"/>
      <c r="D156" s="684"/>
      <c r="E156" s="670"/>
      <c r="F156" s="580"/>
    </row>
    <row r="157" spans="1:6">
      <c r="A157" s="572" t="s">
        <v>675</v>
      </c>
      <c r="B157" s="573"/>
      <c r="C157" s="587"/>
      <c r="D157" s="684"/>
      <c r="E157" s="670"/>
      <c r="F157" s="580"/>
    </row>
    <row r="158" spans="1:6">
      <c r="A158" s="572" t="s">
        <v>675</v>
      </c>
      <c r="B158" s="573"/>
      <c r="C158" s="587"/>
      <c r="D158" s="684"/>
      <c r="E158" s="670"/>
      <c r="F158" s="580"/>
    </row>
    <row r="159" spans="1:6">
      <c r="A159" s="572" t="s">
        <v>675</v>
      </c>
      <c r="B159" s="573"/>
      <c r="C159" s="587"/>
      <c r="D159" s="684"/>
      <c r="E159" s="670"/>
      <c r="F159" s="580"/>
    </row>
    <row r="160" spans="1:6">
      <c r="A160" s="572" t="s">
        <v>675</v>
      </c>
      <c r="B160" s="573"/>
      <c r="C160" s="587"/>
      <c r="D160" s="684"/>
      <c r="E160" s="670"/>
      <c r="F160" s="580"/>
    </row>
    <row r="161" spans="1:8">
      <c r="A161" s="572" t="s">
        <v>675</v>
      </c>
      <c r="B161" s="573"/>
      <c r="C161" s="587"/>
      <c r="D161" s="684"/>
      <c r="E161" s="671"/>
      <c r="F161" s="580"/>
    </row>
    <row r="162" spans="1:8">
      <c r="A162" s="572" t="s">
        <v>675</v>
      </c>
      <c r="B162" s="573"/>
      <c r="C162" s="587"/>
      <c r="D162" s="684"/>
      <c r="E162" s="671"/>
      <c r="F162" s="580"/>
    </row>
    <row r="163" spans="1:8">
      <c r="A163" s="572" t="s">
        <v>675</v>
      </c>
      <c r="B163" s="573"/>
      <c r="C163" s="587"/>
      <c r="D163" s="684"/>
      <c r="E163" s="671"/>
      <c r="F163" s="580"/>
    </row>
    <row r="164" spans="1:8" ht="16.95" customHeight="1">
      <c r="A164" s="572" t="s">
        <v>675</v>
      </c>
      <c r="B164" s="573"/>
      <c r="C164" s="587"/>
      <c r="D164" s="684"/>
      <c r="E164" s="671"/>
      <c r="F164" s="580"/>
    </row>
    <row r="165" spans="1:8">
      <c r="A165" s="572" t="s">
        <v>675</v>
      </c>
      <c r="B165" s="573"/>
      <c r="C165" s="587"/>
      <c r="D165" s="684"/>
      <c r="E165" s="671"/>
      <c r="F165" s="577"/>
    </row>
    <row r="166" spans="1:8" ht="13.8" thickBot="1">
      <c r="A166" s="653" t="s">
        <v>675</v>
      </c>
      <c r="B166" s="588"/>
      <c r="C166" s="667"/>
      <c r="D166" s="666"/>
      <c r="E166" s="668"/>
      <c r="F166" s="577"/>
    </row>
    <row r="167" spans="1:8">
      <c r="A167" s="591" t="s">
        <v>675</v>
      </c>
      <c r="B167" s="592"/>
      <c r="C167" s="594"/>
      <c r="D167" s="593"/>
      <c r="E167" s="643"/>
      <c r="F167" s="596"/>
    </row>
    <row r="168" spans="1:8">
      <c r="A168" s="597" t="s">
        <v>702</v>
      </c>
      <c r="B168" s="598" t="s">
        <v>282</v>
      </c>
      <c r="C168" s="600"/>
      <c r="D168" s="599"/>
      <c r="E168" s="601"/>
      <c r="F168" s="602">
        <f ca="1">SUM(F116:F166)</f>
        <v>9939.07</v>
      </c>
      <c r="G168" s="1202">
        <f ca="1">Elec_Est!F485</f>
        <v>9939.07</v>
      </c>
      <c r="H168" s="1203">
        <f ca="1">F168-G168</f>
        <v>0</v>
      </c>
    </row>
    <row r="169" spans="1:8">
      <c r="A169" s="603" t="s">
        <v>675</v>
      </c>
      <c r="B169" s="604"/>
      <c r="C169" s="606"/>
      <c r="D169" s="605"/>
      <c r="E169" s="644"/>
      <c r="F169" s="608"/>
    </row>
    <row r="170" spans="1:8" ht="12.75" customHeight="1">
      <c r="A170" s="609" t="s">
        <v>675</v>
      </c>
      <c r="B170" s="610"/>
      <c r="C170" s="551"/>
      <c r="D170" s="550"/>
      <c r="E170" s="645"/>
      <c r="F170" s="611"/>
    </row>
    <row r="171" spans="1:8" ht="12.75" customHeight="1">
      <c r="A171" s="612" t="s">
        <v>675</v>
      </c>
      <c r="B171" s="646"/>
      <c r="C171" s="648"/>
      <c r="D171" s="647"/>
      <c r="E171" s="649"/>
      <c r="F171" s="650"/>
    </row>
    <row r="172" spans="1:8" ht="12.75" customHeight="1">
      <c r="A172" s="612" t="s">
        <v>675</v>
      </c>
      <c r="B172" s="646"/>
      <c r="C172" s="648"/>
      <c r="D172" s="647"/>
      <c r="E172" s="649"/>
      <c r="F172" s="650"/>
    </row>
    <row r="173" spans="1:8" ht="13.2" customHeight="1">
      <c r="A173" s="603" t="s">
        <v>675</v>
      </c>
      <c r="B173" s="604"/>
      <c r="C173" s="606"/>
      <c r="D173" s="605"/>
      <c r="E173" s="644"/>
      <c r="F173" s="651"/>
    </row>
    <row r="174" spans="1:8" ht="13.8" thickBot="1">
      <c r="A174" s="616" t="s">
        <v>267</v>
      </c>
      <c r="B174" s="652" t="s">
        <v>268</v>
      </c>
      <c r="C174" s="569" t="s">
        <v>269</v>
      </c>
      <c r="D174" s="568" t="s">
        <v>259</v>
      </c>
      <c r="E174" s="570" t="s">
        <v>270</v>
      </c>
      <c r="F174" s="571" t="s">
        <v>260</v>
      </c>
    </row>
    <row r="175" spans="1:8">
      <c r="A175" s="653" t="s">
        <v>675</v>
      </c>
      <c r="B175" s="642"/>
      <c r="C175" s="656"/>
      <c r="D175" s="655"/>
      <c r="E175" s="657"/>
      <c r="F175" s="577"/>
    </row>
    <row r="176" spans="1:8" ht="15.6">
      <c r="A176" s="572" t="s">
        <v>703</v>
      </c>
      <c r="B176" s="672" t="s">
        <v>331</v>
      </c>
      <c r="C176" s="575"/>
      <c r="D176" s="574"/>
      <c r="E176" s="669"/>
      <c r="F176" s="577"/>
    </row>
    <row r="177" spans="1:6">
      <c r="A177" s="572" t="s">
        <v>675</v>
      </c>
      <c r="B177" s="639"/>
      <c r="C177" s="575"/>
      <c r="D177" s="574"/>
      <c r="E177" s="576"/>
      <c r="F177" s="580"/>
    </row>
    <row r="178" spans="1:6">
      <c r="A178" s="572" t="s">
        <v>703</v>
      </c>
      <c r="B178" s="639" t="s">
        <v>332</v>
      </c>
      <c r="C178" s="575"/>
      <c r="D178" s="574"/>
      <c r="E178" s="576"/>
      <c r="F178" s="580"/>
    </row>
    <row r="179" spans="1:6">
      <c r="A179" s="572" t="s">
        <v>675</v>
      </c>
      <c r="B179" s="639"/>
      <c r="C179" s="575"/>
      <c r="D179" s="574"/>
      <c r="E179" s="576"/>
      <c r="F179" s="580"/>
    </row>
    <row r="180" spans="1:6" ht="26.4">
      <c r="A180" s="572" t="s">
        <v>717</v>
      </c>
      <c r="B180" s="582" t="s">
        <v>333</v>
      </c>
      <c r="C180" s="575"/>
      <c r="D180" s="574"/>
      <c r="E180" s="583"/>
      <c r="F180" s="580"/>
    </row>
    <row r="181" spans="1:6">
      <c r="A181" s="572" t="s">
        <v>675</v>
      </c>
      <c r="B181" s="588"/>
      <c r="C181" s="575"/>
      <c r="D181" s="574"/>
      <c r="E181" s="583"/>
      <c r="F181" s="580"/>
    </row>
    <row r="182" spans="1:6">
      <c r="A182" s="572" t="s">
        <v>294</v>
      </c>
      <c r="B182" s="642" t="s">
        <v>334</v>
      </c>
      <c r="C182" s="575">
        <v>1</v>
      </c>
      <c r="D182" s="574" t="s">
        <v>335</v>
      </c>
      <c r="E182" s="576">
        <f ca="1">Elec_Est!E502</f>
        <v>57.85</v>
      </c>
      <c r="F182" s="580">
        <f ca="1">E182*C182</f>
        <v>57.85</v>
      </c>
    </row>
    <row r="183" spans="1:6">
      <c r="A183" s="572" t="s">
        <v>675</v>
      </c>
      <c r="B183" s="642"/>
      <c r="C183" s="575"/>
      <c r="D183" s="574"/>
      <c r="E183" s="576"/>
      <c r="F183" s="580"/>
    </row>
    <row r="184" spans="1:6">
      <c r="A184" s="572" t="s">
        <v>296</v>
      </c>
      <c r="B184" s="642" t="s">
        <v>336</v>
      </c>
      <c r="C184" s="575">
        <v>1</v>
      </c>
      <c r="D184" s="574" t="s">
        <v>335</v>
      </c>
      <c r="E184" s="576">
        <f ca="1">Elec_Est!E509</f>
        <v>260.33999999999997</v>
      </c>
      <c r="F184" s="580">
        <f ca="1">E184*C184</f>
        <v>260.33999999999997</v>
      </c>
    </row>
    <row r="185" spans="1:6">
      <c r="A185" s="572" t="s">
        <v>675</v>
      </c>
      <c r="B185" s="642"/>
      <c r="C185" s="575"/>
      <c r="D185" s="574"/>
      <c r="E185" s="576"/>
      <c r="F185" s="580"/>
    </row>
    <row r="186" spans="1:6">
      <c r="A186" s="572" t="s">
        <v>298</v>
      </c>
      <c r="B186" s="642" t="s">
        <v>337</v>
      </c>
      <c r="C186" s="575">
        <v>1</v>
      </c>
      <c r="D186" s="574" t="s">
        <v>335</v>
      </c>
      <c r="E186" s="576">
        <f ca="1">Elec_Est!E516</f>
        <v>86.78</v>
      </c>
      <c r="F186" s="580">
        <f ca="1">E186*C186</f>
        <v>86.78</v>
      </c>
    </row>
    <row r="187" spans="1:6">
      <c r="A187" s="572" t="s">
        <v>675</v>
      </c>
      <c r="B187" s="642"/>
      <c r="C187" s="575"/>
      <c r="D187" s="574"/>
      <c r="E187" s="576"/>
      <c r="F187" s="580"/>
    </row>
    <row r="188" spans="1:6">
      <c r="A188" s="572" t="s">
        <v>300</v>
      </c>
      <c r="B188" s="642" t="s">
        <v>338</v>
      </c>
      <c r="C188" s="575">
        <v>1</v>
      </c>
      <c r="D188" s="574" t="s">
        <v>335</v>
      </c>
      <c r="E188" s="576">
        <f ca="1">Elec_Est!E523</f>
        <v>115.71</v>
      </c>
      <c r="F188" s="580">
        <f ca="1">E188*C188</f>
        <v>115.71</v>
      </c>
    </row>
    <row r="189" spans="1:6">
      <c r="A189" s="572" t="s">
        <v>675</v>
      </c>
      <c r="B189" s="642"/>
      <c r="C189" s="575"/>
      <c r="D189" s="574"/>
      <c r="E189" s="576"/>
      <c r="F189" s="580"/>
    </row>
    <row r="190" spans="1:6">
      <c r="A190" s="572" t="s">
        <v>302</v>
      </c>
      <c r="B190" s="642" t="s">
        <v>339</v>
      </c>
      <c r="C190" s="575">
        <v>1</v>
      </c>
      <c r="D190" s="574" t="s">
        <v>335</v>
      </c>
      <c r="E190" s="576">
        <f ca="1">Elec_Est!E530</f>
        <v>173.56</v>
      </c>
      <c r="F190" s="580">
        <f ca="1">E190*C190</f>
        <v>173.56</v>
      </c>
    </row>
    <row r="191" spans="1:6">
      <c r="A191" s="572" t="s">
        <v>675</v>
      </c>
      <c r="B191" s="642"/>
      <c r="C191" s="575"/>
      <c r="D191" s="574"/>
      <c r="E191" s="576"/>
      <c r="F191" s="580"/>
    </row>
    <row r="192" spans="1:6">
      <c r="A192" s="572" t="s">
        <v>307</v>
      </c>
      <c r="B192" s="642" t="s">
        <v>340</v>
      </c>
      <c r="C192" s="575">
        <v>3</v>
      </c>
      <c r="D192" s="574" t="s">
        <v>335</v>
      </c>
      <c r="E192" s="576">
        <f ca="1">Elec_Est!E537</f>
        <v>88.56</v>
      </c>
      <c r="F192" s="580">
        <f ca="1">E192*C192</f>
        <v>265.68</v>
      </c>
    </row>
    <row r="193" spans="1:6">
      <c r="A193" s="572" t="s">
        <v>675</v>
      </c>
      <c r="B193" s="642"/>
      <c r="C193" s="575"/>
      <c r="D193" s="574"/>
      <c r="E193" s="576"/>
      <c r="F193" s="580"/>
    </row>
    <row r="194" spans="1:6">
      <c r="A194" s="572" t="s">
        <v>308</v>
      </c>
      <c r="B194" s="642" t="s">
        <v>341</v>
      </c>
      <c r="C194" s="575">
        <v>2</v>
      </c>
      <c r="D194" s="574" t="s">
        <v>335</v>
      </c>
      <c r="E194" s="576">
        <f ca="1">Elec_Est!E546</f>
        <v>117.48</v>
      </c>
      <c r="F194" s="580">
        <f ca="1">E194*C194</f>
        <v>234.96</v>
      </c>
    </row>
    <row r="195" spans="1:6">
      <c r="A195" s="572" t="s">
        <v>675</v>
      </c>
      <c r="B195" s="642"/>
      <c r="C195" s="575"/>
      <c r="D195" s="574"/>
      <c r="E195" s="576"/>
      <c r="F195" s="580"/>
    </row>
    <row r="196" spans="1:6" ht="26.4">
      <c r="A196" s="572" t="s">
        <v>309</v>
      </c>
      <c r="B196" s="673" t="s">
        <v>342</v>
      </c>
      <c r="C196" s="575">
        <v>1</v>
      </c>
      <c r="D196" s="574" t="s">
        <v>335</v>
      </c>
      <c r="E196" s="576">
        <f ca="1">Elec_Est!E555</f>
        <v>175.34</v>
      </c>
      <c r="F196" s="580">
        <f ca="1">E196*C196</f>
        <v>175.34</v>
      </c>
    </row>
    <row r="197" spans="1:6">
      <c r="A197" s="572" t="s">
        <v>675</v>
      </c>
      <c r="B197" s="673"/>
      <c r="C197" s="575"/>
      <c r="D197" s="574"/>
      <c r="E197" s="576"/>
      <c r="F197" s="580"/>
    </row>
    <row r="198" spans="1:6">
      <c r="A198" s="572" t="s">
        <v>310</v>
      </c>
      <c r="B198" s="673" t="s">
        <v>343</v>
      </c>
      <c r="C198" s="575">
        <v>1</v>
      </c>
      <c r="D198" s="574" t="s">
        <v>335</v>
      </c>
      <c r="E198" s="576">
        <f ca="1">Elec_Est!E564</f>
        <v>175.34</v>
      </c>
      <c r="F198" s="580">
        <f ca="1">E198*C198</f>
        <v>175.34</v>
      </c>
    </row>
    <row r="199" spans="1:6">
      <c r="A199" s="572" t="s">
        <v>675</v>
      </c>
      <c r="B199" s="673"/>
      <c r="C199" s="575"/>
      <c r="D199" s="574"/>
      <c r="E199" s="576"/>
      <c r="F199" s="580"/>
    </row>
    <row r="200" spans="1:6">
      <c r="A200" s="572" t="s">
        <v>311</v>
      </c>
      <c r="B200" s="673" t="s">
        <v>344</v>
      </c>
      <c r="C200" s="575">
        <v>6</v>
      </c>
      <c r="D200" s="574" t="s">
        <v>335</v>
      </c>
      <c r="E200" s="576">
        <f ca="1">Elec_Est!E573</f>
        <v>57.85</v>
      </c>
      <c r="F200" s="580">
        <f ca="1">E200*C200</f>
        <v>347.1</v>
      </c>
    </row>
    <row r="201" spans="1:6">
      <c r="A201" s="572" t="s">
        <v>675</v>
      </c>
      <c r="B201" s="673"/>
      <c r="C201" s="575"/>
      <c r="D201" s="574"/>
      <c r="E201" s="576"/>
      <c r="F201" s="580"/>
    </row>
    <row r="202" spans="1:6">
      <c r="A202" s="572" t="s">
        <v>675</v>
      </c>
      <c r="B202" s="673"/>
      <c r="C202" s="575"/>
      <c r="D202" s="574"/>
      <c r="E202" s="576"/>
      <c r="F202" s="580"/>
    </row>
    <row r="203" spans="1:6">
      <c r="A203" s="572" t="s">
        <v>718</v>
      </c>
      <c r="B203" s="673" t="s">
        <v>345</v>
      </c>
      <c r="C203" s="575"/>
      <c r="D203" s="574"/>
      <c r="E203" s="576"/>
      <c r="F203" s="580"/>
    </row>
    <row r="204" spans="1:6">
      <c r="A204" s="572" t="s">
        <v>675</v>
      </c>
      <c r="B204" s="673"/>
      <c r="C204" s="575"/>
      <c r="D204" s="574"/>
      <c r="E204" s="576"/>
      <c r="F204" s="580"/>
    </row>
    <row r="205" spans="1:6">
      <c r="A205" s="572" t="s">
        <v>294</v>
      </c>
      <c r="B205" s="673" t="s">
        <v>346</v>
      </c>
      <c r="C205" s="575">
        <v>8</v>
      </c>
      <c r="D205" s="574" t="s">
        <v>347</v>
      </c>
      <c r="E205" s="576">
        <f ca="1">Elec_Est!E584</f>
        <v>43.07</v>
      </c>
      <c r="F205" s="580">
        <f ca="1">E205*C205</f>
        <v>344.56</v>
      </c>
    </row>
    <row r="206" spans="1:6">
      <c r="A206" s="572" t="s">
        <v>675</v>
      </c>
      <c r="C206" s="575"/>
      <c r="D206" s="574"/>
      <c r="E206" s="576"/>
      <c r="F206" s="580"/>
    </row>
    <row r="207" spans="1:6" ht="26.4">
      <c r="A207" s="572" t="s">
        <v>296</v>
      </c>
      <c r="B207" s="582" t="s">
        <v>348</v>
      </c>
      <c r="C207" s="575">
        <v>5</v>
      </c>
      <c r="D207" s="574" t="s">
        <v>347</v>
      </c>
      <c r="E207" s="576">
        <f ca="1">Elec_Est!E591</f>
        <v>28.98</v>
      </c>
      <c r="F207" s="580">
        <f ca="1">E207*C207</f>
        <v>144.9</v>
      </c>
    </row>
    <row r="208" spans="1:6">
      <c r="A208" s="572" t="s">
        <v>675</v>
      </c>
      <c r="B208" s="582"/>
      <c r="C208" s="575"/>
      <c r="D208" s="574"/>
      <c r="E208" s="576"/>
      <c r="F208" s="580"/>
    </row>
    <row r="209" spans="1:8" ht="26.4">
      <c r="A209" s="572" t="s">
        <v>298</v>
      </c>
      <c r="B209" s="582" t="s">
        <v>349</v>
      </c>
      <c r="C209" s="575">
        <v>1</v>
      </c>
      <c r="D209" s="574" t="s">
        <v>347</v>
      </c>
      <c r="E209" s="576">
        <f ca="1">Elec_Est!E598</f>
        <v>43.86</v>
      </c>
      <c r="F209" s="580">
        <f ca="1">E209*C209</f>
        <v>43.86</v>
      </c>
    </row>
    <row r="210" spans="1:8">
      <c r="A210" s="572" t="s">
        <v>675</v>
      </c>
      <c r="B210" s="588"/>
      <c r="C210" s="575"/>
      <c r="D210" s="574"/>
      <c r="E210" s="576"/>
      <c r="F210" s="580"/>
    </row>
    <row r="211" spans="1:8">
      <c r="A211" s="572" t="s">
        <v>300</v>
      </c>
      <c r="B211" s="588" t="s">
        <v>350</v>
      </c>
      <c r="C211" s="575">
        <v>7</v>
      </c>
      <c r="D211" s="574" t="s">
        <v>347</v>
      </c>
      <c r="E211" s="576" t="str">
        <f>Elec_Est!Q605</f>
        <v>No Quote</v>
      </c>
      <c r="F211" s="580"/>
    </row>
    <row r="212" spans="1:8">
      <c r="A212" s="572" t="s">
        <v>675</v>
      </c>
      <c r="B212" s="588"/>
      <c r="C212" s="575"/>
      <c r="D212" s="574"/>
      <c r="E212" s="576"/>
      <c r="F212" s="580"/>
    </row>
    <row r="213" spans="1:8">
      <c r="A213" s="572" t="s">
        <v>675</v>
      </c>
      <c r="B213" s="673"/>
      <c r="C213" s="575"/>
      <c r="D213" s="574"/>
      <c r="E213" s="576"/>
      <c r="F213" s="580"/>
    </row>
    <row r="214" spans="1:8" ht="26.4">
      <c r="A214" s="572" t="s">
        <v>719</v>
      </c>
      <c r="B214" s="582" t="s">
        <v>351</v>
      </c>
      <c r="C214" s="575"/>
      <c r="D214" s="574"/>
      <c r="E214" s="576"/>
      <c r="F214" s="580"/>
    </row>
    <row r="215" spans="1:8">
      <c r="A215" s="572" t="s">
        <v>675</v>
      </c>
      <c r="B215" s="673"/>
      <c r="C215" s="575"/>
      <c r="D215" s="574"/>
      <c r="E215" s="576"/>
      <c r="F215" s="580"/>
    </row>
    <row r="216" spans="1:8">
      <c r="A216" s="572" t="s">
        <v>294</v>
      </c>
      <c r="B216" s="673" t="s">
        <v>352</v>
      </c>
      <c r="C216" s="575">
        <v>4</v>
      </c>
      <c r="D216" s="574" t="s">
        <v>347</v>
      </c>
      <c r="E216" s="576">
        <f ca="1">Elec_Est!E616</f>
        <v>14.36</v>
      </c>
      <c r="F216" s="580">
        <f ca="1">E216*C216</f>
        <v>57.44</v>
      </c>
    </row>
    <row r="217" spans="1:8">
      <c r="A217" s="572" t="s">
        <v>675</v>
      </c>
      <c r="B217" s="673"/>
      <c r="C217" s="575"/>
      <c r="D217" s="574"/>
      <c r="E217" s="576"/>
      <c r="F217" s="580"/>
    </row>
    <row r="218" spans="1:8">
      <c r="A218" s="572" t="s">
        <v>296</v>
      </c>
      <c r="B218" s="673" t="s">
        <v>353</v>
      </c>
      <c r="C218" s="575">
        <v>2</v>
      </c>
      <c r="D218" s="574" t="s">
        <v>347</v>
      </c>
      <c r="E218" s="576">
        <f ca="1">Elec_Est!E623</f>
        <v>11.35</v>
      </c>
      <c r="F218" s="580">
        <f ca="1">E218*C218</f>
        <v>22.7</v>
      </c>
    </row>
    <row r="219" spans="1:8">
      <c r="A219" s="572" t="s">
        <v>675</v>
      </c>
      <c r="B219" s="673"/>
      <c r="C219" s="575"/>
      <c r="D219" s="574"/>
      <c r="E219" s="576"/>
      <c r="F219" s="580"/>
    </row>
    <row r="220" spans="1:8">
      <c r="A220" s="572" t="s">
        <v>298</v>
      </c>
      <c r="B220" s="673" t="s">
        <v>354</v>
      </c>
      <c r="C220" s="575">
        <v>8</v>
      </c>
      <c r="D220" s="574" t="s">
        <v>347</v>
      </c>
      <c r="E220" s="576">
        <f ca="1">Elec_Est!E630</f>
        <v>14.36</v>
      </c>
      <c r="F220" s="580">
        <f ca="1">E220*C220</f>
        <v>114.88</v>
      </c>
    </row>
    <row r="221" spans="1:8" ht="13.8" thickBot="1">
      <c r="A221" s="572" t="s">
        <v>675</v>
      </c>
      <c r="B221" s="673"/>
      <c r="C221" s="575"/>
      <c r="D221" s="574"/>
      <c r="E221" s="576"/>
      <c r="F221" s="580"/>
    </row>
    <row r="222" spans="1:8">
      <c r="A222" s="591" t="s">
        <v>675</v>
      </c>
      <c r="B222" s="592"/>
      <c r="C222" s="594"/>
      <c r="D222" s="593"/>
      <c r="E222" s="643"/>
      <c r="F222" s="596"/>
    </row>
    <row r="223" spans="1:8">
      <c r="A223" s="597" t="s">
        <v>702</v>
      </c>
      <c r="B223" s="598" t="s">
        <v>282</v>
      </c>
      <c r="C223" s="600"/>
      <c r="D223" s="599"/>
      <c r="E223" s="601"/>
      <c r="F223" s="602">
        <f ca="1">SUM(F175:F221)</f>
        <v>2621</v>
      </c>
      <c r="G223" s="1202">
        <f ca="1">Elec_Est!F638</f>
        <v>2621</v>
      </c>
      <c r="H223" s="1203">
        <f ca="1">F223-G223</f>
        <v>0</v>
      </c>
    </row>
    <row r="224" spans="1:8">
      <c r="A224" s="603" t="s">
        <v>675</v>
      </c>
      <c r="B224" s="604"/>
      <c r="C224" s="606"/>
      <c r="D224" s="605"/>
      <c r="E224" s="644"/>
      <c r="F224" s="608"/>
    </row>
    <row r="225" spans="1:6" ht="17.399999999999999">
      <c r="A225" s="609" t="s">
        <v>675</v>
      </c>
      <c r="B225" s="610"/>
      <c r="C225" s="551"/>
      <c r="D225" s="550"/>
      <c r="E225" s="645"/>
      <c r="F225" s="611"/>
    </row>
    <row r="226" spans="1:6" ht="12.75" customHeight="1">
      <c r="A226" s="612" t="s">
        <v>675</v>
      </c>
      <c r="B226" s="646"/>
      <c r="C226" s="648"/>
      <c r="D226" s="647"/>
      <c r="E226" s="649"/>
      <c r="F226" s="650"/>
    </row>
    <row r="227" spans="1:6" ht="12.75" customHeight="1">
      <c r="A227" s="612" t="s">
        <v>675</v>
      </c>
      <c r="B227" s="646"/>
      <c r="C227" s="648"/>
      <c r="D227" s="647"/>
      <c r="E227" s="649"/>
      <c r="F227" s="650"/>
    </row>
    <row r="228" spans="1:6" ht="13.2" customHeight="1">
      <c r="A228" s="603" t="s">
        <v>675</v>
      </c>
      <c r="B228" s="604"/>
      <c r="C228" s="606"/>
      <c r="D228" s="605"/>
      <c r="E228" s="644"/>
      <c r="F228" s="651"/>
    </row>
    <row r="229" spans="1:6" ht="13.8" thickBot="1">
      <c r="A229" s="616" t="s">
        <v>267</v>
      </c>
      <c r="B229" s="652" t="s">
        <v>268</v>
      </c>
      <c r="C229" s="569" t="s">
        <v>269</v>
      </c>
      <c r="D229" s="568" t="s">
        <v>259</v>
      </c>
      <c r="E229" s="570" t="s">
        <v>270</v>
      </c>
      <c r="F229" s="571" t="s">
        <v>260</v>
      </c>
    </row>
    <row r="230" spans="1:6">
      <c r="A230" s="653" t="s">
        <v>675</v>
      </c>
      <c r="B230" s="642"/>
      <c r="C230" s="656"/>
      <c r="D230" s="655"/>
      <c r="E230" s="662"/>
      <c r="F230" s="580"/>
    </row>
    <row r="231" spans="1:6">
      <c r="A231" s="572" t="s">
        <v>300</v>
      </c>
      <c r="B231" s="673" t="s">
        <v>355</v>
      </c>
      <c r="C231" s="575">
        <v>1</v>
      </c>
      <c r="D231" s="574" t="s">
        <v>347</v>
      </c>
      <c r="E231" s="576">
        <f ca="1">Elec_Est!E643</f>
        <v>14.36</v>
      </c>
      <c r="F231" s="580">
        <f ca="1">E231*C231</f>
        <v>14.36</v>
      </c>
    </row>
    <row r="232" spans="1:6">
      <c r="A232" s="572" t="s">
        <v>675</v>
      </c>
      <c r="B232" s="673"/>
      <c r="C232" s="575"/>
      <c r="D232" s="574"/>
      <c r="E232" s="576"/>
      <c r="F232" s="580"/>
    </row>
    <row r="233" spans="1:6">
      <c r="A233" s="572" t="s">
        <v>302</v>
      </c>
      <c r="B233" s="673" t="s">
        <v>356</v>
      </c>
      <c r="C233" s="575">
        <v>4</v>
      </c>
      <c r="D233" s="574" t="s">
        <v>347</v>
      </c>
      <c r="E233" s="576">
        <f ca="1">Elec_Est!E650</f>
        <v>11.35</v>
      </c>
      <c r="F233" s="580">
        <f ca="1">E233*C233</f>
        <v>45.4</v>
      </c>
    </row>
    <row r="234" spans="1:6">
      <c r="A234" s="654" t="s">
        <v>675</v>
      </c>
      <c r="B234" s="642"/>
      <c r="C234" s="656"/>
      <c r="D234" s="655"/>
      <c r="E234" s="662"/>
      <c r="F234" s="580"/>
    </row>
    <row r="235" spans="1:6">
      <c r="A235" s="572" t="s">
        <v>307</v>
      </c>
      <c r="B235" s="673" t="s">
        <v>357</v>
      </c>
      <c r="C235" s="575">
        <v>3</v>
      </c>
      <c r="D235" s="574" t="s">
        <v>347</v>
      </c>
      <c r="E235" s="576">
        <f ca="1">Elec_Est!E657</f>
        <v>11.35</v>
      </c>
      <c r="F235" s="580">
        <f ca="1">E235*C235</f>
        <v>34.049999999999997</v>
      </c>
    </row>
    <row r="236" spans="1:6">
      <c r="A236" s="572" t="s">
        <v>675</v>
      </c>
      <c r="B236" s="673"/>
      <c r="C236" s="575"/>
      <c r="D236" s="574"/>
      <c r="E236" s="576"/>
      <c r="F236" s="580"/>
    </row>
    <row r="237" spans="1:6">
      <c r="A237" s="572" t="s">
        <v>308</v>
      </c>
      <c r="B237" s="673" t="s">
        <v>346</v>
      </c>
      <c r="C237" s="575">
        <v>8</v>
      </c>
      <c r="D237" s="574" t="s">
        <v>347</v>
      </c>
      <c r="E237" s="576">
        <f ca="1">Elec_Est!E664</f>
        <v>21.74</v>
      </c>
      <c r="F237" s="580">
        <f ca="1">E237*C237</f>
        <v>173.92</v>
      </c>
    </row>
    <row r="238" spans="1:6">
      <c r="A238" s="572" t="s">
        <v>675</v>
      </c>
      <c r="B238" s="673"/>
      <c r="C238" s="575"/>
      <c r="D238" s="574"/>
      <c r="E238" s="576"/>
      <c r="F238" s="580"/>
    </row>
    <row r="239" spans="1:6" ht="26.4">
      <c r="A239" s="572" t="s">
        <v>309</v>
      </c>
      <c r="B239" s="582" t="s">
        <v>348</v>
      </c>
      <c r="C239" s="575">
        <v>5</v>
      </c>
      <c r="D239" s="574" t="s">
        <v>347</v>
      </c>
      <c r="E239" s="576">
        <f ca="1">Elec_Est!E671</f>
        <v>13.21</v>
      </c>
      <c r="F239" s="580">
        <f ca="1">E239*C239</f>
        <v>66.050000000000011</v>
      </c>
    </row>
    <row r="240" spans="1:6">
      <c r="A240" s="572" t="s">
        <v>675</v>
      </c>
      <c r="B240" s="674"/>
      <c r="C240" s="575"/>
      <c r="D240" s="574"/>
      <c r="E240" s="576"/>
      <c r="F240" s="580"/>
    </row>
    <row r="241" spans="1:6" ht="26.4">
      <c r="A241" s="572" t="s">
        <v>310</v>
      </c>
      <c r="B241" s="582" t="s">
        <v>349</v>
      </c>
      <c r="C241" s="575">
        <v>1</v>
      </c>
      <c r="D241" s="574" t="s">
        <v>347</v>
      </c>
      <c r="E241" s="576">
        <f ca="1">Elec_Est!E678</f>
        <v>17.87</v>
      </c>
      <c r="F241" s="580">
        <f ca="1">E241*C241</f>
        <v>17.87</v>
      </c>
    </row>
    <row r="242" spans="1:6">
      <c r="A242" s="572" t="s">
        <v>675</v>
      </c>
      <c r="B242" s="588"/>
      <c r="C242" s="587"/>
      <c r="D242" s="574"/>
      <c r="E242" s="670"/>
      <c r="F242" s="580"/>
    </row>
    <row r="243" spans="1:6">
      <c r="A243" s="572" t="s">
        <v>311</v>
      </c>
      <c r="B243" s="588" t="s">
        <v>350</v>
      </c>
      <c r="C243" s="575">
        <v>7</v>
      </c>
      <c r="D243" s="574" t="s">
        <v>347</v>
      </c>
      <c r="E243" s="576">
        <f ca="1">Elec_Est!E685</f>
        <v>16.12</v>
      </c>
      <c r="F243" s="580">
        <f ca="1">E243*C243</f>
        <v>112.84</v>
      </c>
    </row>
    <row r="244" spans="1:6">
      <c r="A244" s="572" t="s">
        <v>675</v>
      </c>
      <c r="B244" s="588"/>
      <c r="C244" s="575"/>
      <c r="D244" s="574"/>
      <c r="E244" s="576"/>
      <c r="F244" s="580"/>
    </row>
    <row r="245" spans="1:6">
      <c r="A245" s="572" t="s">
        <v>675</v>
      </c>
      <c r="B245" s="588"/>
      <c r="C245" s="575"/>
      <c r="D245" s="574"/>
      <c r="E245" s="576"/>
      <c r="F245" s="580"/>
    </row>
    <row r="246" spans="1:6">
      <c r="A246" s="572" t="s">
        <v>703</v>
      </c>
      <c r="B246" s="639" t="s">
        <v>358</v>
      </c>
      <c r="C246" s="575"/>
      <c r="D246" s="574"/>
      <c r="E246" s="576"/>
      <c r="F246" s="580"/>
    </row>
    <row r="247" spans="1:6">
      <c r="A247" s="572" t="s">
        <v>675</v>
      </c>
      <c r="B247" s="639"/>
      <c r="C247" s="575"/>
      <c r="D247" s="574"/>
      <c r="E247" s="576"/>
      <c r="F247" s="580"/>
    </row>
    <row r="248" spans="1:6" ht="26.4">
      <c r="A248" s="675" t="s">
        <v>721</v>
      </c>
      <c r="B248" s="582" t="s">
        <v>720</v>
      </c>
      <c r="C248" s="575"/>
      <c r="D248" s="574"/>
      <c r="E248" s="576"/>
      <c r="F248" s="580"/>
    </row>
    <row r="249" spans="1:6">
      <c r="A249" s="675" t="s">
        <v>675</v>
      </c>
      <c r="B249" s="659"/>
      <c r="C249" s="575"/>
      <c r="D249" s="574"/>
      <c r="E249" s="576"/>
      <c r="F249" s="580"/>
    </row>
    <row r="250" spans="1:6">
      <c r="A250" s="675" t="s">
        <v>675</v>
      </c>
      <c r="B250" s="658"/>
      <c r="C250" s="575"/>
      <c r="D250" s="574"/>
      <c r="E250" s="576"/>
      <c r="F250" s="580"/>
    </row>
    <row r="251" spans="1:6">
      <c r="A251" s="654" t="s">
        <v>294</v>
      </c>
      <c r="B251" s="554" t="s">
        <v>359</v>
      </c>
      <c r="C251" s="575">
        <v>6</v>
      </c>
      <c r="D251" s="574" t="s">
        <v>335</v>
      </c>
      <c r="E251" s="576">
        <f ca="1">Elec_Est!E700</f>
        <v>77.31</v>
      </c>
      <c r="F251" s="580">
        <f ca="1">E251*C251</f>
        <v>463.86</v>
      </c>
    </row>
    <row r="252" spans="1:6">
      <c r="A252" s="572" t="s">
        <v>675</v>
      </c>
      <c r="B252" s="639"/>
      <c r="C252" s="575"/>
      <c r="D252" s="574"/>
      <c r="E252" s="576"/>
      <c r="F252" s="580"/>
    </row>
    <row r="253" spans="1:6">
      <c r="A253" s="572" t="s">
        <v>296</v>
      </c>
      <c r="B253" s="642" t="s">
        <v>360</v>
      </c>
      <c r="C253" s="575">
        <v>3</v>
      </c>
      <c r="D253" s="574" t="s">
        <v>335</v>
      </c>
      <c r="E253" s="576">
        <f ca="1">Elec_Est!E708</f>
        <v>79.36</v>
      </c>
      <c r="F253" s="580">
        <f ca="1">E253*C253</f>
        <v>238.07999999999998</v>
      </c>
    </row>
    <row r="254" spans="1:6">
      <c r="A254" s="572" t="s">
        <v>675</v>
      </c>
      <c r="B254" s="639"/>
      <c r="C254" s="575"/>
      <c r="D254" s="574"/>
      <c r="E254" s="576"/>
      <c r="F254" s="580"/>
    </row>
    <row r="255" spans="1:6" ht="26.4">
      <c r="A255" s="572" t="s">
        <v>298</v>
      </c>
      <c r="B255" s="673" t="s">
        <v>361</v>
      </c>
      <c r="C255" s="575">
        <v>2</v>
      </c>
      <c r="D255" s="574" t="s">
        <v>335</v>
      </c>
      <c r="E255" s="576">
        <f ca="1">Elec_Est!E716</f>
        <v>119.8</v>
      </c>
      <c r="F255" s="580">
        <f ca="1">E255*C255</f>
        <v>239.6</v>
      </c>
    </row>
    <row r="256" spans="1:6">
      <c r="A256" s="572" t="s">
        <v>675</v>
      </c>
      <c r="B256" s="673"/>
      <c r="C256" s="575"/>
      <c r="D256" s="574"/>
      <c r="E256" s="576"/>
      <c r="F256" s="580"/>
    </row>
    <row r="257" spans="1:6">
      <c r="A257" s="572" t="s">
        <v>300</v>
      </c>
      <c r="B257" s="673" t="s">
        <v>362</v>
      </c>
      <c r="C257" s="575">
        <v>10</v>
      </c>
      <c r="D257" s="574" t="s">
        <v>335</v>
      </c>
      <c r="E257" s="576">
        <f ca="1">Elec_Est!E724</f>
        <v>115.17</v>
      </c>
      <c r="F257" s="580">
        <f ca="1">E257*C257</f>
        <v>1151.7</v>
      </c>
    </row>
    <row r="258" spans="1:6">
      <c r="A258" s="572" t="s">
        <v>675</v>
      </c>
      <c r="B258" s="673"/>
      <c r="C258" s="575"/>
      <c r="D258" s="574"/>
      <c r="E258" s="576"/>
      <c r="F258" s="580"/>
    </row>
    <row r="259" spans="1:6">
      <c r="A259" s="572" t="s">
        <v>302</v>
      </c>
      <c r="B259" s="673" t="s">
        <v>363</v>
      </c>
      <c r="C259" s="575">
        <v>6</v>
      </c>
      <c r="D259" s="574" t="s">
        <v>335</v>
      </c>
      <c r="E259" s="576">
        <f ca="1">Elec_Est!E732</f>
        <v>79.88</v>
      </c>
      <c r="F259" s="580">
        <f ca="1">E259*C259</f>
        <v>479.28</v>
      </c>
    </row>
    <row r="260" spans="1:6">
      <c r="A260" s="572" t="s">
        <v>675</v>
      </c>
      <c r="B260" s="673"/>
      <c r="C260" s="575"/>
      <c r="D260" s="574"/>
      <c r="E260" s="576"/>
      <c r="F260" s="580"/>
    </row>
    <row r="261" spans="1:6">
      <c r="A261" s="572" t="s">
        <v>307</v>
      </c>
      <c r="B261" s="673" t="s">
        <v>364</v>
      </c>
      <c r="C261" s="575">
        <v>6</v>
      </c>
      <c r="D261" s="574" t="s">
        <v>335</v>
      </c>
      <c r="E261" s="576">
        <f ca="1">Elec_Est!E740</f>
        <v>79.88</v>
      </c>
      <c r="F261" s="580">
        <f ca="1">E261*C261</f>
        <v>479.28</v>
      </c>
    </row>
    <row r="262" spans="1:6">
      <c r="A262" s="572" t="s">
        <v>675</v>
      </c>
      <c r="B262" s="673"/>
      <c r="C262" s="575"/>
      <c r="D262" s="574"/>
      <c r="E262" s="576"/>
      <c r="F262" s="580"/>
    </row>
    <row r="263" spans="1:6">
      <c r="A263" s="572" t="s">
        <v>675</v>
      </c>
      <c r="B263" s="639"/>
      <c r="C263" s="575"/>
      <c r="D263" s="574"/>
      <c r="E263" s="576"/>
      <c r="F263" s="580"/>
    </row>
    <row r="264" spans="1:6">
      <c r="A264" s="572" t="s">
        <v>703</v>
      </c>
      <c r="B264" s="639" t="s">
        <v>292</v>
      </c>
      <c r="C264" s="575"/>
      <c r="D264" s="574"/>
      <c r="E264" s="576"/>
      <c r="F264" s="580"/>
    </row>
    <row r="265" spans="1:6">
      <c r="A265" s="572" t="s">
        <v>675</v>
      </c>
      <c r="B265" s="639"/>
      <c r="C265" s="575"/>
      <c r="D265" s="574"/>
      <c r="E265" s="576"/>
      <c r="F265" s="580"/>
    </row>
    <row r="266" spans="1:6" ht="25.2" customHeight="1">
      <c r="A266" s="572" t="s">
        <v>677</v>
      </c>
      <c r="B266" s="582" t="s">
        <v>293</v>
      </c>
      <c r="C266" s="575"/>
      <c r="D266" s="574"/>
      <c r="E266" s="576"/>
      <c r="F266" s="580"/>
    </row>
    <row r="267" spans="1:6">
      <c r="A267" s="572" t="s">
        <v>675</v>
      </c>
      <c r="B267" s="639"/>
      <c r="C267" s="575"/>
      <c r="D267" s="574"/>
      <c r="E267" s="576"/>
      <c r="F267" s="580"/>
    </row>
    <row r="268" spans="1:6">
      <c r="A268" s="572" t="s">
        <v>294</v>
      </c>
      <c r="B268" s="642" t="s">
        <v>365</v>
      </c>
      <c r="C268" s="575">
        <v>1</v>
      </c>
      <c r="D268" s="574" t="s">
        <v>335</v>
      </c>
      <c r="E268" s="576">
        <f>Elec_Est!E756</f>
        <v>996.39</v>
      </c>
      <c r="F268" s="580">
        <f>E268*C268</f>
        <v>996.39</v>
      </c>
    </row>
    <row r="269" spans="1:6">
      <c r="A269" s="572" t="s">
        <v>675</v>
      </c>
      <c r="B269" s="588"/>
      <c r="C269" s="575"/>
      <c r="D269" s="574"/>
      <c r="E269" s="576"/>
      <c r="F269" s="580"/>
    </row>
    <row r="270" spans="1:6">
      <c r="A270" s="572" t="s">
        <v>296</v>
      </c>
      <c r="B270" s="588" t="s">
        <v>366</v>
      </c>
      <c r="C270" s="575">
        <v>1</v>
      </c>
      <c r="D270" s="574" t="s">
        <v>335</v>
      </c>
      <c r="E270" s="576">
        <f>Elec_Est!E762</f>
        <v>947.59</v>
      </c>
      <c r="F270" s="580">
        <f>E270*C270</f>
        <v>947.59</v>
      </c>
    </row>
    <row r="271" spans="1:6">
      <c r="A271" s="572" t="s">
        <v>675</v>
      </c>
      <c r="B271" s="588"/>
      <c r="C271" s="575"/>
      <c r="D271" s="574"/>
      <c r="E271" s="576"/>
      <c r="F271" s="580"/>
    </row>
    <row r="272" spans="1:6">
      <c r="A272" s="572" t="s">
        <v>298</v>
      </c>
      <c r="B272" s="588" t="s">
        <v>367</v>
      </c>
      <c r="C272" s="575">
        <v>6</v>
      </c>
      <c r="D272" s="574" t="s">
        <v>335</v>
      </c>
      <c r="E272" s="576">
        <f>Elec_Est!E768</f>
        <v>23.42</v>
      </c>
      <c r="F272" s="580">
        <f>E272*C272</f>
        <v>140.52000000000001</v>
      </c>
    </row>
    <row r="273" spans="1:8">
      <c r="A273" s="572" t="s">
        <v>675</v>
      </c>
      <c r="B273" s="588"/>
      <c r="C273" s="575"/>
      <c r="D273" s="574"/>
      <c r="E273" s="576"/>
      <c r="F273" s="580"/>
    </row>
    <row r="274" spans="1:8">
      <c r="A274" s="572" t="s">
        <v>300</v>
      </c>
      <c r="B274" s="588" t="s">
        <v>368</v>
      </c>
      <c r="C274" s="575">
        <v>2</v>
      </c>
      <c r="D274" s="574" t="s">
        <v>335</v>
      </c>
      <c r="E274" s="576">
        <f>Elec_Est!E774</f>
        <v>25.03</v>
      </c>
      <c r="F274" s="580">
        <f>E274*C274</f>
        <v>50.06</v>
      </c>
    </row>
    <row r="275" spans="1:8">
      <c r="A275" s="572" t="s">
        <v>675</v>
      </c>
      <c r="B275" s="588"/>
      <c r="C275" s="575"/>
      <c r="D275" s="574"/>
      <c r="E275" s="576"/>
      <c r="F275" s="580"/>
    </row>
    <row r="276" spans="1:8">
      <c r="A276" s="572" t="s">
        <v>675</v>
      </c>
      <c r="B276" s="588"/>
      <c r="C276" s="575"/>
      <c r="D276" s="574"/>
      <c r="E276" s="576"/>
      <c r="F276" s="580"/>
    </row>
    <row r="277" spans="1:8" ht="13.8" thickBot="1">
      <c r="A277" s="572" t="s">
        <v>675</v>
      </c>
      <c r="C277" s="575"/>
      <c r="D277" s="574"/>
      <c r="E277" s="669"/>
      <c r="F277" s="577"/>
    </row>
    <row r="278" spans="1:8">
      <c r="A278" s="591" t="s">
        <v>675</v>
      </c>
      <c r="B278" s="592"/>
      <c r="C278" s="594"/>
      <c r="D278" s="593"/>
      <c r="E278" s="643"/>
      <c r="F278" s="596"/>
    </row>
    <row r="279" spans="1:8">
      <c r="A279" s="597" t="s">
        <v>702</v>
      </c>
      <c r="B279" s="598" t="s">
        <v>282</v>
      </c>
      <c r="C279" s="600"/>
      <c r="D279" s="599"/>
      <c r="E279" s="601"/>
      <c r="F279" s="602">
        <f ca="1">SUM(F230:F277)</f>
        <v>5650.8500000000013</v>
      </c>
      <c r="G279" s="1202">
        <f ca="1">Elec_Est!F781</f>
        <v>5650.8500000000013</v>
      </c>
      <c r="H279" s="1203">
        <f ca="1">F279-G279</f>
        <v>0</v>
      </c>
    </row>
    <row r="280" spans="1:8">
      <c r="A280" s="603" t="s">
        <v>675</v>
      </c>
      <c r="B280" s="604"/>
      <c r="C280" s="606"/>
      <c r="D280" s="605"/>
      <c r="E280" s="644"/>
      <c r="F280" s="608"/>
    </row>
    <row r="281" spans="1:8" ht="17.399999999999999">
      <c r="A281" s="609" t="s">
        <v>675</v>
      </c>
      <c r="B281" s="610"/>
      <c r="C281" s="551"/>
      <c r="D281" s="550"/>
      <c r="E281" s="645"/>
      <c r="F281" s="611"/>
    </row>
    <row r="282" spans="1:8" ht="12.75" customHeight="1">
      <c r="A282" s="612" t="s">
        <v>675</v>
      </c>
      <c r="B282" s="646"/>
      <c r="C282" s="648"/>
      <c r="D282" s="647"/>
      <c r="E282" s="649"/>
      <c r="F282" s="650"/>
    </row>
    <row r="283" spans="1:8" ht="12.75" customHeight="1">
      <c r="A283" s="612" t="s">
        <v>675</v>
      </c>
      <c r="B283" s="646"/>
      <c r="C283" s="648"/>
      <c r="D283" s="647"/>
      <c r="E283" s="649"/>
      <c r="F283" s="650"/>
    </row>
    <row r="284" spans="1:8" ht="13.2" customHeight="1">
      <c r="A284" s="603" t="s">
        <v>675</v>
      </c>
      <c r="B284" s="604"/>
      <c r="C284" s="606"/>
      <c r="D284" s="605"/>
      <c r="E284" s="644"/>
      <c r="F284" s="651"/>
    </row>
    <row r="285" spans="1:8" ht="13.8" thickBot="1">
      <c r="A285" s="616" t="s">
        <v>267</v>
      </c>
      <c r="B285" s="652" t="s">
        <v>268</v>
      </c>
      <c r="C285" s="569" t="s">
        <v>269</v>
      </c>
      <c r="D285" s="568" t="s">
        <v>259</v>
      </c>
      <c r="E285" s="570" t="s">
        <v>270</v>
      </c>
      <c r="F285" s="571" t="s">
        <v>260</v>
      </c>
    </row>
    <row r="286" spans="1:8">
      <c r="A286" s="676" t="s">
        <v>675</v>
      </c>
      <c r="B286" s="677"/>
      <c r="C286" s="679"/>
      <c r="D286" s="678"/>
      <c r="E286" s="680"/>
      <c r="F286" s="596"/>
    </row>
    <row r="287" spans="1:8">
      <c r="A287" s="572" t="s">
        <v>302</v>
      </c>
      <c r="B287" s="588" t="s">
        <v>369</v>
      </c>
      <c r="C287" s="575">
        <v>3</v>
      </c>
      <c r="D287" s="574" t="s">
        <v>335</v>
      </c>
      <c r="E287" s="576">
        <f>Elec_Est!E786</f>
        <v>26.84</v>
      </c>
      <c r="F287" s="580">
        <f>E287*C287</f>
        <v>80.52</v>
      </c>
    </row>
    <row r="288" spans="1:8">
      <c r="A288" s="572" t="s">
        <v>675</v>
      </c>
      <c r="B288" s="588"/>
      <c r="C288" s="575"/>
      <c r="D288" s="574"/>
      <c r="E288" s="576"/>
      <c r="F288" s="580"/>
    </row>
    <row r="289" spans="1:6">
      <c r="A289" s="572" t="s">
        <v>307</v>
      </c>
      <c r="B289" s="588" t="s">
        <v>370</v>
      </c>
      <c r="C289" s="575">
        <v>2</v>
      </c>
      <c r="D289" s="574" t="s">
        <v>335</v>
      </c>
      <c r="E289" s="576">
        <f>Elec_Est!E792</f>
        <v>6.91</v>
      </c>
      <c r="F289" s="580">
        <f>E289*C289</f>
        <v>13.82</v>
      </c>
    </row>
    <row r="290" spans="1:6">
      <c r="A290" s="572" t="s">
        <v>675</v>
      </c>
      <c r="B290" s="588"/>
      <c r="C290" s="575"/>
      <c r="D290" s="574"/>
      <c r="E290" s="576"/>
      <c r="F290" s="580"/>
    </row>
    <row r="291" spans="1:6">
      <c r="A291" s="572" t="s">
        <v>308</v>
      </c>
      <c r="B291" s="588" t="s">
        <v>371</v>
      </c>
      <c r="C291" s="575">
        <v>3</v>
      </c>
      <c r="D291" s="574" t="s">
        <v>335</v>
      </c>
      <c r="E291" s="576">
        <f>Elec_Est!E798</f>
        <v>19.12</v>
      </c>
      <c r="F291" s="580">
        <f>E291*C291</f>
        <v>57.36</v>
      </c>
    </row>
    <row r="292" spans="1:6">
      <c r="A292" s="572" t="s">
        <v>675</v>
      </c>
      <c r="B292" s="588"/>
      <c r="C292" s="575"/>
      <c r="D292" s="574"/>
      <c r="E292" s="576"/>
      <c r="F292" s="580"/>
    </row>
    <row r="293" spans="1:6">
      <c r="A293" s="653" t="s">
        <v>675</v>
      </c>
      <c r="B293" s="642"/>
      <c r="C293" s="656"/>
      <c r="D293" s="655"/>
      <c r="E293" s="657"/>
      <c r="F293" s="580"/>
    </row>
    <row r="294" spans="1:6" ht="26.4">
      <c r="A294" s="572" t="s">
        <v>722</v>
      </c>
      <c r="B294" s="582" t="s">
        <v>304</v>
      </c>
      <c r="C294" s="579"/>
      <c r="D294" s="574"/>
      <c r="E294" s="637"/>
      <c r="F294" s="580"/>
    </row>
    <row r="295" spans="1:6">
      <c r="A295" s="572" t="s">
        <v>675</v>
      </c>
      <c r="B295" s="586"/>
      <c r="C295" s="579"/>
      <c r="D295" s="574"/>
      <c r="E295" s="583"/>
      <c r="F295" s="580"/>
    </row>
    <row r="296" spans="1:6">
      <c r="A296" s="572" t="s">
        <v>294</v>
      </c>
      <c r="B296" s="642" t="s">
        <v>365</v>
      </c>
      <c r="C296" s="575">
        <v>1</v>
      </c>
      <c r="D296" s="574" t="s">
        <v>335</v>
      </c>
      <c r="E296" s="576">
        <f>Elec_Est!E808</f>
        <v>272.55</v>
      </c>
      <c r="F296" s="580">
        <f>E296*C296</f>
        <v>272.55</v>
      </c>
    </row>
    <row r="297" spans="1:6">
      <c r="A297" s="572" t="s">
        <v>675</v>
      </c>
      <c r="B297" s="588"/>
      <c r="C297" s="575"/>
      <c r="D297" s="574"/>
      <c r="E297" s="576"/>
      <c r="F297" s="580"/>
    </row>
    <row r="298" spans="1:6">
      <c r="A298" s="572" t="s">
        <v>296</v>
      </c>
      <c r="B298" s="588" t="s">
        <v>366</v>
      </c>
      <c r="C298" s="575">
        <v>1</v>
      </c>
      <c r="D298" s="574" t="s">
        <v>335</v>
      </c>
      <c r="E298" s="576">
        <f>Elec_Est!E817</f>
        <v>272.55</v>
      </c>
      <c r="F298" s="580">
        <f>E298*C298</f>
        <v>272.55</v>
      </c>
    </row>
    <row r="299" spans="1:6">
      <c r="A299" s="572" t="s">
        <v>675</v>
      </c>
      <c r="B299" s="588"/>
      <c r="C299" s="575"/>
      <c r="D299" s="574"/>
      <c r="E299" s="576"/>
      <c r="F299" s="580"/>
    </row>
    <row r="300" spans="1:6">
      <c r="A300" s="572" t="s">
        <v>298</v>
      </c>
      <c r="B300" s="588" t="s">
        <v>367</v>
      </c>
      <c r="C300" s="575">
        <v>6</v>
      </c>
      <c r="D300" s="574" t="s">
        <v>335</v>
      </c>
      <c r="E300" s="576">
        <f>Elec_Est!E826</f>
        <v>13.69</v>
      </c>
      <c r="F300" s="580">
        <f>E300*C300</f>
        <v>82.14</v>
      </c>
    </row>
    <row r="301" spans="1:6">
      <c r="A301" s="572" t="s">
        <v>675</v>
      </c>
      <c r="B301" s="588"/>
      <c r="C301" s="575"/>
      <c r="D301" s="574"/>
      <c r="E301" s="576"/>
      <c r="F301" s="580"/>
    </row>
    <row r="302" spans="1:6">
      <c r="A302" s="572" t="s">
        <v>300</v>
      </c>
      <c r="B302" s="588" t="s">
        <v>368</v>
      </c>
      <c r="C302" s="575">
        <v>2</v>
      </c>
      <c r="D302" s="574" t="s">
        <v>335</v>
      </c>
      <c r="E302" s="576">
        <f>Elec_Est!E835</f>
        <v>13.69</v>
      </c>
      <c r="F302" s="580">
        <f>E302*C302</f>
        <v>27.38</v>
      </c>
    </row>
    <row r="303" spans="1:6">
      <c r="A303" s="572" t="s">
        <v>675</v>
      </c>
      <c r="B303" s="588"/>
      <c r="C303" s="575"/>
      <c r="D303" s="574"/>
      <c r="E303" s="576"/>
      <c r="F303" s="580"/>
    </row>
    <row r="304" spans="1:6">
      <c r="A304" s="572" t="s">
        <v>302</v>
      </c>
      <c r="B304" s="588" t="s">
        <v>369</v>
      </c>
      <c r="C304" s="575">
        <v>3</v>
      </c>
      <c r="D304" s="574" t="s">
        <v>335</v>
      </c>
      <c r="E304" s="576">
        <f>Elec_Est!E844</f>
        <v>13.69</v>
      </c>
      <c r="F304" s="580">
        <f>E304*C304</f>
        <v>41.07</v>
      </c>
    </row>
    <row r="305" spans="1:6">
      <c r="A305" s="572" t="s">
        <v>675</v>
      </c>
      <c r="B305" s="588"/>
      <c r="C305" s="575"/>
      <c r="D305" s="574"/>
      <c r="E305" s="576"/>
      <c r="F305" s="580"/>
    </row>
    <row r="306" spans="1:6">
      <c r="A306" s="572" t="s">
        <v>307</v>
      </c>
      <c r="B306" s="588" t="s">
        <v>370</v>
      </c>
      <c r="C306" s="575">
        <v>2</v>
      </c>
      <c r="D306" s="574" t="s">
        <v>335</v>
      </c>
      <c r="E306" s="576">
        <f>Elec_Est!E853</f>
        <v>6.28</v>
      </c>
      <c r="F306" s="580">
        <f>E306*C306</f>
        <v>12.56</v>
      </c>
    </row>
    <row r="307" spans="1:6">
      <c r="A307" s="572" t="s">
        <v>675</v>
      </c>
      <c r="B307" s="588"/>
      <c r="C307" s="575"/>
      <c r="D307" s="574"/>
      <c r="E307" s="576"/>
      <c r="F307" s="580"/>
    </row>
    <row r="308" spans="1:6">
      <c r="A308" s="572" t="s">
        <v>308</v>
      </c>
      <c r="B308" s="588" t="s">
        <v>371</v>
      </c>
      <c r="C308" s="575">
        <v>3</v>
      </c>
      <c r="D308" s="574" t="s">
        <v>335</v>
      </c>
      <c r="E308" s="576">
        <f>Elec_Est!E859</f>
        <v>7.39</v>
      </c>
      <c r="F308" s="580">
        <f>E308*C308</f>
        <v>22.169999999999998</v>
      </c>
    </row>
    <row r="309" spans="1:6">
      <c r="A309" s="572" t="s">
        <v>675</v>
      </c>
      <c r="B309" s="588"/>
      <c r="C309" s="587"/>
      <c r="D309" s="574"/>
      <c r="E309" s="670"/>
      <c r="F309" s="580"/>
    </row>
    <row r="310" spans="1:6">
      <c r="A310" s="653" t="s">
        <v>675</v>
      </c>
      <c r="B310" s="588"/>
      <c r="C310" s="682"/>
      <c r="D310" s="681"/>
      <c r="E310" s="683"/>
      <c r="F310" s="580"/>
    </row>
    <row r="311" spans="1:6">
      <c r="A311" s="572" t="s">
        <v>703</v>
      </c>
      <c r="B311" s="578" t="s">
        <v>305</v>
      </c>
      <c r="C311" s="587"/>
      <c r="D311" s="684"/>
      <c r="E311" s="576"/>
      <c r="F311" s="580"/>
    </row>
    <row r="312" spans="1:6">
      <c r="A312" s="572" t="s">
        <v>675</v>
      </c>
      <c r="B312" s="658"/>
      <c r="C312" s="575"/>
      <c r="D312" s="574"/>
      <c r="E312" s="576"/>
      <c r="F312" s="580"/>
    </row>
    <row r="313" spans="1:6" ht="39.6">
      <c r="A313" s="572" t="s">
        <v>723</v>
      </c>
      <c r="B313" s="582" t="s">
        <v>687</v>
      </c>
      <c r="C313" s="575"/>
      <c r="D313" s="574"/>
      <c r="E313" s="576"/>
      <c r="F313" s="580"/>
    </row>
    <row r="314" spans="1:6">
      <c r="A314" s="660" t="s">
        <v>675</v>
      </c>
      <c r="B314" s="659"/>
      <c r="C314" s="575"/>
      <c r="D314" s="574"/>
      <c r="E314" s="576"/>
      <c r="F314" s="580"/>
    </row>
    <row r="315" spans="1:6">
      <c r="A315" s="572" t="s">
        <v>675</v>
      </c>
      <c r="B315" s="659"/>
      <c r="C315" s="575"/>
      <c r="D315" s="574"/>
      <c r="E315" s="576"/>
      <c r="F315" s="580"/>
    </row>
    <row r="316" spans="1:6">
      <c r="A316" s="572" t="s">
        <v>675</v>
      </c>
      <c r="B316" s="642"/>
      <c r="C316" s="575"/>
      <c r="D316" s="574"/>
      <c r="E316" s="576"/>
      <c r="F316" s="580"/>
    </row>
    <row r="317" spans="1:6">
      <c r="C317" s="575"/>
      <c r="D317" s="574"/>
      <c r="E317" s="576"/>
      <c r="F317" s="580"/>
    </row>
    <row r="318" spans="1:6" ht="26.4">
      <c r="A318" s="572" t="s">
        <v>294</v>
      </c>
      <c r="B318" s="706" t="s">
        <v>724</v>
      </c>
      <c r="C318" s="575">
        <v>20</v>
      </c>
      <c r="D318" s="655" t="s">
        <v>306</v>
      </c>
      <c r="E318" s="576">
        <f ca="1">Elec_Est!E873</f>
        <v>4.5</v>
      </c>
      <c r="F318" s="580">
        <f ca="1">E318*C318</f>
        <v>90</v>
      </c>
    </row>
    <row r="319" spans="1:6">
      <c r="A319" s="572" t="s">
        <v>675</v>
      </c>
      <c r="B319" s="614"/>
      <c r="C319" s="575"/>
      <c r="D319" s="574"/>
      <c r="E319" s="576"/>
      <c r="F319" s="580"/>
    </row>
    <row r="320" spans="1:6">
      <c r="A320" s="572" t="s">
        <v>675</v>
      </c>
      <c r="B320" s="614"/>
      <c r="C320" s="575"/>
      <c r="D320" s="574"/>
      <c r="E320" s="576"/>
      <c r="F320" s="580"/>
    </row>
    <row r="321" spans="1:8" ht="26.4">
      <c r="A321" s="572" t="s">
        <v>296</v>
      </c>
      <c r="B321" s="706" t="s">
        <v>725</v>
      </c>
      <c r="C321" s="575">
        <v>20</v>
      </c>
      <c r="D321" s="655" t="s">
        <v>306</v>
      </c>
      <c r="E321" s="576">
        <f ca="1">Elec_Est!E880</f>
        <v>6.41</v>
      </c>
      <c r="F321" s="580">
        <f ca="1">E321*C321</f>
        <v>128.19999999999999</v>
      </c>
    </row>
    <row r="322" spans="1:8">
      <c r="A322" s="572" t="s">
        <v>675</v>
      </c>
      <c r="C322" s="575"/>
      <c r="D322" s="574"/>
      <c r="E322" s="576"/>
      <c r="F322" s="580"/>
    </row>
    <row r="323" spans="1:8">
      <c r="A323" s="572" t="s">
        <v>675</v>
      </c>
      <c r="B323" s="614"/>
      <c r="C323" s="664"/>
      <c r="D323" s="655"/>
      <c r="E323" s="576"/>
      <c r="F323" s="580"/>
    </row>
    <row r="324" spans="1:8">
      <c r="A324" s="572" t="s">
        <v>703</v>
      </c>
      <c r="B324" s="578" t="s">
        <v>324</v>
      </c>
      <c r="C324" s="575"/>
      <c r="D324" s="574"/>
      <c r="E324" s="576"/>
      <c r="F324" s="580"/>
    </row>
    <row r="325" spans="1:8">
      <c r="A325" s="572" t="s">
        <v>675</v>
      </c>
      <c r="B325" s="642"/>
      <c r="C325" s="575"/>
      <c r="D325" s="574"/>
      <c r="E325" s="576"/>
      <c r="F325" s="580"/>
    </row>
    <row r="326" spans="1:8" ht="39.6">
      <c r="A326" s="572" t="s">
        <v>726</v>
      </c>
      <c r="B326" s="588" t="s">
        <v>372</v>
      </c>
      <c r="C326" s="575"/>
      <c r="D326" s="574"/>
      <c r="E326" s="576"/>
      <c r="F326" s="580"/>
    </row>
    <row r="327" spans="1:8">
      <c r="A327" s="572" t="s">
        <v>675</v>
      </c>
      <c r="B327" s="639"/>
      <c r="C327" s="575"/>
      <c r="D327" s="574"/>
      <c r="E327" s="576"/>
      <c r="F327" s="580"/>
    </row>
    <row r="328" spans="1:8">
      <c r="A328" s="572" t="s">
        <v>294</v>
      </c>
      <c r="B328" s="588" t="s">
        <v>373</v>
      </c>
      <c r="C328" s="579">
        <v>15</v>
      </c>
      <c r="D328" s="574" t="s">
        <v>326</v>
      </c>
      <c r="E328" s="576">
        <f ca="1">Elec_Est!E895</f>
        <v>32.18</v>
      </c>
      <c r="F328" s="580">
        <f ca="1">E328*C328</f>
        <v>482.7</v>
      </c>
    </row>
    <row r="329" spans="1:8">
      <c r="A329" s="572" t="s">
        <v>675</v>
      </c>
      <c r="B329" s="588"/>
      <c r="C329" s="579"/>
      <c r="D329" s="574"/>
      <c r="E329" s="576"/>
      <c r="F329" s="580"/>
    </row>
    <row r="330" spans="1:8">
      <c r="A330" s="572" t="s">
        <v>296</v>
      </c>
      <c r="B330" s="588" t="s">
        <v>374</v>
      </c>
      <c r="C330" s="579">
        <v>5</v>
      </c>
      <c r="D330" s="574" t="s">
        <v>326</v>
      </c>
      <c r="E330" s="576">
        <f ca="1">Elec_Est!E904</f>
        <v>33.46</v>
      </c>
      <c r="F330" s="580">
        <f ca="1">E330*C330</f>
        <v>167.3</v>
      </c>
    </row>
    <row r="331" spans="1:8">
      <c r="A331" s="572" t="s">
        <v>675</v>
      </c>
      <c r="B331" s="588"/>
      <c r="C331" s="579"/>
      <c r="D331" s="574"/>
      <c r="E331" s="583"/>
      <c r="F331" s="580"/>
    </row>
    <row r="332" spans="1:8">
      <c r="A332" s="572" t="s">
        <v>675</v>
      </c>
      <c r="B332" s="588"/>
      <c r="C332" s="579"/>
      <c r="D332" s="574"/>
      <c r="E332" s="637"/>
      <c r="F332" s="580"/>
    </row>
    <row r="333" spans="1:8">
      <c r="A333" s="572" t="s">
        <v>675</v>
      </c>
      <c r="B333" s="588"/>
      <c r="C333" s="579"/>
      <c r="D333" s="574"/>
      <c r="E333" s="637"/>
      <c r="F333" s="580"/>
    </row>
    <row r="334" spans="1:8" ht="13.8" thickBot="1">
      <c r="A334" s="572" t="s">
        <v>675</v>
      </c>
      <c r="B334" s="588"/>
      <c r="C334" s="579"/>
      <c r="D334" s="574"/>
      <c r="E334" s="637"/>
      <c r="F334" s="577"/>
    </row>
    <row r="335" spans="1:8">
      <c r="A335" s="591" t="s">
        <v>675</v>
      </c>
      <c r="B335" s="592"/>
      <c r="C335" s="594"/>
      <c r="D335" s="593"/>
      <c r="E335" s="643"/>
      <c r="F335" s="596"/>
    </row>
    <row r="336" spans="1:8">
      <c r="A336" s="597" t="s">
        <v>702</v>
      </c>
      <c r="B336" s="598" t="s">
        <v>282</v>
      </c>
      <c r="C336" s="600"/>
      <c r="D336" s="599"/>
      <c r="E336" s="601"/>
      <c r="F336" s="602">
        <f ca="1">SUM(F286:F334)</f>
        <v>1750.32</v>
      </c>
      <c r="G336" s="1202">
        <f ca="1">Elec_Est!F914</f>
        <v>1750.32</v>
      </c>
      <c r="H336" s="1203">
        <f ca="1">F336-G336</f>
        <v>0</v>
      </c>
    </row>
    <row r="337" spans="1:6">
      <c r="A337" s="603" t="s">
        <v>675</v>
      </c>
      <c r="B337" s="604"/>
      <c r="C337" s="606"/>
      <c r="D337" s="605"/>
      <c r="E337" s="644"/>
      <c r="F337" s="608"/>
    </row>
    <row r="338" spans="1:6" ht="13.2" customHeight="1">
      <c r="A338" s="609" t="s">
        <v>675</v>
      </c>
      <c r="B338" s="610"/>
      <c r="C338" s="551"/>
      <c r="D338" s="550"/>
      <c r="E338" s="645"/>
      <c r="F338" s="611"/>
    </row>
    <row r="339" spans="1:6" ht="13.2" customHeight="1">
      <c r="A339" s="612" t="s">
        <v>675</v>
      </c>
      <c r="B339" s="646"/>
      <c r="C339" s="648"/>
      <c r="D339" s="647"/>
      <c r="E339" s="649"/>
      <c r="F339" s="650"/>
    </row>
    <row r="340" spans="1:6" ht="13.2" customHeight="1">
      <c r="A340" s="612" t="s">
        <v>675</v>
      </c>
      <c r="B340" s="646"/>
      <c r="C340" s="648"/>
      <c r="D340" s="647"/>
      <c r="E340" s="649"/>
      <c r="F340" s="650"/>
    </row>
    <row r="341" spans="1:6" ht="13.2" customHeight="1">
      <c r="A341" s="603" t="s">
        <v>675</v>
      </c>
      <c r="B341" s="604"/>
      <c r="C341" s="606"/>
      <c r="D341" s="605"/>
      <c r="E341" s="644"/>
      <c r="F341" s="651"/>
    </row>
    <row r="342" spans="1:6" ht="13.8" thickBot="1">
      <c r="A342" s="616" t="s">
        <v>267</v>
      </c>
      <c r="B342" s="652" t="s">
        <v>268</v>
      </c>
      <c r="C342" s="569" t="s">
        <v>269</v>
      </c>
      <c r="D342" s="568" t="s">
        <v>259</v>
      </c>
      <c r="E342" s="570" t="s">
        <v>270</v>
      </c>
      <c r="F342" s="571" t="s">
        <v>260</v>
      </c>
    </row>
    <row r="343" spans="1:6">
      <c r="A343" s="653" t="s">
        <v>675</v>
      </c>
      <c r="B343" s="642"/>
      <c r="C343" s="656"/>
      <c r="D343" s="655"/>
      <c r="E343" s="657"/>
      <c r="F343" s="577"/>
    </row>
    <row r="344" spans="1:6" ht="15.6">
      <c r="A344" s="653" t="s">
        <v>703</v>
      </c>
      <c r="B344" s="672" t="s">
        <v>375</v>
      </c>
      <c r="C344" s="664"/>
      <c r="D344" s="655"/>
      <c r="E344" s="657"/>
      <c r="F344" s="577"/>
    </row>
    <row r="345" spans="1:6">
      <c r="A345" s="653" t="s">
        <v>675</v>
      </c>
      <c r="B345" s="639"/>
      <c r="C345" s="664"/>
      <c r="D345" s="655"/>
      <c r="E345" s="657"/>
      <c r="F345" s="577"/>
    </row>
    <row r="346" spans="1:6">
      <c r="A346" s="653" t="s">
        <v>703</v>
      </c>
      <c r="B346" s="639" t="s">
        <v>332</v>
      </c>
      <c r="C346" s="664"/>
      <c r="D346" s="655"/>
      <c r="E346" s="685"/>
      <c r="F346" s="577"/>
    </row>
    <row r="347" spans="1:6">
      <c r="A347" s="653" t="s">
        <v>675</v>
      </c>
      <c r="B347" s="598"/>
      <c r="C347" s="664"/>
      <c r="D347" s="655"/>
      <c r="E347" s="685"/>
      <c r="F347" s="577"/>
    </row>
    <row r="348" spans="1:6" ht="26.4">
      <c r="A348" s="653" t="s">
        <v>727</v>
      </c>
      <c r="B348" s="582" t="s">
        <v>333</v>
      </c>
      <c r="C348" s="664"/>
      <c r="D348" s="686"/>
      <c r="E348" s="657"/>
      <c r="F348" s="577"/>
    </row>
    <row r="349" spans="1:6">
      <c r="A349" s="653" t="s">
        <v>675</v>
      </c>
      <c r="B349" s="659"/>
      <c r="C349" s="664"/>
      <c r="D349" s="686"/>
      <c r="E349" s="662"/>
      <c r="F349" s="580"/>
    </row>
    <row r="350" spans="1:6">
      <c r="A350" s="572" t="s">
        <v>294</v>
      </c>
      <c r="B350" s="588" t="s">
        <v>337</v>
      </c>
      <c r="C350" s="664">
        <v>1</v>
      </c>
      <c r="D350" s="655" t="s">
        <v>335</v>
      </c>
      <c r="E350" s="662">
        <f ca="1">Elec_Est!E931</f>
        <v>86.78</v>
      </c>
      <c r="F350" s="580">
        <f ca="1">E350*C350</f>
        <v>86.78</v>
      </c>
    </row>
    <row r="351" spans="1:6">
      <c r="A351" s="572" t="s">
        <v>675</v>
      </c>
      <c r="B351" s="588"/>
      <c r="C351" s="664"/>
      <c r="D351" s="655"/>
      <c r="E351" s="662"/>
      <c r="F351" s="580"/>
    </row>
    <row r="352" spans="1:6">
      <c r="A352" s="572" t="s">
        <v>296</v>
      </c>
      <c r="B352" s="588" t="s">
        <v>338</v>
      </c>
      <c r="C352" s="664">
        <v>1</v>
      </c>
      <c r="D352" s="655" t="s">
        <v>335</v>
      </c>
      <c r="E352" s="662">
        <f ca="1">Elec_Est!E938</f>
        <v>115.71</v>
      </c>
      <c r="F352" s="580">
        <f ca="1">E352*C352</f>
        <v>115.71</v>
      </c>
    </row>
    <row r="353" spans="1:6">
      <c r="A353" s="572" t="s">
        <v>675</v>
      </c>
      <c r="B353" s="588"/>
      <c r="C353" s="664"/>
      <c r="D353" s="655"/>
      <c r="E353" s="662"/>
      <c r="F353" s="580"/>
    </row>
    <row r="354" spans="1:6">
      <c r="A354" s="572" t="s">
        <v>298</v>
      </c>
      <c r="B354" s="588" t="s">
        <v>344</v>
      </c>
      <c r="C354" s="664">
        <v>11</v>
      </c>
      <c r="D354" s="655" t="s">
        <v>335</v>
      </c>
      <c r="E354" s="662">
        <f ca="1">Elec_Est!E945</f>
        <v>57.85</v>
      </c>
      <c r="F354" s="580">
        <f ca="1">E354*C354</f>
        <v>636.35</v>
      </c>
    </row>
    <row r="355" spans="1:6">
      <c r="A355" s="653" t="s">
        <v>675</v>
      </c>
      <c r="B355" s="588"/>
      <c r="C355" s="664"/>
      <c r="D355" s="655"/>
      <c r="E355" s="662"/>
      <c r="F355" s="580"/>
    </row>
    <row r="356" spans="1:6">
      <c r="A356" s="653" t="s">
        <v>675</v>
      </c>
      <c r="B356" s="588"/>
      <c r="C356" s="664"/>
      <c r="D356" s="655"/>
      <c r="E356" s="662"/>
      <c r="F356" s="580"/>
    </row>
    <row r="357" spans="1:6" ht="26.4">
      <c r="A357" s="653" t="s">
        <v>728</v>
      </c>
      <c r="B357" s="687" t="s">
        <v>376</v>
      </c>
      <c r="C357" s="664"/>
      <c r="D357" s="655"/>
      <c r="E357" s="662"/>
      <c r="F357" s="580"/>
    </row>
    <row r="358" spans="1:6">
      <c r="A358" s="653" t="s">
        <v>675</v>
      </c>
      <c r="B358" s="588"/>
      <c r="C358" s="664"/>
      <c r="D358" s="655"/>
      <c r="E358" s="662"/>
      <c r="F358" s="580"/>
    </row>
    <row r="359" spans="1:6">
      <c r="A359" s="1331" t="s">
        <v>294</v>
      </c>
      <c r="B359" s="1337" t="s">
        <v>377</v>
      </c>
      <c r="C359" s="1340">
        <v>72</v>
      </c>
      <c r="D359" s="1341" t="s">
        <v>335</v>
      </c>
      <c r="E359" s="1342">
        <f ca="1">Elec_Est!E956</f>
        <v>67.06</v>
      </c>
      <c r="F359" s="1336">
        <f ca="1">E359*C359</f>
        <v>4828.32</v>
      </c>
    </row>
    <row r="360" spans="1:6">
      <c r="A360" s="572" t="s">
        <v>675</v>
      </c>
      <c r="B360" s="588"/>
      <c r="C360" s="664"/>
      <c r="D360" s="655"/>
      <c r="E360" s="662"/>
      <c r="F360" s="580"/>
    </row>
    <row r="361" spans="1:6">
      <c r="A361" s="1331" t="s">
        <v>296</v>
      </c>
      <c r="B361" s="1337" t="s">
        <v>378</v>
      </c>
      <c r="C361" s="1340">
        <v>4</v>
      </c>
      <c r="D361" s="1341" t="s">
        <v>335</v>
      </c>
      <c r="E361" s="1342">
        <f ca="1">Elec_Est!E965</f>
        <v>124.92</v>
      </c>
      <c r="F361" s="1336">
        <f ca="1">E361*C361</f>
        <v>499.68</v>
      </c>
    </row>
    <row r="362" spans="1:6">
      <c r="A362" s="653" t="s">
        <v>675</v>
      </c>
      <c r="B362" s="588"/>
      <c r="C362" s="664"/>
      <c r="D362" s="655"/>
      <c r="E362" s="662"/>
      <c r="F362" s="580"/>
    </row>
    <row r="363" spans="1:6">
      <c r="A363" s="653" t="s">
        <v>675</v>
      </c>
      <c r="B363" s="588"/>
      <c r="C363" s="664"/>
      <c r="D363" s="655"/>
      <c r="E363" s="662"/>
      <c r="F363" s="580"/>
    </row>
    <row r="364" spans="1:6" ht="15" customHeight="1">
      <c r="A364" s="653" t="s">
        <v>729</v>
      </c>
      <c r="B364" s="687" t="s">
        <v>379</v>
      </c>
      <c r="C364" s="664"/>
      <c r="D364" s="655"/>
      <c r="E364" s="662"/>
      <c r="F364" s="580"/>
    </row>
    <row r="365" spans="1:6">
      <c r="A365" s="653" t="s">
        <v>675</v>
      </c>
      <c r="B365" s="588"/>
      <c r="C365" s="664"/>
      <c r="D365" s="655"/>
      <c r="E365" s="662"/>
      <c r="F365" s="580"/>
    </row>
    <row r="366" spans="1:6" ht="15.75" customHeight="1">
      <c r="A366" s="1331" t="s">
        <v>294</v>
      </c>
      <c r="B366" s="1337" t="s">
        <v>380</v>
      </c>
      <c r="C366" s="1340">
        <v>1</v>
      </c>
      <c r="D366" s="1341" t="s">
        <v>335</v>
      </c>
      <c r="E366" s="1342">
        <f ca="1">Elec_Est!E978</f>
        <v>1415.36</v>
      </c>
      <c r="F366" s="1336">
        <f ca="1">E366*C366</f>
        <v>1415.36</v>
      </c>
    </row>
    <row r="367" spans="1:6" ht="15.75" customHeight="1">
      <c r="A367" s="653" t="s">
        <v>675</v>
      </c>
      <c r="B367" s="588"/>
      <c r="C367" s="664"/>
      <c r="D367" s="655"/>
      <c r="E367" s="662"/>
      <c r="F367" s="580"/>
    </row>
    <row r="368" spans="1:6">
      <c r="A368" s="653" t="s">
        <v>675</v>
      </c>
      <c r="B368" s="588"/>
      <c r="C368" s="664"/>
      <c r="D368" s="655"/>
      <c r="E368" s="662"/>
      <c r="F368" s="580"/>
    </row>
    <row r="369" spans="1:6" ht="12.75" customHeight="1">
      <c r="A369" s="653" t="s">
        <v>730</v>
      </c>
      <c r="B369" s="673" t="s">
        <v>345</v>
      </c>
      <c r="C369" s="664"/>
      <c r="D369" s="655"/>
      <c r="E369" s="662"/>
      <c r="F369" s="580"/>
    </row>
    <row r="370" spans="1:6">
      <c r="A370" s="653" t="s">
        <v>675</v>
      </c>
      <c r="B370" s="588"/>
      <c r="C370" s="664"/>
      <c r="D370" s="655"/>
      <c r="E370" s="662"/>
      <c r="F370" s="580"/>
    </row>
    <row r="371" spans="1:6">
      <c r="A371" s="572" t="s">
        <v>294</v>
      </c>
      <c r="B371" s="588" t="s">
        <v>381</v>
      </c>
      <c r="C371" s="664">
        <v>2</v>
      </c>
      <c r="D371" s="655" t="s">
        <v>335</v>
      </c>
      <c r="E371" s="662">
        <f>Elec_Est!E1000</f>
        <v>9.94</v>
      </c>
      <c r="F371" s="580">
        <f>E371*C371</f>
        <v>19.88</v>
      </c>
    </row>
    <row r="372" spans="1:6">
      <c r="A372" s="572" t="s">
        <v>675</v>
      </c>
      <c r="B372" s="588"/>
      <c r="C372" s="664"/>
      <c r="D372" s="655"/>
      <c r="E372" s="662"/>
      <c r="F372" s="580"/>
    </row>
    <row r="373" spans="1:6" ht="26.4">
      <c r="A373" s="572" t="s">
        <v>296</v>
      </c>
      <c r="B373" s="582" t="s">
        <v>348</v>
      </c>
      <c r="C373" s="664">
        <v>7</v>
      </c>
      <c r="D373" s="655" t="s">
        <v>335</v>
      </c>
      <c r="E373" s="662">
        <f ca="1">Elec_Est!E1006</f>
        <v>28.98</v>
      </c>
      <c r="F373" s="580">
        <f ca="1">E373*C373</f>
        <v>202.86</v>
      </c>
    </row>
    <row r="374" spans="1:6">
      <c r="A374" s="572" t="s">
        <v>675</v>
      </c>
      <c r="B374" s="582"/>
      <c r="C374" s="664"/>
      <c r="D374" s="655"/>
      <c r="E374" s="662"/>
      <c r="F374" s="580"/>
    </row>
    <row r="375" spans="1:6" ht="26.4">
      <c r="A375" s="572" t="s">
        <v>298</v>
      </c>
      <c r="B375" s="582" t="s">
        <v>382</v>
      </c>
      <c r="C375" s="664">
        <v>4</v>
      </c>
      <c r="D375" s="655" t="s">
        <v>335</v>
      </c>
      <c r="E375" s="662">
        <f ca="1">Elec_Est!E1013</f>
        <v>43.86</v>
      </c>
      <c r="F375" s="580">
        <f ca="1">E375*C375</f>
        <v>175.44</v>
      </c>
    </row>
    <row r="376" spans="1:6">
      <c r="A376" s="653" t="s">
        <v>675</v>
      </c>
      <c r="B376" s="588"/>
      <c r="C376" s="664"/>
      <c r="D376" s="655"/>
      <c r="E376" s="662"/>
      <c r="F376" s="580"/>
    </row>
    <row r="377" spans="1:6">
      <c r="A377" s="653" t="s">
        <v>675</v>
      </c>
      <c r="C377" s="664"/>
      <c r="D377" s="655"/>
      <c r="E377" s="662"/>
      <c r="F377" s="580"/>
    </row>
    <row r="378" spans="1:6" ht="26.4">
      <c r="A378" s="653" t="s">
        <v>731</v>
      </c>
      <c r="B378" s="582" t="s">
        <v>351</v>
      </c>
      <c r="C378" s="664"/>
      <c r="D378" s="655"/>
      <c r="E378" s="662"/>
      <c r="F378" s="580"/>
    </row>
    <row r="379" spans="1:6">
      <c r="A379" s="653" t="s">
        <v>675</v>
      </c>
      <c r="B379" s="588"/>
      <c r="C379" s="664"/>
      <c r="D379" s="655"/>
      <c r="E379" s="662"/>
      <c r="F379" s="580"/>
    </row>
    <row r="380" spans="1:6">
      <c r="A380" s="572" t="s">
        <v>294</v>
      </c>
      <c r="B380" s="588" t="s">
        <v>383</v>
      </c>
      <c r="C380" s="664">
        <v>40</v>
      </c>
      <c r="D380" s="655" t="s">
        <v>335</v>
      </c>
      <c r="E380" s="662">
        <f ca="1">Elec_Est!E1024</f>
        <v>11.35</v>
      </c>
      <c r="F380" s="580">
        <f ca="1">E380*C380</f>
        <v>454</v>
      </c>
    </row>
    <row r="381" spans="1:6">
      <c r="A381" s="572" t="s">
        <v>675</v>
      </c>
      <c r="B381" s="588"/>
      <c r="C381" s="664"/>
      <c r="D381" s="655"/>
      <c r="E381" s="662"/>
      <c r="F381" s="580"/>
    </row>
    <row r="382" spans="1:6" ht="26.4">
      <c r="A382" s="572" t="s">
        <v>296</v>
      </c>
      <c r="B382" s="588" t="s">
        <v>384</v>
      </c>
      <c r="C382" s="664">
        <v>3</v>
      </c>
      <c r="D382" s="655" t="s">
        <v>335</v>
      </c>
      <c r="E382" s="662">
        <f ca="1">Elec_Est!E1031</f>
        <v>14.36</v>
      </c>
      <c r="F382" s="580">
        <f ca="1">E382*C382</f>
        <v>43.08</v>
      </c>
    </row>
    <row r="383" spans="1:6">
      <c r="A383" s="572" t="s">
        <v>675</v>
      </c>
      <c r="B383" s="588"/>
      <c r="C383" s="664"/>
      <c r="D383" s="655"/>
      <c r="E383" s="662"/>
      <c r="F383" s="580"/>
    </row>
    <row r="384" spans="1:6" ht="27" customHeight="1">
      <c r="A384" s="572" t="s">
        <v>298</v>
      </c>
      <c r="B384" s="588" t="s">
        <v>385</v>
      </c>
      <c r="C384" s="664">
        <v>4</v>
      </c>
      <c r="D384" s="655" t="s">
        <v>335</v>
      </c>
      <c r="E384" s="662">
        <f ca="1">Elec_Est!E1038</f>
        <v>49.48</v>
      </c>
      <c r="F384" s="580">
        <f ca="1">E384*C384</f>
        <v>197.92</v>
      </c>
    </row>
    <row r="385" spans="1:8" ht="27" customHeight="1">
      <c r="A385" s="653" t="s">
        <v>675</v>
      </c>
      <c r="B385" s="588"/>
      <c r="C385" s="664"/>
      <c r="D385" s="655"/>
      <c r="E385" s="662"/>
      <c r="F385" s="580"/>
    </row>
    <row r="386" spans="1:8" ht="13.8" thickBot="1">
      <c r="A386" s="653" t="s">
        <v>675</v>
      </c>
      <c r="B386" s="588"/>
      <c r="C386" s="664"/>
      <c r="D386" s="655"/>
      <c r="E386" s="662"/>
      <c r="F386" s="580"/>
    </row>
    <row r="387" spans="1:8">
      <c r="A387" s="591" t="s">
        <v>675</v>
      </c>
      <c r="B387" s="592"/>
      <c r="C387" s="594"/>
      <c r="D387" s="593"/>
      <c r="E387" s="643"/>
      <c r="F387" s="596"/>
    </row>
    <row r="388" spans="1:8">
      <c r="A388" s="597" t="s">
        <v>702</v>
      </c>
      <c r="B388" s="598" t="s">
        <v>282</v>
      </c>
      <c r="C388" s="600"/>
      <c r="D388" s="599"/>
      <c r="E388" s="601"/>
      <c r="F388" s="602">
        <f ca="1">SUM(F343:F386)</f>
        <v>8675.3799999999992</v>
      </c>
      <c r="G388" s="1202">
        <f ca="1">Elec_Est!F1046</f>
        <v>8675.3799999999992</v>
      </c>
      <c r="H388" s="1203">
        <f ca="1">F388-G388</f>
        <v>0</v>
      </c>
    </row>
    <row r="389" spans="1:8">
      <c r="A389" s="603" t="s">
        <v>675</v>
      </c>
      <c r="B389" s="604"/>
      <c r="C389" s="606"/>
      <c r="D389" s="605"/>
      <c r="E389" s="644"/>
      <c r="F389" s="608"/>
    </row>
    <row r="390" spans="1:8" ht="12.75" customHeight="1">
      <c r="A390" s="609" t="s">
        <v>675</v>
      </c>
      <c r="B390" s="610"/>
      <c r="C390" s="551"/>
      <c r="D390" s="550"/>
      <c r="E390" s="645"/>
      <c r="F390" s="611"/>
    </row>
    <row r="391" spans="1:8" ht="12.75" customHeight="1">
      <c r="A391" s="612" t="s">
        <v>675</v>
      </c>
      <c r="B391" s="646"/>
      <c r="C391" s="648"/>
      <c r="D391" s="647"/>
      <c r="E391" s="649"/>
      <c r="F391" s="650"/>
    </row>
    <row r="392" spans="1:8" ht="12.75" customHeight="1">
      <c r="A392" s="612" t="s">
        <v>675</v>
      </c>
      <c r="B392" s="646"/>
      <c r="C392" s="648"/>
      <c r="D392" s="647"/>
      <c r="E392" s="649"/>
      <c r="F392" s="650"/>
    </row>
    <row r="393" spans="1:8" ht="13.2" customHeight="1">
      <c r="A393" s="603" t="s">
        <v>675</v>
      </c>
      <c r="B393" s="604"/>
      <c r="C393" s="606"/>
      <c r="D393" s="605"/>
      <c r="E393" s="644"/>
      <c r="F393" s="651"/>
    </row>
    <row r="394" spans="1:8" ht="13.8" thickBot="1">
      <c r="A394" s="616" t="s">
        <v>267</v>
      </c>
      <c r="B394" s="652" t="s">
        <v>268</v>
      </c>
      <c r="C394" s="569" t="s">
        <v>269</v>
      </c>
      <c r="D394" s="568" t="s">
        <v>259</v>
      </c>
      <c r="E394" s="570" t="s">
        <v>270</v>
      </c>
      <c r="F394" s="571" t="s">
        <v>260</v>
      </c>
    </row>
    <row r="395" spans="1:8">
      <c r="A395" s="653" t="s">
        <v>675</v>
      </c>
      <c r="B395" s="642"/>
      <c r="C395" s="656"/>
      <c r="D395" s="655"/>
      <c r="E395" s="657"/>
      <c r="F395" s="577"/>
    </row>
    <row r="396" spans="1:8">
      <c r="A396" s="572" t="s">
        <v>300</v>
      </c>
      <c r="B396" s="588" t="s">
        <v>386</v>
      </c>
      <c r="C396" s="664">
        <v>22</v>
      </c>
      <c r="D396" s="655" t="s">
        <v>326</v>
      </c>
      <c r="E396" s="662">
        <f ca="1">Elec_Est!E1051</f>
        <v>5.63</v>
      </c>
      <c r="F396" s="580">
        <f ca="1">E396*C396</f>
        <v>123.86</v>
      </c>
    </row>
    <row r="397" spans="1:8">
      <c r="A397" s="572" t="s">
        <v>675</v>
      </c>
      <c r="B397" s="588"/>
      <c r="C397" s="664"/>
      <c r="D397" s="655"/>
      <c r="E397" s="662"/>
      <c r="F397" s="580"/>
    </row>
    <row r="398" spans="1:8" ht="25.2" customHeight="1">
      <c r="A398" s="572" t="s">
        <v>302</v>
      </c>
      <c r="B398" s="588" t="s">
        <v>387</v>
      </c>
      <c r="C398" s="664">
        <v>5</v>
      </c>
      <c r="D398" s="655" t="s">
        <v>335</v>
      </c>
      <c r="E398" s="662">
        <f ca="1">Elec_Est!E1058</f>
        <v>14.36</v>
      </c>
      <c r="F398" s="580">
        <f ca="1">E398*C398</f>
        <v>71.8</v>
      </c>
    </row>
    <row r="399" spans="1:8">
      <c r="A399" s="654" t="s">
        <v>675</v>
      </c>
      <c r="B399" s="642"/>
      <c r="C399" s="656"/>
      <c r="D399" s="655"/>
      <c r="E399" s="657"/>
      <c r="F399" s="580"/>
    </row>
    <row r="400" spans="1:8">
      <c r="A400" s="572" t="s">
        <v>307</v>
      </c>
      <c r="B400" s="588" t="s">
        <v>388</v>
      </c>
      <c r="C400" s="664">
        <v>19</v>
      </c>
      <c r="D400" s="655" t="s">
        <v>335</v>
      </c>
      <c r="E400" s="662">
        <f ca="1">Elec_Est!E1065</f>
        <v>11.35</v>
      </c>
      <c r="F400" s="580">
        <f ca="1">E400*C400</f>
        <v>215.65</v>
      </c>
    </row>
    <row r="401" spans="1:6">
      <c r="A401" s="572" t="s">
        <v>675</v>
      </c>
      <c r="B401" s="588"/>
      <c r="C401" s="664"/>
      <c r="D401" s="655"/>
      <c r="E401" s="662"/>
      <c r="F401" s="580"/>
    </row>
    <row r="402" spans="1:6">
      <c r="A402" s="572" t="s">
        <v>308</v>
      </c>
      <c r="B402" s="588" t="s">
        <v>389</v>
      </c>
      <c r="C402" s="664">
        <v>2</v>
      </c>
      <c r="D402" s="655" t="s">
        <v>335</v>
      </c>
      <c r="E402" s="662">
        <f ca="1">Elec_Est!E1072</f>
        <v>11.35</v>
      </c>
      <c r="F402" s="580">
        <f ca="1">E402*C402</f>
        <v>22.7</v>
      </c>
    </row>
    <row r="403" spans="1:6">
      <c r="A403" s="572" t="s">
        <v>675</v>
      </c>
      <c r="B403" s="588"/>
      <c r="C403" s="664"/>
      <c r="D403" s="655"/>
      <c r="E403" s="662"/>
      <c r="F403" s="580"/>
    </row>
    <row r="404" spans="1:6">
      <c r="A404" s="572" t="s">
        <v>309</v>
      </c>
      <c r="B404" s="588" t="s">
        <v>390</v>
      </c>
      <c r="C404" s="664">
        <v>2</v>
      </c>
      <c r="D404" s="655" t="s">
        <v>335</v>
      </c>
      <c r="E404" s="662">
        <f ca="1">Elec_Est!E1079</f>
        <v>5.63</v>
      </c>
      <c r="F404" s="580">
        <f ca="1">E404*C404</f>
        <v>11.26</v>
      </c>
    </row>
    <row r="405" spans="1:6">
      <c r="A405" s="572" t="s">
        <v>675</v>
      </c>
      <c r="B405" s="588"/>
      <c r="C405" s="664"/>
      <c r="D405" s="655"/>
      <c r="E405" s="662"/>
      <c r="F405" s="580"/>
    </row>
    <row r="406" spans="1:6">
      <c r="A406" s="572" t="s">
        <v>310</v>
      </c>
      <c r="B406" s="588" t="s">
        <v>391</v>
      </c>
      <c r="C406" s="664">
        <v>1</v>
      </c>
      <c r="D406" s="655" t="s">
        <v>335</v>
      </c>
      <c r="E406" s="662">
        <f ca="1">Elec_Est!E1086</f>
        <v>11.35</v>
      </c>
      <c r="F406" s="580">
        <f ca="1">E406*C406</f>
        <v>11.35</v>
      </c>
    </row>
    <row r="407" spans="1:6">
      <c r="A407" s="572" t="s">
        <v>675</v>
      </c>
      <c r="B407" s="588"/>
      <c r="C407" s="664"/>
      <c r="D407" s="655"/>
      <c r="E407" s="662"/>
      <c r="F407" s="580"/>
    </row>
    <row r="408" spans="1:6">
      <c r="A408" s="572" t="s">
        <v>311</v>
      </c>
      <c r="B408" s="588" t="s">
        <v>381</v>
      </c>
      <c r="C408" s="664">
        <v>2</v>
      </c>
      <c r="D408" s="655" t="s">
        <v>335</v>
      </c>
      <c r="E408" s="662">
        <f ca="1">Elec_Est!E1093</f>
        <v>64.13</v>
      </c>
      <c r="F408" s="580">
        <f ca="1">E408*C408</f>
        <v>128.26</v>
      </c>
    </row>
    <row r="409" spans="1:6">
      <c r="A409" s="572" t="s">
        <v>675</v>
      </c>
      <c r="B409" s="588"/>
      <c r="C409" s="664"/>
      <c r="D409" s="655"/>
      <c r="E409" s="662"/>
      <c r="F409" s="580"/>
    </row>
    <row r="410" spans="1:6" ht="26.4">
      <c r="A410" s="572" t="s">
        <v>312</v>
      </c>
      <c r="B410" s="582" t="s">
        <v>348</v>
      </c>
      <c r="C410" s="664">
        <v>7</v>
      </c>
      <c r="D410" s="655" t="s">
        <v>335</v>
      </c>
      <c r="E410" s="662">
        <f ca="1">Elec_Est!E1101</f>
        <v>13.21</v>
      </c>
      <c r="F410" s="580">
        <f ca="1">E410*C410</f>
        <v>92.47</v>
      </c>
    </row>
    <row r="411" spans="1:6">
      <c r="A411" s="572" t="s">
        <v>675</v>
      </c>
      <c r="B411" s="582"/>
      <c r="C411" s="664"/>
      <c r="D411" s="655"/>
      <c r="E411" s="662"/>
      <c r="F411" s="580"/>
    </row>
    <row r="412" spans="1:6" ht="26.4">
      <c r="A412" s="572" t="s">
        <v>313</v>
      </c>
      <c r="B412" s="582" t="s">
        <v>382</v>
      </c>
      <c r="C412" s="664">
        <v>4</v>
      </c>
      <c r="D412" s="655" t="s">
        <v>335</v>
      </c>
      <c r="E412" s="662">
        <f ca="1">Elec_Est!E1108</f>
        <v>17.87</v>
      </c>
      <c r="F412" s="580">
        <f ca="1">E412*C412</f>
        <v>71.48</v>
      </c>
    </row>
    <row r="413" spans="1:6">
      <c r="A413" s="572" t="s">
        <v>675</v>
      </c>
      <c r="B413" s="588"/>
      <c r="C413" s="664"/>
      <c r="D413" s="655"/>
      <c r="E413" s="662"/>
      <c r="F413" s="580"/>
    </row>
    <row r="414" spans="1:6">
      <c r="A414" s="572" t="s">
        <v>314</v>
      </c>
      <c r="B414" s="588" t="s">
        <v>392</v>
      </c>
      <c r="C414" s="664">
        <v>2</v>
      </c>
      <c r="D414" s="655" t="s">
        <v>335</v>
      </c>
      <c r="E414" s="662">
        <f ca="1">Elec_Est!E1115</f>
        <v>16.12</v>
      </c>
      <c r="F414" s="580">
        <f ca="1">E414*C414</f>
        <v>32.24</v>
      </c>
    </row>
    <row r="415" spans="1:6">
      <c r="A415" s="653" t="s">
        <v>675</v>
      </c>
      <c r="B415" s="588"/>
      <c r="C415" s="664"/>
      <c r="D415" s="655"/>
      <c r="E415" s="662"/>
      <c r="F415" s="580"/>
    </row>
    <row r="416" spans="1:6">
      <c r="A416" s="653" t="s">
        <v>675</v>
      </c>
      <c r="B416" s="588"/>
      <c r="C416" s="664"/>
      <c r="D416" s="655"/>
      <c r="E416" s="662"/>
      <c r="F416" s="580"/>
    </row>
    <row r="417" spans="1:6">
      <c r="A417" s="675" t="s">
        <v>703</v>
      </c>
      <c r="B417" s="639" t="s">
        <v>358</v>
      </c>
      <c r="C417" s="661"/>
      <c r="D417" s="661"/>
      <c r="E417" s="662"/>
      <c r="F417" s="580"/>
    </row>
    <row r="418" spans="1:6">
      <c r="A418" s="675" t="s">
        <v>675</v>
      </c>
      <c r="B418" s="658"/>
      <c r="C418" s="661"/>
      <c r="D418" s="661"/>
      <c r="E418" s="662"/>
      <c r="F418" s="580"/>
    </row>
    <row r="419" spans="1:6" ht="26.4">
      <c r="A419" s="675" t="s">
        <v>732</v>
      </c>
      <c r="B419" s="688" t="s">
        <v>393</v>
      </c>
      <c r="C419" s="664"/>
      <c r="D419" s="661"/>
      <c r="E419" s="662"/>
      <c r="F419" s="580"/>
    </row>
    <row r="420" spans="1:6">
      <c r="A420" s="675" t="s">
        <v>675</v>
      </c>
      <c r="B420" s="658"/>
      <c r="C420" s="689"/>
      <c r="D420" s="661"/>
      <c r="E420" s="683"/>
      <c r="F420" s="580"/>
    </row>
    <row r="421" spans="1:6">
      <c r="A421" s="1343" t="s">
        <v>294</v>
      </c>
      <c r="B421" s="1344" t="s">
        <v>359</v>
      </c>
      <c r="C421" s="1345">
        <v>1</v>
      </c>
      <c r="D421" s="1334" t="s">
        <v>335</v>
      </c>
      <c r="E421" s="1335">
        <f ca="1">Elec_Est!E1130</f>
        <v>77.31</v>
      </c>
      <c r="F421" s="1336">
        <f ca="1">E421*C421</f>
        <v>77.31</v>
      </c>
    </row>
    <row r="422" spans="1:6">
      <c r="A422" s="572" t="s">
        <v>675</v>
      </c>
      <c r="B422" s="639"/>
      <c r="C422" s="575"/>
      <c r="D422" s="574"/>
      <c r="E422" s="576"/>
      <c r="F422" s="580"/>
    </row>
    <row r="423" spans="1:6">
      <c r="A423" s="1331" t="s">
        <v>296</v>
      </c>
      <c r="B423" s="1346" t="s">
        <v>360</v>
      </c>
      <c r="C423" s="1345">
        <v>18</v>
      </c>
      <c r="D423" s="1334" t="s">
        <v>335</v>
      </c>
      <c r="E423" s="1335">
        <f ca="1">Elec_Est!E1138</f>
        <v>79.36</v>
      </c>
      <c r="F423" s="1336">
        <f ca="1">E423*C423</f>
        <v>1428.48</v>
      </c>
    </row>
    <row r="424" spans="1:6">
      <c r="A424" s="572" t="s">
        <v>675</v>
      </c>
      <c r="B424" s="639"/>
      <c r="C424" s="575"/>
      <c r="D424" s="574"/>
      <c r="E424" s="576"/>
      <c r="F424" s="580"/>
    </row>
    <row r="425" spans="1:6" ht="26.4">
      <c r="A425" s="1331" t="s">
        <v>298</v>
      </c>
      <c r="B425" s="1347" t="s">
        <v>394</v>
      </c>
      <c r="C425" s="1345">
        <v>8</v>
      </c>
      <c r="D425" s="1334" t="s">
        <v>335</v>
      </c>
      <c r="E425" s="1335">
        <f ca="1">Elec_Est!E1146</f>
        <v>119.8</v>
      </c>
      <c r="F425" s="1336">
        <f ca="1">E425*C425</f>
        <v>958.4</v>
      </c>
    </row>
    <row r="426" spans="1:6">
      <c r="A426" s="572" t="s">
        <v>675</v>
      </c>
      <c r="B426" s="639"/>
      <c r="C426" s="575"/>
      <c r="D426" s="574"/>
      <c r="E426" s="576"/>
      <c r="F426" s="580"/>
    </row>
    <row r="427" spans="1:6" ht="26.4">
      <c r="A427" s="1331" t="s">
        <v>300</v>
      </c>
      <c r="B427" s="1347" t="s">
        <v>361</v>
      </c>
      <c r="C427" s="1345">
        <v>8</v>
      </c>
      <c r="D427" s="1334" t="s">
        <v>335</v>
      </c>
      <c r="E427" s="1335">
        <f ca="1">Elec_Est!E1154</f>
        <v>119.8</v>
      </c>
      <c r="F427" s="1336">
        <f ca="1">E427*C427</f>
        <v>958.4</v>
      </c>
    </row>
    <row r="428" spans="1:6">
      <c r="A428" s="572" t="s">
        <v>675</v>
      </c>
      <c r="B428" s="673"/>
      <c r="C428" s="575"/>
      <c r="D428" s="574"/>
      <c r="E428" s="576"/>
      <c r="F428" s="580"/>
    </row>
    <row r="429" spans="1:6">
      <c r="A429" s="1331" t="s">
        <v>302</v>
      </c>
      <c r="B429" s="1347" t="s">
        <v>362</v>
      </c>
      <c r="C429" s="1345">
        <v>1</v>
      </c>
      <c r="D429" s="1334" t="s">
        <v>335</v>
      </c>
      <c r="E429" s="1335">
        <f ca="1">Elec_Est!E1162</f>
        <v>115.17</v>
      </c>
      <c r="F429" s="1336">
        <f ca="1">E429*C429</f>
        <v>115.17</v>
      </c>
    </row>
    <row r="430" spans="1:6">
      <c r="A430" s="572" t="s">
        <v>675</v>
      </c>
      <c r="B430" s="673"/>
      <c r="C430" s="575"/>
      <c r="D430" s="574"/>
      <c r="E430" s="576"/>
      <c r="F430" s="580"/>
    </row>
    <row r="431" spans="1:6">
      <c r="A431" s="1331" t="s">
        <v>307</v>
      </c>
      <c r="B431" s="1347" t="s">
        <v>363</v>
      </c>
      <c r="C431" s="1345">
        <v>4</v>
      </c>
      <c r="D431" s="1334" t="s">
        <v>335</v>
      </c>
      <c r="E431" s="1335">
        <f ca="1">Elec_Est!E1170</f>
        <v>79.88</v>
      </c>
      <c r="F431" s="1336">
        <f ca="1">E431*C431</f>
        <v>319.52</v>
      </c>
    </row>
    <row r="432" spans="1:6">
      <c r="A432" s="572" t="s">
        <v>675</v>
      </c>
      <c r="B432" s="673"/>
      <c r="C432" s="575"/>
      <c r="D432" s="574"/>
      <c r="E432" s="576"/>
      <c r="F432" s="580"/>
    </row>
    <row r="433" spans="1:8">
      <c r="A433" s="1331" t="s">
        <v>308</v>
      </c>
      <c r="B433" s="1347" t="s">
        <v>364</v>
      </c>
      <c r="C433" s="1345">
        <v>7</v>
      </c>
      <c r="D433" s="1334" t="s">
        <v>335</v>
      </c>
      <c r="E433" s="1335">
        <f ca="1">Elec_Est!E1178</f>
        <v>79.88</v>
      </c>
      <c r="F433" s="1336">
        <f ca="1">E433*C433</f>
        <v>559.16</v>
      </c>
    </row>
    <row r="434" spans="1:8">
      <c r="A434" s="572" t="s">
        <v>675</v>
      </c>
      <c r="B434" s="673"/>
      <c r="C434" s="575"/>
      <c r="D434" s="574"/>
      <c r="E434" s="576"/>
      <c r="F434" s="580"/>
    </row>
    <row r="435" spans="1:8">
      <c r="A435" s="1343" t="s">
        <v>309</v>
      </c>
      <c r="B435" s="1346" t="s">
        <v>395</v>
      </c>
      <c r="C435" s="1348">
        <v>2</v>
      </c>
      <c r="D435" s="1334" t="s">
        <v>335</v>
      </c>
      <c r="E435" s="1349">
        <f ca="1">Elec_Est!E1186</f>
        <v>79.36</v>
      </c>
      <c r="F435" s="1336">
        <f ca="1">E435*C435</f>
        <v>158.72</v>
      </c>
    </row>
    <row r="436" spans="1:8">
      <c r="A436" s="675" t="s">
        <v>675</v>
      </c>
      <c r="B436" s="642"/>
      <c r="C436" s="682"/>
      <c r="D436" s="655"/>
      <c r="E436" s="683"/>
      <c r="F436" s="580"/>
    </row>
    <row r="437" spans="1:8" ht="26.4">
      <c r="A437" s="1343" t="s">
        <v>310</v>
      </c>
      <c r="B437" s="1347" t="s">
        <v>396</v>
      </c>
      <c r="C437" s="1348">
        <v>2</v>
      </c>
      <c r="D437" s="1334" t="s">
        <v>335</v>
      </c>
      <c r="E437" s="1349">
        <f ca="1">Elec_Est!E1194</f>
        <v>119.8</v>
      </c>
      <c r="F437" s="1336">
        <f ca="1">E437*C437</f>
        <v>239.6</v>
      </c>
    </row>
    <row r="438" spans="1:8">
      <c r="A438" s="675" t="s">
        <v>675</v>
      </c>
      <c r="B438" s="639"/>
      <c r="C438" s="682"/>
      <c r="D438" s="655"/>
      <c r="E438" s="683"/>
      <c r="F438" s="580"/>
    </row>
    <row r="439" spans="1:8">
      <c r="A439" s="653" t="s">
        <v>675</v>
      </c>
      <c r="B439" s="642"/>
      <c r="C439" s="689"/>
      <c r="D439" s="655"/>
      <c r="E439" s="668"/>
      <c r="F439" s="577"/>
    </row>
    <row r="440" spans="1:8" ht="13.8" thickBot="1">
      <c r="A440" s="653" t="s">
        <v>675</v>
      </c>
      <c r="B440" s="588"/>
      <c r="C440" s="664"/>
      <c r="D440" s="574"/>
      <c r="E440" s="657"/>
      <c r="F440" s="577"/>
    </row>
    <row r="441" spans="1:8">
      <c r="A441" s="591" t="s">
        <v>675</v>
      </c>
      <c r="B441" s="592"/>
      <c r="C441" s="594"/>
      <c r="D441" s="593"/>
      <c r="E441" s="643"/>
      <c r="F441" s="596"/>
    </row>
    <row r="442" spans="1:8">
      <c r="A442" s="597" t="s">
        <v>702</v>
      </c>
      <c r="B442" s="598" t="s">
        <v>282</v>
      </c>
      <c r="C442" s="600"/>
      <c r="D442" s="599"/>
      <c r="E442" s="601"/>
      <c r="F442" s="602">
        <f ca="1">SUM(F395:F440)</f>
        <v>5595.8300000000008</v>
      </c>
      <c r="G442" s="1202">
        <f ca="1">Elec_Est!F1203</f>
        <v>5595.8300000000008</v>
      </c>
      <c r="H442" s="1203">
        <f ca="1">F442-G442</f>
        <v>0</v>
      </c>
    </row>
    <row r="443" spans="1:8">
      <c r="A443" s="603" t="s">
        <v>675</v>
      </c>
      <c r="B443" s="604"/>
      <c r="C443" s="606"/>
      <c r="D443" s="605"/>
      <c r="E443" s="644"/>
      <c r="F443" s="608"/>
    </row>
    <row r="444" spans="1:8" ht="12.75" customHeight="1">
      <c r="A444" s="609" t="s">
        <v>675</v>
      </c>
      <c r="B444" s="610"/>
      <c r="C444" s="551"/>
      <c r="D444" s="550"/>
      <c r="E444" s="645"/>
      <c r="F444" s="611"/>
    </row>
    <row r="445" spans="1:8" ht="12.75" customHeight="1">
      <c r="A445" s="612" t="s">
        <v>675</v>
      </c>
      <c r="B445" s="646"/>
      <c r="C445" s="648"/>
      <c r="D445" s="647"/>
      <c r="E445" s="649"/>
      <c r="F445" s="650"/>
    </row>
    <row r="446" spans="1:8" ht="12.75" customHeight="1">
      <c r="A446" s="612" t="s">
        <v>675</v>
      </c>
      <c r="B446" s="646"/>
      <c r="C446" s="648"/>
      <c r="D446" s="647"/>
      <c r="E446" s="649"/>
      <c r="F446" s="650"/>
    </row>
    <row r="447" spans="1:8">
      <c r="A447" s="603" t="s">
        <v>675</v>
      </c>
      <c r="B447" s="604"/>
      <c r="C447" s="606"/>
      <c r="D447" s="605"/>
      <c r="E447" s="644"/>
      <c r="F447" s="651"/>
    </row>
    <row r="448" spans="1:8" ht="13.8" thickBot="1">
      <c r="A448" s="616" t="s">
        <v>267</v>
      </c>
      <c r="B448" s="652" t="s">
        <v>268</v>
      </c>
      <c r="C448" s="569" t="s">
        <v>269</v>
      </c>
      <c r="D448" s="568" t="s">
        <v>259</v>
      </c>
      <c r="E448" s="570" t="s">
        <v>270</v>
      </c>
      <c r="F448" s="571" t="s">
        <v>260</v>
      </c>
    </row>
    <row r="449" spans="1:6">
      <c r="A449" s="653" t="s">
        <v>675</v>
      </c>
      <c r="B449" s="642"/>
      <c r="C449" s="656"/>
      <c r="D449" s="655"/>
      <c r="E449" s="657"/>
      <c r="F449" s="577"/>
    </row>
    <row r="450" spans="1:6">
      <c r="A450" s="690" t="s">
        <v>703</v>
      </c>
      <c r="B450" s="639" t="s">
        <v>292</v>
      </c>
      <c r="C450" s="664"/>
      <c r="D450" s="661"/>
      <c r="E450" s="657"/>
      <c r="F450" s="577"/>
    </row>
    <row r="451" spans="1:6">
      <c r="A451" s="675" t="s">
        <v>675</v>
      </c>
      <c r="B451" s="658"/>
      <c r="C451" s="664"/>
      <c r="D451" s="661"/>
      <c r="E451" s="657"/>
      <c r="F451" s="577"/>
    </row>
    <row r="452" spans="1:6" ht="26.4" customHeight="1">
      <c r="A452" s="675" t="s">
        <v>733</v>
      </c>
      <c r="B452" s="582" t="s">
        <v>293</v>
      </c>
      <c r="C452" s="664"/>
      <c r="D452" s="655"/>
      <c r="E452" s="662"/>
      <c r="F452" s="580"/>
    </row>
    <row r="453" spans="1:6">
      <c r="A453" s="653" t="s">
        <v>675</v>
      </c>
      <c r="B453" s="659"/>
      <c r="C453" s="664"/>
      <c r="D453" s="655"/>
      <c r="E453" s="662"/>
      <c r="F453" s="580"/>
    </row>
    <row r="454" spans="1:6">
      <c r="A454" s="653" t="s">
        <v>294</v>
      </c>
      <c r="B454" s="642" t="s">
        <v>397</v>
      </c>
      <c r="C454" s="575">
        <v>1</v>
      </c>
      <c r="D454" s="574" t="s">
        <v>335</v>
      </c>
      <c r="E454" s="662">
        <f>Elec_Est!E1216</f>
        <v>1096.8699999999999</v>
      </c>
      <c r="F454" s="580">
        <f>E454*C454</f>
        <v>1096.8699999999999</v>
      </c>
    </row>
    <row r="455" spans="1:6">
      <c r="A455" s="581" t="s">
        <v>675</v>
      </c>
      <c r="B455" s="588"/>
      <c r="C455" s="664"/>
      <c r="D455" s="655"/>
      <c r="E455" s="662"/>
      <c r="F455" s="580"/>
    </row>
    <row r="456" spans="1:6">
      <c r="A456" s="581" t="s">
        <v>296</v>
      </c>
      <c r="B456" s="588" t="s">
        <v>398</v>
      </c>
      <c r="C456" s="664">
        <v>1</v>
      </c>
      <c r="D456" s="574" t="s">
        <v>335</v>
      </c>
      <c r="E456" s="662">
        <f>Elec_Est!E1222</f>
        <v>251.32</v>
      </c>
      <c r="F456" s="580">
        <f>E456*C456</f>
        <v>251.32</v>
      </c>
    </row>
    <row r="457" spans="1:6">
      <c r="A457" s="581" t="s">
        <v>675</v>
      </c>
      <c r="B457" s="588"/>
      <c r="C457" s="664"/>
      <c r="D457" s="574"/>
      <c r="E457" s="662"/>
      <c r="F457" s="580"/>
    </row>
    <row r="458" spans="1:6">
      <c r="A458" s="581" t="s">
        <v>298</v>
      </c>
      <c r="B458" s="642" t="s">
        <v>399</v>
      </c>
      <c r="C458" s="664">
        <v>1</v>
      </c>
      <c r="D458" s="655" t="s">
        <v>335</v>
      </c>
      <c r="E458" s="662">
        <f>Elec_Est!E1228</f>
        <v>115.89</v>
      </c>
      <c r="F458" s="580">
        <f>E458*C458</f>
        <v>115.89</v>
      </c>
    </row>
    <row r="459" spans="1:6">
      <c r="A459" s="581" t="s">
        <v>675</v>
      </c>
      <c r="B459" s="642"/>
      <c r="C459" s="664"/>
      <c r="D459" s="655"/>
      <c r="E459" s="662"/>
      <c r="F459" s="580"/>
    </row>
    <row r="460" spans="1:6">
      <c r="A460" s="653" t="s">
        <v>675</v>
      </c>
      <c r="B460" s="588"/>
      <c r="C460" s="664"/>
      <c r="D460" s="655"/>
      <c r="E460" s="662"/>
      <c r="F460" s="580"/>
    </row>
    <row r="461" spans="1:6" ht="26.4">
      <c r="A461" s="653" t="s">
        <v>734</v>
      </c>
      <c r="B461" s="582" t="s">
        <v>304</v>
      </c>
      <c r="C461" s="575"/>
      <c r="D461" s="574"/>
      <c r="E461" s="662"/>
      <c r="F461" s="580"/>
    </row>
    <row r="462" spans="1:6">
      <c r="A462" s="675" t="s">
        <v>675</v>
      </c>
      <c r="B462" s="582"/>
      <c r="C462" s="692"/>
      <c r="D462" s="691"/>
      <c r="E462" s="662"/>
      <c r="F462" s="580"/>
    </row>
    <row r="463" spans="1:6">
      <c r="A463" s="675" t="s">
        <v>294</v>
      </c>
      <c r="B463" s="642" t="s">
        <v>397</v>
      </c>
      <c r="C463" s="575">
        <v>1</v>
      </c>
      <c r="D463" s="574" t="s">
        <v>335</v>
      </c>
      <c r="E463" s="662">
        <f>Elec_Est!E1239</f>
        <v>309.48</v>
      </c>
      <c r="F463" s="580">
        <f>E463*C463</f>
        <v>309.48</v>
      </c>
    </row>
    <row r="464" spans="1:6">
      <c r="A464" s="675" t="s">
        <v>675</v>
      </c>
      <c r="B464" s="588"/>
      <c r="C464" s="664"/>
      <c r="D464" s="655"/>
      <c r="E464" s="662"/>
      <c r="F464" s="580"/>
    </row>
    <row r="465" spans="1:6">
      <c r="A465" s="675" t="s">
        <v>296</v>
      </c>
      <c r="B465" s="588" t="s">
        <v>398</v>
      </c>
      <c r="C465" s="664">
        <v>1</v>
      </c>
      <c r="D465" s="574" t="s">
        <v>335</v>
      </c>
      <c r="E465" s="662">
        <f>Elec_Est!E1248</f>
        <v>161.74</v>
      </c>
      <c r="F465" s="580">
        <f>E465*C465</f>
        <v>161.74</v>
      </c>
    </row>
    <row r="466" spans="1:6">
      <c r="A466" s="675" t="s">
        <v>675</v>
      </c>
      <c r="B466" s="588"/>
      <c r="C466" s="664"/>
      <c r="D466" s="574"/>
      <c r="E466" s="662"/>
      <c r="F466" s="580"/>
    </row>
    <row r="467" spans="1:6">
      <c r="A467" s="653" t="s">
        <v>298</v>
      </c>
      <c r="B467" s="642" t="s">
        <v>399</v>
      </c>
      <c r="C467" s="664">
        <v>1</v>
      </c>
      <c r="D467" s="655" t="s">
        <v>335</v>
      </c>
      <c r="E467" s="662">
        <f>Elec_Est!E1257</f>
        <v>46.17</v>
      </c>
      <c r="F467" s="580">
        <f>E467*C467</f>
        <v>46.17</v>
      </c>
    </row>
    <row r="468" spans="1:6">
      <c r="A468" s="653" t="s">
        <v>675</v>
      </c>
      <c r="B468" s="588"/>
      <c r="C468" s="664"/>
      <c r="D468" s="655"/>
      <c r="E468" s="662"/>
      <c r="F468" s="580"/>
    </row>
    <row r="469" spans="1:6">
      <c r="A469" s="653" t="s">
        <v>675</v>
      </c>
      <c r="B469" s="588"/>
      <c r="C469" s="664"/>
      <c r="D469" s="655"/>
      <c r="E469" s="662"/>
      <c r="F469" s="580"/>
    </row>
    <row r="470" spans="1:6">
      <c r="A470" s="653" t="s">
        <v>675</v>
      </c>
      <c r="B470" s="588"/>
      <c r="C470" s="664"/>
      <c r="D470" s="655"/>
      <c r="E470" s="662"/>
      <c r="F470" s="580"/>
    </row>
    <row r="471" spans="1:6">
      <c r="A471" s="653" t="s">
        <v>675</v>
      </c>
      <c r="B471" s="588"/>
      <c r="C471" s="664"/>
      <c r="D471" s="655"/>
      <c r="E471" s="662"/>
      <c r="F471" s="580"/>
    </row>
    <row r="472" spans="1:6">
      <c r="A472" s="653" t="s">
        <v>675</v>
      </c>
      <c r="B472" s="588"/>
      <c r="C472" s="664"/>
      <c r="D472" s="655"/>
      <c r="E472" s="662"/>
      <c r="F472" s="580"/>
    </row>
    <row r="473" spans="1:6">
      <c r="A473" s="653" t="s">
        <v>675</v>
      </c>
      <c r="B473" s="673"/>
      <c r="C473" s="664"/>
      <c r="D473" s="655"/>
      <c r="E473" s="662"/>
      <c r="F473" s="580"/>
    </row>
    <row r="474" spans="1:6">
      <c r="A474" s="653" t="s">
        <v>675</v>
      </c>
      <c r="B474" s="588"/>
      <c r="C474" s="664"/>
      <c r="D474" s="655"/>
      <c r="E474" s="662"/>
      <c r="F474" s="580"/>
    </row>
    <row r="475" spans="1:6">
      <c r="A475" s="653" t="s">
        <v>675</v>
      </c>
      <c r="B475" s="588"/>
      <c r="C475" s="664"/>
      <c r="D475" s="655"/>
      <c r="E475" s="662"/>
      <c r="F475" s="580"/>
    </row>
    <row r="476" spans="1:6">
      <c r="A476" s="653" t="s">
        <v>675</v>
      </c>
      <c r="B476" s="588"/>
      <c r="C476" s="664"/>
      <c r="D476" s="655"/>
      <c r="E476" s="662"/>
      <c r="F476" s="580"/>
    </row>
    <row r="477" spans="1:6">
      <c r="A477" s="653" t="s">
        <v>675</v>
      </c>
      <c r="B477" s="674"/>
      <c r="C477" s="664"/>
      <c r="D477" s="655"/>
      <c r="E477" s="662"/>
      <c r="F477" s="580"/>
    </row>
    <row r="478" spans="1:6">
      <c r="A478" s="653" t="s">
        <v>675</v>
      </c>
      <c r="B478" s="582"/>
      <c r="C478" s="664"/>
      <c r="D478" s="655"/>
      <c r="E478" s="662"/>
      <c r="F478" s="580"/>
    </row>
    <row r="479" spans="1:6">
      <c r="A479" s="653" t="s">
        <v>675</v>
      </c>
      <c r="B479" s="582"/>
      <c r="C479" s="664"/>
      <c r="D479" s="655"/>
      <c r="E479" s="662"/>
      <c r="F479" s="580"/>
    </row>
    <row r="480" spans="1:6">
      <c r="A480" s="653" t="s">
        <v>675</v>
      </c>
      <c r="B480" s="588"/>
      <c r="C480" s="664"/>
      <c r="D480" s="655"/>
      <c r="E480" s="662"/>
      <c r="F480" s="580"/>
    </row>
    <row r="481" spans="1:6">
      <c r="A481" s="653" t="s">
        <v>675</v>
      </c>
      <c r="B481" s="588"/>
      <c r="C481" s="664"/>
      <c r="D481" s="655"/>
      <c r="E481" s="662"/>
      <c r="F481" s="580"/>
    </row>
    <row r="482" spans="1:6">
      <c r="A482" s="653" t="s">
        <v>675</v>
      </c>
      <c r="B482" s="588"/>
      <c r="C482" s="664"/>
      <c r="D482" s="655"/>
      <c r="E482" s="662"/>
      <c r="F482" s="580"/>
    </row>
    <row r="483" spans="1:6">
      <c r="A483" s="653" t="s">
        <v>675</v>
      </c>
      <c r="B483" s="588"/>
      <c r="C483" s="664"/>
      <c r="D483" s="655"/>
      <c r="E483" s="662"/>
      <c r="F483" s="580"/>
    </row>
    <row r="484" spans="1:6">
      <c r="A484" s="653" t="s">
        <v>675</v>
      </c>
      <c r="B484" s="582"/>
      <c r="C484" s="664"/>
      <c r="D484" s="655"/>
      <c r="E484" s="662"/>
      <c r="F484" s="580"/>
    </row>
    <row r="485" spans="1:6">
      <c r="A485" s="653" t="s">
        <v>675</v>
      </c>
      <c r="B485" s="588"/>
      <c r="C485" s="664"/>
      <c r="D485" s="655"/>
      <c r="E485" s="662"/>
      <c r="F485" s="580"/>
    </row>
    <row r="486" spans="1:6">
      <c r="A486" s="653" t="s">
        <v>675</v>
      </c>
      <c r="B486" s="588"/>
      <c r="C486" s="664"/>
      <c r="D486" s="655"/>
      <c r="E486" s="662"/>
      <c r="F486" s="580"/>
    </row>
    <row r="487" spans="1:6">
      <c r="A487" s="653" t="s">
        <v>675</v>
      </c>
      <c r="B487" s="588"/>
      <c r="C487" s="664"/>
      <c r="D487" s="655"/>
      <c r="E487" s="662"/>
      <c r="F487" s="580"/>
    </row>
    <row r="488" spans="1:6">
      <c r="A488" s="653" t="s">
        <v>675</v>
      </c>
      <c r="B488" s="588"/>
      <c r="C488" s="664"/>
      <c r="D488" s="655"/>
      <c r="E488" s="662"/>
      <c r="F488" s="580"/>
    </row>
    <row r="489" spans="1:6">
      <c r="A489" s="653" t="s">
        <v>675</v>
      </c>
      <c r="B489" s="588"/>
      <c r="C489" s="664"/>
      <c r="D489" s="655"/>
      <c r="E489" s="662"/>
      <c r="F489" s="580"/>
    </row>
    <row r="490" spans="1:6">
      <c r="A490" s="653" t="s">
        <v>675</v>
      </c>
      <c r="B490" s="588"/>
      <c r="C490" s="664"/>
      <c r="D490" s="655"/>
      <c r="E490" s="662"/>
      <c r="F490" s="580"/>
    </row>
    <row r="491" spans="1:6">
      <c r="A491" s="653" t="s">
        <v>675</v>
      </c>
      <c r="B491" s="588"/>
      <c r="C491" s="664"/>
      <c r="D491" s="655"/>
      <c r="E491" s="662"/>
      <c r="F491" s="580"/>
    </row>
    <row r="492" spans="1:6">
      <c r="A492" s="653" t="s">
        <v>675</v>
      </c>
      <c r="B492" s="588"/>
      <c r="C492" s="664"/>
      <c r="D492" s="655"/>
      <c r="E492" s="662"/>
      <c r="F492" s="580"/>
    </row>
    <row r="493" spans="1:6">
      <c r="A493" s="653" t="s">
        <v>675</v>
      </c>
      <c r="B493" s="588"/>
      <c r="C493" s="664"/>
      <c r="D493" s="655"/>
      <c r="E493" s="662"/>
      <c r="F493" s="580"/>
    </row>
    <row r="494" spans="1:6">
      <c r="A494" s="653" t="s">
        <v>675</v>
      </c>
      <c r="B494" s="588"/>
      <c r="C494" s="664"/>
      <c r="D494" s="655"/>
      <c r="E494" s="662"/>
      <c r="F494" s="580"/>
    </row>
    <row r="495" spans="1:6">
      <c r="A495" s="653" t="s">
        <v>675</v>
      </c>
      <c r="B495" s="588"/>
      <c r="C495" s="664"/>
      <c r="D495" s="655"/>
      <c r="E495" s="662"/>
      <c r="F495" s="580"/>
    </row>
    <row r="496" spans="1:6">
      <c r="A496" s="653" t="s">
        <v>675</v>
      </c>
      <c r="B496" s="588"/>
      <c r="C496" s="664"/>
      <c r="D496" s="655"/>
      <c r="E496" s="662"/>
      <c r="F496" s="580"/>
    </row>
    <row r="497" spans="1:8">
      <c r="A497" s="653" t="s">
        <v>675</v>
      </c>
      <c r="B497" s="588"/>
      <c r="C497" s="664"/>
      <c r="D497" s="655"/>
      <c r="E497" s="662"/>
      <c r="F497" s="580"/>
    </row>
    <row r="498" spans="1:8">
      <c r="A498" s="653" t="s">
        <v>675</v>
      </c>
      <c r="B498" s="588"/>
      <c r="C498" s="664"/>
      <c r="D498" s="655"/>
      <c r="E498" s="662"/>
      <c r="F498" s="580"/>
    </row>
    <row r="499" spans="1:8" ht="13.8" thickBot="1">
      <c r="A499" s="653" t="s">
        <v>675</v>
      </c>
      <c r="B499" s="588"/>
      <c r="C499" s="667"/>
      <c r="D499" s="666"/>
      <c r="E499" s="683"/>
      <c r="F499" s="580"/>
    </row>
    <row r="500" spans="1:8">
      <c r="A500" s="591" t="s">
        <v>675</v>
      </c>
      <c r="B500" s="592"/>
      <c r="C500" s="594"/>
      <c r="D500" s="593"/>
      <c r="E500" s="643"/>
      <c r="F500" s="596"/>
    </row>
    <row r="501" spans="1:8">
      <c r="A501" s="597" t="s">
        <v>702</v>
      </c>
      <c r="B501" s="598" t="s">
        <v>282</v>
      </c>
      <c r="C501" s="600"/>
      <c r="D501" s="599"/>
      <c r="E501" s="601"/>
      <c r="F501" s="602">
        <f>SUM(F449:F499)</f>
        <v>1981.47</v>
      </c>
      <c r="G501" s="1202">
        <f>Elec_Est!F1265</f>
        <v>1981.47</v>
      </c>
      <c r="H501" s="1203">
        <f>F501-G501</f>
        <v>0</v>
      </c>
    </row>
    <row r="502" spans="1:8">
      <c r="A502" s="603" t="s">
        <v>675</v>
      </c>
      <c r="B502" s="604"/>
      <c r="C502" s="606"/>
      <c r="D502" s="605"/>
      <c r="E502" s="644"/>
      <c r="F502" s="608"/>
    </row>
    <row r="503" spans="1:8">
      <c r="A503" s="693" t="s">
        <v>675</v>
      </c>
      <c r="B503" s="694"/>
      <c r="C503" s="696"/>
      <c r="D503" s="695"/>
      <c r="E503" s="697"/>
      <c r="F503" s="698"/>
    </row>
    <row r="504" spans="1:8">
      <c r="A504" s="597" t="s">
        <v>675</v>
      </c>
      <c r="B504" s="615"/>
      <c r="C504" s="564"/>
      <c r="D504" s="563"/>
      <c r="E504" s="626"/>
      <c r="F504" s="561"/>
    </row>
    <row r="505" spans="1:8">
      <c r="A505" s="597" t="s">
        <v>675</v>
      </c>
      <c r="B505" s="615"/>
      <c r="C505" s="564"/>
      <c r="D505" s="563"/>
      <c r="E505" s="626"/>
      <c r="F505" s="561"/>
    </row>
    <row r="506" spans="1:8" ht="13.2" customHeight="1">
      <c r="A506" s="603" t="s">
        <v>675</v>
      </c>
      <c r="B506" s="604"/>
      <c r="C506" s="606"/>
      <c r="D506" s="605"/>
      <c r="E506" s="644"/>
      <c r="F506" s="651"/>
    </row>
    <row r="507" spans="1:8" ht="13.8" thickBot="1">
      <c r="A507" s="616" t="s">
        <v>267</v>
      </c>
      <c r="B507" s="652" t="s">
        <v>268</v>
      </c>
      <c r="C507" s="569" t="s">
        <v>269</v>
      </c>
      <c r="D507" s="568" t="s">
        <v>259</v>
      </c>
      <c r="E507" s="570" t="s">
        <v>270</v>
      </c>
      <c r="F507" s="571" t="s">
        <v>260</v>
      </c>
    </row>
    <row r="508" spans="1:8">
      <c r="A508" s="653" t="s">
        <v>675</v>
      </c>
      <c r="B508" s="642"/>
      <c r="C508" s="656"/>
      <c r="D508" s="655"/>
      <c r="E508" s="657"/>
      <c r="F508" s="577"/>
    </row>
    <row r="509" spans="1:8" ht="15.6">
      <c r="A509" s="572" t="s">
        <v>703</v>
      </c>
      <c r="B509" s="672" t="s">
        <v>400</v>
      </c>
      <c r="C509" s="575"/>
      <c r="D509" s="574"/>
      <c r="E509" s="669"/>
      <c r="F509" s="577"/>
    </row>
    <row r="510" spans="1:8">
      <c r="A510" s="572" t="s">
        <v>675</v>
      </c>
      <c r="B510" s="639"/>
      <c r="C510" s="575"/>
      <c r="D510" s="574"/>
      <c r="E510" s="669"/>
      <c r="F510" s="577"/>
    </row>
    <row r="511" spans="1:8">
      <c r="A511" s="572" t="s">
        <v>703</v>
      </c>
      <c r="B511" s="639" t="s">
        <v>332</v>
      </c>
      <c r="C511" s="575"/>
      <c r="D511" s="574"/>
      <c r="E511" s="576"/>
      <c r="F511" s="580"/>
    </row>
    <row r="512" spans="1:8">
      <c r="A512" s="572" t="s">
        <v>675</v>
      </c>
      <c r="B512" s="598"/>
      <c r="C512" s="575"/>
      <c r="D512" s="574"/>
      <c r="E512" s="576"/>
      <c r="F512" s="580"/>
    </row>
    <row r="513" spans="1:6" ht="26.4">
      <c r="A513" s="653" t="s">
        <v>735</v>
      </c>
      <c r="B513" s="582" t="s">
        <v>333</v>
      </c>
      <c r="C513" s="664"/>
      <c r="D513" s="686"/>
      <c r="E513" s="662"/>
      <c r="F513" s="580"/>
    </row>
    <row r="514" spans="1:6">
      <c r="A514" s="653" t="s">
        <v>675</v>
      </c>
      <c r="B514" s="659"/>
      <c r="C514" s="664"/>
      <c r="D514" s="686"/>
      <c r="E514" s="662"/>
      <c r="F514" s="580"/>
    </row>
    <row r="515" spans="1:6">
      <c r="A515" s="1350" t="s">
        <v>294</v>
      </c>
      <c r="B515" s="1337" t="s">
        <v>334</v>
      </c>
      <c r="C515" s="1340">
        <v>6</v>
      </c>
      <c r="D515" s="1341" t="s">
        <v>335</v>
      </c>
      <c r="E515" s="1342">
        <f ca="1">Elec_Est!E1282</f>
        <v>57.85</v>
      </c>
      <c r="F515" s="1336">
        <f ca="1">E515*C515</f>
        <v>347.1</v>
      </c>
    </row>
    <row r="516" spans="1:6">
      <c r="A516" s="653" t="s">
        <v>675</v>
      </c>
      <c r="B516" s="588"/>
      <c r="C516" s="664"/>
      <c r="D516" s="655"/>
      <c r="E516" s="662"/>
      <c r="F516" s="580"/>
    </row>
    <row r="517" spans="1:6">
      <c r="A517" s="1350" t="s">
        <v>296</v>
      </c>
      <c r="B517" s="1337" t="s">
        <v>401</v>
      </c>
      <c r="C517" s="1340">
        <v>2</v>
      </c>
      <c r="D517" s="1341" t="s">
        <v>335</v>
      </c>
      <c r="E517" s="1342">
        <f ca="1">Elec_Est!E1289</f>
        <v>86.78</v>
      </c>
      <c r="F517" s="1336">
        <f ca="1">E517*C517</f>
        <v>173.56</v>
      </c>
    </row>
    <row r="518" spans="1:6">
      <c r="A518" s="653" t="s">
        <v>675</v>
      </c>
      <c r="B518" s="588"/>
      <c r="C518" s="664"/>
      <c r="D518" s="655"/>
      <c r="E518" s="662"/>
      <c r="F518" s="580"/>
    </row>
    <row r="519" spans="1:6" ht="26.4">
      <c r="A519" s="1350" t="s">
        <v>298</v>
      </c>
      <c r="B519" s="1337" t="s">
        <v>402</v>
      </c>
      <c r="C519" s="1340">
        <v>2</v>
      </c>
      <c r="D519" s="1341" t="s">
        <v>335</v>
      </c>
      <c r="E519" s="1342">
        <f ca="1">Elec_Est!E1296</f>
        <v>173.56</v>
      </c>
      <c r="F519" s="1336">
        <f ca="1">E519*C519</f>
        <v>347.12</v>
      </c>
    </row>
    <row r="520" spans="1:6">
      <c r="A520" s="653" t="s">
        <v>675</v>
      </c>
      <c r="B520" s="588"/>
      <c r="C520" s="664"/>
      <c r="D520" s="655"/>
      <c r="E520" s="662"/>
      <c r="F520" s="580"/>
    </row>
    <row r="521" spans="1:6" ht="26.4">
      <c r="A521" s="1350" t="s">
        <v>300</v>
      </c>
      <c r="B521" s="1337" t="s">
        <v>403</v>
      </c>
      <c r="C521" s="1340">
        <v>1</v>
      </c>
      <c r="D521" s="1341" t="s">
        <v>335</v>
      </c>
      <c r="E521" s="1342">
        <f ca="1">Elec_Est!E1303</f>
        <v>202.49</v>
      </c>
      <c r="F521" s="1336">
        <f ca="1">E521*C521</f>
        <v>202.49</v>
      </c>
    </row>
    <row r="522" spans="1:6">
      <c r="A522" s="653" t="s">
        <v>675</v>
      </c>
      <c r="B522" s="588"/>
      <c r="C522" s="664"/>
      <c r="D522" s="655"/>
      <c r="E522" s="662"/>
      <c r="F522" s="580"/>
    </row>
    <row r="523" spans="1:6">
      <c r="A523" s="1350" t="s">
        <v>302</v>
      </c>
      <c r="B523" s="1337" t="s">
        <v>404</v>
      </c>
      <c r="C523" s="1340">
        <v>1</v>
      </c>
      <c r="D523" s="1341" t="s">
        <v>335</v>
      </c>
      <c r="E523" s="1342">
        <f ca="1">Elec_Est!E1310</f>
        <v>260.33999999999997</v>
      </c>
      <c r="F523" s="1336">
        <f ca="1">E523*C523</f>
        <v>260.33999999999997</v>
      </c>
    </row>
    <row r="524" spans="1:6">
      <c r="A524" s="653" t="s">
        <v>675</v>
      </c>
      <c r="B524" s="588"/>
      <c r="C524" s="664"/>
      <c r="D524" s="655"/>
      <c r="E524" s="662"/>
      <c r="F524" s="580"/>
    </row>
    <row r="525" spans="1:6">
      <c r="A525" s="1350" t="s">
        <v>307</v>
      </c>
      <c r="B525" s="1337" t="s">
        <v>405</v>
      </c>
      <c r="C525" s="1340">
        <v>1</v>
      </c>
      <c r="D525" s="1341" t="s">
        <v>335</v>
      </c>
      <c r="E525" s="1342">
        <f ca="1">Elec_Est!E1317</f>
        <v>318.2</v>
      </c>
      <c r="F525" s="1336">
        <f ca="1">E525*C525</f>
        <v>318.2</v>
      </c>
    </row>
    <row r="526" spans="1:6">
      <c r="A526" s="653" t="s">
        <v>675</v>
      </c>
      <c r="B526" s="588"/>
      <c r="C526" s="664"/>
      <c r="D526" s="655"/>
      <c r="E526" s="662"/>
      <c r="F526" s="580"/>
    </row>
    <row r="527" spans="1:6">
      <c r="A527" s="1350" t="s">
        <v>308</v>
      </c>
      <c r="B527" s="1337" t="s">
        <v>340</v>
      </c>
      <c r="C527" s="1340">
        <v>2</v>
      </c>
      <c r="D527" s="1341" t="s">
        <v>335</v>
      </c>
      <c r="E527" s="1342">
        <f ca="1">Elec_Est!E1324</f>
        <v>117.48</v>
      </c>
      <c r="F527" s="1336">
        <f ca="1">E527*C527</f>
        <v>234.96</v>
      </c>
    </row>
    <row r="528" spans="1:6">
      <c r="A528" s="653" t="s">
        <v>675</v>
      </c>
      <c r="B528" s="588"/>
      <c r="C528" s="664"/>
      <c r="D528" s="655"/>
      <c r="E528" s="662"/>
      <c r="F528" s="580"/>
    </row>
    <row r="529" spans="1:6">
      <c r="A529" s="1350" t="s">
        <v>309</v>
      </c>
      <c r="B529" s="1337" t="s">
        <v>381</v>
      </c>
      <c r="C529" s="1340">
        <v>9</v>
      </c>
      <c r="D529" s="1341" t="s">
        <v>335</v>
      </c>
      <c r="E529" s="1342">
        <f ca="1">Elec_Est!E1333</f>
        <v>74.08</v>
      </c>
      <c r="F529" s="1336">
        <f ca="1">E529*C529</f>
        <v>666.72</v>
      </c>
    </row>
    <row r="530" spans="1:6">
      <c r="A530" s="653" t="s">
        <v>675</v>
      </c>
      <c r="B530" s="588"/>
      <c r="C530" s="664"/>
      <c r="D530" s="655"/>
      <c r="E530" s="662"/>
      <c r="F530" s="580"/>
    </row>
    <row r="531" spans="1:6">
      <c r="A531" s="1350" t="s">
        <v>310</v>
      </c>
      <c r="B531" s="1337" t="s">
        <v>406</v>
      </c>
      <c r="C531" s="1340">
        <v>6</v>
      </c>
      <c r="D531" s="1341" t="s">
        <v>335</v>
      </c>
      <c r="E531" s="1342">
        <f ca="1">Elec_Est!E1341</f>
        <v>57.85</v>
      </c>
      <c r="F531" s="1336">
        <f ca="1">E531*C531</f>
        <v>347.1</v>
      </c>
    </row>
    <row r="532" spans="1:6">
      <c r="A532" s="653" t="s">
        <v>675</v>
      </c>
      <c r="B532" s="588"/>
      <c r="C532" s="664"/>
      <c r="D532" s="655"/>
      <c r="E532" s="662"/>
      <c r="F532" s="580"/>
    </row>
    <row r="533" spans="1:6">
      <c r="A533" s="1350" t="s">
        <v>311</v>
      </c>
      <c r="B533" s="1337" t="s">
        <v>407</v>
      </c>
      <c r="C533" s="1340">
        <v>2</v>
      </c>
      <c r="D533" s="1341" t="s">
        <v>335</v>
      </c>
      <c r="E533" s="1342">
        <f ca="1">Elec_Est!E1348</f>
        <v>57.85</v>
      </c>
      <c r="F533" s="1336">
        <f ca="1">E533*C533</f>
        <v>115.7</v>
      </c>
    </row>
    <row r="534" spans="1:6">
      <c r="A534" s="653" t="s">
        <v>675</v>
      </c>
      <c r="B534" s="588"/>
      <c r="C534" s="664"/>
      <c r="D534" s="655"/>
      <c r="E534" s="662"/>
      <c r="F534" s="580"/>
    </row>
    <row r="535" spans="1:6">
      <c r="A535" s="1350" t="s">
        <v>312</v>
      </c>
      <c r="B535" s="1337" t="s">
        <v>408</v>
      </c>
      <c r="C535" s="1340">
        <v>3</v>
      </c>
      <c r="D535" s="1341" t="s">
        <v>335</v>
      </c>
      <c r="E535" s="1342">
        <f ca="1">Elec_Est!E1355</f>
        <v>57.85</v>
      </c>
      <c r="F535" s="1336">
        <f ca="1">E535*C535</f>
        <v>173.55</v>
      </c>
    </row>
    <row r="536" spans="1:6">
      <c r="A536" s="653" t="s">
        <v>675</v>
      </c>
      <c r="B536" s="588"/>
      <c r="C536" s="664"/>
      <c r="D536" s="655"/>
      <c r="E536" s="662"/>
      <c r="F536" s="580"/>
    </row>
    <row r="537" spans="1:6">
      <c r="A537" s="1350" t="s">
        <v>313</v>
      </c>
      <c r="B537" s="1337" t="s">
        <v>409</v>
      </c>
      <c r="C537" s="1340">
        <v>3</v>
      </c>
      <c r="D537" s="1341" t="s">
        <v>335</v>
      </c>
      <c r="E537" s="1342">
        <f ca="1">Elec_Est!E1362</f>
        <v>57.85</v>
      </c>
      <c r="F537" s="1336">
        <f ca="1">E537*C537</f>
        <v>173.55</v>
      </c>
    </row>
    <row r="538" spans="1:6">
      <c r="A538" s="653" t="s">
        <v>675</v>
      </c>
      <c r="B538" s="588"/>
      <c r="C538" s="664"/>
      <c r="D538" s="655"/>
      <c r="E538" s="662"/>
      <c r="F538" s="580"/>
    </row>
    <row r="539" spans="1:6" ht="39.6">
      <c r="A539" s="1350" t="s">
        <v>314</v>
      </c>
      <c r="B539" s="1337" t="s">
        <v>410</v>
      </c>
      <c r="C539" s="1340">
        <v>3</v>
      </c>
      <c r="D539" s="1341" t="s">
        <v>335</v>
      </c>
      <c r="E539" s="1342">
        <f ca="1">Elec_Est!E1369</f>
        <v>317.52</v>
      </c>
      <c r="F539" s="1336">
        <f ca="1">E539*C539</f>
        <v>952.56</v>
      </c>
    </row>
    <row r="540" spans="1:6">
      <c r="A540" s="653" t="s">
        <v>675</v>
      </c>
      <c r="B540" s="588"/>
      <c r="C540" s="664"/>
      <c r="D540" s="655"/>
      <c r="E540" s="662"/>
      <c r="F540" s="580"/>
    </row>
    <row r="541" spans="1:6">
      <c r="A541" s="1350" t="s">
        <v>315</v>
      </c>
      <c r="B541" s="1337" t="s">
        <v>344</v>
      </c>
      <c r="C541" s="1340">
        <v>3</v>
      </c>
      <c r="D541" s="1341" t="s">
        <v>335</v>
      </c>
      <c r="E541" s="1342">
        <f ca="1">Elec_Est!E1380</f>
        <v>57.85</v>
      </c>
      <c r="F541" s="1336">
        <f ca="1">E541*C541</f>
        <v>173.55</v>
      </c>
    </row>
    <row r="542" spans="1:6">
      <c r="A542" s="653" t="s">
        <v>675</v>
      </c>
      <c r="B542" s="588"/>
      <c r="C542" s="664"/>
      <c r="D542" s="655"/>
      <c r="E542" s="662"/>
      <c r="F542" s="580"/>
    </row>
    <row r="543" spans="1:6">
      <c r="A543" s="653" t="s">
        <v>675</v>
      </c>
      <c r="B543" s="588"/>
      <c r="C543" s="664"/>
      <c r="D543" s="655"/>
      <c r="E543" s="662"/>
      <c r="F543" s="580"/>
    </row>
    <row r="544" spans="1:6" ht="26.4">
      <c r="A544" s="653" t="s">
        <v>736</v>
      </c>
      <c r="B544" s="687" t="s">
        <v>376</v>
      </c>
      <c r="C544" s="664"/>
      <c r="D544" s="655"/>
      <c r="E544" s="662"/>
      <c r="F544" s="580"/>
    </row>
    <row r="545" spans="1:8">
      <c r="A545" s="653" t="s">
        <v>675</v>
      </c>
      <c r="B545" s="588"/>
      <c r="C545" s="664"/>
      <c r="D545" s="655"/>
      <c r="E545" s="662"/>
      <c r="F545" s="580"/>
    </row>
    <row r="546" spans="1:8">
      <c r="A546" s="1350" t="s">
        <v>294</v>
      </c>
      <c r="B546" s="1337" t="s">
        <v>377</v>
      </c>
      <c r="C546" s="1340">
        <v>20</v>
      </c>
      <c r="D546" s="1341" t="s">
        <v>335</v>
      </c>
      <c r="E546" s="1342">
        <f ca="1">Elec_Est!E1391</f>
        <v>67.06</v>
      </c>
      <c r="F546" s="1336">
        <f ca="1">E546*C546</f>
        <v>1341.2</v>
      </c>
    </row>
    <row r="547" spans="1:8">
      <c r="A547" s="653" t="s">
        <v>675</v>
      </c>
      <c r="B547" s="588"/>
      <c r="C547" s="664"/>
      <c r="D547" s="655"/>
      <c r="E547" s="662"/>
      <c r="F547" s="580"/>
    </row>
    <row r="548" spans="1:8">
      <c r="A548" s="1350" t="s">
        <v>296</v>
      </c>
      <c r="B548" s="1337" t="s">
        <v>378</v>
      </c>
      <c r="C548" s="1340">
        <v>10</v>
      </c>
      <c r="D548" s="1341" t="s">
        <v>335</v>
      </c>
      <c r="E548" s="1342">
        <f ca="1">Elec_Est!E1400</f>
        <v>124.92</v>
      </c>
      <c r="F548" s="1336">
        <f ca="1">E548*C548</f>
        <v>1249.2</v>
      </c>
    </row>
    <row r="549" spans="1:8">
      <c r="A549" s="653" t="s">
        <v>675</v>
      </c>
      <c r="B549" s="588"/>
      <c r="C549" s="664"/>
      <c r="D549" s="655"/>
      <c r="E549" s="662"/>
      <c r="F549" s="580"/>
    </row>
    <row r="550" spans="1:8">
      <c r="A550" s="653" t="s">
        <v>675</v>
      </c>
      <c r="B550" s="588"/>
      <c r="C550" s="664"/>
      <c r="D550" s="655"/>
      <c r="E550" s="662"/>
      <c r="F550" s="580"/>
    </row>
    <row r="551" spans="1:8">
      <c r="A551" s="653" t="s">
        <v>675</v>
      </c>
      <c r="B551" s="588"/>
      <c r="C551" s="664"/>
      <c r="D551" s="655"/>
      <c r="E551" s="662"/>
      <c r="F551" s="580"/>
    </row>
    <row r="552" spans="1:8">
      <c r="A552" s="653" t="s">
        <v>675</v>
      </c>
      <c r="B552" s="588"/>
      <c r="C552" s="664"/>
      <c r="D552" s="655"/>
      <c r="E552" s="662"/>
      <c r="F552" s="580"/>
    </row>
    <row r="553" spans="1:8" ht="13.8" thickBot="1">
      <c r="A553" s="572" t="s">
        <v>675</v>
      </c>
      <c r="B553" s="573"/>
      <c r="C553" s="575"/>
      <c r="D553" s="574"/>
      <c r="E553" s="669"/>
      <c r="F553" s="577"/>
    </row>
    <row r="554" spans="1:8">
      <c r="A554" s="591" t="s">
        <v>675</v>
      </c>
      <c r="B554" s="592"/>
      <c r="C554" s="594"/>
      <c r="D554" s="593"/>
      <c r="E554" s="643"/>
      <c r="F554" s="596"/>
    </row>
    <row r="555" spans="1:8">
      <c r="A555" s="597" t="s">
        <v>702</v>
      </c>
      <c r="B555" s="598" t="s">
        <v>282</v>
      </c>
      <c r="C555" s="600"/>
      <c r="D555" s="599"/>
      <c r="E555" s="601"/>
      <c r="F555" s="602">
        <f ca="1">SUM(F508:F553)</f>
        <v>7076.9</v>
      </c>
      <c r="G555" s="1202">
        <f ca="1">Elec_Est!F1410</f>
        <v>7076.9</v>
      </c>
      <c r="H555" s="1203">
        <f ca="1">F555-G555</f>
        <v>0</v>
      </c>
    </row>
    <row r="556" spans="1:8">
      <c r="A556" s="603" t="s">
        <v>675</v>
      </c>
      <c r="B556" s="604"/>
      <c r="C556" s="606"/>
      <c r="D556" s="605"/>
      <c r="E556" s="644"/>
      <c r="F556" s="608"/>
    </row>
    <row r="557" spans="1:8" ht="17.399999999999999">
      <c r="A557" s="609" t="s">
        <v>675</v>
      </c>
      <c r="B557" s="610"/>
      <c r="C557" s="551"/>
      <c r="D557" s="550"/>
      <c r="E557" s="645"/>
      <c r="F557" s="698"/>
    </row>
    <row r="558" spans="1:8" ht="12.75" customHeight="1">
      <c r="A558" s="612" t="s">
        <v>675</v>
      </c>
      <c r="B558" s="646"/>
      <c r="C558" s="648"/>
      <c r="D558" s="647"/>
      <c r="E558" s="649"/>
      <c r="F558" s="561"/>
    </row>
    <row r="559" spans="1:8">
      <c r="A559" s="699" t="s">
        <v>675</v>
      </c>
      <c r="B559" s="605"/>
      <c r="C559" s="606"/>
      <c r="D559" s="605"/>
      <c r="E559" s="644"/>
      <c r="F559" s="651"/>
    </row>
    <row r="560" spans="1:8" ht="13.8" thickBot="1">
      <c r="A560" s="616" t="s">
        <v>267</v>
      </c>
      <c r="B560" s="652" t="s">
        <v>268</v>
      </c>
      <c r="C560" s="703" t="s">
        <v>269</v>
      </c>
      <c r="D560" s="702" t="s">
        <v>259</v>
      </c>
      <c r="E560" s="704" t="s">
        <v>270</v>
      </c>
      <c r="F560" s="705" t="s">
        <v>260</v>
      </c>
    </row>
    <row r="561" spans="1:6">
      <c r="A561" s="572" t="s">
        <v>675</v>
      </c>
      <c r="B561" s="573"/>
      <c r="C561" s="575"/>
      <c r="D561" s="574"/>
      <c r="E561" s="669"/>
      <c r="F561" s="577"/>
    </row>
    <row r="562" spans="1:6" ht="12.75" customHeight="1">
      <c r="A562" s="653" t="s">
        <v>737</v>
      </c>
      <c r="B562" s="687" t="s">
        <v>379</v>
      </c>
      <c r="C562" s="664"/>
      <c r="D562" s="655"/>
      <c r="E562" s="662"/>
      <c r="F562" s="580"/>
    </row>
    <row r="563" spans="1:6" ht="12.75" customHeight="1">
      <c r="A563" s="653" t="s">
        <v>675</v>
      </c>
      <c r="B563" s="706"/>
      <c r="C563" s="664"/>
      <c r="D563" s="655"/>
      <c r="E563" s="662"/>
      <c r="F563" s="580"/>
    </row>
    <row r="564" spans="1:6">
      <c r="A564" s="1350" t="s">
        <v>294</v>
      </c>
      <c r="B564" s="1351" t="s">
        <v>411</v>
      </c>
      <c r="C564" s="1340">
        <v>3</v>
      </c>
      <c r="D564" s="1341" t="s">
        <v>335</v>
      </c>
      <c r="E564" s="1342">
        <f ca="1">Elec_Est!E1419</f>
        <v>55.19</v>
      </c>
      <c r="F564" s="1336">
        <f ca="1">E564*C564</f>
        <v>165.57</v>
      </c>
    </row>
    <row r="565" spans="1:6">
      <c r="A565" s="653" t="s">
        <v>675</v>
      </c>
      <c r="B565" s="706"/>
      <c r="C565" s="664"/>
      <c r="D565" s="655"/>
      <c r="E565" s="662"/>
      <c r="F565" s="580"/>
    </row>
    <row r="566" spans="1:6" ht="15.75" customHeight="1">
      <c r="A566" s="1350" t="s">
        <v>296</v>
      </c>
      <c r="B566" s="1337" t="s">
        <v>412</v>
      </c>
      <c r="C566" s="1340">
        <v>1</v>
      </c>
      <c r="D566" s="1341" t="s">
        <v>335</v>
      </c>
      <c r="E566" s="1342">
        <f ca="1">Elec_Est!E1437</f>
        <v>973.68</v>
      </c>
      <c r="F566" s="1336">
        <f ca="1">E566*C566</f>
        <v>973.68</v>
      </c>
    </row>
    <row r="567" spans="1:6" ht="15.75" customHeight="1">
      <c r="A567" s="653" t="s">
        <v>675</v>
      </c>
      <c r="B567" s="588"/>
      <c r="C567" s="664"/>
      <c r="D567" s="655"/>
      <c r="E567" s="662"/>
      <c r="F567" s="580"/>
    </row>
    <row r="568" spans="1:6">
      <c r="A568" s="572" t="s">
        <v>675</v>
      </c>
      <c r="B568" s="573"/>
      <c r="C568" s="575"/>
      <c r="D568" s="574"/>
      <c r="E568" s="669"/>
      <c r="F568" s="580"/>
    </row>
    <row r="569" spans="1:6">
      <c r="A569" s="653" t="s">
        <v>738</v>
      </c>
      <c r="B569" s="673" t="s">
        <v>345</v>
      </c>
      <c r="C569" s="664"/>
      <c r="D569" s="655"/>
      <c r="E569" s="662"/>
      <c r="F569" s="580"/>
    </row>
    <row r="570" spans="1:6">
      <c r="A570" s="653" t="s">
        <v>675</v>
      </c>
      <c r="C570" s="664"/>
      <c r="D570" s="655"/>
      <c r="E570" s="662"/>
      <c r="F570" s="580"/>
    </row>
    <row r="571" spans="1:6" ht="26.4" customHeight="1">
      <c r="A571" s="653" t="s">
        <v>294</v>
      </c>
      <c r="B571" s="588" t="s">
        <v>381</v>
      </c>
      <c r="C571" s="664">
        <v>9</v>
      </c>
      <c r="D571" s="655" t="s">
        <v>335</v>
      </c>
      <c r="E571" s="1205" t="str">
        <f>Elec_Est!Q1459</f>
        <v>Included in item 21h</v>
      </c>
      <c r="F571" s="1206"/>
    </row>
    <row r="572" spans="1:6">
      <c r="A572" s="653" t="s">
        <v>675</v>
      </c>
      <c r="B572" s="588"/>
      <c r="C572" s="664"/>
      <c r="D572" s="655"/>
      <c r="E572" s="662"/>
      <c r="F572" s="580"/>
    </row>
    <row r="573" spans="1:6" ht="26.4">
      <c r="A573" s="653" t="s">
        <v>296</v>
      </c>
      <c r="B573" s="582" t="s">
        <v>348</v>
      </c>
      <c r="C573" s="664">
        <v>3</v>
      </c>
      <c r="D573" s="655" t="s">
        <v>335</v>
      </c>
      <c r="E573" s="662">
        <f ca="1">Elec_Est!E1465</f>
        <v>28.98</v>
      </c>
      <c r="F573" s="580">
        <f ca="1">E573*C573</f>
        <v>86.94</v>
      </c>
    </row>
    <row r="574" spans="1:6">
      <c r="A574" s="653" t="s">
        <v>675</v>
      </c>
      <c r="B574" s="582"/>
      <c r="C574" s="664"/>
      <c r="D574" s="655"/>
      <c r="E574" s="662"/>
      <c r="F574" s="580"/>
    </row>
    <row r="575" spans="1:6">
      <c r="A575" s="653" t="s">
        <v>675</v>
      </c>
      <c r="B575" s="588"/>
      <c r="C575" s="664"/>
      <c r="D575" s="655"/>
      <c r="E575" s="662"/>
      <c r="F575" s="580"/>
    </row>
    <row r="576" spans="1:6" ht="26.4">
      <c r="A576" s="653" t="s">
        <v>739</v>
      </c>
      <c r="B576" s="582" t="s">
        <v>351</v>
      </c>
      <c r="C576" s="664"/>
      <c r="D576" s="655"/>
      <c r="E576" s="662"/>
      <c r="F576" s="580"/>
    </row>
    <row r="577" spans="1:6">
      <c r="A577" s="653" t="s">
        <v>675</v>
      </c>
      <c r="C577" s="664"/>
      <c r="D577" s="655"/>
      <c r="E577" s="662"/>
      <c r="F577" s="580"/>
    </row>
    <row r="578" spans="1:6">
      <c r="A578" s="653" t="s">
        <v>294</v>
      </c>
      <c r="B578" s="588" t="s">
        <v>413</v>
      </c>
      <c r="C578" s="664">
        <v>24</v>
      </c>
      <c r="D578" s="655" t="s">
        <v>335</v>
      </c>
      <c r="E578" s="662">
        <f ca="1">Elec_Est!E1476</f>
        <v>14.36</v>
      </c>
      <c r="F578" s="580">
        <f ca="1">E578*C578</f>
        <v>344.64</v>
      </c>
    </row>
    <row r="579" spans="1:6">
      <c r="A579" s="653" t="s">
        <v>675</v>
      </c>
      <c r="B579" s="588"/>
      <c r="C579" s="664"/>
      <c r="D579" s="655"/>
      <c r="E579" s="662"/>
      <c r="F579" s="580"/>
    </row>
    <row r="580" spans="1:6">
      <c r="A580" s="653" t="s">
        <v>296</v>
      </c>
      <c r="B580" s="588" t="s">
        <v>414</v>
      </c>
      <c r="C580" s="664">
        <v>9</v>
      </c>
      <c r="D580" s="655" t="s">
        <v>335</v>
      </c>
      <c r="E580" s="662">
        <f ca="1">Elec_Est!E1483</f>
        <v>14.36</v>
      </c>
      <c r="F580" s="580">
        <f ca="1">E580*C580</f>
        <v>129.24</v>
      </c>
    </row>
    <row r="581" spans="1:6">
      <c r="A581" s="653" t="s">
        <v>675</v>
      </c>
      <c r="B581" s="588"/>
      <c r="C581" s="664"/>
      <c r="D581" s="655"/>
      <c r="E581" s="662"/>
      <c r="F581" s="580"/>
    </row>
    <row r="582" spans="1:6">
      <c r="A582" s="653" t="s">
        <v>298</v>
      </c>
      <c r="B582" s="588" t="s">
        <v>415</v>
      </c>
      <c r="C582" s="664">
        <v>14</v>
      </c>
      <c r="D582" s="655" t="s">
        <v>335</v>
      </c>
      <c r="E582" s="662">
        <f ca="1">Elec_Est!E1490</f>
        <v>11.35</v>
      </c>
      <c r="F582" s="580">
        <f ca="1">E582*C582</f>
        <v>158.9</v>
      </c>
    </row>
    <row r="583" spans="1:6">
      <c r="A583" s="653" t="s">
        <v>675</v>
      </c>
      <c r="B583" s="588"/>
      <c r="C583" s="664"/>
      <c r="D583" s="655"/>
      <c r="E583" s="662"/>
      <c r="F583" s="580"/>
    </row>
    <row r="584" spans="1:6">
      <c r="A584" s="653" t="s">
        <v>300</v>
      </c>
      <c r="B584" s="588" t="s">
        <v>416</v>
      </c>
      <c r="C584" s="664">
        <v>8</v>
      </c>
      <c r="D584" s="655" t="s">
        <v>335</v>
      </c>
      <c r="E584" s="662">
        <f ca="1">Elec_Est!E1497</f>
        <v>11.35</v>
      </c>
      <c r="F584" s="580">
        <f ca="1">E584*C584</f>
        <v>90.8</v>
      </c>
    </row>
    <row r="585" spans="1:6">
      <c r="A585" s="653" t="s">
        <v>675</v>
      </c>
      <c r="B585" s="588"/>
      <c r="C585" s="664"/>
      <c r="D585" s="655"/>
      <c r="E585" s="662"/>
      <c r="F585" s="580"/>
    </row>
    <row r="586" spans="1:6">
      <c r="A586" s="653" t="s">
        <v>302</v>
      </c>
      <c r="B586" s="588" t="s">
        <v>417</v>
      </c>
      <c r="C586" s="664">
        <v>4</v>
      </c>
      <c r="D586" s="655" t="s">
        <v>335</v>
      </c>
      <c r="E586" s="662">
        <f ca="1">Elec_Est!E1504</f>
        <v>11.35</v>
      </c>
      <c r="F586" s="580">
        <f ca="1">E586*C586</f>
        <v>45.4</v>
      </c>
    </row>
    <row r="587" spans="1:6">
      <c r="A587" s="653" t="s">
        <v>675</v>
      </c>
      <c r="B587" s="588"/>
      <c r="C587" s="664"/>
      <c r="D587" s="655"/>
      <c r="E587" s="662"/>
      <c r="F587" s="580"/>
    </row>
    <row r="588" spans="1:6">
      <c r="A588" s="653" t="s">
        <v>307</v>
      </c>
      <c r="B588" s="588" t="s">
        <v>418</v>
      </c>
      <c r="C588" s="664">
        <v>3</v>
      </c>
      <c r="D588" s="655" t="s">
        <v>335</v>
      </c>
      <c r="E588" s="662">
        <f ca="1">Elec_Est!E1511</f>
        <v>9.15</v>
      </c>
      <c r="F588" s="580">
        <f ca="1">E588*C588</f>
        <v>27.450000000000003</v>
      </c>
    </row>
    <row r="589" spans="1:6">
      <c r="A589" s="653" t="s">
        <v>675</v>
      </c>
      <c r="B589" s="588"/>
      <c r="C589" s="664"/>
      <c r="D589" s="655"/>
      <c r="E589" s="662"/>
      <c r="F589" s="580"/>
    </row>
    <row r="590" spans="1:6" ht="26.4">
      <c r="A590" s="653" t="s">
        <v>308</v>
      </c>
      <c r="B590" s="588" t="s">
        <v>419</v>
      </c>
      <c r="C590" s="664">
        <v>10</v>
      </c>
      <c r="D590" s="655" t="s">
        <v>335</v>
      </c>
      <c r="E590" s="662">
        <f ca="1">Elec_Est!E1518</f>
        <v>49.48</v>
      </c>
      <c r="F590" s="580">
        <f ca="1">E590*C590</f>
        <v>494.79999999999995</v>
      </c>
    </row>
    <row r="591" spans="1:6">
      <c r="A591" s="653" t="s">
        <v>675</v>
      </c>
      <c r="B591" s="588"/>
      <c r="C591" s="664"/>
      <c r="D591" s="655"/>
      <c r="E591" s="662"/>
      <c r="F591" s="580"/>
    </row>
    <row r="592" spans="1:6">
      <c r="A592" s="653" t="s">
        <v>309</v>
      </c>
      <c r="B592" s="588" t="s">
        <v>420</v>
      </c>
      <c r="C592" s="664">
        <v>2</v>
      </c>
      <c r="D592" s="655" t="s">
        <v>326</v>
      </c>
      <c r="E592" s="662">
        <f ca="1">Elec_Est!E1525</f>
        <v>5.63</v>
      </c>
      <c r="F592" s="580">
        <f ca="1">E592*C592</f>
        <v>11.26</v>
      </c>
    </row>
    <row r="593" spans="1:6">
      <c r="A593" s="653" t="s">
        <v>675</v>
      </c>
      <c r="B593" s="588"/>
      <c r="C593" s="664"/>
      <c r="D593" s="655"/>
      <c r="E593" s="662"/>
      <c r="F593" s="580"/>
    </row>
    <row r="594" spans="1:6">
      <c r="A594" s="653" t="s">
        <v>310</v>
      </c>
      <c r="B594" s="588" t="s">
        <v>421</v>
      </c>
      <c r="C594" s="664">
        <v>1</v>
      </c>
      <c r="D594" s="655" t="s">
        <v>335</v>
      </c>
      <c r="E594" s="662">
        <f ca="1">Elec_Est!E1532</f>
        <v>14.36</v>
      </c>
      <c r="F594" s="580">
        <f ca="1">E594*C594</f>
        <v>14.36</v>
      </c>
    </row>
    <row r="595" spans="1:6">
      <c r="A595" s="653" t="s">
        <v>675</v>
      </c>
      <c r="B595" s="588"/>
      <c r="C595" s="664"/>
      <c r="D595" s="655"/>
      <c r="E595" s="662"/>
      <c r="F595" s="580"/>
    </row>
    <row r="596" spans="1:6">
      <c r="A596" s="653" t="s">
        <v>311</v>
      </c>
      <c r="B596" s="588" t="s">
        <v>356</v>
      </c>
      <c r="C596" s="664">
        <v>4</v>
      </c>
      <c r="D596" s="655" t="s">
        <v>335</v>
      </c>
      <c r="E596" s="662">
        <f ca="1">Elec_Est!E1539</f>
        <v>11.35</v>
      </c>
      <c r="F596" s="580">
        <f ca="1">E596*C596</f>
        <v>45.4</v>
      </c>
    </row>
    <row r="597" spans="1:6">
      <c r="A597" s="653" t="s">
        <v>675</v>
      </c>
      <c r="B597" s="588"/>
      <c r="C597" s="664"/>
      <c r="D597" s="655"/>
      <c r="E597" s="662"/>
      <c r="F597" s="580"/>
    </row>
    <row r="598" spans="1:6">
      <c r="A598" s="653" t="s">
        <v>312</v>
      </c>
      <c r="B598" s="588" t="s">
        <v>422</v>
      </c>
      <c r="C598" s="664">
        <v>6</v>
      </c>
      <c r="D598" s="655" t="s">
        <v>335</v>
      </c>
      <c r="E598" s="662">
        <f ca="1">Elec_Est!E1546</f>
        <v>11.35</v>
      </c>
      <c r="F598" s="580">
        <f ca="1">E598*C598</f>
        <v>68.099999999999994</v>
      </c>
    </row>
    <row r="599" spans="1:6">
      <c r="A599" s="653" t="s">
        <v>675</v>
      </c>
      <c r="B599" s="588"/>
      <c r="C599" s="664"/>
      <c r="D599" s="655"/>
      <c r="E599" s="662"/>
      <c r="F599" s="580"/>
    </row>
    <row r="600" spans="1:6">
      <c r="A600" s="653" t="s">
        <v>313</v>
      </c>
      <c r="B600" s="588" t="s">
        <v>423</v>
      </c>
      <c r="C600" s="664">
        <v>5</v>
      </c>
      <c r="D600" s="655" t="s">
        <v>335</v>
      </c>
      <c r="E600" s="662">
        <f ca="1">Elec_Est!E1553</f>
        <v>11.35</v>
      </c>
      <c r="F600" s="580">
        <f ca="1">E600*C600</f>
        <v>56.75</v>
      </c>
    </row>
    <row r="601" spans="1:6">
      <c r="A601" s="653" t="s">
        <v>675</v>
      </c>
      <c r="B601" s="588"/>
      <c r="C601" s="664"/>
      <c r="D601" s="655"/>
      <c r="E601" s="662"/>
      <c r="F601" s="580"/>
    </row>
    <row r="602" spans="1:6" ht="26.4">
      <c r="A602" s="653" t="s">
        <v>314</v>
      </c>
      <c r="B602" s="588" t="s">
        <v>381</v>
      </c>
      <c r="C602" s="664">
        <v>9</v>
      </c>
      <c r="D602" s="655" t="s">
        <v>335</v>
      </c>
      <c r="E602" s="662" t="str">
        <f>Elec_Est!Q1560</f>
        <v>Included in item 21h</v>
      </c>
      <c r="F602" s="580"/>
    </row>
    <row r="603" spans="1:6">
      <c r="A603" s="653" t="s">
        <v>675</v>
      </c>
      <c r="B603" s="588"/>
      <c r="C603" s="664"/>
      <c r="D603" s="655"/>
      <c r="E603" s="662"/>
      <c r="F603" s="580"/>
    </row>
    <row r="604" spans="1:6" ht="26.4">
      <c r="A604" s="653" t="s">
        <v>315</v>
      </c>
      <c r="B604" s="582" t="s">
        <v>348</v>
      </c>
      <c r="C604" s="664">
        <v>3</v>
      </c>
      <c r="D604" s="655" t="s">
        <v>335</v>
      </c>
      <c r="E604" s="662">
        <f ca="1">Elec_Est!E1566</f>
        <v>13.21</v>
      </c>
      <c r="F604" s="580">
        <f ca="1">E604*C604</f>
        <v>39.630000000000003</v>
      </c>
    </row>
    <row r="605" spans="1:6">
      <c r="A605" s="653" t="s">
        <v>675</v>
      </c>
      <c r="B605" s="582"/>
      <c r="C605" s="664"/>
      <c r="D605" s="655"/>
      <c r="E605" s="662"/>
      <c r="F605" s="580"/>
    </row>
    <row r="606" spans="1:6" ht="26.4">
      <c r="A606" s="653" t="s">
        <v>316</v>
      </c>
      <c r="B606" s="588" t="s">
        <v>424</v>
      </c>
      <c r="C606" s="664">
        <v>6</v>
      </c>
      <c r="D606" s="655" t="s">
        <v>335</v>
      </c>
      <c r="E606" s="662">
        <f ca="1">Elec_Est!E1573</f>
        <v>16.12</v>
      </c>
      <c r="F606" s="580">
        <f ca="1">E606*C606</f>
        <v>96.72</v>
      </c>
    </row>
    <row r="607" spans="1:6">
      <c r="A607" s="572" t="s">
        <v>675</v>
      </c>
      <c r="B607" s="573"/>
      <c r="C607" s="575"/>
      <c r="D607" s="574"/>
      <c r="E607" s="576"/>
      <c r="F607" s="580"/>
    </row>
    <row r="608" spans="1:6" ht="13.8" thickBot="1">
      <c r="A608" s="572" t="s">
        <v>317</v>
      </c>
      <c r="B608" s="588" t="s">
        <v>425</v>
      </c>
      <c r="C608" s="575">
        <v>3</v>
      </c>
      <c r="D608" s="574" t="s">
        <v>335</v>
      </c>
      <c r="E608" s="576">
        <f ca="1">Elec_Est!E1580</f>
        <v>11.35</v>
      </c>
      <c r="F608" s="580">
        <f ca="1">E608*C608</f>
        <v>34.049999999999997</v>
      </c>
    </row>
    <row r="609" spans="1:8">
      <c r="A609" s="591" t="s">
        <v>675</v>
      </c>
      <c r="B609" s="592"/>
      <c r="C609" s="594"/>
      <c r="D609" s="593"/>
      <c r="E609" s="643"/>
      <c r="F609" s="596"/>
    </row>
    <row r="610" spans="1:8">
      <c r="A610" s="597" t="s">
        <v>702</v>
      </c>
      <c r="B610" s="598" t="s">
        <v>282</v>
      </c>
      <c r="C610" s="600"/>
      <c r="D610" s="599"/>
      <c r="E610" s="601"/>
      <c r="F610" s="602">
        <f ca="1">SUM(F561:F608)</f>
        <v>2883.6900000000005</v>
      </c>
      <c r="G610" s="1202">
        <f ca="1">Elec_Est!F1588</f>
        <v>2883.6900000000005</v>
      </c>
      <c r="H610" s="1203">
        <f ca="1">F610-G610</f>
        <v>0</v>
      </c>
    </row>
    <row r="611" spans="1:8">
      <c r="A611" s="603" t="s">
        <v>675</v>
      </c>
      <c r="B611" s="604"/>
      <c r="C611" s="606"/>
      <c r="D611" s="605"/>
      <c r="E611" s="644"/>
      <c r="F611" s="608"/>
    </row>
    <row r="612" spans="1:8">
      <c r="A612" s="693" t="s">
        <v>675</v>
      </c>
      <c r="B612" s="694"/>
      <c r="C612" s="696"/>
      <c r="D612" s="695"/>
      <c r="E612" s="697"/>
      <c r="F612" s="698"/>
    </row>
    <row r="613" spans="1:8">
      <c r="A613" s="597" t="s">
        <v>675</v>
      </c>
      <c r="B613" s="615"/>
      <c r="C613" s="564"/>
      <c r="D613" s="563"/>
      <c r="E613" s="626"/>
      <c r="F613" s="561"/>
    </row>
    <row r="614" spans="1:8">
      <c r="A614" s="597" t="s">
        <v>675</v>
      </c>
      <c r="B614" s="615"/>
      <c r="C614" s="564"/>
      <c r="D614" s="563"/>
      <c r="E614" s="626"/>
      <c r="F614" s="561"/>
    </row>
    <row r="615" spans="1:8">
      <c r="A615" s="603" t="s">
        <v>675</v>
      </c>
      <c r="B615" s="604"/>
      <c r="C615" s="606"/>
      <c r="D615" s="605"/>
      <c r="E615" s="644"/>
      <c r="F615" s="651"/>
    </row>
    <row r="616" spans="1:8" ht="13.8" thickBot="1">
      <c r="A616" s="616" t="s">
        <v>267</v>
      </c>
      <c r="B616" s="652" t="s">
        <v>268</v>
      </c>
      <c r="C616" s="569" t="s">
        <v>269</v>
      </c>
      <c r="D616" s="568" t="s">
        <v>259</v>
      </c>
      <c r="E616" s="570" t="s">
        <v>270</v>
      </c>
      <c r="F616" s="571" t="s">
        <v>260</v>
      </c>
    </row>
    <row r="617" spans="1:8">
      <c r="A617" s="653" t="s">
        <v>675</v>
      </c>
      <c r="B617" s="642"/>
      <c r="C617" s="656"/>
      <c r="D617" s="655"/>
      <c r="E617" s="657"/>
      <c r="F617" s="577"/>
    </row>
    <row r="618" spans="1:8">
      <c r="A618" s="675" t="s">
        <v>703</v>
      </c>
      <c r="B618" s="639" t="s">
        <v>358</v>
      </c>
      <c r="C618" s="661"/>
      <c r="D618" s="661"/>
      <c r="E618" s="662"/>
      <c r="F618" s="580"/>
    </row>
    <row r="619" spans="1:8">
      <c r="A619" s="675" t="s">
        <v>675</v>
      </c>
      <c r="B619" s="658"/>
      <c r="C619" s="661"/>
      <c r="D619" s="661"/>
      <c r="E619" s="662"/>
      <c r="F619" s="580"/>
    </row>
    <row r="620" spans="1:8" ht="26.4">
      <c r="A620" s="675" t="s">
        <v>740</v>
      </c>
      <c r="B620" s="688" t="s">
        <v>393</v>
      </c>
      <c r="C620" s="664"/>
      <c r="D620" s="661"/>
      <c r="E620" s="662"/>
      <c r="F620" s="580"/>
    </row>
    <row r="621" spans="1:8">
      <c r="A621" s="675" t="s">
        <v>675</v>
      </c>
      <c r="B621" s="658"/>
      <c r="C621" s="656"/>
      <c r="D621" s="661"/>
      <c r="E621" s="662"/>
      <c r="F621" s="580"/>
    </row>
    <row r="622" spans="1:8">
      <c r="A622" s="1343" t="s">
        <v>294</v>
      </c>
      <c r="B622" s="1344" t="s">
        <v>359</v>
      </c>
      <c r="C622" s="1340">
        <v>8</v>
      </c>
      <c r="D622" s="1341" t="s">
        <v>335</v>
      </c>
      <c r="E622" s="1342">
        <f ca="1">Elec_Est!E1601</f>
        <v>77.31</v>
      </c>
      <c r="F622" s="1336">
        <f ca="1">E622*C622</f>
        <v>618.48</v>
      </c>
    </row>
    <row r="623" spans="1:8">
      <c r="A623" s="675" t="s">
        <v>675</v>
      </c>
      <c r="B623" s="639"/>
      <c r="C623" s="664"/>
      <c r="D623" s="655"/>
      <c r="E623" s="662"/>
      <c r="F623" s="580"/>
    </row>
    <row r="624" spans="1:8">
      <c r="A624" s="675" t="s">
        <v>296</v>
      </c>
      <c r="B624" s="642" t="s">
        <v>360</v>
      </c>
      <c r="C624" s="664">
        <v>8</v>
      </c>
      <c r="D624" s="655" t="s">
        <v>335</v>
      </c>
      <c r="E624" s="662">
        <f ca="1">Elec_Est!E1609</f>
        <v>79.36</v>
      </c>
      <c r="F624" s="580">
        <f ca="1">E624*C624</f>
        <v>634.88</v>
      </c>
    </row>
    <row r="625" spans="1:6">
      <c r="A625" s="675" t="s">
        <v>675</v>
      </c>
      <c r="B625" s="639"/>
      <c r="C625" s="664"/>
      <c r="D625" s="655"/>
      <c r="E625" s="662"/>
      <c r="F625" s="580"/>
    </row>
    <row r="626" spans="1:6">
      <c r="A626" s="1343" t="s">
        <v>298</v>
      </c>
      <c r="B626" s="1346" t="s">
        <v>426</v>
      </c>
      <c r="C626" s="1340">
        <v>9</v>
      </c>
      <c r="D626" s="1341" t="s">
        <v>335</v>
      </c>
      <c r="E626" s="1342">
        <f ca="1">Elec_Est!E1617</f>
        <v>119.8</v>
      </c>
      <c r="F626" s="1336">
        <f ca="1">E626*C626</f>
        <v>1078.2</v>
      </c>
    </row>
    <row r="627" spans="1:6">
      <c r="A627" s="675" t="s">
        <v>675</v>
      </c>
      <c r="B627" s="639"/>
      <c r="C627" s="664"/>
      <c r="D627" s="655"/>
      <c r="E627" s="662"/>
      <c r="F627" s="580"/>
    </row>
    <row r="628" spans="1:6" ht="26.4">
      <c r="A628" s="675" t="s">
        <v>300</v>
      </c>
      <c r="B628" s="673" t="s">
        <v>427</v>
      </c>
      <c r="C628" s="664">
        <v>10</v>
      </c>
      <c r="D628" s="655" t="s">
        <v>335</v>
      </c>
      <c r="E628" s="662">
        <f ca="1">Elec_Est!E1625</f>
        <v>119.8</v>
      </c>
      <c r="F628" s="580">
        <f ca="1">E628*C628</f>
        <v>1198</v>
      </c>
    </row>
    <row r="629" spans="1:6">
      <c r="A629" s="653" t="s">
        <v>675</v>
      </c>
      <c r="B629" s="642"/>
      <c r="C629" s="656"/>
      <c r="D629" s="655"/>
      <c r="E629" s="662"/>
      <c r="F629" s="580"/>
    </row>
    <row r="630" spans="1:6">
      <c r="A630" s="653" t="s">
        <v>302</v>
      </c>
      <c r="B630" s="642" t="s">
        <v>363</v>
      </c>
      <c r="C630" s="656">
        <v>6</v>
      </c>
      <c r="D630" s="655" t="s">
        <v>335</v>
      </c>
      <c r="E630" s="662">
        <f ca="1">Elec_Est!E1633</f>
        <v>79.88</v>
      </c>
      <c r="F630" s="580">
        <f ca="1">E630*C630</f>
        <v>479.28</v>
      </c>
    </row>
    <row r="631" spans="1:6">
      <c r="A631" s="653" t="s">
        <v>675</v>
      </c>
      <c r="B631" s="642"/>
      <c r="C631" s="656"/>
      <c r="D631" s="655"/>
      <c r="E631" s="662"/>
      <c r="F631" s="580"/>
    </row>
    <row r="632" spans="1:6">
      <c r="A632" s="653" t="s">
        <v>307</v>
      </c>
      <c r="B632" s="642" t="s">
        <v>364</v>
      </c>
      <c r="C632" s="656">
        <v>5</v>
      </c>
      <c r="D632" s="655" t="s">
        <v>335</v>
      </c>
      <c r="E632" s="662">
        <f ca="1">Elec_Est!E1641</f>
        <v>79.88</v>
      </c>
      <c r="F632" s="580">
        <f ca="1">E632*C632</f>
        <v>399.4</v>
      </c>
    </row>
    <row r="633" spans="1:6">
      <c r="A633" s="653" t="s">
        <v>675</v>
      </c>
      <c r="B633" s="642"/>
      <c r="C633" s="656"/>
      <c r="D633" s="655"/>
      <c r="E633" s="662"/>
      <c r="F633" s="580"/>
    </row>
    <row r="634" spans="1:6">
      <c r="A634" s="653" t="s">
        <v>308</v>
      </c>
      <c r="B634" s="642" t="s">
        <v>428</v>
      </c>
      <c r="C634" s="656">
        <v>3</v>
      </c>
      <c r="D634" s="655" t="s">
        <v>335</v>
      </c>
      <c r="E634" s="662">
        <f ca="1">Elec_Est!E1649</f>
        <v>107.8</v>
      </c>
      <c r="F634" s="580">
        <f ca="1">E634*C634</f>
        <v>323.39999999999998</v>
      </c>
    </row>
    <row r="635" spans="1:6">
      <c r="A635" s="653" t="s">
        <v>675</v>
      </c>
      <c r="B635" s="642"/>
      <c r="C635" s="656"/>
      <c r="D635" s="655"/>
      <c r="E635" s="662"/>
      <c r="F635" s="580"/>
    </row>
    <row r="636" spans="1:6">
      <c r="A636" s="653" t="s">
        <v>675</v>
      </c>
      <c r="B636" s="642"/>
      <c r="C636" s="656"/>
      <c r="D636" s="655"/>
      <c r="E636" s="662"/>
      <c r="F636" s="580"/>
    </row>
    <row r="637" spans="1:6">
      <c r="A637" s="675" t="s">
        <v>703</v>
      </c>
      <c r="B637" s="639" t="s">
        <v>292</v>
      </c>
      <c r="C637" s="664"/>
      <c r="D637" s="661"/>
      <c r="E637" s="657"/>
      <c r="F637" s="580"/>
    </row>
    <row r="638" spans="1:6">
      <c r="A638" s="675" t="s">
        <v>675</v>
      </c>
      <c r="B638" s="658"/>
      <c r="C638" s="664"/>
      <c r="D638" s="661"/>
      <c r="E638" s="657"/>
      <c r="F638" s="580"/>
    </row>
    <row r="639" spans="1:6" ht="32.4" customHeight="1">
      <c r="A639" s="675" t="s">
        <v>741</v>
      </c>
      <c r="B639" s="582" t="s">
        <v>293</v>
      </c>
      <c r="C639" s="664"/>
      <c r="D639" s="661"/>
      <c r="E639" s="657"/>
      <c r="F639" s="580"/>
    </row>
    <row r="640" spans="1:6">
      <c r="A640" s="675" t="s">
        <v>675</v>
      </c>
      <c r="B640" s="642"/>
      <c r="C640" s="664"/>
      <c r="D640" s="655"/>
      <c r="E640" s="662"/>
      <c r="F640" s="580"/>
    </row>
    <row r="641" spans="1:6">
      <c r="A641" s="675" t="s">
        <v>294</v>
      </c>
      <c r="B641" s="642" t="s">
        <v>429</v>
      </c>
      <c r="C641" s="575">
        <v>1</v>
      </c>
      <c r="D641" s="655" t="s">
        <v>335</v>
      </c>
      <c r="E641" s="662">
        <f>Elec_Est!E1665</f>
        <v>618.74</v>
      </c>
      <c r="F641" s="580">
        <f>E641*C641</f>
        <v>618.74</v>
      </c>
    </row>
    <row r="642" spans="1:6">
      <c r="A642" s="675" t="s">
        <v>675</v>
      </c>
      <c r="B642" s="642"/>
      <c r="C642" s="636"/>
      <c r="D642" s="655"/>
      <c r="E642" s="662"/>
      <c r="F642" s="580"/>
    </row>
    <row r="643" spans="1:6">
      <c r="A643" s="675" t="s">
        <v>296</v>
      </c>
      <c r="B643" s="588" t="s">
        <v>430</v>
      </c>
      <c r="C643" s="664">
        <v>1</v>
      </c>
      <c r="D643" s="655" t="s">
        <v>335</v>
      </c>
      <c r="E643" s="662">
        <f>Elec_Est!E1671</f>
        <v>124.4</v>
      </c>
      <c r="F643" s="580">
        <f>E643*C643</f>
        <v>124.4</v>
      </c>
    </row>
    <row r="644" spans="1:6">
      <c r="A644" s="675" t="s">
        <v>675</v>
      </c>
      <c r="B644" s="588"/>
      <c r="C644" s="664"/>
      <c r="D644" s="655"/>
      <c r="E644" s="662"/>
      <c r="F644" s="580"/>
    </row>
    <row r="645" spans="1:6">
      <c r="A645" s="675" t="s">
        <v>298</v>
      </c>
      <c r="B645" s="588" t="s">
        <v>431</v>
      </c>
      <c r="C645" s="664">
        <v>1</v>
      </c>
      <c r="D645" s="655" t="s">
        <v>335</v>
      </c>
      <c r="E645" s="662">
        <f>Elec_Est!E1677</f>
        <v>124.4</v>
      </c>
      <c r="F645" s="580">
        <f>E645*C645</f>
        <v>124.4</v>
      </c>
    </row>
    <row r="646" spans="1:6">
      <c r="A646" s="675" t="s">
        <v>675</v>
      </c>
      <c r="B646" s="588"/>
      <c r="C646" s="664"/>
      <c r="D646" s="655"/>
      <c r="E646" s="662"/>
      <c r="F646" s="580"/>
    </row>
    <row r="647" spans="1:6">
      <c r="A647" s="675" t="s">
        <v>300</v>
      </c>
      <c r="B647" s="588" t="s">
        <v>432</v>
      </c>
      <c r="C647" s="664">
        <v>1</v>
      </c>
      <c r="D647" s="655" t="s">
        <v>335</v>
      </c>
      <c r="E647" s="662">
        <f>Elec_Est!E1683</f>
        <v>124.4</v>
      </c>
      <c r="F647" s="580">
        <f>E647*C647</f>
        <v>124.4</v>
      </c>
    </row>
    <row r="648" spans="1:6">
      <c r="A648" s="675" t="s">
        <v>675</v>
      </c>
      <c r="B648" s="588"/>
      <c r="C648" s="664"/>
      <c r="D648" s="655"/>
      <c r="E648" s="662"/>
      <c r="F648" s="580"/>
    </row>
    <row r="649" spans="1:6">
      <c r="A649" s="675" t="s">
        <v>675</v>
      </c>
      <c r="B649" s="588"/>
      <c r="C649" s="664"/>
      <c r="D649" s="655"/>
      <c r="E649" s="662"/>
      <c r="F649" s="580"/>
    </row>
    <row r="650" spans="1:6" ht="26.4">
      <c r="A650" s="675" t="s">
        <v>742</v>
      </c>
      <c r="B650" s="582" t="s">
        <v>304</v>
      </c>
      <c r="C650" s="664"/>
      <c r="D650" s="655"/>
      <c r="E650" s="662"/>
      <c r="F650" s="580"/>
    </row>
    <row r="651" spans="1:6">
      <c r="A651" s="675" t="s">
        <v>675</v>
      </c>
      <c r="B651" s="588"/>
      <c r="C651" s="664"/>
      <c r="D651" s="655"/>
      <c r="E651" s="662"/>
      <c r="F651" s="580"/>
    </row>
    <row r="652" spans="1:6">
      <c r="A652" s="675" t="s">
        <v>294</v>
      </c>
      <c r="B652" s="642" t="s">
        <v>429</v>
      </c>
      <c r="C652" s="575">
        <v>1</v>
      </c>
      <c r="D652" s="655" t="s">
        <v>335</v>
      </c>
      <c r="E652" s="662">
        <f>Elec_Est!E1693</f>
        <v>198.68</v>
      </c>
      <c r="F652" s="580">
        <f>E652*C652</f>
        <v>198.68</v>
      </c>
    </row>
    <row r="653" spans="1:6">
      <c r="A653" s="675" t="s">
        <v>675</v>
      </c>
      <c r="B653" s="642"/>
      <c r="C653" s="636"/>
      <c r="D653" s="655"/>
      <c r="E653" s="662"/>
      <c r="F653" s="580"/>
    </row>
    <row r="654" spans="1:6">
      <c r="A654" s="675" t="s">
        <v>296</v>
      </c>
      <c r="B654" s="588" t="s">
        <v>430</v>
      </c>
      <c r="C654" s="664">
        <v>1</v>
      </c>
      <c r="D654" s="655" t="s">
        <v>335</v>
      </c>
      <c r="E654" s="662">
        <f>Elec_Est!E1702</f>
        <v>161.1</v>
      </c>
      <c r="F654" s="580">
        <f>E654*C654</f>
        <v>161.1</v>
      </c>
    </row>
    <row r="655" spans="1:6">
      <c r="A655" s="675" t="s">
        <v>675</v>
      </c>
      <c r="B655" s="588"/>
      <c r="C655" s="664"/>
      <c r="D655" s="655"/>
      <c r="E655" s="662"/>
      <c r="F655" s="580"/>
    </row>
    <row r="656" spans="1:6">
      <c r="A656" s="675" t="s">
        <v>298</v>
      </c>
      <c r="B656" s="588" t="s">
        <v>431</v>
      </c>
      <c r="C656" s="664">
        <v>1</v>
      </c>
      <c r="D656" s="655" t="s">
        <v>335</v>
      </c>
      <c r="E656" s="662">
        <f>Elec_Est!E1712</f>
        <v>161.1</v>
      </c>
      <c r="F656" s="580">
        <f>E656*C656</f>
        <v>161.1</v>
      </c>
    </row>
    <row r="657" spans="1:8">
      <c r="A657" s="675" t="s">
        <v>675</v>
      </c>
      <c r="B657" s="588"/>
      <c r="C657" s="664"/>
      <c r="D657" s="655"/>
      <c r="E657" s="662"/>
      <c r="F657" s="580"/>
    </row>
    <row r="658" spans="1:8">
      <c r="A658" s="675" t="s">
        <v>300</v>
      </c>
      <c r="B658" s="588" t="s">
        <v>432</v>
      </c>
      <c r="C658" s="664">
        <v>1</v>
      </c>
      <c r="D658" s="655" t="s">
        <v>335</v>
      </c>
      <c r="E658" s="662">
        <f>Elec_Est!E1722</f>
        <v>161.1</v>
      </c>
      <c r="F658" s="580">
        <f>E658*C658</f>
        <v>161.1</v>
      </c>
    </row>
    <row r="659" spans="1:8">
      <c r="A659" s="675" t="s">
        <v>675</v>
      </c>
      <c r="B659" s="588"/>
      <c r="C659" s="664"/>
      <c r="D659" s="655"/>
      <c r="E659" s="662"/>
      <c r="F659" s="580"/>
    </row>
    <row r="660" spans="1:8">
      <c r="A660" s="675" t="s">
        <v>675</v>
      </c>
      <c r="B660" s="588"/>
      <c r="C660" s="664"/>
      <c r="D660" s="655"/>
      <c r="E660" s="662"/>
      <c r="F660" s="580"/>
    </row>
    <row r="661" spans="1:8">
      <c r="A661" s="675" t="s">
        <v>675</v>
      </c>
      <c r="B661" s="588"/>
      <c r="C661" s="664"/>
      <c r="D661" s="655"/>
      <c r="E661" s="662"/>
      <c r="F661" s="580"/>
    </row>
    <row r="662" spans="1:8">
      <c r="A662" s="675" t="s">
        <v>675</v>
      </c>
      <c r="B662" s="588"/>
      <c r="C662" s="664"/>
      <c r="D662" s="655"/>
      <c r="E662" s="662"/>
      <c r="F662" s="580"/>
    </row>
    <row r="663" spans="1:8">
      <c r="A663" s="653" t="s">
        <v>675</v>
      </c>
      <c r="B663" s="588"/>
      <c r="C663" s="664"/>
      <c r="D663" s="655"/>
      <c r="E663" s="662"/>
      <c r="F663" s="580"/>
    </row>
    <row r="664" spans="1:8" ht="13.8" thickBot="1">
      <c r="A664" s="572" t="s">
        <v>675</v>
      </c>
      <c r="B664" s="573"/>
      <c r="C664" s="575"/>
      <c r="D664" s="574"/>
      <c r="E664" s="669"/>
      <c r="F664" s="577"/>
    </row>
    <row r="665" spans="1:8">
      <c r="A665" s="591" t="s">
        <v>675</v>
      </c>
      <c r="B665" s="592"/>
      <c r="C665" s="594"/>
      <c r="D665" s="593"/>
      <c r="E665" s="643"/>
      <c r="F665" s="596"/>
    </row>
    <row r="666" spans="1:8">
      <c r="A666" s="597" t="s">
        <v>702</v>
      </c>
      <c r="B666" s="598" t="s">
        <v>282</v>
      </c>
      <c r="C666" s="600"/>
      <c r="D666" s="599"/>
      <c r="E666" s="601"/>
      <c r="F666" s="602">
        <f ca="1">SUM(F614:F664)</f>
        <v>6405.5599999999995</v>
      </c>
      <c r="G666" s="1202">
        <f ca="1">Elec_Est!F1733</f>
        <v>6405.5599999999995</v>
      </c>
      <c r="H666" s="1203">
        <f ca="1">F666-G666</f>
        <v>0</v>
      </c>
    </row>
    <row r="667" spans="1:8">
      <c r="A667" s="603" t="s">
        <v>675</v>
      </c>
      <c r="B667" s="604"/>
      <c r="C667" s="606"/>
      <c r="D667" s="605"/>
      <c r="E667" s="644"/>
      <c r="F667" s="608"/>
    </row>
    <row r="668" spans="1:8" ht="17.399999999999999">
      <c r="A668" s="609" t="s">
        <v>675</v>
      </c>
      <c r="B668" s="610"/>
      <c r="C668" s="551"/>
      <c r="D668" s="550"/>
      <c r="E668" s="645"/>
      <c r="F668" s="698"/>
    </row>
    <row r="669" spans="1:8" ht="12.75" customHeight="1">
      <c r="A669" s="612" t="s">
        <v>675</v>
      </c>
      <c r="B669" s="646"/>
      <c r="C669" s="648"/>
      <c r="D669" s="647"/>
      <c r="E669" s="649"/>
      <c r="F669" s="561"/>
    </row>
    <row r="670" spans="1:8" ht="12.75" customHeight="1">
      <c r="A670" s="612" t="s">
        <v>675</v>
      </c>
      <c r="B670" s="646"/>
      <c r="C670" s="648"/>
      <c r="D670" s="647"/>
      <c r="E670" s="649"/>
      <c r="F670" s="561"/>
    </row>
    <row r="671" spans="1:8">
      <c r="A671" s="699" t="s">
        <v>675</v>
      </c>
      <c r="B671" s="605"/>
      <c r="C671" s="606"/>
      <c r="D671" s="605"/>
      <c r="E671" s="644"/>
      <c r="F671" s="651"/>
    </row>
    <row r="672" spans="1:8" ht="13.8" thickBot="1">
      <c r="A672" s="700" t="s">
        <v>267</v>
      </c>
      <c r="B672" s="701" t="s">
        <v>268</v>
      </c>
      <c r="C672" s="703" t="s">
        <v>269</v>
      </c>
      <c r="D672" s="702" t="s">
        <v>259</v>
      </c>
      <c r="E672" s="704" t="s">
        <v>270</v>
      </c>
      <c r="F672" s="705" t="s">
        <v>260</v>
      </c>
    </row>
    <row r="673" spans="1:6">
      <c r="A673" s="572" t="s">
        <v>675</v>
      </c>
      <c r="B673" s="573"/>
      <c r="C673" s="575"/>
      <c r="D673" s="574"/>
      <c r="E673" s="669"/>
      <c r="F673" s="577"/>
    </row>
    <row r="674" spans="1:6">
      <c r="A674" s="653" t="s">
        <v>703</v>
      </c>
      <c r="B674" s="578" t="s">
        <v>305</v>
      </c>
      <c r="C674" s="664"/>
      <c r="D674" s="655"/>
      <c r="E674" s="583"/>
      <c r="F674" s="580"/>
    </row>
    <row r="675" spans="1:6">
      <c r="A675" s="653" t="s">
        <v>675</v>
      </c>
      <c r="B675" s="658"/>
      <c r="C675" s="664"/>
      <c r="D675" s="661"/>
      <c r="E675" s="583"/>
      <c r="F675" s="580"/>
    </row>
    <row r="676" spans="1:6" ht="39.6">
      <c r="A676" s="653" t="s">
        <v>916</v>
      </c>
      <c r="B676" s="582" t="s">
        <v>687</v>
      </c>
      <c r="C676" s="664"/>
      <c r="D676" s="655"/>
      <c r="E676" s="583"/>
      <c r="F676" s="580"/>
    </row>
    <row r="677" spans="1:6">
      <c r="A677" s="653" t="s">
        <v>675</v>
      </c>
      <c r="B677" s="659"/>
      <c r="C677" s="664"/>
      <c r="D677" s="661"/>
      <c r="E677" s="583"/>
      <c r="F677" s="580"/>
    </row>
    <row r="678" spans="1:6">
      <c r="A678" s="653" t="s">
        <v>675</v>
      </c>
      <c r="B678" s="659"/>
      <c r="C678" s="664"/>
      <c r="D678" s="661"/>
      <c r="E678" s="583"/>
      <c r="F678" s="580"/>
    </row>
    <row r="679" spans="1:6">
      <c r="A679" s="653" t="s">
        <v>675</v>
      </c>
      <c r="B679" s="658"/>
      <c r="C679" s="664"/>
      <c r="D679" s="655"/>
      <c r="E679" s="583"/>
      <c r="F679" s="580"/>
    </row>
    <row r="680" spans="1:6">
      <c r="C680" s="664"/>
      <c r="D680" s="661"/>
      <c r="E680" s="662"/>
      <c r="F680" s="580"/>
    </row>
    <row r="681" spans="1:6">
      <c r="A681" s="653" t="s">
        <v>296</v>
      </c>
      <c r="B681" s="706" t="s">
        <v>743</v>
      </c>
      <c r="C681" s="664">
        <v>10</v>
      </c>
      <c r="D681" s="661" t="s">
        <v>306</v>
      </c>
      <c r="E681" s="662">
        <f ca="1">Elec_Est!E1746</f>
        <v>6.75</v>
      </c>
      <c r="F681" s="580">
        <f ca="1">E681*C681</f>
        <v>67.5</v>
      </c>
    </row>
    <row r="682" spans="1:6">
      <c r="A682" s="653" t="s">
        <v>675</v>
      </c>
      <c r="B682" s="614"/>
      <c r="C682" s="664"/>
      <c r="D682" s="661"/>
      <c r="E682" s="662"/>
      <c r="F682" s="580"/>
    </row>
    <row r="683" spans="1:6">
      <c r="A683" s="653" t="s">
        <v>675</v>
      </c>
      <c r="B683" s="614"/>
      <c r="C683" s="664"/>
      <c r="D683" s="661"/>
      <c r="E683" s="662"/>
      <c r="F683" s="580"/>
    </row>
    <row r="684" spans="1:6">
      <c r="A684" s="653" t="s">
        <v>298</v>
      </c>
      <c r="B684" s="706" t="s">
        <v>744</v>
      </c>
      <c r="C684" s="664">
        <v>8</v>
      </c>
      <c r="D684" s="655" t="s">
        <v>306</v>
      </c>
      <c r="E684" s="662">
        <f ca="1">Elec_Est!E1753</f>
        <v>6.75</v>
      </c>
      <c r="F684" s="580">
        <f ca="1">E684*C684</f>
        <v>54</v>
      </c>
    </row>
    <row r="685" spans="1:6">
      <c r="A685" s="653" t="s">
        <v>675</v>
      </c>
      <c r="B685" s="614"/>
      <c r="C685" s="664"/>
      <c r="D685" s="655"/>
      <c r="E685" s="662"/>
      <c r="F685" s="580"/>
    </row>
    <row r="686" spans="1:6">
      <c r="A686" s="653" t="s">
        <v>675</v>
      </c>
      <c r="B686" s="658"/>
      <c r="C686" s="664"/>
      <c r="D686" s="661"/>
      <c r="E686" s="662"/>
      <c r="F686" s="580"/>
    </row>
    <row r="687" spans="1:6">
      <c r="A687" s="653" t="s">
        <v>300</v>
      </c>
      <c r="B687" s="706" t="s">
        <v>745</v>
      </c>
      <c r="C687" s="664">
        <v>15</v>
      </c>
      <c r="D687" s="661" t="s">
        <v>306</v>
      </c>
      <c r="E687" s="662">
        <f ca="1">Elec_Est!E1760</f>
        <v>6.75</v>
      </c>
      <c r="F687" s="580">
        <f ca="1">E687*C687</f>
        <v>101.25</v>
      </c>
    </row>
    <row r="688" spans="1:6">
      <c r="A688" s="653" t="s">
        <v>675</v>
      </c>
      <c r="B688" s="614"/>
      <c r="C688" s="664"/>
      <c r="D688" s="661"/>
      <c r="E688" s="662"/>
      <c r="F688" s="580"/>
    </row>
    <row r="689" spans="1:6">
      <c r="A689" s="653" t="s">
        <v>675</v>
      </c>
      <c r="B689" s="614"/>
      <c r="C689" s="664"/>
      <c r="D689" s="661"/>
      <c r="E689" s="662"/>
      <c r="F689" s="580"/>
    </row>
    <row r="690" spans="1:6">
      <c r="A690" s="572" t="s">
        <v>703</v>
      </c>
      <c r="B690" s="578" t="s">
        <v>324</v>
      </c>
      <c r="C690" s="575"/>
      <c r="D690" s="574"/>
      <c r="E690" s="576"/>
      <c r="F690" s="580"/>
    </row>
    <row r="691" spans="1:6">
      <c r="A691" s="572" t="s">
        <v>675</v>
      </c>
      <c r="B691" s="642"/>
      <c r="C691" s="575"/>
      <c r="D691" s="574"/>
      <c r="E691" s="576"/>
      <c r="F691" s="580"/>
    </row>
    <row r="692" spans="1:6" ht="26.4">
      <c r="A692" s="572" t="s">
        <v>746</v>
      </c>
      <c r="B692" s="582" t="s">
        <v>715</v>
      </c>
      <c r="C692" s="575"/>
      <c r="D692" s="574"/>
      <c r="E692" s="576"/>
      <c r="F692" s="580"/>
    </row>
    <row r="693" spans="1:6">
      <c r="A693" s="572" t="s">
        <v>675</v>
      </c>
      <c r="B693" s="659"/>
      <c r="C693" s="575"/>
      <c r="D693" s="574"/>
      <c r="E693" s="576"/>
      <c r="F693" s="580"/>
    </row>
    <row r="694" spans="1:6">
      <c r="A694" s="572" t="s">
        <v>675</v>
      </c>
      <c r="B694" s="639"/>
      <c r="C694" s="575"/>
      <c r="D694" s="574"/>
      <c r="E694" s="576"/>
      <c r="F694" s="580"/>
    </row>
    <row r="695" spans="1:6">
      <c r="A695" s="572" t="s">
        <v>294</v>
      </c>
      <c r="B695" s="573" t="s">
        <v>325</v>
      </c>
      <c r="C695" s="575">
        <v>10</v>
      </c>
      <c r="D695" s="574" t="s">
        <v>326</v>
      </c>
      <c r="E695" s="576">
        <f ca="1">Elec_Est!E1775</f>
        <v>25.53</v>
      </c>
      <c r="F695" s="580">
        <f ca="1">E695*C695</f>
        <v>255.3</v>
      </c>
    </row>
    <row r="696" spans="1:6">
      <c r="A696" s="572" t="s">
        <v>675</v>
      </c>
      <c r="B696" s="573"/>
      <c r="C696" s="575"/>
      <c r="D696" s="574"/>
      <c r="E696" s="576"/>
      <c r="F696" s="580"/>
    </row>
    <row r="697" spans="1:6">
      <c r="A697" s="572" t="s">
        <v>675</v>
      </c>
      <c r="B697" s="573"/>
      <c r="C697" s="575"/>
      <c r="D697" s="574"/>
      <c r="E697" s="576"/>
      <c r="F697" s="580"/>
    </row>
    <row r="698" spans="1:6">
      <c r="A698" s="572" t="s">
        <v>675</v>
      </c>
      <c r="B698" s="573"/>
      <c r="C698" s="575"/>
      <c r="D698" s="574"/>
      <c r="E698" s="576"/>
      <c r="F698" s="580"/>
    </row>
    <row r="699" spans="1:6">
      <c r="A699" s="572" t="s">
        <v>675</v>
      </c>
      <c r="B699" s="573"/>
      <c r="C699" s="575"/>
      <c r="D699" s="574"/>
      <c r="E699" s="576"/>
      <c r="F699" s="580"/>
    </row>
    <row r="700" spans="1:6">
      <c r="A700" s="572" t="s">
        <v>675</v>
      </c>
      <c r="B700" s="573"/>
      <c r="C700" s="575"/>
      <c r="D700" s="574"/>
      <c r="E700" s="576"/>
      <c r="F700" s="580"/>
    </row>
    <row r="701" spans="1:6">
      <c r="A701" s="572" t="s">
        <v>675</v>
      </c>
      <c r="B701" s="573"/>
      <c r="C701" s="575"/>
      <c r="D701" s="574"/>
      <c r="E701" s="576"/>
      <c r="F701" s="580"/>
    </row>
    <row r="702" spans="1:6">
      <c r="A702" s="572" t="s">
        <v>675</v>
      </c>
      <c r="B702" s="573"/>
      <c r="C702" s="575"/>
      <c r="D702" s="574"/>
      <c r="E702" s="576"/>
      <c r="F702" s="580"/>
    </row>
    <row r="703" spans="1:6">
      <c r="A703" s="572" t="s">
        <v>675</v>
      </c>
      <c r="B703" s="573"/>
      <c r="C703" s="575"/>
      <c r="D703" s="574"/>
      <c r="E703" s="576"/>
      <c r="F703" s="580"/>
    </row>
    <row r="704" spans="1:6">
      <c r="A704" s="572" t="s">
        <v>675</v>
      </c>
      <c r="B704" s="573"/>
      <c r="C704" s="575"/>
      <c r="D704" s="574"/>
      <c r="E704" s="576"/>
      <c r="F704" s="580"/>
    </row>
    <row r="705" spans="1:6">
      <c r="A705" s="572" t="s">
        <v>675</v>
      </c>
      <c r="B705" s="573"/>
      <c r="C705" s="575"/>
      <c r="D705" s="574"/>
      <c r="E705" s="576"/>
      <c r="F705" s="580"/>
    </row>
    <row r="706" spans="1:6">
      <c r="A706" s="572" t="s">
        <v>675</v>
      </c>
      <c r="B706" s="573"/>
      <c r="C706" s="575"/>
      <c r="D706" s="574"/>
      <c r="E706" s="576"/>
      <c r="F706" s="580"/>
    </row>
    <row r="707" spans="1:6">
      <c r="A707" s="572" t="s">
        <v>675</v>
      </c>
      <c r="B707" s="573"/>
      <c r="C707" s="575"/>
      <c r="D707" s="574"/>
      <c r="E707" s="576"/>
      <c r="F707" s="580"/>
    </row>
    <row r="708" spans="1:6">
      <c r="A708" s="572" t="s">
        <v>675</v>
      </c>
      <c r="B708" s="573"/>
      <c r="C708" s="575"/>
      <c r="D708" s="574"/>
      <c r="E708" s="576"/>
      <c r="F708" s="580"/>
    </row>
    <row r="709" spans="1:6">
      <c r="A709" s="572" t="s">
        <v>675</v>
      </c>
      <c r="B709" s="573"/>
      <c r="C709" s="575"/>
      <c r="D709" s="574"/>
      <c r="E709" s="576"/>
      <c r="F709" s="580"/>
    </row>
    <row r="710" spans="1:6">
      <c r="A710" s="572" t="s">
        <v>675</v>
      </c>
      <c r="B710" s="573"/>
      <c r="C710" s="575"/>
      <c r="D710" s="574"/>
      <c r="E710" s="576"/>
      <c r="F710" s="580"/>
    </row>
    <row r="711" spans="1:6">
      <c r="A711" s="572" t="s">
        <v>675</v>
      </c>
      <c r="B711" s="573"/>
      <c r="C711" s="575"/>
      <c r="D711" s="574"/>
      <c r="E711" s="576"/>
      <c r="F711" s="580"/>
    </row>
    <row r="712" spans="1:6">
      <c r="A712" s="572" t="s">
        <v>675</v>
      </c>
      <c r="B712" s="573"/>
      <c r="C712" s="575"/>
      <c r="D712" s="574"/>
      <c r="E712" s="576"/>
      <c r="F712" s="580"/>
    </row>
    <row r="713" spans="1:6">
      <c r="A713" s="572" t="s">
        <v>675</v>
      </c>
      <c r="B713" s="573"/>
      <c r="C713" s="575"/>
      <c r="D713" s="574"/>
      <c r="E713" s="576"/>
      <c r="F713" s="580"/>
    </row>
    <row r="714" spans="1:6">
      <c r="A714" s="572" t="s">
        <v>675</v>
      </c>
      <c r="B714" s="573"/>
      <c r="C714" s="575"/>
      <c r="D714" s="574"/>
      <c r="E714" s="576"/>
      <c r="F714" s="580"/>
    </row>
    <row r="715" spans="1:6">
      <c r="A715" s="572" t="s">
        <v>675</v>
      </c>
      <c r="B715" s="573"/>
      <c r="C715" s="575"/>
      <c r="D715" s="574"/>
      <c r="E715" s="576"/>
      <c r="F715" s="580"/>
    </row>
    <row r="716" spans="1:6">
      <c r="A716" s="572" t="s">
        <v>675</v>
      </c>
      <c r="B716" s="573"/>
      <c r="C716" s="575"/>
      <c r="D716" s="574"/>
      <c r="E716" s="576"/>
      <c r="F716" s="580"/>
    </row>
    <row r="717" spans="1:6">
      <c r="A717" s="572" t="s">
        <v>675</v>
      </c>
      <c r="B717" s="573"/>
      <c r="C717" s="575"/>
      <c r="D717" s="574"/>
      <c r="E717" s="576"/>
      <c r="F717" s="580"/>
    </row>
    <row r="718" spans="1:6">
      <c r="A718" s="572" t="s">
        <v>675</v>
      </c>
      <c r="B718" s="573"/>
      <c r="C718" s="575"/>
      <c r="D718" s="574"/>
      <c r="E718" s="576"/>
      <c r="F718" s="580"/>
    </row>
    <row r="719" spans="1:6">
      <c r="A719" s="572" t="s">
        <v>675</v>
      </c>
      <c r="B719" s="573"/>
      <c r="C719" s="575"/>
      <c r="D719" s="574"/>
      <c r="E719" s="576"/>
      <c r="F719" s="580"/>
    </row>
    <row r="720" spans="1:6">
      <c r="A720" s="572" t="s">
        <v>675</v>
      </c>
      <c r="B720" s="573"/>
      <c r="C720" s="575"/>
      <c r="D720" s="574"/>
      <c r="E720" s="576"/>
      <c r="F720" s="580"/>
    </row>
    <row r="721" spans="1:8">
      <c r="A721" s="572" t="s">
        <v>675</v>
      </c>
      <c r="B721" s="573"/>
      <c r="C721" s="575"/>
      <c r="D721" s="574"/>
      <c r="E721" s="576"/>
      <c r="F721" s="580"/>
    </row>
    <row r="722" spans="1:8">
      <c r="A722" s="572" t="s">
        <v>675</v>
      </c>
      <c r="B722" s="573"/>
      <c r="C722" s="575"/>
      <c r="D722" s="574"/>
      <c r="E722" s="576"/>
      <c r="F722" s="580"/>
    </row>
    <row r="723" spans="1:8">
      <c r="A723" s="572" t="s">
        <v>675</v>
      </c>
      <c r="B723" s="573"/>
      <c r="C723" s="575"/>
      <c r="D723" s="574"/>
      <c r="E723" s="576"/>
      <c r="F723" s="580"/>
    </row>
    <row r="724" spans="1:8" ht="13.8" thickBot="1">
      <c r="A724" s="572" t="s">
        <v>675</v>
      </c>
      <c r="B724" s="573"/>
      <c r="C724" s="575"/>
      <c r="D724" s="574"/>
      <c r="E724" s="669"/>
      <c r="F724" s="577"/>
    </row>
    <row r="725" spans="1:8">
      <c r="A725" s="591" t="s">
        <v>675</v>
      </c>
      <c r="B725" s="592"/>
      <c r="C725" s="594"/>
      <c r="D725" s="593"/>
      <c r="E725" s="643"/>
      <c r="F725" s="596"/>
    </row>
    <row r="726" spans="1:8">
      <c r="A726" s="597" t="s">
        <v>702</v>
      </c>
      <c r="B726" s="598" t="s">
        <v>282</v>
      </c>
      <c r="C726" s="600"/>
      <c r="D726" s="599"/>
      <c r="E726" s="601"/>
      <c r="F726" s="602">
        <f ca="1">SUM(F673:F724)</f>
        <v>478.05</v>
      </c>
      <c r="G726" s="1202">
        <f ca="1">Elec_Est!F1785</f>
        <v>478.05</v>
      </c>
      <c r="H726" s="1203">
        <f ca="1">F726-G726</f>
        <v>0</v>
      </c>
    </row>
    <row r="727" spans="1:8">
      <c r="A727" s="603" t="s">
        <v>675</v>
      </c>
      <c r="B727" s="604"/>
      <c r="C727" s="606"/>
      <c r="D727" s="605"/>
      <c r="E727" s="644"/>
      <c r="F727" s="608"/>
    </row>
    <row r="728" spans="1:8">
      <c r="A728" s="693" t="s">
        <v>675</v>
      </c>
      <c r="B728" s="694"/>
      <c r="C728" s="696"/>
      <c r="D728" s="695"/>
      <c r="E728" s="697"/>
      <c r="F728" s="698"/>
    </row>
    <row r="729" spans="1:8">
      <c r="A729" s="597" t="s">
        <v>675</v>
      </c>
      <c r="B729" s="615"/>
      <c r="C729" s="564"/>
      <c r="D729" s="563"/>
      <c r="E729" s="626"/>
      <c r="F729" s="561"/>
    </row>
    <row r="730" spans="1:8">
      <c r="A730" s="597" t="s">
        <v>675</v>
      </c>
      <c r="B730" s="615"/>
      <c r="C730" s="564"/>
      <c r="D730" s="563"/>
      <c r="E730" s="626"/>
      <c r="F730" s="561"/>
    </row>
    <row r="731" spans="1:8">
      <c r="A731" s="603" t="s">
        <v>675</v>
      </c>
      <c r="B731" s="604"/>
      <c r="C731" s="606"/>
      <c r="D731" s="605"/>
      <c r="E731" s="644"/>
      <c r="F731" s="651"/>
    </row>
    <row r="732" spans="1:8" ht="13.8" thickBot="1">
      <c r="A732" s="616" t="s">
        <v>267</v>
      </c>
      <c r="B732" s="652" t="s">
        <v>268</v>
      </c>
      <c r="C732" s="569" t="s">
        <v>269</v>
      </c>
      <c r="D732" s="568" t="s">
        <v>259</v>
      </c>
      <c r="E732" s="570" t="s">
        <v>270</v>
      </c>
      <c r="F732" s="571" t="s">
        <v>260</v>
      </c>
    </row>
    <row r="733" spans="1:8">
      <c r="A733" s="653" t="s">
        <v>675</v>
      </c>
      <c r="B733" s="642"/>
      <c r="C733" s="656"/>
      <c r="D733" s="655"/>
      <c r="E733" s="657"/>
      <c r="F733" s="577"/>
    </row>
    <row r="734" spans="1:8" ht="15.6">
      <c r="A734" s="653" t="s">
        <v>703</v>
      </c>
      <c r="B734" s="672" t="s">
        <v>433</v>
      </c>
      <c r="C734" s="664"/>
      <c r="D734" s="655"/>
      <c r="E734" s="657"/>
      <c r="F734" s="577"/>
    </row>
    <row r="735" spans="1:8">
      <c r="A735" s="653" t="s">
        <v>675</v>
      </c>
      <c r="B735" s="639"/>
      <c r="C735" s="664"/>
      <c r="D735" s="655"/>
      <c r="E735" s="657"/>
      <c r="F735" s="577"/>
    </row>
    <row r="736" spans="1:8">
      <c r="A736" s="653" t="s">
        <v>703</v>
      </c>
      <c r="B736" s="639" t="s">
        <v>332</v>
      </c>
      <c r="C736" s="664"/>
      <c r="D736" s="655"/>
      <c r="E736" s="707"/>
      <c r="F736" s="580"/>
    </row>
    <row r="737" spans="1:6">
      <c r="A737" s="653" t="s">
        <v>675</v>
      </c>
      <c r="B737" s="598"/>
      <c r="C737" s="664"/>
      <c r="D737" s="655"/>
      <c r="E737" s="707"/>
      <c r="F737" s="580"/>
    </row>
    <row r="738" spans="1:6" ht="26.4">
      <c r="A738" s="653" t="s">
        <v>747</v>
      </c>
      <c r="B738" s="582" t="s">
        <v>333</v>
      </c>
      <c r="C738" s="664"/>
      <c r="D738" s="686"/>
      <c r="E738" s="662"/>
      <c r="F738" s="580"/>
    </row>
    <row r="739" spans="1:6">
      <c r="A739" s="653" t="s">
        <v>675</v>
      </c>
      <c r="B739" s="588"/>
      <c r="C739" s="664"/>
      <c r="D739" s="655"/>
      <c r="E739" s="662"/>
      <c r="F739" s="580"/>
    </row>
    <row r="740" spans="1:6">
      <c r="A740" s="653" t="s">
        <v>294</v>
      </c>
      <c r="B740" s="588" t="s">
        <v>334</v>
      </c>
      <c r="C740" s="664">
        <v>3</v>
      </c>
      <c r="D740" s="655" t="s">
        <v>335</v>
      </c>
      <c r="E740" s="662">
        <f ca="1">Elec_Est!E1802</f>
        <v>57.85</v>
      </c>
      <c r="F740" s="580">
        <f ca="1">E740*C740</f>
        <v>173.55</v>
      </c>
    </row>
    <row r="741" spans="1:6">
      <c r="A741" s="653" t="s">
        <v>675</v>
      </c>
      <c r="B741" s="588"/>
      <c r="C741" s="664"/>
      <c r="D741" s="655"/>
      <c r="E741" s="662"/>
      <c r="F741" s="580"/>
    </row>
    <row r="742" spans="1:6">
      <c r="A742" s="653" t="s">
        <v>296</v>
      </c>
      <c r="B742" s="588" t="s">
        <v>401</v>
      </c>
      <c r="C742" s="664">
        <v>2</v>
      </c>
      <c r="D742" s="655" t="s">
        <v>335</v>
      </c>
      <c r="E742" s="662">
        <f ca="1">Elec_Est!E1809</f>
        <v>86.78</v>
      </c>
      <c r="F742" s="580">
        <f ca="1">E742*C742</f>
        <v>173.56</v>
      </c>
    </row>
    <row r="743" spans="1:6">
      <c r="A743" s="653" t="s">
        <v>675</v>
      </c>
      <c r="B743" s="588"/>
      <c r="C743" s="664"/>
      <c r="D743" s="655"/>
      <c r="E743" s="662"/>
      <c r="F743" s="580"/>
    </row>
    <row r="744" spans="1:6">
      <c r="A744" s="653" t="s">
        <v>298</v>
      </c>
      <c r="B744" s="588" t="s">
        <v>434</v>
      </c>
      <c r="C744" s="664">
        <v>1</v>
      </c>
      <c r="D744" s="655" t="s">
        <v>335</v>
      </c>
      <c r="E744" s="662">
        <f ca="1">Elec_Est!E1816</f>
        <v>115.71</v>
      </c>
      <c r="F744" s="580">
        <f ca="1">E744*C744</f>
        <v>115.71</v>
      </c>
    </row>
    <row r="745" spans="1:6">
      <c r="A745" s="653" t="s">
        <v>675</v>
      </c>
      <c r="B745" s="588"/>
      <c r="C745" s="664"/>
      <c r="D745" s="655"/>
      <c r="E745" s="662"/>
      <c r="F745" s="580"/>
    </row>
    <row r="746" spans="1:6">
      <c r="A746" s="653" t="s">
        <v>300</v>
      </c>
      <c r="B746" s="588" t="s">
        <v>405</v>
      </c>
      <c r="C746" s="664">
        <v>3</v>
      </c>
      <c r="D746" s="655" t="s">
        <v>335</v>
      </c>
      <c r="E746" s="662">
        <f ca="1">Elec_Est!E1823</f>
        <v>318.2</v>
      </c>
      <c r="F746" s="580">
        <f ca="1">E746*C746</f>
        <v>954.59999999999991</v>
      </c>
    </row>
    <row r="747" spans="1:6">
      <c r="A747" s="653" t="s">
        <v>675</v>
      </c>
      <c r="B747" s="588"/>
      <c r="C747" s="664"/>
      <c r="D747" s="655"/>
      <c r="E747" s="662"/>
      <c r="F747" s="580"/>
    </row>
    <row r="748" spans="1:6" ht="39.6">
      <c r="A748" s="653" t="s">
        <v>302</v>
      </c>
      <c r="B748" s="588" t="s">
        <v>410</v>
      </c>
      <c r="C748" s="664">
        <v>3</v>
      </c>
      <c r="D748" s="655" t="s">
        <v>335</v>
      </c>
      <c r="E748" s="662">
        <f ca="1">Elec_Est!E1830</f>
        <v>317.52</v>
      </c>
      <c r="F748" s="580">
        <f ca="1">E748*C748</f>
        <v>952.56</v>
      </c>
    </row>
    <row r="749" spans="1:6">
      <c r="A749" s="653" t="s">
        <v>675</v>
      </c>
      <c r="B749" s="588"/>
      <c r="C749" s="664"/>
      <c r="D749" s="655"/>
      <c r="E749" s="662"/>
      <c r="F749" s="580"/>
    </row>
    <row r="750" spans="1:6" ht="26.4">
      <c r="A750" s="653" t="s">
        <v>307</v>
      </c>
      <c r="B750" s="588" t="s">
        <v>435</v>
      </c>
      <c r="C750" s="664">
        <v>1</v>
      </c>
      <c r="D750" s="655" t="s">
        <v>335</v>
      </c>
      <c r="E750" s="662">
        <f ca="1">Elec_Est!E1841</f>
        <v>144.63</v>
      </c>
      <c r="F750" s="580">
        <f ca="1">E750*C750</f>
        <v>144.63</v>
      </c>
    </row>
    <row r="751" spans="1:6">
      <c r="A751" s="653" t="s">
        <v>675</v>
      </c>
      <c r="B751" s="588"/>
      <c r="C751" s="664"/>
      <c r="D751" s="655"/>
      <c r="E751" s="662"/>
      <c r="F751" s="580"/>
    </row>
    <row r="752" spans="1:6" ht="26.4">
      <c r="A752" s="653" t="s">
        <v>308</v>
      </c>
      <c r="B752" s="588" t="s">
        <v>436</v>
      </c>
      <c r="C752" s="664">
        <v>1</v>
      </c>
      <c r="D752" s="655" t="s">
        <v>335</v>
      </c>
      <c r="E752" s="662">
        <f ca="1">Elec_Est!E1848</f>
        <v>289.27</v>
      </c>
      <c r="F752" s="580">
        <f ca="1">E752*C752</f>
        <v>289.27</v>
      </c>
    </row>
    <row r="753" spans="1:6">
      <c r="A753" s="653" t="s">
        <v>675</v>
      </c>
      <c r="B753" s="588"/>
      <c r="C753" s="664"/>
      <c r="D753" s="655"/>
      <c r="E753" s="662"/>
      <c r="F753" s="580"/>
    </row>
    <row r="754" spans="1:6" ht="26.4">
      <c r="A754" s="653" t="s">
        <v>309</v>
      </c>
      <c r="B754" s="588" t="s">
        <v>437</v>
      </c>
      <c r="C754" s="664">
        <v>1</v>
      </c>
      <c r="D754" s="655" t="s">
        <v>335</v>
      </c>
      <c r="E754" s="662">
        <f ca="1">Elec_Est!E1855</f>
        <v>318.2</v>
      </c>
      <c r="F754" s="580">
        <f ca="1">E754*C754</f>
        <v>318.2</v>
      </c>
    </row>
    <row r="755" spans="1:6">
      <c r="A755" s="653" t="s">
        <v>675</v>
      </c>
      <c r="B755" s="588"/>
      <c r="C755" s="664"/>
      <c r="D755" s="655"/>
      <c r="E755" s="662"/>
      <c r="F755" s="580"/>
    </row>
    <row r="756" spans="1:6">
      <c r="A756" s="653" t="s">
        <v>310</v>
      </c>
      <c r="B756" s="588" t="s">
        <v>381</v>
      </c>
      <c r="C756" s="664">
        <v>9</v>
      </c>
      <c r="D756" s="655" t="s">
        <v>335</v>
      </c>
      <c r="E756" s="662">
        <f ca="1">Elec_Est!E1862</f>
        <v>64.13</v>
      </c>
      <c r="F756" s="580">
        <f ca="1">E756*C756</f>
        <v>577.16999999999996</v>
      </c>
    </row>
    <row r="757" spans="1:6">
      <c r="A757" s="653" t="s">
        <v>675</v>
      </c>
      <c r="B757" s="588"/>
      <c r="C757" s="664"/>
      <c r="D757" s="655"/>
      <c r="E757" s="662"/>
      <c r="F757" s="580"/>
    </row>
    <row r="758" spans="1:6">
      <c r="A758" s="653" t="s">
        <v>311</v>
      </c>
      <c r="B758" s="588" t="s">
        <v>406</v>
      </c>
      <c r="C758" s="664">
        <v>6</v>
      </c>
      <c r="D758" s="655" t="s">
        <v>335</v>
      </c>
      <c r="E758" s="662">
        <f ca="1">Elec_Est!E1870</f>
        <v>57.85</v>
      </c>
      <c r="F758" s="580">
        <f ca="1">E758*C758</f>
        <v>347.1</v>
      </c>
    </row>
    <row r="759" spans="1:6">
      <c r="A759" s="653" t="s">
        <v>675</v>
      </c>
      <c r="B759" s="588"/>
      <c r="C759" s="664"/>
      <c r="D759" s="655"/>
      <c r="E759" s="662"/>
      <c r="F759" s="580"/>
    </row>
    <row r="760" spans="1:6">
      <c r="A760" s="653" t="s">
        <v>312</v>
      </c>
      <c r="B760" s="588" t="s">
        <v>407</v>
      </c>
      <c r="C760" s="664">
        <v>5</v>
      </c>
      <c r="D760" s="655" t="s">
        <v>335</v>
      </c>
      <c r="E760" s="662">
        <f ca="1">Elec_Est!E1877</f>
        <v>57.85</v>
      </c>
      <c r="F760" s="580">
        <f ca="1">E760*C760</f>
        <v>289.25</v>
      </c>
    </row>
    <row r="761" spans="1:6">
      <c r="A761" s="653" t="s">
        <v>675</v>
      </c>
      <c r="B761" s="588"/>
      <c r="C761" s="664"/>
      <c r="D761" s="655"/>
      <c r="E761" s="662"/>
      <c r="F761" s="580"/>
    </row>
    <row r="762" spans="1:6">
      <c r="A762" s="653" t="s">
        <v>313</v>
      </c>
      <c r="B762" s="588" t="s">
        <v>408</v>
      </c>
      <c r="C762" s="664">
        <v>3</v>
      </c>
      <c r="D762" s="655" t="s">
        <v>335</v>
      </c>
      <c r="E762" s="662">
        <f ca="1">Elec_Est!E1884</f>
        <v>57.85</v>
      </c>
      <c r="F762" s="580">
        <f ca="1">E762*C762</f>
        <v>173.55</v>
      </c>
    </row>
    <row r="763" spans="1:6">
      <c r="A763" s="653" t="s">
        <v>675</v>
      </c>
      <c r="B763" s="588"/>
      <c r="C763" s="664"/>
      <c r="D763" s="655"/>
      <c r="E763" s="662"/>
      <c r="F763" s="580"/>
    </row>
    <row r="764" spans="1:6">
      <c r="A764" s="653" t="s">
        <v>314</v>
      </c>
      <c r="B764" s="588" t="s">
        <v>409</v>
      </c>
      <c r="C764" s="664">
        <v>3</v>
      </c>
      <c r="D764" s="655" t="s">
        <v>335</v>
      </c>
      <c r="E764" s="662">
        <f ca="1">Elec_Est!E1891</f>
        <v>57.85</v>
      </c>
      <c r="F764" s="580">
        <f ca="1">E764*C764</f>
        <v>173.55</v>
      </c>
    </row>
    <row r="765" spans="1:6">
      <c r="A765" s="653" t="s">
        <v>675</v>
      </c>
      <c r="B765" s="588"/>
      <c r="C765" s="664"/>
      <c r="D765" s="655"/>
      <c r="E765" s="662"/>
      <c r="F765" s="580"/>
    </row>
    <row r="766" spans="1:6">
      <c r="A766" s="653" t="s">
        <v>315</v>
      </c>
      <c r="B766" s="588" t="s">
        <v>340</v>
      </c>
      <c r="C766" s="664">
        <v>3</v>
      </c>
      <c r="D766" s="655" t="s">
        <v>335</v>
      </c>
      <c r="E766" s="662">
        <f ca="1">Elec_Est!E1898</f>
        <v>88.56</v>
      </c>
      <c r="F766" s="580">
        <f ca="1">E766*C766</f>
        <v>265.68</v>
      </c>
    </row>
    <row r="767" spans="1:6">
      <c r="A767" s="653" t="s">
        <v>675</v>
      </c>
      <c r="B767" s="588"/>
      <c r="C767" s="664"/>
      <c r="D767" s="655"/>
      <c r="E767" s="662"/>
      <c r="F767" s="580"/>
    </row>
    <row r="768" spans="1:6">
      <c r="A768" s="653" t="s">
        <v>316</v>
      </c>
      <c r="B768" s="588" t="s">
        <v>344</v>
      </c>
      <c r="C768" s="664">
        <v>2</v>
      </c>
      <c r="D768" s="655" t="s">
        <v>335</v>
      </c>
      <c r="E768" s="662">
        <f ca="1">Elec_Est!E1907</f>
        <v>57.85</v>
      </c>
      <c r="F768" s="580">
        <f ca="1">E768*C768</f>
        <v>115.7</v>
      </c>
    </row>
    <row r="769" spans="1:10">
      <c r="A769" s="653" t="s">
        <v>675</v>
      </c>
      <c r="B769" s="588"/>
      <c r="C769" s="664"/>
      <c r="D769" s="655"/>
      <c r="E769" s="662"/>
      <c r="F769" s="580"/>
    </row>
    <row r="770" spans="1:10">
      <c r="A770" s="653" t="s">
        <v>675</v>
      </c>
      <c r="B770" s="588"/>
      <c r="C770" s="664"/>
      <c r="D770" s="655"/>
      <c r="E770" s="662"/>
      <c r="F770" s="580"/>
    </row>
    <row r="771" spans="1:10" ht="26.4">
      <c r="A771" s="653" t="s">
        <v>748</v>
      </c>
      <c r="B771" s="687" t="s">
        <v>376</v>
      </c>
      <c r="C771" s="664"/>
      <c r="D771" s="655"/>
      <c r="E771" s="662"/>
      <c r="F771" s="580"/>
    </row>
    <row r="772" spans="1:10">
      <c r="A772" s="653" t="s">
        <v>675</v>
      </c>
      <c r="B772" s="588"/>
      <c r="C772" s="664"/>
      <c r="D772" s="655"/>
      <c r="E772" s="662"/>
      <c r="F772" s="580"/>
    </row>
    <row r="773" spans="1:10">
      <c r="A773" s="653" t="s">
        <v>294</v>
      </c>
      <c r="B773" s="588" t="s">
        <v>377</v>
      </c>
      <c r="C773" s="664">
        <v>26</v>
      </c>
      <c r="D773" s="655" t="s">
        <v>335</v>
      </c>
      <c r="E773" s="662">
        <f ca="1">Elec_Est!E1918</f>
        <v>67.06</v>
      </c>
      <c r="F773" s="580">
        <f ca="1">E773*C773</f>
        <v>1743.56</v>
      </c>
    </row>
    <row r="774" spans="1:10">
      <c r="A774" s="653" t="s">
        <v>675</v>
      </c>
      <c r="B774" s="588"/>
      <c r="C774" s="664"/>
      <c r="D774" s="655"/>
      <c r="E774" s="662"/>
      <c r="F774" s="580"/>
    </row>
    <row r="775" spans="1:10">
      <c r="A775" s="653" t="s">
        <v>296</v>
      </c>
      <c r="B775" s="588" t="s">
        <v>378</v>
      </c>
      <c r="C775" s="664">
        <v>10</v>
      </c>
      <c r="D775" s="655" t="s">
        <v>335</v>
      </c>
      <c r="E775" s="662">
        <f ca="1">Elec_Est!E1927</f>
        <v>124.92</v>
      </c>
      <c r="F775" s="580">
        <f ca="1">E775*C775</f>
        <v>1249.2</v>
      </c>
    </row>
    <row r="776" spans="1:10">
      <c r="A776" s="653" t="s">
        <v>675</v>
      </c>
      <c r="B776" s="588"/>
      <c r="C776" s="664"/>
      <c r="D776" s="655"/>
      <c r="E776" s="662"/>
      <c r="F776" s="580"/>
    </row>
    <row r="777" spans="1:10" ht="13.8" thickBot="1">
      <c r="A777" s="572" t="s">
        <v>675</v>
      </c>
      <c r="B777" s="573"/>
      <c r="C777" s="575"/>
      <c r="D777" s="574"/>
      <c r="E777" s="669"/>
      <c r="F777" s="577"/>
    </row>
    <row r="778" spans="1:10">
      <c r="A778" s="591" t="s">
        <v>675</v>
      </c>
      <c r="B778" s="592"/>
      <c r="C778" s="594"/>
      <c r="D778" s="593"/>
      <c r="E778" s="643"/>
      <c r="F778" s="596"/>
    </row>
    <row r="779" spans="1:10">
      <c r="A779" s="597" t="s">
        <v>702</v>
      </c>
      <c r="B779" s="598" t="s">
        <v>282</v>
      </c>
      <c r="C779" s="600"/>
      <c r="D779" s="599"/>
      <c r="E779" s="601"/>
      <c r="F779" s="602">
        <f ca="1">SUM(F733:F777)</f>
        <v>8056.8399999999992</v>
      </c>
      <c r="G779" s="1202">
        <f ca="1">Elec_Est!F1937</f>
        <v>8056.8400000000011</v>
      </c>
      <c r="H779" s="1203">
        <f ca="1">F779-G779</f>
        <v>0</v>
      </c>
    </row>
    <row r="780" spans="1:10">
      <c r="A780" s="603" t="s">
        <v>675</v>
      </c>
      <c r="B780" s="604"/>
      <c r="C780" s="606"/>
      <c r="D780" s="605"/>
      <c r="E780" s="644"/>
      <c r="F780" s="608"/>
    </row>
    <row r="781" spans="1:10" ht="13.2" customHeight="1">
      <c r="A781" s="609" t="s">
        <v>675</v>
      </c>
      <c r="B781" s="610"/>
      <c r="C781" s="551"/>
      <c r="D781" s="550"/>
      <c r="E781" s="645"/>
      <c r="F781" s="698"/>
      <c r="J781" s="563"/>
    </row>
    <row r="782" spans="1:10" ht="13.2" customHeight="1">
      <c r="A782" s="612" t="s">
        <v>675</v>
      </c>
      <c r="B782" s="646"/>
      <c r="C782" s="648"/>
      <c r="D782" s="647"/>
      <c r="E782" s="649"/>
      <c r="F782" s="561"/>
      <c r="J782" s="563"/>
    </row>
    <row r="783" spans="1:10" ht="13.2" customHeight="1">
      <c r="A783" s="612" t="s">
        <v>675</v>
      </c>
      <c r="B783" s="646"/>
      <c r="C783" s="648"/>
      <c r="D783" s="647"/>
      <c r="E783" s="649"/>
      <c r="F783" s="561"/>
      <c r="J783" s="563"/>
    </row>
    <row r="784" spans="1:10">
      <c r="A784" s="699" t="s">
        <v>675</v>
      </c>
      <c r="B784" s="605"/>
      <c r="C784" s="606"/>
      <c r="D784" s="605"/>
      <c r="E784" s="644"/>
      <c r="F784" s="651"/>
    </row>
    <row r="785" spans="1:6" ht="13.8" thickBot="1">
      <c r="A785" s="700" t="s">
        <v>267</v>
      </c>
      <c r="B785" s="701" t="s">
        <v>268</v>
      </c>
      <c r="C785" s="703" t="s">
        <v>269</v>
      </c>
      <c r="D785" s="702" t="s">
        <v>259</v>
      </c>
      <c r="E785" s="704" t="s">
        <v>270</v>
      </c>
      <c r="F785" s="705" t="s">
        <v>260</v>
      </c>
    </row>
    <row r="786" spans="1:6">
      <c r="A786" s="572" t="s">
        <v>675</v>
      </c>
      <c r="B786" s="573"/>
      <c r="C786" s="575"/>
      <c r="D786" s="574"/>
      <c r="E786" s="669"/>
      <c r="F786" s="577"/>
    </row>
    <row r="787" spans="1:6" ht="26.4">
      <c r="A787" s="653" t="s">
        <v>749</v>
      </c>
      <c r="B787" s="687" t="s">
        <v>379</v>
      </c>
      <c r="C787" s="664"/>
      <c r="D787" s="655"/>
      <c r="E787" s="662"/>
      <c r="F787" s="580"/>
    </row>
    <row r="788" spans="1:6">
      <c r="A788" s="653" t="s">
        <v>294</v>
      </c>
      <c r="B788" s="706" t="s">
        <v>411</v>
      </c>
      <c r="C788" s="664">
        <v>3</v>
      </c>
      <c r="D788" s="655" t="s">
        <v>335</v>
      </c>
      <c r="E788" s="662">
        <f ca="1">Elec_Est!E1946</f>
        <v>55.19</v>
      </c>
      <c r="F788" s="580">
        <f ca="1">E788*C788</f>
        <v>165.57</v>
      </c>
    </row>
    <row r="789" spans="1:6">
      <c r="A789" s="653" t="s">
        <v>675</v>
      </c>
      <c r="B789" s="706"/>
      <c r="C789" s="664"/>
      <c r="D789" s="655"/>
      <c r="E789" s="662"/>
      <c r="F789" s="580"/>
    </row>
    <row r="790" spans="1:6" ht="15.75" customHeight="1">
      <c r="A790" s="653" t="s">
        <v>296</v>
      </c>
      <c r="B790" s="588" t="s">
        <v>412</v>
      </c>
      <c r="C790" s="664">
        <v>1</v>
      </c>
      <c r="D790" s="655" t="s">
        <v>335</v>
      </c>
      <c r="E790" s="662">
        <f ca="1">Elec_Est!E1964</f>
        <v>973.68</v>
      </c>
      <c r="F790" s="580">
        <f ca="1">E790*C790</f>
        <v>973.68</v>
      </c>
    </row>
    <row r="791" spans="1:6">
      <c r="A791" s="653" t="s">
        <v>675</v>
      </c>
      <c r="B791" s="588"/>
      <c r="C791" s="664"/>
      <c r="D791" s="655"/>
      <c r="E791" s="662"/>
      <c r="F791" s="580"/>
    </row>
    <row r="792" spans="1:6">
      <c r="A792" s="653" t="s">
        <v>675</v>
      </c>
      <c r="C792" s="664"/>
      <c r="D792" s="655"/>
      <c r="E792" s="662"/>
      <c r="F792" s="580"/>
    </row>
    <row r="793" spans="1:6">
      <c r="A793" s="653" t="s">
        <v>750</v>
      </c>
      <c r="B793" s="673" t="s">
        <v>345</v>
      </c>
      <c r="C793" s="664"/>
      <c r="D793" s="655"/>
      <c r="E793" s="662"/>
      <c r="F793" s="580"/>
    </row>
    <row r="794" spans="1:6">
      <c r="A794" s="653" t="s">
        <v>675</v>
      </c>
      <c r="B794" s="588"/>
      <c r="C794" s="664"/>
      <c r="D794" s="655"/>
      <c r="E794" s="662"/>
      <c r="F794" s="580"/>
    </row>
    <row r="795" spans="1:6" ht="26.4">
      <c r="A795" s="653" t="s">
        <v>294</v>
      </c>
      <c r="B795" s="588" t="s">
        <v>381</v>
      </c>
      <c r="C795" s="664">
        <v>9</v>
      </c>
      <c r="D795" s="655" t="s">
        <v>335</v>
      </c>
      <c r="E795" s="662" t="str">
        <f>Elec_Est!Q1986</f>
        <v>Included in item 31i</v>
      </c>
      <c r="F795" s="580"/>
    </row>
    <row r="796" spans="1:6">
      <c r="A796" s="653" t="s">
        <v>675</v>
      </c>
      <c r="B796" s="588"/>
      <c r="C796" s="664"/>
      <c r="D796" s="655"/>
      <c r="E796" s="662"/>
      <c r="F796" s="580"/>
    </row>
    <row r="797" spans="1:6" ht="26.4">
      <c r="A797" s="653" t="s">
        <v>296</v>
      </c>
      <c r="B797" s="582" t="s">
        <v>348</v>
      </c>
      <c r="C797" s="664">
        <v>1</v>
      </c>
      <c r="D797" s="655" t="s">
        <v>335</v>
      </c>
      <c r="E797" s="662">
        <f ca="1">Elec_Est!E1992</f>
        <v>28.98</v>
      </c>
      <c r="F797" s="580">
        <f ca="1">E797*C797</f>
        <v>28.98</v>
      </c>
    </row>
    <row r="798" spans="1:6">
      <c r="A798" s="653" t="s">
        <v>675</v>
      </c>
      <c r="B798" s="582"/>
      <c r="C798" s="664"/>
      <c r="D798" s="655"/>
      <c r="E798" s="662"/>
      <c r="F798" s="580"/>
    </row>
    <row r="799" spans="1:6" ht="26.4">
      <c r="A799" s="653" t="s">
        <v>298</v>
      </c>
      <c r="B799" s="582" t="s">
        <v>382</v>
      </c>
      <c r="C799" s="664">
        <v>1</v>
      </c>
      <c r="D799" s="655" t="s">
        <v>335</v>
      </c>
      <c r="E799" s="662">
        <f ca="1">Elec_Est!E1999</f>
        <v>43.86</v>
      </c>
      <c r="F799" s="580">
        <f ca="1">E799*C799</f>
        <v>43.86</v>
      </c>
    </row>
    <row r="800" spans="1:6">
      <c r="A800" s="653" t="s">
        <v>675</v>
      </c>
      <c r="B800" s="588"/>
      <c r="C800" s="664"/>
      <c r="D800" s="655"/>
      <c r="E800" s="662"/>
      <c r="F800" s="580"/>
    </row>
    <row r="801" spans="1:6">
      <c r="A801" s="653" t="s">
        <v>675</v>
      </c>
      <c r="B801" s="588"/>
      <c r="C801" s="664"/>
      <c r="D801" s="655"/>
      <c r="E801" s="662"/>
      <c r="F801" s="580"/>
    </row>
    <row r="802" spans="1:6" ht="26.4">
      <c r="A802" s="653" t="s">
        <v>751</v>
      </c>
      <c r="B802" s="582" t="s">
        <v>351</v>
      </c>
      <c r="C802" s="664"/>
      <c r="D802" s="655"/>
      <c r="E802" s="657"/>
      <c r="F802" s="580"/>
    </row>
    <row r="803" spans="1:6">
      <c r="A803" s="653" t="s">
        <v>675</v>
      </c>
      <c r="B803" s="588"/>
      <c r="C803" s="664"/>
      <c r="D803" s="655"/>
      <c r="E803" s="662"/>
      <c r="F803" s="580"/>
    </row>
    <row r="804" spans="1:6">
      <c r="A804" s="653" t="s">
        <v>294</v>
      </c>
      <c r="B804" s="588" t="s">
        <v>413</v>
      </c>
      <c r="C804" s="664">
        <v>10</v>
      </c>
      <c r="D804" s="655" t="s">
        <v>335</v>
      </c>
      <c r="E804" s="662">
        <f ca="1">Elec_Est!E2010</f>
        <v>14.36</v>
      </c>
      <c r="F804" s="580">
        <f ca="1">E804*C804</f>
        <v>143.6</v>
      </c>
    </row>
    <row r="805" spans="1:6">
      <c r="A805" s="653" t="s">
        <v>675</v>
      </c>
      <c r="B805" s="588"/>
      <c r="C805" s="664"/>
      <c r="D805" s="655"/>
      <c r="E805" s="662"/>
      <c r="F805" s="580"/>
    </row>
    <row r="806" spans="1:6">
      <c r="A806" s="653" t="s">
        <v>296</v>
      </c>
      <c r="B806" s="588" t="s">
        <v>414</v>
      </c>
      <c r="C806" s="664">
        <v>4</v>
      </c>
      <c r="D806" s="655" t="s">
        <v>335</v>
      </c>
      <c r="E806" s="662">
        <f ca="1">Elec_Est!E2017</f>
        <v>14.36</v>
      </c>
      <c r="F806" s="580">
        <f ca="1">E806*C806</f>
        <v>57.44</v>
      </c>
    </row>
    <row r="807" spans="1:6">
      <c r="A807" s="653" t="s">
        <v>675</v>
      </c>
      <c r="B807" s="588"/>
      <c r="C807" s="664"/>
      <c r="D807" s="655"/>
      <c r="E807" s="662"/>
      <c r="F807" s="580"/>
    </row>
    <row r="808" spans="1:6">
      <c r="A808" s="653" t="s">
        <v>298</v>
      </c>
      <c r="B808" s="588" t="s">
        <v>415</v>
      </c>
      <c r="C808" s="664">
        <v>20</v>
      </c>
      <c r="D808" s="655" t="s">
        <v>335</v>
      </c>
      <c r="E808" s="662">
        <f ca="1">Elec_Est!E2024</f>
        <v>11.35</v>
      </c>
      <c r="F808" s="580">
        <f ca="1">E808*C808</f>
        <v>227</v>
      </c>
    </row>
    <row r="809" spans="1:6">
      <c r="A809" s="653" t="s">
        <v>675</v>
      </c>
      <c r="B809" s="588"/>
      <c r="C809" s="664"/>
      <c r="D809" s="655"/>
      <c r="E809" s="662"/>
      <c r="F809" s="580"/>
    </row>
    <row r="810" spans="1:6">
      <c r="A810" s="653" t="s">
        <v>300</v>
      </c>
      <c r="B810" s="588" t="s">
        <v>416</v>
      </c>
      <c r="C810" s="664">
        <v>24</v>
      </c>
      <c r="D810" s="655" t="s">
        <v>335</v>
      </c>
      <c r="E810" s="662">
        <f ca="1">Elec_Est!E2031</f>
        <v>11.35</v>
      </c>
      <c r="F810" s="580">
        <f ca="1">E810*C810</f>
        <v>272.39999999999998</v>
      </c>
    </row>
    <row r="811" spans="1:6">
      <c r="A811" s="653" t="s">
        <v>675</v>
      </c>
      <c r="B811" s="588"/>
      <c r="C811" s="664"/>
      <c r="D811" s="655"/>
      <c r="E811" s="662"/>
      <c r="F811" s="580"/>
    </row>
    <row r="812" spans="1:6">
      <c r="A812" s="653" t="s">
        <v>302</v>
      </c>
      <c r="B812" s="588" t="s">
        <v>417</v>
      </c>
      <c r="C812" s="664">
        <v>15</v>
      </c>
      <c r="D812" s="655" t="s">
        <v>335</v>
      </c>
      <c r="E812" s="662">
        <f ca="1">Elec_Est!E2038</f>
        <v>11.35</v>
      </c>
      <c r="F812" s="580">
        <f ca="1">E812*C812</f>
        <v>170.25</v>
      </c>
    </row>
    <row r="813" spans="1:6">
      <c r="A813" s="653" t="s">
        <v>675</v>
      </c>
      <c r="B813" s="588"/>
      <c r="C813" s="664"/>
      <c r="D813" s="655"/>
      <c r="E813" s="662"/>
      <c r="F813" s="580"/>
    </row>
    <row r="814" spans="1:6">
      <c r="A814" s="653" t="s">
        <v>307</v>
      </c>
      <c r="B814" s="588" t="s">
        <v>418</v>
      </c>
      <c r="C814" s="664">
        <v>2</v>
      </c>
      <c r="D814" s="655" t="s">
        <v>335</v>
      </c>
      <c r="E814" s="662">
        <f ca="1">Elec_Est!E2045</f>
        <v>9.15</v>
      </c>
      <c r="F814" s="580">
        <f ca="1">E814*C814</f>
        <v>18.3</v>
      </c>
    </row>
    <row r="815" spans="1:6">
      <c r="A815" s="653" t="s">
        <v>675</v>
      </c>
      <c r="B815" s="588"/>
      <c r="C815" s="664"/>
      <c r="D815" s="655"/>
      <c r="E815" s="662"/>
      <c r="F815" s="580"/>
    </row>
    <row r="816" spans="1:6" ht="12.75" customHeight="1">
      <c r="A816" s="653" t="s">
        <v>308</v>
      </c>
      <c r="B816" s="588" t="s">
        <v>438</v>
      </c>
      <c r="C816" s="664">
        <v>3</v>
      </c>
      <c r="D816" s="655" t="s">
        <v>335</v>
      </c>
      <c r="E816" s="662">
        <f ca="1">Elec_Est!E2052</f>
        <v>14.36</v>
      </c>
      <c r="F816" s="580">
        <f ca="1">E816*C816</f>
        <v>43.08</v>
      </c>
    </row>
    <row r="817" spans="1:8">
      <c r="A817" s="653" t="s">
        <v>675</v>
      </c>
      <c r="B817" s="588"/>
      <c r="C817" s="664"/>
      <c r="D817" s="655"/>
      <c r="E817" s="662"/>
      <c r="F817" s="580"/>
    </row>
    <row r="818" spans="1:8" ht="26.4">
      <c r="A818" s="653" t="s">
        <v>309</v>
      </c>
      <c r="B818" s="588" t="s">
        <v>419</v>
      </c>
      <c r="C818" s="664">
        <v>10</v>
      </c>
      <c r="D818" s="655" t="s">
        <v>335</v>
      </c>
      <c r="E818" s="662">
        <f ca="1">Elec_Est!E2059</f>
        <v>49.48</v>
      </c>
      <c r="F818" s="580">
        <f ca="1">E818*C818</f>
        <v>494.79999999999995</v>
      </c>
    </row>
    <row r="819" spans="1:8">
      <c r="A819" s="653" t="s">
        <v>675</v>
      </c>
      <c r="B819" s="588"/>
      <c r="C819" s="664"/>
      <c r="D819" s="655"/>
      <c r="E819" s="662"/>
      <c r="F819" s="580"/>
    </row>
    <row r="820" spans="1:8">
      <c r="A820" s="653" t="s">
        <v>310</v>
      </c>
      <c r="B820" s="588" t="s">
        <v>420</v>
      </c>
      <c r="C820" s="664">
        <v>6</v>
      </c>
      <c r="D820" s="655" t="s">
        <v>326</v>
      </c>
      <c r="E820" s="662">
        <f ca="1">Elec_Est!E2066</f>
        <v>5.63</v>
      </c>
      <c r="F820" s="580">
        <f ca="1">E820*C820</f>
        <v>33.78</v>
      </c>
    </row>
    <row r="821" spans="1:8">
      <c r="A821" s="653" t="s">
        <v>675</v>
      </c>
      <c r="B821" s="588"/>
      <c r="C821" s="664"/>
      <c r="D821" s="655"/>
      <c r="E821" s="662"/>
      <c r="F821" s="580"/>
    </row>
    <row r="822" spans="1:8">
      <c r="A822" s="653" t="s">
        <v>311</v>
      </c>
      <c r="B822" s="588" t="s">
        <v>421</v>
      </c>
      <c r="C822" s="664">
        <v>1</v>
      </c>
      <c r="D822" s="655" t="s">
        <v>335</v>
      </c>
      <c r="E822" s="662">
        <f ca="1">Elec_Est!E2073</f>
        <v>14.36</v>
      </c>
      <c r="F822" s="580">
        <f ca="1">E822*C822</f>
        <v>14.36</v>
      </c>
    </row>
    <row r="823" spans="1:8">
      <c r="A823" s="653" t="s">
        <v>675</v>
      </c>
      <c r="B823" s="588"/>
      <c r="C823" s="664"/>
      <c r="D823" s="655"/>
      <c r="E823" s="662"/>
      <c r="F823" s="580"/>
    </row>
    <row r="824" spans="1:8">
      <c r="A824" s="653" t="s">
        <v>312</v>
      </c>
      <c r="B824" s="588" t="s">
        <v>439</v>
      </c>
      <c r="C824" s="664">
        <v>1</v>
      </c>
      <c r="D824" s="655" t="s">
        <v>335</v>
      </c>
      <c r="E824" s="662">
        <f ca="1">Elec_Est!E2080</f>
        <v>37.51</v>
      </c>
      <c r="F824" s="580">
        <f ca="1">E824*C824</f>
        <v>37.51</v>
      </c>
    </row>
    <row r="825" spans="1:8">
      <c r="A825" s="653" t="s">
        <v>675</v>
      </c>
      <c r="B825" s="588"/>
      <c r="C825" s="664"/>
      <c r="D825" s="655"/>
      <c r="E825" s="662"/>
      <c r="F825" s="580"/>
    </row>
    <row r="826" spans="1:8">
      <c r="A826" s="653" t="s">
        <v>313</v>
      </c>
      <c r="B826" s="588" t="s">
        <v>440</v>
      </c>
      <c r="C826" s="664">
        <v>1</v>
      </c>
      <c r="D826" s="655" t="s">
        <v>335</v>
      </c>
      <c r="E826" s="662">
        <f ca="1">Elec_Est!E2087</f>
        <v>37.51</v>
      </c>
      <c r="F826" s="580">
        <f ca="1">E826*C826</f>
        <v>37.51</v>
      </c>
    </row>
    <row r="827" spans="1:8">
      <c r="A827" s="653" t="s">
        <v>675</v>
      </c>
      <c r="C827" s="664"/>
      <c r="D827" s="655"/>
      <c r="E827" s="662"/>
      <c r="F827" s="580"/>
    </row>
    <row r="828" spans="1:8">
      <c r="A828" s="653" t="s">
        <v>314</v>
      </c>
      <c r="B828" s="588" t="s">
        <v>356</v>
      </c>
      <c r="C828" s="664">
        <v>3</v>
      </c>
      <c r="D828" s="655" t="s">
        <v>335</v>
      </c>
      <c r="E828" s="662">
        <f ca="1">Elec_Est!E2094</f>
        <v>11.35</v>
      </c>
      <c r="F828" s="580">
        <f ca="1">E828*C828</f>
        <v>34.049999999999997</v>
      </c>
    </row>
    <row r="829" spans="1:8" ht="13.8" thickBot="1">
      <c r="A829" s="572" t="s">
        <v>675</v>
      </c>
      <c r="B829" s="573"/>
      <c r="C829" s="575"/>
      <c r="D829" s="574"/>
      <c r="E829" s="669"/>
      <c r="F829" s="580"/>
    </row>
    <row r="830" spans="1:8">
      <c r="A830" s="591" t="s">
        <v>675</v>
      </c>
      <c r="B830" s="592"/>
      <c r="C830" s="594"/>
      <c r="D830" s="593"/>
      <c r="E830" s="643"/>
      <c r="F830" s="596"/>
    </row>
    <row r="831" spans="1:8">
      <c r="A831" s="597" t="s">
        <v>702</v>
      </c>
      <c r="B831" s="598" t="s">
        <v>282</v>
      </c>
      <c r="C831" s="600"/>
      <c r="D831" s="599"/>
      <c r="E831" s="601"/>
      <c r="F831" s="602">
        <f ca="1">SUM(F786:F829)</f>
        <v>2796.170000000001</v>
      </c>
      <c r="G831" s="1202">
        <f ca="1">Elec_Est!F2102</f>
        <v>2796.170000000001</v>
      </c>
      <c r="H831" s="1203">
        <f ca="1">F831-G831</f>
        <v>0</v>
      </c>
    </row>
    <row r="832" spans="1:8">
      <c r="A832" s="603" t="s">
        <v>675</v>
      </c>
      <c r="B832" s="604"/>
      <c r="C832" s="606"/>
      <c r="D832" s="605"/>
      <c r="E832" s="644"/>
      <c r="F832" s="608"/>
    </row>
    <row r="833" spans="1:6" ht="13.2" customHeight="1">
      <c r="A833" s="609" t="s">
        <v>675</v>
      </c>
      <c r="B833" s="610"/>
      <c r="C833" s="551"/>
      <c r="D833" s="550"/>
      <c r="E833" s="645"/>
      <c r="F833" s="698"/>
    </row>
    <row r="834" spans="1:6" ht="13.2" customHeight="1">
      <c r="A834" s="612" t="s">
        <v>675</v>
      </c>
      <c r="B834" s="646"/>
      <c r="C834" s="648"/>
      <c r="D834" s="647"/>
      <c r="E834" s="649"/>
      <c r="F834" s="561"/>
    </row>
    <row r="835" spans="1:6" ht="13.2" customHeight="1">
      <c r="A835" s="612" t="s">
        <v>675</v>
      </c>
      <c r="B835" s="646"/>
      <c r="C835" s="648"/>
      <c r="D835" s="647"/>
      <c r="E835" s="649"/>
      <c r="F835" s="561"/>
    </row>
    <row r="836" spans="1:6">
      <c r="A836" s="699" t="s">
        <v>675</v>
      </c>
      <c r="B836" s="605"/>
      <c r="C836" s="606"/>
      <c r="D836" s="605"/>
      <c r="E836" s="644"/>
      <c r="F836" s="651"/>
    </row>
    <row r="837" spans="1:6" ht="13.8" thickBot="1">
      <c r="A837" s="700" t="s">
        <v>676</v>
      </c>
      <c r="B837" s="701"/>
      <c r="C837" s="703" t="s">
        <v>269</v>
      </c>
      <c r="D837" s="702" t="s">
        <v>259</v>
      </c>
      <c r="E837" s="704" t="s">
        <v>270</v>
      </c>
      <c r="F837" s="705" t="s">
        <v>260</v>
      </c>
    </row>
    <row r="838" spans="1:6">
      <c r="A838" s="653" t="s">
        <v>675</v>
      </c>
      <c r="B838" s="588"/>
      <c r="C838" s="664"/>
      <c r="D838" s="655"/>
      <c r="E838" s="657"/>
      <c r="F838" s="577"/>
    </row>
    <row r="839" spans="1:6">
      <c r="A839" s="653" t="s">
        <v>315</v>
      </c>
      <c r="B839" s="588" t="s">
        <v>422</v>
      </c>
      <c r="C839" s="664">
        <v>6</v>
      </c>
      <c r="D839" s="655" t="s">
        <v>335</v>
      </c>
      <c r="E839" s="662">
        <f ca="1">Elec_Est!E2107</f>
        <v>11.35</v>
      </c>
      <c r="F839" s="580">
        <f ca="1">E839*C839</f>
        <v>68.099999999999994</v>
      </c>
    </row>
    <row r="840" spans="1:6">
      <c r="A840" s="653" t="s">
        <v>675</v>
      </c>
      <c r="B840" s="588"/>
      <c r="C840" s="664"/>
      <c r="D840" s="655"/>
      <c r="E840" s="662"/>
      <c r="F840" s="580"/>
    </row>
    <row r="841" spans="1:6">
      <c r="A841" s="653" t="s">
        <v>316</v>
      </c>
      <c r="B841" s="588" t="s">
        <v>423</v>
      </c>
      <c r="C841" s="664">
        <v>5</v>
      </c>
      <c r="D841" s="655" t="s">
        <v>335</v>
      </c>
      <c r="E841" s="662">
        <f ca="1">Elec_Est!E2114</f>
        <v>11.35</v>
      </c>
      <c r="F841" s="580">
        <f ca="1">E841*C841</f>
        <v>56.75</v>
      </c>
    </row>
    <row r="842" spans="1:6">
      <c r="A842" s="653" t="s">
        <v>675</v>
      </c>
      <c r="B842" s="588"/>
      <c r="C842" s="664"/>
      <c r="D842" s="655"/>
      <c r="E842" s="662"/>
      <c r="F842" s="580"/>
    </row>
    <row r="843" spans="1:6">
      <c r="A843" s="653" t="s">
        <v>317</v>
      </c>
      <c r="B843" s="588" t="s">
        <v>357</v>
      </c>
      <c r="C843" s="664">
        <v>1</v>
      </c>
      <c r="D843" s="655" t="s">
        <v>335</v>
      </c>
      <c r="E843" s="662">
        <f ca="1">Elec_Est!E2121</f>
        <v>11.35</v>
      </c>
      <c r="F843" s="580">
        <f ca="1">E843*C843</f>
        <v>11.35</v>
      </c>
    </row>
    <row r="844" spans="1:6">
      <c r="A844" s="653" t="s">
        <v>675</v>
      </c>
      <c r="B844" s="588"/>
      <c r="C844" s="664"/>
      <c r="D844" s="655"/>
      <c r="E844" s="662"/>
      <c r="F844" s="580"/>
    </row>
    <row r="845" spans="1:6" ht="26.4">
      <c r="A845" s="653" t="s">
        <v>318</v>
      </c>
      <c r="B845" s="588" t="s">
        <v>381</v>
      </c>
      <c r="C845" s="664">
        <v>9</v>
      </c>
      <c r="D845" s="655" t="s">
        <v>335</v>
      </c>
      <c r="E845" s="662" t="str">
        <f>Elec_Est!Q2128</f>
        <v>Included in item 31i</v>
      </c>
      <c r="F845" s="580"/>
    </row>
    <row r="846" spans="1:6">
      <c r="A846" s="653" t="s">
        <v>675</v>
      </c>
      <c r="B846" s="588"/>
      <c r="C846" s="664"/>
      <c r="D846" s="655"/>
      <c r="E846" s="662"/>
      <c r="F846" s="580"/>
    </row>
    <row r="847" spans="1:6" ht="26.4">
      <c r="A847" s="653" t="s">
        <v>319</v>
      </c>
      <c r="B847" s="582" t="s">
        <v>348</v>
      </c>
      <c r="C847" s="664">
        <v>1</v>
      </c>
      <c r="D847" s="655" t="s">
        <v>335</v>
      </c>
      <c r="E847" s="662">
        <f ca="1">Elec_Est!E2134</f>
        <v>13.21</v>
      </c>
      <c r="F847" s="580">
        <f ca="1">E847*C847</f>
        <v>13.21</v>
      </c>
    </row>
    <row r="848" spans="1:6">
      <c r="A848" s="653" t="s">
        <v>675</v>
      </c>
      <c r="B848" s="582"/>
      <c r="C848" s="664"/>
      <c r="D848" s="655"/>
      <c r="E848" s="662"/>
      <c r="F848" s="580"/>
    </row>
    <row r="849" spans="1:6" ht="26.4">
      <c r="A849" s="653" t="s">
        <v>320</v>
      </c>
      <c r="B849" s="582" t="s">
        <v>382</v>
      </c>
      <c r="C849" s="664">
        <v>1</v>
      </c>
      <c r="D849" s="655" t="s">
        <v>335</v>
      </c>
      <c r="E849" s="662">
        <f ca="1">Elec_Est!E2141</f>
        <v>17.87</v>
      </c>
      <c r="F849" s="580">
        <f ca="1">E849*C849</f>
        <v>17.87</v>
      </c>
    </row>
    <row r="850" spans="1:6">
      <c r="A850" s="653" t="s">
        <v>675</v>
      </c>
      <c r="B850" s="588"/>
      <c r="C850" s="664"/>
      <c r="D850" s="655"/>
      <c r="E850" s="662"/>
      <c r="F850" s="580"/>
    </row>
    <row r="851" spans="1:6" ht="26.4">
      <c r="A851" s="653" t="s">
        <v>321</v>
      </c>
      <c r="B851" s="588" t="s">
        <v>441</v>
      </c>
      <c r="C851" s="664">
        <v>7</v>
      </c>
      <c r="D851" s="655" t="s">
        <v>335</v>
      </c>
      <c r="E851" s="662">
        <f ca="1">Elec_Est!E2148</f>
        <v>16.12</v>
      </c>
      <c r="F851" s="580">
        <f ca="1">E851*C851</f>
        <v>112.84</v>
      </c>
    </row>
    <row r="852" spans="1:6">
      <c r="A852" s="653" t="s">
        <v>675</v>
      </c>
      <c r="B852" s="588"/>
      <c r="C852" s="664"/>
      <c r="D852" s="655"/>
      <c r="E852" s="662"/>
      <c r="F852" s="580"/>
    </row>
    <row r="853" spans="1:6">
      <c r="A853" s="572" t="s">
        <v>322</v>
      </c>
      <c r="B853" s="588" t="s">
        <v>425</v>
      </c>
      <c r="C853" s="575">
        <v>3</v>
      </c>
      <c r="D853" s="574" t="s">
        <v>335</v>
      </c>
      <c r="E853" s="576">
        <f ca="1">Elec_Est!E2155</f>
        <v>11.35</v>
      </c>
      <c r="F853" s="580">
        <f ca="1">E853*C853</f>
        <v>34.049999999999997</v>
      </c>
    </row>
    <row r="854" spans="1:6">
      <c r="A854" s="572" t="s">
        <v>675</v>
      </c>
      <c r="B854" s="588"/>
      <c r="C854" s="575"/>
      <c r="D854" s="574"/>
      <c r="E854" s="576"/>
      <c r="F854" s="580"/>
    </row>
    <row r="855" spans="1:6">
      <c r="A855" s="653" t="s">
        <v>675</v>
      </c>
      <c r="B855" s="588"/>
      <c r="C855" s="664"/>
      <c r="D855" s="655"/>
      <c r="E855" s="662"/>
      <c r="F855" s="580"/>
    </row>
    <row r="856" spans="1:6">
      <c r="A856" s="675" t="s">
        <v>703</v>
      </c>
      <c r="B856" s="639" t="s">
        <v>358</v>
      </c>
      <c r="C856" s="661"/>
      <c r="D856" s="661"/>
      <c r="E856" s="657"/>
      <c r="F856" s="580"/>
    </row>
    <row r="857" spans="1:6">
      <c r="A857" s="675" t="s">
        <v>675</v>
      </c>
      <c r="B857" s="658"/>
      <c r="C857" s="661"/>
      <c r="D857" s="661"/>
      <c r="E857" s="657"/>
      <c r="F857" s="580"/>
    </row>
    <row r="858" spans="1:6" ht="26.4">
      <c r="A858" s="675" t="s">
        <v>752</v>
      </c>
      <c r="B858" s="688" t="s">
        <v>393</v>
      </c>
      <c r="C858" s="664"/>
      <c r="D858" s="661"/>
      <c r="E858" s="657"/>
      <c r="F858" s="580"/>
    </row>
    <row r="859" spans="1:6">
      <c r="A859" s="675" t="s">
        <v>675</v>
      </c>
      <c r="B859" s="658"/>
      <c r="C859" s="656"/>
      <c r="D859" s="661"/>
      <c r="E859" s="662"/>
      <c r="F859" s="580"/>
    </row>
    <row r="860" spans="1:6">
      <c r="A860" s="675" t="s">
        <v>294</v>
      </c>
      <c r="B860" s="554" t="s">
        <v>359</v>
      </c>
      <c r="C860" s="664">
        <v>8</v>
      </c>
      <c r="D860" s="655" t="s">
        <v>335</v>
      </c>
      <c r="E860" s="662">
        <f ca="1">Elec_Est!E2170</f>
        <v>77.31</v>
      </c>
      <c r="F860" s="580">
        <f ca="1">E860*C860</f>
        <v>618.48</v>
      </c>
    </row>
    <row r="861" spans="1:6">
      <c r="A861" s="675" t="s">
        <v>675</v>
      </c>
      <c r="B861" s="639"/>
      <c r="C861" s="664"/>
      <c r="D861" s="655"/>
      <c r="E861" s="662"/>
      <c r="F861" s="580"/>
    </row>
    <row r="862" spans="1:6">
      <c r="A862" s="675" t="s">
        <v>296</v>
      </c>
      <c r="B862" s="642" t="s">
        <v>360</v>
      </c>
      <c r="C862" s="664">
        <v>8</v>
      </c>
      <c r="D862" s="655" t="s">
        <v>335</v>
      </c>
      <c r="E862" s="662">
        <f ca="1">Elec_Est!E2178</f>
        <v>79.36</v>
      </c>
      <c r="F862" s="580">
        <f ca="1">E862*C862</f>
        <v>634.88</v>
      </c>
    </row>
    <row r="863" spans="1:6">
      <c r="A863" s="653" t="s">
        <v>675</v>
      </c>
      <c r="B863" s="639"/>
      <c r="C863" s="656"/>
      <c r="D863" s="655"/>
      <c r="E863" s="662"/>
      <c r="F863" s="580"/>
    </row>
    <row r="864" spans="1:6" ht="26.4">
      <c r="A864" s="653" t="s">
        <v>298</v>
      </c>
      <c r="B864" s="617" t="s">
        <v>442</v>
      </c>
      <c r="C864" s="656">
        <v>3</v>
      </c>
      <c r="D864" s="655" t="s">
        <v>335</v>
      </c>
      <c r="E864" s="662">
        <f ca="1">Elec_Est!E2186</f>
        <v>119.8</v>
      </c>
      <c r="F864" s="580">
        <f ca="1">E864*C864</f>
        <v>359.4</v>
      </c>
    </row>
    <row r="865" spans="1:6">
      <c r="A865" s="653" t="s">
        <v>675</v>
      </c>
      <c r="C865" s="656"/>
      <c r="D865" s="655"/>
      <c r="E865" s="662"/>
      <c r="F865" s="580"/>
    </row>
    <row r="866" spans="1:6">
      <c r="A866" s="653" t="s">
        <v>300</v>
      </c>
      <c r="B866" s="642" t="s">
        <v>426</v>
      </c>
      <c r="C866" s="656">
        <v>8</v>
      </c>
      <c r="D866" s="655" t="s">
        <v>335</v>
      </c>
      <c r="E866" s="662">
        <f ca="1">Elec_Est!E2194</f>
        <v>119.8</v>
      </c>
      <c r="F866" s="580">
        <f ca="1">E866*C866</f>
        <v>958.4</v>
      </c>
    </row>
    <row r="867" spans="1:6">
      <c r="A867" s="653" t="s">
        <v>675</v>
      </c>
      <c r="B867" s="639"/>
      <c r="C867" s="656"/>
      <c r="D867" s="655"/>
      <c r="E867" s="662"/>
      <c r="F867" s="580"/>
    </row>
    <row r="868" spans="1:6" ht="26.4">
      <c r="A868" s="653" t="s">
        <v>302</v>
      </c>
      <c r="B868" s="673" t="s">
        <v>427</v>
      </c>
      <c r="C868" s="656">
        <v>9</v>
      </c>
      <c r="D868" s="655" t="s">
        <v>335</v>
      </c>
      <c r="E868" s="662">
        <f ca="1">Elec_Est!E2202</f>
        <v>119.8</v>
      </c>
      <c r="F868" s="580">
        <f ca="1">E868*C868</f>
        <v>1078.2</v>
      </c>
    </row>
    <row r="869" spans="1:6">
      <c r="A869" s="653" t="s">
        <v>675</v>
      </c>
      <c r="B869" s="642"/>
      <c r="C869" s="656"/>
      <c r="D869" s="655"/>
      <c r="E869" s="662"/>
      <c r="F869" s="580"/>
    </row>
    <row r="870" spans="1:6">
      <c r="A870" s="653" t="s">
        <v>307</v>
      </c>
      <c r="B870" s="642" t="s">
        <v>363</v>
      </c>
      <c r="C870" s="656">
        <v>6</v>
      </c>
      <c r="D870" s="655" t="s">
        <v>335</v>
      </c>
      <c r="E870" s="662">
        <f ca="1">Elec_Est!E2210</f>
        <v>79.88</v>
      </c>
      <c r="F870" s="580">
        <f ca="1">E870*C870</f>
        <v>479.28</v>
      </c>
    </row>
    <row r="871" spans="1:6">
      <c r="A871" s="653" t="s">
        <v>675</v>
      </c>
      <c r="B871" s="642"/>
      <c r="C871" s="656"/>
      <c r="D871" s="655"/>
      <c r="E871" s="662"/>
      <c r="F871" s="580"/>
    </row>
    <row r="872" spans="1:6">
      <c r="A872" s="653" t="s">
        <v>308</v>
      </c>
      <c r="B872" s="642" t="s">
        <v>364</v>
      </c>
      <c r="C872" s="656">
        <v>5</v>
      </c>
      <c r="D872" s="655" t="s">
        <v>335</v>
      </c>
      <c r="E872" s="662">
        <f ca="1">Elec_Est!E2218</f>
        <v>79.88</v>
      </c>
      <c r="F872" s="580">
        <f ca="1">E872*C872</f>
        <v>399.4</v>
      </c>
    </row>
    <row r="873" spans="1:6">
      <c r="A873" s="653" t="s">
        <v>675</v>
      </c>
      <c r="B873" s="642"/>
      <c r="C873" s="656"/>
      <c r="D873" s="655"/>
      <c r="E873" s="662"/>
      <c r="F873" s="580"/>
    </row>
    <row r="874" spans="1:6">
      <c r="A874" s="653" t="s">
        <v>309</v>
      </c>
      <c r="B874" s="642" t="s">
        <v>428</v>
      </c>
      <c r="C874" s="656">
        <v>3</v>
      </c>
      <c r="D874" s="655" t="s">
        <v>335</v>
      </c>
      <c r="E874" s="662">
        <f ca="1">Elec_Est!E2226</f>
        <v>107.8</v>
      </c>
      <c r="F874" s="580">
        <f ca="1">E874*C874</f>
        <v>323.39999999999998</v>
      </c>
    </row>
    <row r="875" spans="1:6" ht="12.75" customHeight="1">
      <c r="A875" s="653" t="s">
        <v>675</v>
      </c>
      <c r="B875" s="642"/>
      <c r="C875" s="656"/>
      <c r="D875" s="655"/>
      <c r="E875" s="662"/>
      <c r="F875" s="580"/>
    </row>
    <row r="876" spans="1:6" ht="12.75" customHeight="1">
      <c r="A876" s="653" t="s">
        <v>675</v>
      </c>
      <c r="B876" s="642"/>
      <c r="C876" s="656"/>
      <c r="D876" s="655"/>
      <c r="E876" s="662"/>
      <c r="F876" s="580"/>
    </row>
    <row r="877" spans="1:6" ht="12.75" customHeight="1">
      <c r="A877" s="653" t="s">
        <v>675</v>
      </c>
      <c r="B877" s="642"/>
      <c r="C877" s="656"/>
      <c r="D877" s="655"/>
      <c r="E877" s="662"/>
      <c r="F877" s="580"/>
    </row>
    <row r="878" spans="1:6" ht="12.75" customHeight="1">
      <c r="A878" s="653" t="s">
        <v>675</v>
      </c>
      <c r="B878" s="642"/>
      <c r="C878" s="656"/>
      <c r="D878" s="655"/>
      <c r="E878" s="662"/>
      <c r="F878" s="580"/>
    </row>
    <row r="879" spans="1:6" ht="12.75" customHeight="1">
      <c r="A879" s="653" t="s">
        <v>675</v>
      </c>
      <c r="B879" s="642"/>
      <c r="C879" s="656"/>
      <c r="D879" s="655"/>
      <c r="E879" s="662"/>
      <c r="F879" s="580"/>
    </row>
    <row r="880" spans="1:6" ht="12.75" customHeight="1">
      <c r="A880" s="653" t="s">
        <v>675</v>
      </c>
      <c r="B880" s="642"/>
      <c r="C880" s="656"/>
      <c r="D880" s="655"/>
      <c r="E880" s="662"/>
      <c r="F880" s="580"/>
    </row>
    <row r="881" spans="1:8" ht="12.75" customHeight="1">
      <c r="A881" s="653" t="s">
        <v>675</v>
      </c>
      <c r="B881" s="642"/>
      <c r="C881" s="656"/>
      <c r="D881" s="655"/>
      <c r="E881" s="662"/>
      <c r="F881" s="580"/>
    </row>
    <row r="882" spans="1:8" ht="12.75" customHeight="1">
      <c r="A882" s="653" t="s">
        <v>675</v>
      </c>
      <c r="B882" s="642"/>
      <c r="C882" s="656"/>
      <c r="D882" s="655"/>
      <c r="E882" s="662"/>
      <c r="F882" s="580"/>
    </row>
    <row r="883" spans="1:8" ht="12.75" customHeight="1">
      <c r="A883" s="675" t="s">
        <v>675</v>
      </c>
      <c r="B883" s="588"/>
      <c r="C883" s="664"/>
      <c r="D883" s="655"/>
      <c r="E883" s="662"/>
      <c r="F883" s="580"/>
    </row>
    <row r="884" spans="1:8" ht="13.8" thickBot="1">
      <c r="A884" s="572" t="s">
        <v>675</v>
      </c>
      <c r="B884" s="573"/>
      <c r="C884" s="664"/>
      <c r="D884" s="655"/>
      <c r="E884" s="669"/>
      <c r="F884" s="577"/>
    </row>
    <row r="885" spans="1:8">
      <c r="A885" s="591" t="s">
        <v>675</v>
      </c>
      <c r="B885" s="592"/>
      <c r="C885" s="594"/>
      <c r="D885" s="593"/>
      <c r="E885" s="643"/>
      <c r="F885" s="596"/>
    </row>
    <row r="886" spans="1:8">
      <c r="A886" s="597" t="s">
        <v>702</v>
      </c>
      <c r="B886" s="598" t="s">
        <v>282</v>
      </c>
      <c r="C886" s="600"/>
      <c r="D886" s="599"/>
      <c r="E886" s="601"/>
      <c r="F886" s="602">
        <f ca="1">SUM(F839:F884)</f>
        <v>5165.6099999999997</v>
      </c>
      <c r="G886" s="1202">
        <f ca="1">Elec_Est!F2235</f>
        <v>5165.6099999999997</v>
      </c>
      <c r="H886" s="1203">
        <f ca="1">F886-G886</f>
        <v>0</v>
      </c>
    </row>
    <row r="887" spans="1:8">
      <c r="A887" s="603" t="s">
        <v>675</v>
      </c>
      <c r="B887" s="604"/>
      <c r="C887" s="606"/>
      <c r="D887" s="605"/>
      <c r="E887" s="644"/>
      <c r="F887" s="608"/>
    </row>
    <row r="888" spans="1:8" ht="12.75" customHeight="1">
      <c r="A888" s="609" t="s">
        <v>675</v>
      </c>
      <c r="B888" s="610"/>
      <c r="C888" s="551"/>
      <c r="D888" s="550"/>
      <c r="E888" s="645"/>
      <c r="F888" s="698"/>
    </row>
    <row r="889" spans="1:8" ht="12.75" customHeight="1">
      <c r="A889" s="612" t="s">
        <v>675</v>
      </c>
      <c r="B889" s="646"/>
      <c r="C889" s="648"/>
      <c r="D889" s="647"/>
      <c r="E889" s="649"/>
      <c r="F889" s="561"/>
    </row>
    <row r="890" spans="1:8" ht="12.75" customHeight="1">
      <c r="A890" s="612" t="s">
        <v>675</v>
      </c>
      <c r="B890" s="646"/>
      <c r="C890" s="648"/>
      <c r="D890" s="647"/>
      <c r="E890" s="649"/>
      <c r="F890" s="561"/>
    </row>
    <row r="891" spans="1:8">
      <c r="A891" s="699" t="s">
        <v>675</v>
      </c>
      <c r="B891" s="605"/>
      <c r="C891" s="606"/>
      <c r="D891" s="605"/>
      <c r="E891" s="644"/>
      <c r="F891" s="651"/>
    </row>
    <row r="892" spans="1:8" ht="13.8" thickBot="1">
      <c r="A892" s="700" t="s">
        <v>267</v>
      </c>
      <c r="B892" s="701" t="s">
        <v>268</v>
      </c>
      <c r="C892" s="703" t="s">
        <v>269</v>
      </c>
      <c r="D892" s="702" t="s">
        <v>259</v>
      </c>
      <c r="E892" s="704" t="s">
        <v>270</v>
      </c>
      <c r="F892" s="705" t="s">
        <v>260</v>
      </c>
    </row>
    <row r="893" spans="1:8">
      <c r="A893" s="572" t="s">
        <v>675</v>
      </c>
      <c r="B893" s="573"/>
      <c r="C893" s="575"/>
      <c r="D893" s="574"/>
      <c r="E893" s="669"/>
      <c r="F893" s="577"/>
    </row>
    <row r="894" spans="1:8">
      <c r="A894" s="675" t="s">
        <v>703</v>
      </c>
      <c r="B894" s="639" t="s">
        <v>292</v>
      </c>
      <c r="C894" s="664"/>
      <c r="D894" s="661"/>
      <c r="E894" s="662"/>
      <c r="F894" s="580"/>
    </row>
    <row r="895" spans="1:8">
      <c r="A895" s="675" t="s">
        <v>675</v>
      </c>
      <c r="B895" s="658"/>
      <c r="C895" s="664"/>
      <c r="D895" s="661"/>
      <c r="E895" s="662"/>
      <c r="F895" s="580"/>
    </row>
    <row r="896" spans="1:8" ht="28.95" customHeight="1">
      <c r="A896" s="675" t="s">
        <v>753</v>
      </c>
      <c r="B896" s="582" t="s">
        <v>293</v>
      </c>
      <c r="C896" s="664"/>
      <c r="D896" s="661"/>
      <c r="E896" s="662"/>
      <c r="F896" s="580"/>
    </row>
    <row r="897" spans="1:6">
      <c r="A897" s="675" t="s">
        <v>675</v>
      </c>
      <c r="B897" s="642"/>
      <c r="C897" s="664"/>
      <c r="D897" s="655"/>
      <c r="E897" s="662"/>
      <c r="F897" s="580"/>
    </row>
    <row r="898" spans="1:6">
      <c r="A898" s="675" t="s">
        <v>294</v>
      </c>
      <c r="B898" s="642" t="s">
        <v>443</v>
      </c>
      <c r="C898" s="575">
        <v>1</v>
      </c>
      <c r="D898" s="655" t="s">
        <v>335</v>
      </c>
      <c r="E898" s="662">
        <f>Elec_Est!E2248</f>
        <v>618.74</v>
      </c>
      <c r="F898" s="580">
        <f>E898*C898</f>
        <v>618.74</v>
      </c>
    </row>
    <row r="899" spans="1:6">
      <c r="A899" s="653" t="s">
        <v>675</v>
      </c>
      <c r="B899" s="642"/>
      <c r="C899" s="656"/>
      <c r="D899" s="655"/>
      <c r="E899" s="662"/>
      <c r="F899" s="580"/>
    </row>
    <row r="900" spans="1:6">
      <c r="A900" s="675" t="s">
        <v>296</v>
      </c>
      <c r="B900" s="588" t="s">
        <v>444</v>
      </c>
      <c r="C900" s="664">
        <v>1</v>
      </c>
      <c r="D900" s="655" t="s">
        <v>335</v>
      </c>
      <c r="E900" s="662">
        <f>Elec_Est!E2254</f>
        <v>124.4</v>
      </c>
      <c r="F900" s="580">
        <f>E900*C900</f>
        <v>124.4</v>
      </c>
    </row>
    <row r="901" spans="1:6">
      <c r="A901" s="675" t="s">
        <v>675</v>
      </c>
      <c r="B901" s="588"/>
      <c r="C901" s="664"/>
      <c r="D901" s="655"/>
      <c r="E901" s="662"/>
      <c r="F901" s="580"/>
    </row>
    <row r="902" spans="1:6">
      <c r="A902" s="675" t="s">
        <v>298</v>
      </c>
      <c r="B902" s="588" t="s">
        <v>445</v>
      </c>
      <c r="C902" s="664">
        <v>1</v>
      </c>
      <c r="D902" s="655" t="s">
        <v>335</v>
      </c>
      <c r="E902" s="662">
        <f>Elec_Est!E2260</f>
        <v>124.4</v>
      </c>
      <c r="F902" s="580">
        <f>E902*C902</f>
        <v>124.4</v>
      </c>
    </row>
    <row r="903" spans="1:6">
      <c r="A903" s="675" t="s">
        <v>675</v>
      </c>
      <c r="B903" s="588"/>
      <c r="C903" s="664"/>
      <c r="D903" s="655"/>
      <c r="E903" s="662"/>
      <c r="F903" s="580"/>
    </row>
    <row r="904" spans="1:6">
      <c r="A904" s="675" t="s">
        <v>300</v>
      </c>
      <c r="B904" s="588" t="s">
        <v>446</v>
      </c>
      <c r="C904" s="664">
        <v>1</v>
      </c>
      <c r="D904" s="655" t="s">
        <v>335</v>
      </c>
      <c r="E904" s="662">
        <f>Elec_Est!E2266</f>
        <v>124.4</v>
      </c>
      <c r="F904" s="580">
        <f>E904*C904</f>
        <v>124.4</v>
      </c>
    </row>
    <row r="905" spans="1:6">
      <c r="A905" s="572" t="s">
        <v>675</v>
      </c>
      <c r="B905" s="573"/>
      <c r="C905" s="575"/>
      <c r="D905" s="574"/>
      <c r="E905" s="669"/>
      <c r="F905" s="580"/>
    </row>
    <row r="906" spans="1:6">
      <c r="A906" s="572" t="s">
        <v>675</v>
      </c>
      <c r="B906" s="573"/>
      <c r="C906" s="575"/>
      <c r="D906" s="574"/>
      <c r="E906" s="669"/>
      <c r="F906" s="580"/>
    </row>
    <row r="907" spans="1:6" ht="26.4">
      <c r="A907" s="675" t="s">
        <v>754</v>
      </c>
      <c r="B907" s="582" t="s">
        <v>304</v>
      </c>
      <c r="C907" s="664"/>
      <c r="D907" s="655"/>
      <c r="E907" s="662"/>
      <c r="F907" s="580"/>
    </row>
    <row r="908" spans="1:6">
      <c r="A908" s="675" t="s">
        <v>675</v>
      </c>
      <c r="B908" s="658"/>
      <c r="C908" s="656"/>
      <c r="D908" s="655"/>
      <c r="E908" s="662"/>
      <c r="F908" s="580"/>
    </row>
    <row r="909" spans="1:6">
      <c r="A909" s="675" t="s">
        <v>294</v>
      </c>
      <c r="B909" s="642" t="s">
        <v>443</v>
      </c>
      <c r="C909" s="575">
        <v>1</v>
      </c>
      <c r="D909" s="655" t="s">
        <v>335</v>
      </c>
      <c r="E909" s="662">
        <f>Elec_Est!E2276</f>
        <v>198.68</v>
      </c>
      <c r="F909" s="580">
        <f>E909*C909</f>
        <v>198.68</v>
      </c>
    </row>
    <row r="910" spans="1:6">
      <c r="A910" s="653" t="s">
        <v>675</v>
      </c>
      <c r="B910" s="642"/>
      <c r="C910" s="656"/>
      <c r="D910" s="655"/>
      <c r="E910" s="662"/>
      <c r="F910" s="580"/>
    </row>
    <row r="911" spans="1:6">
      <c r="A911" s="675" t="s">
        <v>296</v>
      </c>
      <c r="B911" s="588" t="s">
        <v>444</v>
      </c>
      <c r="C911" s="664">
        <v>1</v>
      </c>
      <c r="D911" s="655" t="s">
        <v>335</v>
      </c>
      <c r="E911" s="662">
        <f>Elec_Est!E2285</f>
        <v>161.1</v>
      </c>
      <c r="F911" s="580">
        <f>E911*C911</f>
        <v>161.1</v>
      </c>
    </row>
    <row r="912" spans="1:6">
      <c r="A912" s="675" t="s">
        <v>675</v>
      </c>
      <c r="B912" s="588"/>
      <c r="C912" s="664"/>
      <c r="D912" s="655"/>
      <c r="E912" s="662"/>
      <c r="F912" s="580"/>
    </row>
    <row r="913" spans="1:6">
      <c r="A913" s="675" t="s">
        <v>298</v>
      </c>
      <c r="B913" s="588" t="s">
        <v>445</v>
      </c>
      <c r="C913" s="664">
        <v>1</v>
      </c>
      <c r="D913" s="655" t="s">
        <v>335</v>
      </c>
      <c r="E913" s="662">
        <f>Elec_Est!E2295</f>
        <v>161.1</v>
      </c>
      <c r="F913" s="580">
        <f>E913*C913</f>
        <v>161.1</v>
      </c>
    </row>
    <row r="914" spans="1:6">
      <c r="A914" s="675" t="s">
        <v>675</v>
      </c>
      <c r="B914" s="588"/>
      <c r="C914" s="664"/>
      <c r="D914" s="655"/>
      <c r="E914" s="662"/>
      <c r="F914" s="580"/>
    </row>
    <row r="915" spans="1:6">
      <c r="A915" s="675" t="s">
        <v>300</v>
      </c>
      <c r="B915" s="588" t="s">
        <v>446</v>
      </c>
      <c r="C915" s="664">
        <v>1</v>
      </c>
      <c r="D915" s="655" t="s">
        <v>335</v>
      </c>
      <c r="E915" s="662">
        <f>Elec_Est!E2305</f>
        <v>161.1</v>
      </c>
      <c r="F915" s="580">
        <f>E915*C915</f>
        <v>161.1</v>
      </c>
    </row>
    <row r="916" spans="1:6">
      <c r="A916" s="675" t="s">
        <v>675</v>
      </c>
      <c r="B916" s="588"/>
      <c r="C916" s="664"/>
      <c r="D916" s="655"/>
      <c r="E916" s="662"/>
      <c r="F916" s="580"/>
    </row>
    <row r="917" spans="1:6">
      <c r="A917" s="675" t="s">
        <v>675</v>
      </c>
      <c r="B917" s="588"/>
      <c r="C917" s="664"/>
      <c r="D917" s="655"/>
      <c r="E917" s="662"/>
      <c r="F917" s="580"/>
    </row>
    <row r="918" spans="1:6">
      <c r="A918" s="653" t="s">
        <v>703</v>
      </c>
      <c r="B918" s="578" t="s">
        <v>305</v>
      </c>
      <c r="C918" s="664"/>
      <c r="D918" s="655"/>
      <c r="E918" s="662"/>
      <c r="F918" s="580"/>
    </row>
    <row r="919" spans="1:6">
      <c r="A919" s="653" t="s">
        <v>675</v>
      </c>
      <c r="B919" s="658"/>
      <c r="C919" s="664"/>
      <c r="D919" s="661"/>
      <c r="E919" s="662"/>
      <c r="F919" s="580"/>
    </row>
    <row r="920" spans="1:6" ht="39.6">
      <c r="A920" s="653" t="s">
        <v>678</v>
      </c>
      <c r="B920" s="582" t="s">
        <v>687</v>
      </c>
      <c r="C920" s="664"/>
      <c r="D920" s="655"/>
      <c r="E920" s="662"/>
      <c r="F920" s="580"/>
    </row>
    <row r="921" spans="1:6">
      <c r="A921" s="653" t="s">
        <v>675</v>
      </c>
      <c r="B921" s="659"/>
      <c r="C921" s="664"/>
      <c r="D921" s="661"/>
      <c r="E921" s="662"/>
      <c r="F921" s="580"/>
    </row>
    <row r="922" spans="1:6">
      <c r="A922" s="653" t="s">
        <v>675</v>
      </c>
      <c r="B922" s="659"/>
      <c r="C922" s="664"/>
      <c r="D922" s="661"/>
      <c r="E922" s="662"/>
      <c r="F922" s="580"/>
    </row>
    <row r="923" spans="1:6">
      <c r="A923" s="653" t="s">
        <v>675</v>
      </c>
      <c r="B923" s="658"/>
      <c r="C923" s="664"/>
      <c r="D923" s="655"/>
      <c r="E923" s="662"/>
      <c r="F923" s="580"/>
    </row>
    <row r="924" spans="1:6">
      <c r="C924" s="664"/>
      <c r="D924" s="661"/>
      <c r="E924" s="662"/>
      <c r="F924" s="580"/>
    </row>
    <row r="925" spans="1:6">
      <c r="A925" s="653" t="s">
        <v>294</v>
      </c>
      <c r="B925" s="706" t="s">
        <v>755</v>
      </c>
      <c r="C925" s="664">
        <v>15</v>
      </c>
      <c r="D925" s="661" t="s">
        <v>306</v>
      </c>
      <c r="E925" s="662">
        <f ca="1">Elec_Est!E2322</f>
        <v>6.75</v>
      </c>
      <c r="F925" s="580">
        <f ca="1">E925*C925</f>
        <v>101.25</v>
      </c>
    </row>
    <row r="926" spans="1:6">
      <c r="A926" s="653" t="s">
        <v>675</v>
      </c>
      <c r="B926" s="614"/>
      <c r="C926" s="664"/>
      <c r="D926" s="655"/>
      <c r="E926" s="662"/>
      <c r="F926" s="580"/>
    </row>
    <row r="927" spans="1:6">
      <c r="A927" s="653" t="s">
        <v>675</v>
      </c>
      <c r="B927" s="665"/>
      <c r="C927" s="664"/>
      <c r="D927" s="661"/>
      <c r="E927" s="662"/>
      <c r="F927" s="580"/>
    </row>
    <row r="928" spans="1:6">
      <c r="A928" s="653" t="s">
        <v>296</v>
      </c>
      <c r="B928" s="706" t="s">
        <v>756</v>
      </c>
      <c r="C928" s="664">
        <v>22</v>
      </c>
      <c r="D928" s="655" t="s">
        <v>306</v>
      </c>
      <c r="E928" s="662">
        <f ca="1">Elec_Est!E2329</f>
        <v>6.75</v>
      </c>
      <c r="F928" s="580">
        <f ca="1">E928*C928</f>
        <v>148.5</v>
      </c>
    </row>
    <row r="929" spans="1:8">
      <c r="A929" s="653" t="s">
        <v>675</v>
      </c>
      <c r="B929" s="614"/>
      <c r="C929" s="664"/>
      <c r="D929" s="655"/>
      <c r="E929" s="662"/>
      <c r="F929" s="580"/>
    </row>
    <row r="930" spans="1:8">
      <c r="A930" s="653" t="s">
        <v>675</v>
      </c>
      <c r="B930" s="658"/>
      <c r="C930" s="664"/>
      <c r="D930" s="661"/>
      <c r="E930" s="662"/>
      <c r="F930" s="580"/>
    </row>
    <row r="931" spans="1:8">
      <c r="A931" s="653" t="s">
        <v>298</v>
      </c>
      <c r="B931" s="706" t="s">
        <v>757</v>
      </c>
      <c r="C931" s="664">
        <v>18</v>
      </c>
      <c r="D931" s="661" t="s">
        <v>306</v>
      </c>
      <c r="E931" s="662">
        <f ca="1">Elec_Est!E2336</f>
        <v>6.75</v>
      </c>
      <c r="F931" s="580">
        <f ca="1">E931*C931</f>
        <v>121.5</v>
      </c>
    </row>
    <row r="932" spans="1:8">
      <c r="A932" s="653" t="s">
        <v>675</v>
      </c>
      <c r="B932" s="588"/>
      <c r="C932" s="664"/>
      <c r="D932" s="655"/>
      <c r="E932" s="662"/>
      <c r="F932" s="580"/>
    </row>
    <row r="933" spans="1:8">
      <c r="A933" s="653" t="s">
        <v>675</v>
      </c>
      <c r="B933" s="588"/>
      <c r="C933" s="664"/>
      <c r="D933" s="655"/>
      <c r="E933" s="662"/>
      <c r="F933" s="580"/>
    </row>
    <row r="934" spans="1:8">
      <c r="A934" s="653" t="s">
        <v>675</v>
      </c>
      <c r="B934" s="588"/>
      <c r="C934" s="664"/>
      <c r="D934" s="655"/>
      <c r="E934" s="662"/>
      <c r="F934" s="580"/>
    </row>
    <row r="935" spans="1:8">
      <c r="A935" s="653" t="s">
        <v>675</v>
      </c>
      <c r="B935" s="588"/>
      <c r="C935" s="664"/>
      <c r="D935" s="655"/>
      <c r="E935" s="662"/>
      <c r="F935" s="580"/>
    </row>
    <row r="936" spans="1:8">
      <c r="A936" s="653" t="s">
        <v>675</v>
      </c>
      <c r="B936" s="588"/>
      <c r="C936" s="664"/>
      <c r="D936" s="655"/>
      <c r="E936" s="662"/>
      <c r="F936" s="580"/>
    </row>
    <row r="937" spans="1:8">
      <c r="A937" s="653" t="s">
        <v>675</v>
      </c>
      <c r="B937" s="588"/>
      <c r="C937" s="664"/>
      <c r="D937" s="655"/>
      <c r="E937" s="662"/>
      <c r="F937" s="580"/>
    </row>
    <row r="938" spans="1:8">
      <c r="A938" s="653" t="s">
        <v>675</v>
      </c>
      <c r="B938" s="588"/>
      <c r="C938" s="664"/>
      <c r="D938" s="655"/>
      <c r="E938" s="662"/>
      <c r="F938" s="580"/>
    </row>
    <row r="939" spans="1:8">
      <c r="A939" s="653" t="s">
        <v>675</v>
      </c>
      <c r="B939" s="588"/>
      <c r="C939" s="664"/>
      <c r="D939" s="655"/>
      <c r="E939" s="662"/>
      <c r="F939" s="580"/>
    </row>
    <row r="940" spans="1:8">
      <c r="A940" s="653" t="s">
        <v>675</v>
      </c>
      <c r="B940" s="588"/>
      <c r="C940" s="664"/>
      <c r="D940" s="655"/>
      <c r="E940" s="657"/>
      <c r="F940" s="577"/>
    </row>
    <row r="941" spans="1:8">
      <c r="A941" s="653" t="s">
        <v>675</v>
      </c>
      <c r="B941" s="588"/>
      <c r="C941" s="664"/>
      <c r="D941" s="655"/>
      <c r="E941" s="657"/>
      <c r="F941" s="577"/>
    </row>
    <row r="942" spans="1:8" ht="13.8" thickBot="1">
      <c r="A942" s="572" t="s">
        <v>675</v>
      </c>
      <c r="B942" s="573"/>
      <c r="C942" s="575"/>
      <c r="D942" s="574"/>
      <c r="E942" s="669"/>
      <c r="F942" s="577"/>
    </row>
    <row r="943" spans="1:8">
      <c r="A943" s="591" t="s">
        <v>675</v>
      </c>
      <c r="B943" s="592"/>
      <c r="C943" s="594"/>
      <c r="D943" s="593"/>
      <c r="E943" s="643"/>
      <c r="F943" s="596"/>
    </row>
    <row r="944" spans="1:8">
      <c r="A944" s="597" t="s">
        <v>702</v>
      </c>
      <c r="B944" s="598" t="s">
        <v>282</v>
      </c>
      <c r="C944" s="600"/>
      <c r="D944" s="599"/>
      <c r="E944" s="601"/>
      <c r="F944" s="602">
        <f ca="1">SUM(F893:F942)</f>
        <v>2045.1699999999996</v>
      </c>
      <c r="G944" s="1202">
        <f ca="1">Elec_Est!F2344</f>
        <v>2045.1699999999996</v>
      </c>
      <c r="H944" s="1203">
        <f ca="1">F944-G944</f>
        <v>0</v>
      </c>
    </row>
    <row r="945" spans="1:6">
      <c r="A945" s="603" t="s">
        <v>675</v>
      </c>
      <c r="B945" s="604"/>
      <c r="C945" s="606"/>
      <c r="D945" s="605"/>
      <c r="E945" s="644"/>
      <c r="F945" s="608"/>
    </row>
    <row r="946" spans="1:6" ht="15.75" customHeight="1">
      <c r="A946" s="609" t="s">
        <v>675</v>
      </c>
      <c r="B946" s="610"/>
      <c r="C946" s="551"/>
      <c r="D946" s="550"/>
      <c r="E946" s="645"/>
      <c r="F946" s="698"/>
    </row>
    <row r="947" spans="1:6" ht="13.2" customHeight="1">
      <c r="A947" s="612" t="s">
        <v>675</v>
      </c>
      <c r="B947" s="646"/>
      <c r="C947" s="648"/>
      <c r="D947" s="647"/>
      <c r="E947" s="649"/>
      <c r="F947" s="561"/>
    </row>
    <row r="948" spans="1:6" ht="13.2" customHeight="1">
      <c r="A948" s="612" t="s">
        <v>675</v>
      </c>
      <c r="B948" s="646"/>
      <c r="C948" s="648"/>
      <c r="D948" s="647"/>
      <c r="E948" s="649"/>
      <c r="F948" s="561"/>
    </row>
    <row r="949" spans="1:6">
      <c r="A949" s="699" t="s">
        <v>675</v>
      </c>
      <c r="B949" s="605"/>
      <c r="C949" s="606"/>
      <c r="D949" s="605"/>
      <c r="E949" s="644"/>
      <c r="F949" s="651"/>
    </row>
    <row r="950" spans="1:6" ht="13.8" thickBot="1">
      <c r="A950" s="700" t="s">
        <v>267</v>
      </c>
      <c r="B950" s="701" t="s">
        <v>268</v>
      </c>
      <c r="C950" s="703" t="s">
        <v>269</v>
      </c>
      <c r="D950" s="702" t="s">
        <v>259</v>
      </c>
      <c r="E950" s="704" t="s">
        <v>270</v>
      </c>
      <c r="F950" s="705" t="s">
        <v>260</v>
      </c>
    </row>
    <row r="951" spans="1:6">
      <c r="A951" s="632" t="s">
        <v>675</v>
      </c>
      <c r="B951" s="638"/>
      <c r="C951" s="636"/>
      <c r="D951" s="635"/>
      <c r="E951" s="637"/>
      <c r="F951" s="602"/>
    </row>
    <row r="952" spans="1:6" ht="15.6">
      <c r="A952" s="653" t="s">
        <v>703</v>
      </c>
      <c r="B952" s="672" t="s">
        <v>447</v>
      </c>
      <c r="C952" s="664"/>
      <c r="D952" s="655"/>
      <c r="E952" s="657"/>
      <c r="F952" s="577"/>
    </row>
    <row r="953" spans="1:6">
      <c r="A953" s="653" t="s">
        <v>675</v>
      </c>
      <c r="B953" s="639"/>
      <c r="C953" s="664"/>
      <c r="D953" s="655"/>
      <c r="E953" s="657"/>
      <c r="F953" s="577"/>
    </row>
    <row r="954" spans="1:6">
      <c r="A954" s="653" t="s">
        <v>703</v>
      </c>
      <c r="B954" s="639" t="s">
        <v>332</v>
      </c>
      <c r="C954" s="664"/>
      <c r="D954" s="655"/>
      <c r="E954" s="685"/>
      <c r="F954" s="577"/>
    </row>
    <row r="955" spans="1:6">
      <c r="A955" s="653" t="s">
        <v>675</v>
      </c>
      <c r="B955" s="598"/>
      <c r="C955" s="664"/>
      <c r="D955" s="655"/>
      <c r="E955" s="685"/>
      <c r="F955" s="577"/>
    </row>
    <row r="956" spans="1:6" ht="26.4">
      <c r="A956" s="653" t="s">
        <v>758</v>
      </c>
      <c r="B956" s="582" t="s">
        <v>333</v>
      </c>
      <c r="C956" s="664"/>
      <c r="D956" s="686"/>
      <c r="E956" s="662"/>
      <c r="F956" s="580"/>
    </row>
    <row r="957" spans="1:6">
      <c r="A957" s="653" t="s">
        <v>675</v>
      </c>
      <c r="B957" s="659"/>
      <c r="C957" s="664"/>
      <c r="D957" s="686"/>
      <c r="E957" s="662"/>
      <c r="F957" s="580"/>
    </row>
    <row r="958" spans="1:6">
      <c r="A958" s="653" t="s">
        <v>294</v>
      </c>
      <c r="B958" s="659" t="s">
        <v>334</v>
      </c>
      <c r="C958" s="664">
        <v>1</v>
      </c>
      <c r="D958" s="655" t="s">
        <v>335</v>
      </c>
      <c r="E958" s="662">
        <f ca="1">Elec_Est!E2361</f>
        <v>57.85</v>
      </c>
      <c r="F958" s="580">
        <f ca="1">E958*C958</f>
        <v>57.85</v>
      </c>
    </row>
    <row r="959" spans="1:6">
      <c r="A959" s="653" t="s">
        <v>675</v>
      </c>
      <c r="B959" s="659"/>
      <c r="C959" s="664"/>
      <c r="D959" s="686"/>
      <c r="E959" s="662"/>
      <c r="F959" s="580"/>
    </row>
    <row r="960" spans="1:6">
      <c r="A960" s="653" t="s">
        <v>296</v>
      </c>
      <c r="B960" s="659" t="s">
        <v>401</v>
      </c>
      <c r="C960" s="664">
        <v>2</v>
      </c>
      <c r="D960" s="655" t="s">
        <v>335</v>
      </c>
      <c r="E960" s="662">
        <f ca="1">Elec_Est!E2368</f>
        <v>86.78</v>
      </c>
      <c r="F960" s="580">
        <f t="shared" ref="F960:F990" ca="1" si="0">E960*C960</f>
        <v>173.56</v>
      </c>
    </row>
    <row r="961" spans="1:6">
      <c r="A961" s="653" t="s">
        <v>675</v>
      </c>
      <c r="B961" s="659"/>
      <c r="C961" s="664"/>
      <c r="D961" s="686"/>
      <c r="E961" s="662"/>
      <c r="F961" s="580"/>
    </row>
    <row r="962" spans="1:6">
      <c r="A962" s="653" t="s">
        <v>298</v>
      </c>
      <c r="B962" s="582" t="s">
        <v>336</v>
      </c>
      <c r="C962" s="664">
        <v>1</v>
      </c>
      <c r="D962" s="686" t="s">
        <v>335</v>
      </c>
      <c r="E962" s="662">
        <f ca="1">Elec_Est!E2375</f>
        <v>260.33999999999997</v>
      </c>
      <c r="F962" s="580">
        <f t="shared" ca="1" si="0"/>
        <v>260.33999999999997</v>
      </c>
    </row>
    <row r="963" spans="1:6">
      <c r="A963" s="653" t="s">
        <v>675</v>
      </c>
      <c r="B963" s="582"/>
      <c r="C963" s="664"/>
      <c r="D963" s="686"/>
      <c r="E963" s="662"/>
      <c r="F963" s="580"/>
    </row>
    <row r="964" spans="1:6">
      <c r="A964" s="653" t="s">
        <v>300</v>
      </c>
      <c r="B964" s="582" t="s">
        <v>448</v>
      </c>
      <c r="C964" s="664">
        <v>1</v>
      </c>
      <c r="D964" s="655" t="s">
        <v>335</v>
      </c>
      <c r="E964" s="662">
        <f ca="1">Elec_Est!E2382</f>
        <v>144.63</v>
      </c>
      <c r="F964" s="580">
        <f t="shared" ca="1" si="0"/>
        <v>144.63</v>
      </c>
    </row>
    <row r="965" spans="1:6">
      <c r="A965" s="653" t="s">
        <v>675</v>
      </c>
      <c r="B965" s="582"/>
      <c r="C965" s="664"/>
      <c r="D965" s="686"/>
      <c r="E965" s="662"/>
      <c r="F965" s="580"/>
    </row>
    <row r="966" spans="1:6">
      <c r="A966" s="653" t="s">
        <v>302</v>
      </c>
      <c r="B966" s="582" t="s">
        <v>405</v>
      </c>
      <c r="C966" s="664">
        <v>3</v>
      </c>
      <c r="D966" s="655" t="s">
        <v>335</v>
      </c>
      <c r="E966" s="662">
        <f ca="1">Elec_Est!E2389</f>
        <v>318.2</v>
      </c>
      <c r="F966" s="580">
        <f t="shared" ca="1" si="0"/>
        <v>954.59999999999991</v>
      </c>
    </row>
    <row r="967" spans="1:6">
      <c r="A967" s="653" t="s">
        <v>675</v>
      </c>
      <c r="B967" s="582"/>
      <c r="C967" s="664"/>
      <c r="D967" s="686"/>
      <c r="E967" s="662"/>
      <c r="F967" s="580"/>
    </row>
    <row r="968" spans="1:6" ht="26.4">
      <c r="A968" s="653" t="s">
        <v>307</v>
      </c>
      <c r="B968" s="582" t="s">
        <v>435</v>
      </c>
      <c r="C968" s="664">
        <v>1</v>
      </c>
      <c r="D968" s="655" t="s">
        <v>335</v>
      </c>
      <c r="E968" s="662">
        <f ca="1">Elec_Est!E2396</f>
        <v>144.63</v>
      </c>
      <c r="F968" s="580">
        <f t="shared" ca="1" si="0"/>
        <v>144.63</v>
      </c>
    </row>
    <row r="969" spans="1:6">
      <c r="A969" s="653" t="s">
        <v>675</v>
      </c>
      <c r="B969" s="582"/>
      <c r="C969" s="664"/>
      <c r="D969" s="686"/>
      <c r="E969" s="662"/>
      <c r="F969" s="580"/>
    </row>
    <row r="970" spans="1:6" ht="26.4">
      <c r="A970" s="653" t="s">
        <v>308</v>
      </c>
      <c r="B970" s="582" t="s">
        <v>402</v>
      </c>
      <c r="C970" s="664">
        <v>1</v>
      </c>
      <c r="D970" s="655" t="s">
        <v>335</v>
      </c>
      <c r="E970" s="662">
        <f ca="1">Elec_Est!E2403</f>
        <v>173.56</v>
      </c>
      <c r="F970" s="580">
        <f t="shared" ca="1" si="0"/>
        <v>173.56</v>
      </c>
    </row>
    <row r="971" spans="1:6">
      <c r="A971" s="653" t="s">
        <v>675</v>
      </c>
      <c r="B971" s="582"/>
      <c r="C971" s="664"/>
      <c r="D971" s="686"/>
      <c r="E971" s="662"/>
      <c r="F971" s="580"/>
    </row>
    <row r="972" spans="1:6" ht="26.4">
      <c r="A972" s="653" t="s">
        <v>309</v>
      </c>
      <c r="B972" s="582" t="s">
        <v>403</v>
      </c>
      <c r="C972" s="664">
        <v>1</v>
      </c>
      <c r="D972" s="655" t="s">
        <v>335</v>
      </c>
      <c r="E972" s="662">
        <f ca="1">Elec_Est!E2410</f>
        <v>202.49</v>
      </c>
      <c r="F972" s="580">
        <f t="shared" ca="1" si="0"/>
        <v>202.49</v>
      </c>
    </row>
    <row r="973" spans="1:6">
      <c r="A973" s="653" t="s">
        <v>675</v>
      </c>
      <c r="B973" s="582"/>
      <c r="C973" s="664"/>
      <c r="D973" s="686"/>
      <c r="E973" s="662"/>
      <c r="F973" s="580"/>
    </row>
    <row r="974" spans="1:6" ht="31.2" customHeight="1">
      <c r="A974" s="653" t="s">
        <v>310</v>
      </c>
      <c r="B974" s="582" t="s">
        <v>449</v>
      </c>
      <c r="C974" s="664">
        <v>2</v>
      </c>
      <c r="D974" s="655" t="s">
        <v>335</v>
      </c>
      <c r="E974" s="662">
        <f ca="1">Elec_Est!E2417</f>
        <v>288.58999999999997</v>
      </c>
      <c r="F974" s="580">
        <f t="shared" ca="1" si="0"/>
        <v>577.17999999999995</v>
      </c>
    </row>
    <row r="975" spans="1:6">
      <c r="A975" s="653" t="s">
        <v>675</v>
      </c>
      <c r="B975" s="582"/>
      <c r="C975" s="664"/>
      <c r="D975" s="686"/>
      <c r="E975" s="662"/>
      <c r="F975" s="580"/>
    </row>
    <row r="976" spans="1:6" ht="39.6">
      <c r="A976" s="653" t="s">
        <v>311</v>
      </c>
      <c r="B976" s="588" t="s">
        <v>410</v>
      </c>
      <c r="C976" s="664">
        <v>1</v>
      </c>
      <c r="D976" s="655" t="s">
        <v>335</v>
      </c>
      <c r="E976" s="662">
        <f ca="1">Elec_Est!E2428</f>
        <v>317.52</v>
      </c>
      <c r="F976" s="580">
        <f t="shared" ca="1" si="0"/>
        <v>317.52</v>
      </c>
    </row>
    <row r="977" spans="1:6">
      <c r="A977" s="653" t="s">
        <v>675</v>
      </c>
      <c r="B977" s="582"/>
      <c r="C977" s="664"/>
      <c r="D977" s="686"/>
      <c r="E977" s="662"/>
      <c r="F977" s="580"/>
    </row>
    <row r="978" spans="1:6">
      <c r="A978" s="653" t="s">
        <v>312</v>
      </c>
      <c r="B978" s="588" t="s">
        <v>340</v>
      </c>
      <c r="C978" s="664">
        <v>2</v>
      </c>
      <c r="D978" s="655" t="s">
        <v>335</v>
      </c>
      <c r="E978" s="662">
        <f ca="1">Elec_Est!E2439</f>
        <v>88.56</v>
      </c>
      <c r="F978" s="580">
        <f t="shared" ca="1" si="0"/>
        <v>177.12</v>
      </c>
    </row>
    <row r="979" spans="1:6">
      <c r="A979" s="653" t="s">
        <v>675</v>
      </c>
      <c r="B979" s="588"/>
      <c r="C979" s="664"/>
      <c r="D979" s="655"/>
      <c r="E979" s="662"/>
      <c r="F979" s="580"/>
    </row>
    <row r="980" spans="1:6">
      <c r="A980" s="653" t="s">
        <v>313</v>
      </c>
      <c r="B980" s="588" t="s">
        <v>381</v>
      </c>
      <c r="C980" s="664">
        <v>11</v>
      </c>
      <c r="D980" s="655" t="s">
        <v>335</v>
      </c>
      <c r="E980" s="662">
        <f ca="1">Elec_Est!E2448</f>
        <v>74.08</v>
      </c>
      <c r="F980" s="580">
        <f t="shared" ca="1" si="0"/>
        <v>814.88</v>
      </c>
    </row>
    <row r="981" spans="1:6">
      <c r="A981" s="653" t="s">
        <v>675</v>
      </c>
      <c r="B981" s="588"/>
      <c r="C981" s="664"/>
      <c r="D981" s="655"/>
      <c r="E981" s="662"/>
      <c r="F981" s="580"/>
    </row>
    <row r="982" spans="1:6">
      <c r="A982" s="653" t="s">
        <v>314</v>
      </c>
      <c r="B982" s="588" t="s">
        <v>406</v>
      </c>
      <c r="C982" s="664">
        <v>6</v>
      </c>
      <c r="D982" s="655" t="s">
        <v>335</v>
      </c>
      <c r="E982" s="662">
        <f ca="1">Elec_Est!E2456</f>
        <v>57.85</v>
      </c>
      <c r="F982" s="580">
        <f t="shared" ca="1" si="0"/>
        <v>347.1</v>
      </c>
    </row>
    <row r="983" spans="1:6">
      <c r="A983" s="653" t="s">
        <v>675</v>
      </c>
      <c r="B983" s="588"/>
      <c r="C983" s="664"/>
      <c r="D983" s="655"/>
      <c r="E983" s="662"/>
      <c r="F983" s="580"/>
    </row>
    <row r="984" spans="1:6">
      <c r="A984" s="653" t="s">
        <v>315</v>
      </c>
      <c r="B984" s="588" t="s">
        <v>407</v>
      </c>
      <c r="C984" s="664">
        <v>4</v>
      </c>
      <c r="D984" s="655" t="s">
        <v>335</v>
      </c>
      <c r="E984" s="662">
        <f ca="1">Elec_Est!E2463</f>
        <v>57.85</v>
      </c>
      <c r="F984" s="580">
        <f t="shared" ca="1" si="0"/>
        <v>231.4</v>
      </c>
    </row>
    <row r="985" spans="1:6">
      <c r="A985" s="653" t="s">
        <v>675</v>
      </c>
      <c r="B985" s="588"/>
      <c r="C985" s="664"/>
      <c r="D985" s="655"/>
      <c r="E985" s="662"/>
      <c r="F985" s="580"/>
    </row>
    <row r="986" spans="1:6">
      <c r="A986" s="653" t="s">
        <v>316</v>
      </c>
      <c r="B986" s="588" t="s">
        <v>408</v>
      </c>
      <c r="C986" s="664">
        <v>3</v>
      </c>
      <c r="D986" s="655" t="s">
        <v>335</v>
      </c>
      <c r="E986" s="662">
        <f ca="1">Elec_Est!E2470</f>
        <v>57.85</v>
      </c>
      <c r="F986" s="580">
        <f t="shared" ca="1" si="0"/>
        <v>173.55</v>
      </c>
    </row>
    <row r="987" spans="1:6">
      <c r="A987" s="653" t="s">
        <v>675</v>
      </c>
      <c r="B987" s="588"/>
      <c r="C987" s="664"/>
      <c r="D987" s="655"/>
      <c r="E987" s="662"/>
      <c r="F987" s="580"/>
    </row>
    <row r="988" spans="1:6">
      <c r="A988" s="653" t="s">
        <v>317</v>
      </c>
      <c r="B988" s="588" t="s">
        <v>409</v>
      </c>
      <c r="C988" s="664">
        <v>3</v>
      </c>
      <c r="D988" s="655" t="s">
        <v>335</v>
      </c>
      <c r="E988" s="662">
        <f ca="1">Elec_Est!E2477</f>
        <v>57.85</v>
      </c>
      <c r="F988" s="580">
        <f t="shared" ca="1" si="0"/>
        <v>173.55</v>
      </c>
    </row>
    <row r="989" spans="1:6">
      <c r="A989" s="653" t="s">
        <v>675</v>
      </c>
      <c r="B989" s="588"/>
      <c r="C989" s="664"/>
      <c r="D989" s="655"/>
      <c r="E989" s="662"/>
      <c r="F989" s="580"/>
    </row>
    <row r="990" spans="1:6">
      <c r="A990" s="653" t="s">
        <v>318</v>
      </c>
      <c r="B990" s="588" t="s">
        <v>344</v>
      </c>
      <c r="C990" s="664">
        <v>4</v>
      </c>
      <c r="D990" s="655" t="s">
        <v>335</v>
      </c>
      <c r="E990" s="662">
        <f ca="1">Elec_Est!E2484</f>
        <v>57.85</v>
      </c>
      <c r="F990" s="580">
        <f t="shared" ca="1" si="0"/>
        <v>231.4</v>
      </c>
    </row>
    <row r="991" spans="1:6">
      <c r="A991" s="653" t="s">
        <v>675</v>
      </c>
      <c r="B991" s="588"/>
      <c r="C991" s="664"/>
      <c r="D991" s="655"/>
      <c r="E991" s="662"/>
      <c r="F991" s="580"/>
    </row>
    <row r="992" spans="1:6">
      <c r="A992" s="653" t="s">
        <v>675</v>
      </c>
      <c r="B992" s="588"/>
      <c r="C992" s="664"/>
      <c r="D992" s="655"/>
      <c r="E992" s="662"/>
      <c r="F992" s="580"/>
    </row>
    <row r="993" spans="1:8">
      <c r="A993" s="653" t="s">
        <v>675</v>
      </c>
      <c r="B993" s="588"/>
      <c r="C993" s="664"/>
      <c r="D993" s="655"/>
      <c r="E993" s="662"/>
      <c r="F993" s="580"/>
    </row>
    <row r="994" spans="1:8">
      <c r="A994" s="653" t="s">
        <v>675</v>
      </c>
      <c r="B994" s="588"/>
      <c r="C994" s="664"/>
      <c r="D994" s="655"/>
      <c r="E994" s="662"/>
      <c r="F994" s="580"/>
    </row>
    <row r="995" spans="1:8" ht="13.8" thickBot="1">
      <c r="A995" s="572" t="s">
        <v>675</v>
      </c>
      <c r="C995" s="709"/>
      <c r="D995" s="708"/>
      <c r="E995" s="671"/>
      <c r="F995" s="577"/>
    </row>
    <row r="996" spans="1:8">
      <c r="A996" s="591" t="s">
        <v>675</v>
      </c>
      <c r="B996" s="592"/>
      <c r="C996" s="594"/>
      <c r="D996" s="593"/>
      <c r="E996" s="643"/>
      <c r="F996" s="596"/>
    </row>
    <row r="997" spans="1:8">
      <c r="A997" s="597" t="s">
        <v>702</v>
      </c>
      <c r="B997" s="598" t="s">
        <v>282</v>
      </c>
      <c r="C997" s="600"/>
      <c r="D997" s="599"/>
      <c r="E997" s="601"/>
      <c r="F997" s="602">
        <f ca="1">SUM(F951:F995)</f>
        <v>5155.3599999999997</v>
      </c>
      <c r="G997" s="1202">
        <f ca="1">Elec_Est!F2492</f>
        <v>5155.3599999999997</v>
      </c>
      <c r="H997" s="1203">
        <f ca="1">F997-G997</f>
        <v>0</v>
      </c>
    </row>
    <row r="998" spans="1:8">
      <c r="A998" s="603" t="s">
        <v>675</v>
      </c>
      <c r="B998" s="604"/>
      <c r="C998" s="606"/>
      <c r="D998" s="605"/>
      <c r="E998" s="644"/>
      <c r="F998" s="608"/>
    </row>
    <row r="999" spans="1:8" ht="12.75" customHeight="1">
      <c r="A999" s="609" t="s">
        <v>675</v>
      </c>
      <c r="B999" s="610"/>
      <c r="C999" s="551"/>
      <c r="D999" s="550"/>
      <c r="E999" s="645"/>
      <c r="F999" s="698"/>
    </row>
    <row r="1000" spans="1:8" ht="12.75" customHeight="1">
      <c r="A1000" s="612" t="s">
        <v>675</v>
      </c>
      <c r="B1000" s="646"/>
      <c r="C1000" s="648"/>
      <c r="D1000" s="647"/>
      <c r="E1000" s="649"/>
      <c r="F1000" s="561"/>
    </row>
    <row r="1001" spans="1:8" ht="12.75" customHeight="1">
      <c r="A1001" s="612" t="s">
        <v>675</v>
      </c>
      <c r="B1001" s="646"/>
      <c r="C1001" s="648"/>
      <c r="D1001" s="647"/>
      <c r="E1001" s="649"/>
      <c r="F1001" s="561"/>
    </row>
    <row r="1002" spans="1:8">
      <c r="A1002" s="699" t="s">
        <v>675</v>
      </c>
      <c r="B1002" s="605"/>
      <c r="C1002" s="606"/>
      <c r="D1002" s="605"/>
      <c r="E1002" s="644"/>
      <c r="F1002" s="651"/>
    </row>
    <row r="1003" spans="1:8" ht="13.8" thickBot="1">
      <c r="A1003" s="700" t="s">
        <v>267</v>
      </c>
      <c r="B1003" s="701" t="s">
        <v>268</v>
      </c>
      <c r="C1003" s="703" t="s">
        <v>269</v>
      </c>
      <c r="D1003" s="702" t="s">
        <v>259</v>
      </c>
      <c r="E1003" s="704" t="s">
        <v>270</v>
      </c>
      <c r="F1003" s="705" t="s">
        <v>260</v>
      </c>
    </row>
    <row r="1004" spans="1:8">
      <c r="A1004" s="572" t="s">
        <v>675</v>
      </c>
      <c r="B1004" s="573"/>
      <c r="C1004" s="575"/>
      <c r="D1004" s="574"/>
      <c r="E1004" s="669"/>
      <c r="F1004" s="577"/>
    </row>
    <row r="1005" spans="1:8" ht="26.4">
      <c r="A1005" s="653" t="s">
        <v>759</v>
      </c>
      <c r="B1005" s="687" t="s">
        <v>376</v>
      </c>
      <c r="C1005" s="664"/>
      <c r="D1005" s="655"/>
      <c r="E1005" s="662"/>
      <c r="F1005" s="580"/>
    </row>
    <row r="1006" spans="1:8">
      <c r="A1006" s="653" t="s">
        <v>675</v>
      </c>
      <c r="B1006" s="588"/>
      <c r="C1006" s="664"/>
      <c r="D1006" s="655"/>
      <c r="E1006" s="662"/>
      <c r="F1006" s="580"/>
    </row>
    <row r="1007" spans="1:8">
      <c r="A1007" s="653" t="s">
        <v>294</v>
      </c>
      <c r="B1007" s="588" t="s">
        <v>377</v>
      </c>
      <c r="C1007" s="664">
        <v>4</v>
      </c>
      <c r="D1007" s="655" t="s">
        <v>335</v>
      </c>
      <c r="E1007" s="662">
        <f ca="1">Elec_Est!E2501</f>
        <v>67.06</v>
      </c>
      <c r="F1007" s="580">
        <f ca="1">C1007*E1007</f>
        <v>268.24</v>
      </c>
    </row>
    <row r="1008" spans="1:8">
      <c r="A1008" s="653" t="s">
        <v>675</v>
      </c>
      <c r="B1008" s="588"/>
      <c r="C1008" s="664"/>
      <c r="D1008" s="655"/>
      <c r="E1008" s="662"/>
      <c r="F1008" s="580"/>
    </row>
    <row r="1009" spans="1:6">
      <c r="A1009" s="653" t="s">
        <v>296</v>
      </c>
      <c r="B1009" s="588" t="s">
        <v>378</v>
      </c>
      <c r="C1009" s="664">
        <v>8</v>
      </c>
      <c r="D1009" s="655" t="s">
        <v>335</v>
      </c>
      <c r="E1009" s="662">
        <f ca="1">Elec_Est!E2510</f>
        <v>124.92</v>
      </c>
      <c r="F1009" s="580">
        <f ca="1">C1009*E1009</f>
        <v>999.36</v>
      </c>
    </row>
    <row r="1010" spans="1:6">
      <c r="A1010" s="653" t="s">
        <v>675</v>
      </c>
      <c r="B1010" s="588"/>
      <c r="C1010" s="664"/>
      <c r="D1010" s="655"/>
      <c r="E1010" s="662"/>
      <c r="F1010" s="580"/>
    </row>
    <row r="1011" spans="1:6">
      <c r="A1011" s="653" t="s">
        <v>675</v>
      </c>
      <c r="B1011" s="588"/>
      <c r="C1011" s="664"/>
      <c r="D1011" s="655"/>
      <c r="E1011" s="662"/>
      <c r="F1011" s="580"/>
    </row>
    <row r="1012" spans="1:6" ht="12.75" customHeight="1">
      <c r="A1012" s="653" t="s">
        <v>760</v>
      </c>
      <c r="B1012" s="687" t="s">
        <v>379</v>
      </c>
      <c r="C1012" s="664"/>
      <c r="D1012" s="655"/>
      <c r="E1012" s="662"/>
      <c r="F1012" s="580"/>
    </row>
    <row r="1013" spans="1:6">
      <c r="A1013" s="653" t="s">
        <v>675</v>
      </c>
      <c r="B1013" s="588"/>
      <c r="C1013" s="664"/>
      <c r="D1013" s="655"/>
      <c r="E1013" s="662"/>
      <c r="F1013" s="580"/>
    </row>
    <row r="1014" spans="1:6">
      <c r="A1014" s="653" t="s">
        <v>294</v>
      </c>
      <c r="B1014" s="706" t="s">
        <v>411</v>
      </c>
      <c r="C1014" s="664">
        <v>3</v>
      </c>
      <c r="D1014" s="655" t="s">
        <v>335</v>
      </c>
      <c r="E1014" s="662">
        <f ca="1">Elec_Est!E2523</f>
        <v>55.19</v>
      </c>
      <c r="F1014" s="580">
        <f ca="1">C1014*E1014</f>
        <v>165.57</v>
      </c>
    </row>
    <row r="1015" spans="1:6">
      <c r="A1015" s="653" t="s">
        <v>675</v>
      </c>
      <c r="B1015" s="706"/>
      <c r="C1015" s="664"/>
      <c r="D1015" s="655"/>
      <c r="E1015" s="662"/>
      <c r="F1015" s="580"/>
    </row>
    <row r="1016" spans="1:6" ht="15.75" customHeight="1">
      <c r="A1016" s="653" t="s">
        <v>296</v>
      </c>
      <c r="B1016" s="588" t="s">
        <v>412</v>
      </c>
      <c r="C1016" s="664">
        <v>1</v>
      </c>
      <c r="D1016" s="655" t="s">
        <v>335</v>
      </c>
      <c r="E1016" s="662">
        <f ca="1">Elec_Est!E2541</f>
        <v>973.68</v>
      </c>
      <c r="F1016" s="580">
        <f ca="1">C1016*E1016</f>
        <v>973.68</v>
      </c>
    </row>
    <row r="1017" spans="1:6" ht="15.75" customHeight="1">
      <c r="A1017" s="653" t="s">
        <v>675</v>
      </c>
      <c r="B1017" s="588"/>
      <c r="C1017" s="664"/>
      <c r="D1017" s="655"/>
      <c r="E1017" s="662"/>
      <c r="F1017" s="580"/>
    </row>
    <row r="1018" spans="1:6">
      <c r="A1018" s="653" t="s">
        <v>675</v>
      </c>
      <c r="B1018" s="588"/>
      <c r="C1018" s="664"/>
      <c r="D1018" s="655"/>
      <c r="E1018" s="662"/>
      <c r="F1018" s="580"/>
    </row>
    <row r="1019" spans="1:6">
      <c r="A1019" s="653" t="s">
        <v>761</v>
      </c>
      <c r="B1019" s="673" t="s">
        <v>345</v>
      </c>
      <c r="C1019" s="664"/>
      <c r="D1019" s="655"/>
      <c r="E1019" s="662"/>
      <c r="F1019" s="580"/>
    </row>
    <row r="1020" spans="1:6">
      <c r="A1020" s="653" t="s">
        <v>675</v>
      </c>
      <c r="B1020" s="588"/>
      <c r="C1020" s="664"/>
      <c r="D1020" s="655"/>
      <c r="E1020" s="662"/>
      <c r="F1020" s="580"/>
    </row>
    <row r="1021" spans="1:6" ht="26.4">
      <c r="A1021" s="653" t="s">
        <v>294</v>
      </c>
      <c r="B1021" s="588" t="s">
        <v>381</v>
      </c>
      <c r="C1021" s="664">
        <v>11</v>
      </c>
      <c r="D1021" s="655" t="s">
        <v>335</v>
      </c>
      <c r="E1021" s="662" t="str">
        <f>Elec_Est!Q2563</f>
        <v>Included in item 40l</v>
      </c>
      <c r="F1021" s="580"/>
    </row>
    <row r="1022" spans="1:6">
      <c r="A1022" s="653" t="s">
        <v>675</v>
      </c>
      <c r="B1022" s="588"/>
      <c r="C1022" s="664"/>
      <c r="D1022" s="655"/>
      <c r="E1022" s="662"/>
      <c r="F1022" s="580"/>
    </row>
    <row r="1023" spans="1:6" ht="26.4">
      <c r="A1023" s="653" t="s">
        <v>296</v>
      </c>
      <c r="B1023" s="582" t="s">
        <v>348</v>
      </c>
      <c r="C1023" s="664">
        <v>4</v>
      </c>
      <c r="D1023" s="655" t="s">
        <v>335</v>
      </c>
      <c r="E1023" s="662">
        <f ca="1">Elec_Est!E2569</f>
        <v>28.98</v>
      </c>
      <c r="F1023" s="580">
        <f ca="1">C1023*E1023</f>
        <v>115.92</v>
      </c>
    </row>
    <row r="1024" spans="1:6">
      <c r="A1024" s="653" t="s">
        <v>675</v>
      </c>
      <c r="B1024" s="582"/>
      <c r="C1024" s="664"/>
      <c r="D1024" s="655"/>
      <c r="E1024" s="662"/>
      <c r="F1024" s="580"/>
    </row>
    <row r="1025" spans="1:6">
      <c r="A1025" s="653" t="s">
        <v>675</v>
      </c>
      <c r="B1025" s="588"/>
      <c r="C1025" s="664"/>
      <c r="D1025" s="655"/>
      <c r="E1025" s="662"/>
      <c r="F1025" s="580"/>
    </row>
    <row r="1026" spans="1:6" ht="26.4">
      <c r="A1026" s="653" t="s">
        <v>763</v>
      </c>
      <c r="B1026" s="582" t="s">
        <v>351</v>
      </c>
      <c r="C1026" s="664"/>
      <c r="D1026" s="655"/>
      <c r="E1026" s="662"/>
      <c r="F1026" s="580"/>
    </row>
    <row r="1027" spans="1:6">
      <c r="A1027" s="653" t="s">
        <v>675</v>
      </c>
      <c r="B1027" s="588"/>
      <c r="C1027" s="664"/>
      <c r="D1027" s="655"/>
      <c r="E1027" s="662"/>
      <c r="F1027" s="580"/>
    </row>
    <row r="1028" spans="1:6">
      <c r="A1028" s="653" t="s">
        <v>294</v>
      </c>
      <c r="B1028" s="588" t="s">
        <v>413</v>
      </c>
      <c r="C1028" s="664">
        <v>17</v>
      </c>
      <c r="D1028" s="655" t="s">
        <v>335</v>
      </c>
      <c r="E1028" s="662">
        <f ca="1">Elec_Est!E2580</f>
        <v>14.36</v>
      </c>
      <c r="F1028" s="580">
        <f ca="1">C1028*E1028</f>
        <v>244.12</v>
      </c>
    </row>
    <row r="1029" spans="1:6">
      <c r="A1029" s="653" t="s">
        <v>675</v>
      </c>
      <c r="B1029" s="588"/>
      <c r="C1029" s="664"/>
      <c r="D1029" s="655"/>
      <c r="E1029" s="662"/>
      <c r="F1029" s="580"/>
    </row>
    <row r="1030" spans="1:6">
      <c r="A1030" s="653" t="s">
        <v>296</v>
      </c>
      <c r="B1030" s="588" t="s">
        <v>414</v>
      </c>
      <c r="C1030" s="664">
        <v>11</v>
      </c>
      <c r="D1030" s="655" t="s">
        <v>335</v>
      </c>
      <c r="E1030" s="662">
        <f ca="1">Elec_Est!E2587</f>
        <v>14.36</v>
      </c>
      <c r="F1030" s="580">
        <f ca="1">C1030*E1030</f>
        <v>157.95999999999998</v>
      </c>
    </row>
    <row r="1031" spans="1:6">
      <c r="A1031" s="653" t="s">
        <v>675</v>
      </c>
      <c r="B1031" s="588"/>
      <c r="C1031" s="664"/>
      <c r="D1031" s="655"/>
      <c r="E1031" s="662"/>
      <c r="F1031" s="580"/>
    </row>
    <row r="1032" spans="1:6">
      <c r="A1032" s="653" t="s">
        <v>298</v>
      </c>
      <c r="B1032" s="588" t="s">
        <v>416</v>
      </c>
      <c r="C1032" s="664">
        <v>25</v>
      </c>
      <c r="D1032" s="655" t="s">
        <v>335</v>
      </c>
      <c r="E1032" s="662">
        <f ca="1">Elec_Est!E2594</f>
        <v>11.35</v>
      </c>
      <c r="F1032" s="580">
        <f ca="1">C1032*E1032</f>
        <v>283.75</v>
      </c>
    </row>
    <row r="1033" spans="1:6">
      <c r="A1033" s="653" t="s">
        <v>675</v>
      </c>
      <c r="B1033" s="588"/>
      <c r="C1033" s="664"/>
      <c r="D1033" s="655"/>
      <c r="E1033" s="662"/>
      <c r="F1033" s="580"/>
    </row>
    <row r="1034" spans="1:6">
      <c r="A1034" s="653" t="s">
        <v>300</v>
      </c>
      <c r="B1034" s="588" t="s">
        <v>418</v>
      </c>
      <c r="C1034" s="664">
        <v>1</v>
      </c>
      <c r="D1034" s="655" t="s">
        <v>335</v>
      </c>
      <c r="E1034" s="662">
        <f ca="1">Elec_Est!E2601</f>
        <v>9.15</v>
      </c>
      <c r="F1034" s="580">
        <f ca="1">C1034*E1034</f>
        <v>9.15</v>
      </c>
    </row>
    <row r="1035" spans="1:6">
      <c r="A1035" s="653" t="s">
        <v>675</v>
      </c>
      <c r="C1035" s="664"/>
      <c r="D1035" s="655"/>
      <c r="E1035" s="662"/>
      <c r="F1035" s="580"/>
    </row>
    <row r="1036" spans="1:6" ht="26.4">
      <c r="A1036" s="653" t="s">
        <v>302</v>
      </c>
      <c r="B1036" s="588" t="s">
        <v>419</v>
      </c>
      <c r="C1036" s="664">
        <v>8</v>
      </c>
      <c r="D1036" s="655" t="s">
        <v>335</v>
      </c>
      <c r="E1036" s="662">
        <f ca="1">Elec_Est!E2608</f>
        <v>49.48</v>
      </c>
      <c r="F1036" s="580">
        <f ca="1">C1036*E1036</f>
        <v>395.84</v>
      </c>
    </row>
    <row r="1037" spans="1:6">
      <c r="A1037" s="653" t="s">
        <v>675</v>
      </c>
      <c r="B1037" s="588"/>
      <c r="C1037" s="664"/>
      <c r="D1037" s="655"/>
      <c r="E1037" s="662"/>
      <c r="F1037" s="580"/>
    </row>
    <row r="1038" spans="1:6">
      <c r="A1038" s="653" t="s">
        <v>307</v>
      </c>
      <c r="B1038" s="588" t="s">
        <v>420</v>
      </c>
      <c r="C1038" s="664">
        <v>5</v>
      </c>
      <c r="D1038" s="655" t="s">
        <v>326</v>
      </c>
      <c r="E1038" s="662">
        <f ca="1">Elec_Est!E2615</f>
        <v>5.63</v>
      </c>
      <c r="F1038" s="580">
        <f ca="1">C1038*E1038</f>
        <v>28.15</v>
      </c>
    </row>
    <row r="1039" spans="1:6">
      <c r="A1039" s="653" t="s">
        <v>675</v>
      </c>
      <c r="B1039" s="588"/>
      <c r="C1039" s="664"/>
      <c r="D1039" s="655"/>
      <c r="E1039" s="662"/>
      <c r="F1039" s="580"/>
    </row>
    <row r="1040" spans="1:6">
      <c r="A1040" s="653" t="s">
        <v>308</v>
      </c>
      <c r="B1040" s="588" t="s">
        <v>439</v>
      </c>
      <c r="C1040" s="664">
        <v>1</v>
      </c>
      <c r="D1040" s="655" t="s">
        <v>335</v>
      </c>
      <c r="E1040" s="662">
        <f ca="1">Elec_Est!E2622</f>
        <v>37.51</v>
      </c>
      <c r="F1040" s="580">
        <f ca="1">C1040*E1040</f>
        <v>37.51</v>
      </c>
    </row>
    <row r="1041" spans="1:8">
      <c r="A1041" s="653" t="s">
        <v>675</v>
      </c>
      <c r="B1041" s="588"/>
      <c r="C1041" s="664"/>
      <c r="D1041" s="655"/>
      <c r="E1041" s="662"/>
      <c r="F1041" s="580"/>
    </row>
    <row r="1042" spans="1:8">
      <c r="A1042" s="653" t="s">
        <v>309</v>
      </c>
      <c r="B1042" s="588" t="s">
        <v>356</v>
      </c>
      <c r="C1042" s="664">
        <v>3</v>
      </c>
      <c r="D1042" s="655" t="s">
        <v>335</v>
      </c>
      <c r="E1042" s="662">
        <f ca="1">Elec_Est!E2629</f>
        <v>11.35</v>
      </c>
      <c r="F1042" s="580">
        <f ca="1">C1042*E1042</f>
        <v>34.049999999999997</v>
      </c>
    </row>
    <row r="1043" spans="1:8">
      <c r="A1043" s="653" t="s">
        <v>675</v>
      </c>
      <c r="B1043" s="588"/>
      <c r="C1043" s="664"/>
      <c r="D1043" s="655"/>
      <c r="E1043" s="662"/>
      <c r="F1043" s="580"/>
    </row>
    <row r="1044" spans="1:8">
      <c r="A1044" s="653" t="s">
        <v>310</v>
      </c>
      <c r="B1044" s="588" t="s">
        <v>422</v>
      </c>
      <c r="C1044" s="664">
        <v>6</v>
      </c>
      <c r="D1044" s="655" t="s">
        <v>335</v>
      </c>
      <c r="E1044" s="662">
        <f ca="1">Elec_Est!E2636</f>
        <v>11.35</v>
      </c>
      <c r="F1044" s="580">
        <f ca="1">C1044*E1044</f>
        <v>68.099999999999994</v>
      </c>
    </row>
    <row r="1045" spans="1:8">
      <c r="A1045" s="653" t="s">
        <v>675</v>
      </c>
      <c r="B1045" s="588"/>
      <c r="C1045" s="664"/>
      <c r="D1045" s="655"/>
      <c r="E1045" s="662"/>
      <c r="F1045" s="580"/>
    </row>
    <row r="1046" spans="1:8">
      <c r="A1046" s="653" t="s">
        <v>311</v>
      </c>
      <c r="B1046" s="588" t="s">
        <v>423</v>
      </c>
      <c r="C1046" s="664">
        <v>5</v>
      </c>
      <c r="D1046" s="655" t="s">
        <v>335</v>
      </c>
      <c r="E1046" s="662">
        <f ca="1">Elec_Est!E2643</f>
        <v>11.35</v>
      </c>
      <c r="F1046" s="580">
        <f ca="1">C1046*E1046</f>
        <v>56.75</v>
      </c>
    </row>
    <row r="1047" spans="1:8">
      <c r="A1047" s="653" t="s">
        <v>675</v>
      </c>
      <c r="B1047" s="588"/>
      <c r="C1047" s="664"/>
      <c r="D1047" s="655"/>
      <c r="E1047" s="662"/>
      <c r="F1047" s="580"/>
    </row>
    <row r="1048" spans="1:8" ht="26.4">
      <c r="A1048" s="653" t="s">
        <v>312</v>
      </c>
      <c r="B1048" s="588" t="s">
        <v>381</v>
      </c>
      <c r="C1048" s="664">
        <v>11</v>
      </c>
      <c r="D1048" s="655" t="s">
        <v>335</v>
      </c>
      <c r="E1048" s="662" t="str">
        <f>Elec_Est!Q2650</f>
        <v>Included in item 40l</v>
      </c>
      <c r="F1048" s="580"/>
    </row>
    <row r="1049" spans="1:8">
      <c r="A1049" s="653" t="s">
        <v>675</v>
      </c>
      <c r="B1049" s="588"/>
      <c r="C1049" s="664"/>
      <c r="D1049" s="655"/>
      <c r="E1049" s="662"/>
      <c r="F1049" s="580"/>
    </row>
    <row r="1050" spans="1:8">
      <c r="A1050" s="572" t="s">
        <v>675</v>
      </c>
      <c r="B1050" s="588"/>
      <c r="C1050" s="575"/>
      <c r="D1050" s="574"/>
      <c r="E1050" s="576"/>
      <c r="F1050" s="580"/>
    </row>
    <row r="1051" spans="1:8" ht="13.8" thickBot="1">
      <c r="A1051" s="572" t="s">
        <v>675</v>
      </c>
      <c r="B1051" s="573"/>
      <c r="C1051" s="575"/>
      <c r="D1051" s="574"/>
      <c r="E1051" s="669"/>
      <c r="F1051" s="580"/>
    </row>
    <row r="1052" spans="1:8">
      <c r="A1052" s="591" t="s">
        <v>675</v>
      </c>
      <c r="B1052" s="592"/>
      <c r="C1052" s="594"/>
      <c r="D1052" s="593"/>
      <c r="E1052" s="643"/>
      <c r="F1052" s="596"/>
    </row>
    <row r="1053" spans="1:8">
      <c r="A1053" s="597" t="s">
        <v>702</v>
      </c>
      <c r="B1053" s="598" t="s">
        <v>282</v>
      </c>
      <c r="C1053" s="600"/>
      <c r="D1053" s="599"/>
      <c r="E1053" s="601"/>
      <c r="F1053" s="602">
        <f ca="1">SUM(F1004:F1051)</f>
        <v>3838.1500000000005</v>
      </c>
      <c r="G1053" s="1202">
        <f ca="1">Elec_Est!F2657</f>
        <v>3838.1500000000005</v>
      </c>
      <c r="H1053" s="1203">
        <f ca="1">F1053-G1053</f>
        <v>0</v>
      </c>
    </row>
    <row r="1054" spans="1:8">
      <c r="A1054" s="603" t="s">
        <v>675</v>
      </c>
      <c r="B1054" s="604"/>
      <c r="C1054" s="606"/>
      <c r="D1054" s="605"/>
      <c r="E1054" s="644"/>
      <c r="F1054" s="608"/>
    </row>
    <row r="1055" spans="1:8" ht="17.399999999999999">
      <c r="A1055" s="609" t="s">
        <v>675</v>
      </c>
      <c r="B1055" s="610"/>
      <c r="C1055" s="551"/>
      <c r="D1055" s="550"/>
      <c r="E1055" s="645"/>
      <c r="F1055" s="698"/>
    </row>
    <row r="1056" spans="1:8" ht="13.2" customHeight="1">
      <c r="A1056" s="612" t="s">
        <v>675</v>
      </c>
      <c r="B1056" s="646"/>
      <c r="C1056" s="648"/>
      <c r="D1056" s="647"/>
      <c r="E1056" s="649"/>
      <c r="F1056" s="561"/>
    </row>
    <row r="1057" spans="1:6" ht="13.2" customHeight="1">
      <c r="A1057" s="612" t="s">
        <v>675</v>
      </c>
      <c r="B1057" s="646"/>
      <c r="C1057" s="648"/>
      <c r="D1057" s="647"/>
      <c r="E1057" s="649"/>
      <c r="F1057" s="561"/>
    </row>
    <row r="1058" spans="1:6">
      <c r="A1058" s="699" t="s">
        <v>675</v>
      </c>
      <c r="B1058" s="605"/>
      <c r="C1058" s="606"/>
      <c r="D1058" s="605"/>
      <c r="E1058" s="644"/>
      <c r="F1058" s="651"/>
    </row>
    <row r="1059" spans="1:6" ht="13.8" thickBot="1">
      <c r="A1059" s="710" t="s">
        <v>267</v>
      </c>
      <c r="B1059" s="711" t="s">
        <v>268</v>
      </c>
      <c r="C1059" s="703" t="s">
        <v>269</v>
      </c>
      <c r="D1059" s="702" t="s">
        <v>259</v>
      </c>
      <c r="E1059" s="704" t="s">
        <v>270</v>
      </c>
      <c r="F1059" s="705" t="s">
        <v>260</v>
      </c>
    </row>
    <row r="1060" spans="1:6">
      <c r="A1060" s="581" t="s">
        <v>675</v>
      </c>
      <c r="B1060" s="712"/>
      <c r="C1060" s="636"/>
      <c r="D1060" s="635"/>
      <c r="E1060" s="637"/>
      <c r="F1060" s="602"/>
    </row>
    <row r="1061" spans="1:6" ht="26.4">
      <c r="A1061" s="653" t="s">
        <v>313</v>
      </c>
      <c r="B1061" s="582" t="s">
        <v>348</v>
      </c>
      <c r="C1061" s="664">
        <v>4</v>
      </c>
      <c r="D1061" s="655" t="s">
        <v>335</v>
      </c>
      <c r="E1061" s="662">
        <f ca="1">Elec_Est!E2662</f>
        <v>13.21</v>
      </c>
      <c r="F1061" s="580">
        <f ca="1">C1061*E1061</f>
        <v>52.84</v>
      </c>
    </row>
    <row r="1062" spans="1:6">
      <c r="A1062" s="653" t="s">
        <v>675</v>
      </c>
      <c r="B1062" s="582"/>
      <c r="C1062" s="664"/>
      <c r="D1062" s="655"/>
      <c r="E1062" s="662"/>
      <c r="F1062" s="580"/>
    </row>
    <row r="1063" spans="1:6">
      <c r="A1063" s="653" t="s">
        <v>314</v>
      </c>
      <c r="B1063" s="588" t="s">
        <v>450</v>
      </c>
      <c r="C1063" s="664">
        <v>6</v>
      </c>
      <c r="D1063" s="655" t="s">
        <v>335</v>
      </c>
      <c r="E1063" s="662">
        <f ca="1">Elec_Est!E2669</f>
        <v>16.12</v>
      </c>
      <c r="F1063" s="580">
        <f ca="1">C1063*E1063</f>
        <v>96.72</v>
      </c>
    </row>
    <row r="1064" spans="1:6">
      <c r="A1064" s="653" t="s">
        <v>675</v>
      </c>
      <c r="B1064" s="588"/>
      <c r="C1064" s="664"/>
      <c r="D1064" s="655"/>
      <c r="E1064" s="662"/>
      <c r="F1064" s="580"/>
    </row>
    <row r="1065" spans="1:6">
      <c r="A1065" s="572" t="s">
        <v>315</v>
      </c>
      <c r="B1065" s="588" t="s">
        <v>425</v>
      </c>
      <c r="C1065" s="575">
        <v>3</v>
      </c>
      <c r="D1065" s="574" t="s">
        <v>335</v>
      </c>
      <c r="E1065" s="576">
        <f ca="1">Elec_Est!E2676</f>
        <v>11.35</v>
      </c>
      <c r="F1065" s="580">
        <f ca="1">C1065*E1065</f>
        <v>34.049999999999997</v>
      </c>
    </row>
    <row r="1066" spans="1:6">
      <c r="A1066" s="572" t="s">
        <v>675</v>
      </c>
      <c r="B1066" s="588"/>
      <c r="C1066" s="575"/>
      <c r="D1066" s="574"/>
      <c r="E1066" s="576"/>
      <c r="F1066" s="580"/>
    </row>
    <row r="1067" spans="1:6">
      <c r="A1067" s="572" t="s">
        <v>675</v>
      </c>
      <c r="B1067" s="588"/>
      <c r="C1067" s="575"/>
      <c r="D1067" s="574"/>
      <c r="E1067" s="576"/>
      <c r="F1067" s="580"/>
    </row>
    <row r="1068" spans="1:6">
      <c r="A1068" s="675" t="s">
        <v>703</v>
      </c>
      <c r="B1068" s="639" t="s">
        <v>358</v>
      </c>
      <c r="C1068" s="661"/>
      <c r="D1068" s="661"/>
      <c r="E1068" s="662"/>
      <c r="F1068" s="580"/>
    </row>
    <row r="1069" spans="1:6">
      <c r="A1069" s="675" t="s">
        <v>675</v>
      </c>
      <c r="B1069" s="658"/>
      <c r="C1069" s="661"/>
      <c r="D1069" s="661"/>
      <c r="E1069" s="662"/>
      <c r="F1069" s="580"/>
    </row>
    <row r="1070" spans="1:6" ht="26.4">
      <c r="A1070" s="675" t="s">
        <v>762</v>
      </c>
      <c r="B1070" s="688" t="s">
        <v>393</v>
      </c>
      <c r="C1070" s="664"/>
      <c r="D1070" s="661"/>
      <c r="E1070" s="662"/>
      <c r="F1070" s="580"/>
    </row>
    <row r="1071" spans="1:6">
      <c r="A1071" s="675" t="s">
        <v>675</v>
      </c>
      <c r="C1071" s="664"/>
      <c r="D1071" s="661"/>
      <c r="E1071" s="662"/>
      <c r="F1071" s="580"/>
    </row>
    <row r="1072" spans="1:6">
      <c r="A1072" s="675" t="s">
        <v>294</v>
      </c>
      <c r="B1072" s="554" t="s">
        <v>359</v>
      </c>
      <c r="C1072" s="664">
        <v>7</v>
      </c>
      <c r="D1072" s="655" t="s">
        <v>335</v>
      </c>
      <c r="E1072" s="662">
        <f ca="1">Elec_Est!E2691</f>
        <v>77.31</v>
      </c>
      <c r="F1072" s="580">
        <f ca="1">C1072*E1072</f>
        <v>541.17000000000007</v>
      </c>
    </row>
    <row r="1073" spans="1:6">
      <c r="A1073" s="675" t="s">
        <v>675</v>
      </c>
      <c r="B1073" s="639"/>
      <c r="C1073" s="664"/>
      <c r="D1073" s="655"/>
      <c r="E1073" s="662"/>
      <c r="F1073" s="580"/>
    </row>
    <row r="1074" spans="1:6">
      <c r="A1074" s="675" t="s">
        <v>296</v>
      </c>
      <c r="B1074" s="642" t="s">
        <v>360</v>
      </c>
      <c r="C1074" s="664">
        <v>4</v>
      </c>
      <c r="D1074" s="655" t="s">
        <v>335</v>
      </c>
      <c r="E1074" s="662">
        <f ca="1">Elec_Est!E2699</f>
        <v>79.36</v>
      </c>
      <c r="F1074" s="580">
        <f ca="1">C1074*E1074</f>
        <v>317.44</v>
      </c>
    </row>
    <row r="1075" spans="1:6">
      <c r="A1075" s="653" t="s">
        <v>675</v>
      </c>
      <c r="B1075" s="639"/>
      <c r="C1075" s="656"/>
      <c r="D1075" s="655"/>
      <c r="E1075" s="662"/>
      <c r="F1075" s="580"/>
    </row>
    <row r="1076" spans="1:6">
      <c r="A1076" s="653" t="s">
        <v>298</v>
      </c>
      <c r="B1076" s="642" t="s">
        <v>426</v>
      </c>
      <c r="C1076" s="656">
        <v>9</v>
      </c>
      <c r="D1076" s="655" t="s">
        <v>335</v>
      </c>
      <c r="E1076" s="662">
        <f ca="1">Elec_Est!E2707</f>
        <v>119.8</v>
      </c>
      <c r="F1076" s="580">
        <f ca="1">C1076*E1076</f>
        <v>1078.2</v>
      </c>
    </row>
    <row r="1077" spans="1:6">
      <c r="A1077" s="653" t="s">
        <v>675</v>
      </c>
      <c r="B1077" s="639"/>
      <c r="C1077" s="656"/>
      <c r="D1077" s="655"/>
      <c r="E1077" s="662"/>
      <c r="F1077" s="580"/>
    </row>
    <row r="1078" spans="1:6" ht="26.4">
      <c r="A1078" s="653" t="s">
        <v>300</v>
      </c>
      <c r="B1078" s="673" t="s">
        <v>427</v>
      </c>
      <c r="C1078" s="656">
        <v>9</v>
      </c>
      <c r="D1078" s="655" t="s">
        <v>335</v>
      </c>
      <c r="E1078" s="662">
        <f ca="1">Elec_Est!E2715</f>
        <v>119.8</v>
      </c>
      <c r="F1078" s="580">
        <f ca="1">C1078*E1078</f>
        <v>1078.2</v>
      </c>
    </row>
    <row r="1079" spans="1:6">
      <c r="A1079" s="653" t="s">
        <v>675</v>
      </c>
      <c r="B1079" s="673"/>
      <c r="C1079" s="656"/>
      <c r="D1079" s="655"/>
      <c r="E1079" s="662"/>
      <c r="F1079" s="580"/>
    </row>
    <row r="1080" spans="1:6">
      <c r="A1080" s="653" t="s">
        <v>302</v>
      </c>
      <c r="B1080" s="673" t="s">
        <v>362</v>
      </c>
      <c r="C1080" s="656">
        <v>3</v>
      </c>
      <c r="D1080" s="655" t="s">
        <v>335</v>
      </c>
      <c r="E1080" s="662">
        <f ca="1">Elec_Est!E2723</f>
        <v>115.17</v>
      </c>
      <c r="F1080" s="580">
        <f ca="1">C1080*E1080</f>
        <v>345.51</v>
      </c>
    </row>
    <row r="1081" spans="1:6">
      <c r="A1081" s="653" t="s">
        <v>675</v>
      </c>
      <c r="B1081" s="673"/>
      <c r="C1081" s="656"/>
      <c r="D1081" s="655"/>
      <c r="E1081" s="662"/>
      <c r="F1081" s="580"/>
    </row>
    <row r="1082" spans="1:6">
      <c r="A1082" s="653" t="s">
        <v>307</v>
      </c>
      <c r="B1082" s="673" t="s">
        <v>363</v>
      </c>
      <c r="C1082" s="656">
        <v>6</v>
      </c>
      <c r="D1082" s="655" t="s">
        <v>335</v>
      </c>
      <c r="E1082" s="662">
        <f ca="1">Elec_Est!E2731</f>
        <v>79.88</v>
      </c>
      <c r="F1082" s="580">
        <f ca="1">C1082*E1082</f>
        <v>479.28</v>
      </c>
    </row>
    <row r="1083" spans="1:6">
      <c r="A1083" s="653" t="s">
        <v>675</v>
      </c>
      <c r="B1083" s="673"/>
      <c r="C1083" s="656"/>
      <c r="D1083" s="655"/>
      <c r="E1083" s="662"/>
      <c r="F1083" s="580"/>
    </row>
    <row r="1084" spans="1:6">
      <c r="A1084" s="653" t="s">
        <v>308</v>
      </c>
      <c r="B1084" s="673" t="s">
        <v>364</v>
      </c>
      <c r="C1084" s="656">
        <v>5</v>
      </c>
      <c r="D1084" s="655" t="s">
        <v>335</v>
      </c>
      <c r="E1084" s="662">
        <f ca="1">Elec_Est!E2739</f>
        <v>79.88</v>
      </c>
      <c r="F1084" s="580">
        <f ca="1">C1084*E1084</f>
        <v>399.4</v>
      </c>
    </row>
    <row r="1085" spans="1:6">
      <c r="A1085" s="653" t="s">
        <v>675</v>
      </c>
      <c r="B1085" s="642"/>
      <c r="C1085" s="656"/>
      <c r="D1085" s="655"/>
      <c r="E1085" s="662"/>
      <c r="F1085" s="580"/>
    </row>
    <row r="1086" spans="1:6">
      <c r="A1086" s="653" t="s">
        <v>309</v>
      </c>
      <c r="B1086" s="642" t="s">
        <v>428</v>
      </c>
      <c r="C1086" s="656">
        <v>3</v>
      </c>
      <c r="D1086" s="655" t="s">
        <v>335</v>
      </c>
      <c r="E1086" s="662">
        <f ca="1">Elec_Est!E2747</f>
        <v>107.8</v>
      </c>
      <c r="F1086" s="580">
        <f ca="1">C1086*E1086</f>
        <v>323.39999999999998</v>
      </c>
    </row>
    <row r="1087" spans="1:6">
      <c r="A1087" s="653" t="s">
        <v>675</v>
      </c>
      <c r="B1087" s="588"/>
      <c r="C1087" s="664"/>
      <c r="D1087" s="655"/>
      <c r="E1087" s="662"/>
      <c r="F1087" s="580"/>
    </row>
    <row r="1088" spans="1:6">
      <c r="A1088" s="653" t="s">
        <v>675</v>
      </c>
      <c r="B1088" s="588"/>
      <c r="C1088" s="664"/>
      <c r="D1088" s="655"/>
      <c r="E1088" s="662"/>
      <c r="F1088" s="580"/>
    </row>
    <row r="1089" spans="1:6">
      <c r="A1089" s="675" t="s">
        <v>703</v>
      </c>
      <c r="B1089" s="639" t="s">
        <v>292</v>
      </c>
      <c r="C1089" s="664"/>
      <c r="D1089" s="661"/>
      <c r="E1089" s="657"/>
      <c r="F1089" s="580"/>
    </row>
    <row r="1090" spans="1:6">
      <c r="A1090" s="675" t="s">
        <v>675</v>
      </c>
      <c r="B1090" s="639"/>
      <c r="C1090" s="664"/>
      <c r="D1090" s="661"/>
      <c r="E1090" s="657"/>
      <c r="F1090" s="580"/>
    </row>
    <row r="1091" spans="1:6" ht="30.6" customHeight="1">
      <c r="A1091" s="675" t="s">
        <v>764</v>
      </c>
      <c r="B1091" s="582" t="s">
        <v>293</v>
      </c>
      <c r="C1091" s="664"/>
      <c r="D1091" s="661"/>
      <c r="E1091" s="657"/>
      <c r="F1091" s="580"/>
    </row>
    <row r="1092" spans="1:6">
      <c r="A1092" s="675" t="s">
        <v>675</v>
      </c>
      <c r="B1092" s="642"/>
      <c r="C1092" s="664"/>
      <c r="D1092" s="655"/>
      <c r="E1092" s="662"/>
      <c r="F1092" s="580"/>
    </row>
    <row r="1093" spans="1:6">
      <c r="A1093" s="675" t="s">
        <v>294</v>
      </c>
      <c r="B1093" s="642" t="s">
        <v>451</v>
      </c>
      <c r="C1093" s="575">
        <v>1</v>
      </c>
      <c r="D1093" s="655" t="s">
        <v>335</v>
      </c>
      <c r="E1093" s="662">
        <f>Elec_Est!E2763</f>
        <v>900.69</v>
      </c>
      <c r="F1093" s="580">
        <f>C1093*E1093</f>
        <v>900.69</v>
      </c>
    </row>
    <row r="1094" spans="1:6">
      <c r="A1094" s="675" t="s">
        <v>675</v>
      </c>
      <c r="B1094" s="642"/>
      <c r="C1094" s="636"/>
      <c r="D1094" s="655"/>
      <c r="E1094" s="662"/>
      <c r="F1094" s="580"/>
    </row>
    <row r="1095" spans="1:6">
      <c r="A1095" s="675" t="s">
        <v>296</v>
      </c>
      <c r="B1095" s="588" t="s">
        <v>452</v>
      </c>
      <c r="C1095" s="664">
        <v>1</v>
      </c>
      <c r="D1095" s="655" t="s">
        <v>335</v>
      </c>
      <c r="E1095" s="662">
        <f>Elec_Est!E2769</f>
        <v>124.4</v>
      </c>
      <c r="F1095" s="580">
        <f>C1095*E1095</f>
        <v>124.4</v>
      </c>
    </row>
    <row r="1096" spans="1:6">
      <c r="A1096" s="675" t="s">
        <v>675</v>
      </c>
      <c r="B1096" s="588"/>
      <c r="C1096" s="664"/>
      <c r="D1096" s="655"/>
      <c r="E1096" s="662"/>
      <c r="F1096" s="580"/>
    </row>
    <row r="1097" spans="1:6">
      <c r="A1097" s="675" t="s">
        <v>298</v>
      </c>
      <c r="B1097" s="588" t="s">
        <v>453</v>
      </c>
      <c r="C1097" s="664">
        <v>1</v>
      </c>
      <c r="D1097" s="655" t="s">
        <v>335</v>
      </c>
      <c r="E1097" s="662">
        <f>Elec_Est!E2775</f>
        <v>124.4</v>
      </c>
      <c r="F1097" s="580">
        <f>C1097*E1097</f>
        <v>124.4</v>
      </c>
    </row>
    <row r="1098" spans="1:6">
      <c r="A1098" s="675" t="s">
        <v>675</v>
      </c>
      <c r="B1098" s="588"/>
      <c r="C1098" s="664"/>
      <c r="D1098" s="655"/>
      <c r="E1098" s="662"/>
      <c r="F1098" s="580"/>
    </row>
    <row r="1099" spans="1:6">
      <c r="A1099" s="675" t="s">
        <v>300</v>
      </c>
      <c r="B1099" s="588" t="s">
        <v>454</v>
      </c>
      <c r="C1099" s="664">
        <v>1</v>
      </c>
      <c r="D1099" s="655" t="s">
        <v>335</v>
      </c>
      <c r="E1099" s="662">
        <f>Elec_Est!E2781</f>
        <v>124.4</v>
      </c>
      <c r="F1099" s="580">
        <f>C1099*E1099</f>
        <v>124.4</v>
      </c>
    </row>
    <row r="1100" spans="1:6">
      <c r="A1100" s="653" t="s">
        <v>675</v>
      </c>
      <c r="B1100" s="588"/>
      <c r="C1100" s="664"/>
      <c r="D1100" s="655"/>
      <c r="E1100" s="662"/>
      <c r="F1100" s="580"/>
    </row>
    <row r="1101" spans="1:6">
      <c r="A1101" s="653" t="s">
        <v>302</v>
      </c>
      <c r="B1101" s="588" t="s">
        <v>367</v>
      </c>
      <c r="C1101" s="664">
        <v>2</v>
      </c>
      <c r="D1101" s="655" t="s">
        <v>335</v>
      </c>
      <c r="E1101" s="662">
        <f>Elec_Est!E2787</f>
        <v>23.42</v>
      </c>
      <c r="F1101" s="580">
        <f>C1101*E1101</f>
        <v>46.84</v>
      </c>
    </row>
    <row r="1102" spans="1:6">
      <c r="A1102" s="653" t="s">
        <v>675</v>
      </c>
      <c r="B1102" s="588"/>
      <c r="C1102" s="664"/>
      <c r="D1102" s="655"/>
      <c r="E1102" s="662"/>
      <c r="F1102" s="580"/>
    </row>
    <row r="1103" spans="1:6">
      <c r="A1103" s="653" t="s">
        <v>675</v>
      </c>
      <c r="B1103" s="588"/>
      <c r="C1103" s="664"/>
      <c r="D1103" s="655"/>
      <c r="E1103" s="662"/>
      <c r="F1103" s="580"/>
    </row>
    <row r="1104" spans="1:6">
      <c r="A1104" s="653" t="s">
        <v>675</v>
      </c>
      <c r="B1104" s="588"/>
      <c r="C1104" s="664"/>
      <c r="D1104" s="655"/>
      <c r="E1104" s="662"/>
      <c r="F1104" s="580"/>
    </row>
    <row r="1105" spans="1:8">
      <c r="A1105" s="653" t="s">
        <v>675</v>
      </c>
      <c r="B1105" s="588"/>
      <c r="C1105" s="664"/>
      <c r="D1105" s="655"/>
      <c r="E1105" s="662"/>
      <c r="F1105" s="580"/>
    </row>
    <row r="1106" spans="1:8" ht="12.75" customHeight="1">
      <c r="A1106" s="653" t="s">
        <v>675</v>
      </c>
      <c r="B1106" s="588"/>
      <c r="C1106" s="664"/>
      <c r="D1106" s="655"/>
      <c r="E1106" s="662"/>
      <c r="F1106" s="580"/>
    </row>
    <row r="1107" spans="1:8" ht="13.8" thickBot="1">
      <c r="A1107" s="572" t="s">
        <v>675</v>
      </c>
      <c r="B1107" s="573"/>
      <c r="C1107" s="575"/>
      <c r="D1107" s="574"/>
      <c r="E1107" s="669"/>
      <c r="F1107" s="577"/>
    </row>
    <row r="1108" spans="1:8">
      <c r="A1108" s="591" t="s">
        <v>675</v>
      </c>
      <c r="B1108" s="592"/>
      <c r="C1108" s="594"/>
      <c r="D1108" s="593"/>
      <c r="E1108" s="643"/>
      <c r="F1108" s="596"/>
    </row>
    <row r="1109" spans="1:8">
      <c r="A1109" s="597" t="s">
        <v>702</v>
      </c>
      <c r="B1109" s="598" t="s">
        <v>282</v>
      </c>
      <c r="C1109" s="600"/>
      <c r="D1109" s="599"/>
      <c r="E1109" s="601"/>
      <c r="F1109" s="602">
        <f ca="1">SUM(F1060:F1107)</f>
        <v>6066.9399999999987</v>
      </c>
      <c r="G1109" s="1202">
        <f ca="1">Elec_Est!F2794</f>
        <v>6066.9399999999987</v>
      </c>
      <c r="H1109" s="1203">
        <f ca="1">F1109-G1109</f>
        <v>0</v>
      </c>
    </row>
    <row r="1110" spans="1:8">
      <c r="A1110" s="603" t="s">
        <v>675</v>
      </c>
      <c r="B1110" s="604"/>
      <c r="C1110" s="606"/>
      <c r="D1110" s="605"/>
      <c r="E1110" s="644"/>
      <c r="F1110" s="608"/>
    </row>
    <row r="1111" spans="1:8" ht="17.399999999999999">
      <c r="A1111" s="609" t="s">
        <v>675</v>
      </c>
      <c r="B1111" s="610"/>
      <c r="C1111" s="551"/>
      <c r="D1111" s="550"/>
      <c r="E1111" s="645"/>
      <c r="F1111" s="698"/>
    </row>
    <row r="1112" spans="1:8" ht="13.2" customHeight="1">
      <c r="A1112" s="612" t="s">
        <v>675</v>
      </c>
      <c r="B1112" s="646"/>
      <c r="C1112" s="648"/>
      <c r="D1112" s="647"/>
      <c r="E1112" s="649"/>
      <c r="F1112" s="561"/>
    </row>
    <row r="1113" spans="1:8" ht="13.2" customHeight="1">
      <c r="A1113" s="612" t="s">
        <v>675</v>
      </c>
      <c r="B1113" s="646"/>
      <c r="C1113" s="648"/>
      <c r="D1113" s="647"/>
      <c r="E1113" s="649"/>
      <c r="F1113" s="561"/>
    </row>
    <row r="1114" spans="1:8">
      <c r="A1114" s="699" t="s">
        <v>675</v>
      </c>
      <c r="B1114" s="605"/>
      <c r="C1114" s="606"/>
      <c r="D1114" s="605"/>
      <c r="E1114" s="644"/>
      <c r="F1114" s="651"/>
    </row>
    <row r="1115" spans="1:8" ht="13.8" thickBot="1">
      <c r="A1115" s="710" t="s">
        <v>267</v>
      </c>
      <c r="B1115" s="711" t="s">
        <v>268</v>
      </c>
      <c r="C1115" s="703" t="s">
        <v>269</v>
      </c>
      <c r="D1115" s="702" t="s">
        <v>259</v>
      </c>
      <c r="E1115" s="704" t="s">
        <v>270</v>
      </c>
      <c r="F1115" s="705" t="s">
        <v>260</v>
      </c>
    </row>
    <row r="1116" spans="1:8">
      <c r="A1116" s="581" t="s">
        <v>675</v>
      </c>
      <c r="B1116" s="712"/>
      <c r="C1116" s="636"/>
      <c r="D1116" s="635"/>
      <c r="E1116" s="637"/>
      <c r="F1116" s="602"/>
    </row>
    <row r="1117" spans="1:8" ht="26.4">
      <c r="A1117" s="653" t="s">
        <v>765</v>
      </c>
      <c r="B1117" s="582" t="s">
        <v>304</v>
      </c>
      <c r="C1117" s="664"/>
      <c r="D1117" s="655"/>
      <c r="E1117" s="662"/>
      <c r="F1117" s="580"/>
    </row>
    <row r="1118" spans="1:8">
      <c r="A1118" s="653" t="s">
        <v>675</v>
      </c>
      <c r="B1118" s="588"/>
      <c r="C1118" s="664"/>
      <c r="D1118" s="655"/>
      <c r="E1118" s="662"/>
      <c r="F1118" s="580"/>
    </row>
    <row r="1119" spans="1:8">
      <c r="A1119" s="675" t="s">
        <v>294</v>
      </c>
      <c r="B1119" s="642" t="s">
        <v>451</v>
      </c>
      <c r="C1119" s="575">
        <v>1</v>
      </c>
      <c r="D1119" s="655" t="s">
        <v>335</v>
      </c>
      <c r="E1119" s="662">
        <f>Elec_Est!E2803</f>
        <v>309.48</v>
      </c>
      <c r="F1119" s="580">
        <f>C1119*E1119</f>
        <v>309.48</v>
      </c>
    </row>
    <row r="1120" spans="1:8">
      <c r="A1120" s="675" t="s">
        <v>675</v>
      </c>
      <c r="B1120" s="642"/>
      <c r="C1120" s="636"/>
      <c r="D1120" s="655"/>
      <c r="E1120" s="662"/>
      <c r="F1120" s="580"/>
    </row>
    <row r="1121" spans="1:6">
      <c r="A1121" s="675" t="s">
        <v>296</v>
      </c>
      <c r="B1121" s="588" t="s">
        <v>452</v>
      </c>
      <c r="C1121" s="664">
        <v>1</v>
      </c>
      <c r="D1121" s="655" t="s">
        <v>335</v>
      </c>
      <c r="E1121" s="662">
        <f>Elec_Est!E2812</f>
        <v>161.1</v>
      </c>
      <c r="F1121" s="580">
        <f>C1121*E1121</f>
        <v>161.1</v>
      </c>
    </row>
    <row r="1122" spans="1:6">
      <c r="A1122" s="675" t="s">
        <v>675</v>
      </c>
      <c r="B1122" s="588"/>
      <c r="C1122" s="664"/>
      <c r="D1122" s="655"/>
      <c r="E1122" s="662"/>
      <c r="F1122" s="580"/>
    </row>
    <row r="1123" spans="1:6">
      <c r="A1123" s="675" t="s">
        <v>298</v>
      </c>
      <c r="B1123" s="588" t="s">
        <v>453</v>
      </c>
      <c r="C1123" s="664">
        <v>1</v>
      </c>
      <c r="D1123" s="655" t="s">
        <v>335</v>
      </c>
      <c r="E1123" s="662">
        <f>Elec_Est!E2822</f>
        <v>161.1</v>
      </c>
      <c r="F1123" s="580">
        <f>C1123*E1123</f>
        <v>161.1</v>
      </c>
    </row>
    <row r="1124" spans="1:6">
      <c r="A1124" s="675" t="s">
        <v>675</v>
      </c>
      <c r="B1124" s="588"/>
      <c r="C1124" s="664"/>
      <c r="D1124" s="655"/>
      <c r="E1124" s="662"/>
      <c r="F1124" s="580"/>
    </row>
    <row r="1125" spans="1:6">
      <c r="A1125" s="675" t="s">
        <v>300</v>
      </c>
      <c r="B1125" s="588" t="s">
        <v>454</v>
      </c>
      <c r="C1125" s="664">
        <v>1</v>
      </c>
      <c r="D1125" s="655" t="s">
        <v>335</v>
      </c>
      <c r="E1125" s="662">
        <f>Elec_Est!E2832</f>
        <v>161.1</v>
      </c>
      <c r="F1125" s="580">
        <f>C1125*E1125</f>
        <v>161.1</v>
      </c>
    </row>
    <row r="1126" spans="1:6">
      <c r="A1126" s="653" t="s">
        <v>675</v>
      </c>
      <c r="B1126" s="588"/>
      <c r="C1126" s="664"/>
      <c r="D1126" s="655"/>
      <c r="E1126" s="662"/>
      <c r="F1126" s="580"/>
    </row>
    <row r="1127" spans="1:6">
      <c r="A1127" s="653" t="s">
        <v>302</v>
      </c>
      <c r="B1127" s="588" t="s">
        <v>367</v>
      </c>
      <c r="C1127" s="664">
        <v>2</v>
      </c>
      <c r="D1127" s="655" t="s">
        <v>335</v>
      </c>
      <c r="E1127" s="662">
        <f>Elec_Est!E2842</f>
        <v>13.69</v>
      </c>
      <c r="F1127" s="580">
        <f>C1127*E1127</f>
        <v>27.38</v>
      </c>
    </row>
    <row r="1128" spans="1:6">
      <c r="A1128" s="653" t="s">
        <v>675</v>
      </c>
      <c r="B1128" s="588"/>
      <c r="C1128" s="664"/>
      <c r="D1128" s="655"/>
      <c r="E1128" s="662"/>
      <c r="F1128" s="580"/>
    </row>
    <row r="1129" spans="1:6">
      <c r="A1129" s="581" t="s">
        <v>675</v>
      </c>
      <c r="B1129" s="658"/>
      <c r="C1129" s="664"/>
      <c r="D1129" s="635"/>
      <c r="E1129" s="583"/>
      <c r="F1129" s="580"/>
    </row>
    <row r="1130" spans="1:6">
      <c r="A1130" s="581" t="s">
        <v>703</v>
      </c>
      <c r="B1130" s="578" t="s">
        <v>305</v>
      </c>
      <c r="C1130" s="636"/>
      <c r="D1130" s="635"/>
      <c r="E1130" s="583"/>
      <c r="F1130" s="580"/>
    </row>
    <row r="1131" spans="1:6">
      <c r="A1131" s="581" t="s">
        <v>675</v>
      </c>
      <c r="B1131" s="658"/>
      <c r="C1131" s="636"/>
      <c r="D1131" s="635"/>
      <c r="E1131" s="583"/>
      <c r="F1131" s="580"/>
    </row>
    <row r="1132" spans="1:6" ht="39.6">
      <c r="A1132" s="653" t="s">
        <v>766</v>
      </c>
      <c r="B1132" s="582" t="s">
        <v>687</v>
      </c>
      <c r="C1132" s="636"/>
      <c r="D1132" s="635"/>
      <c r="E1132" s="583"/>
      <c r="F1132" s="580"/>
    </row>
    <row r="1133" spans="1:6">
      <c r="A1133" s="581" t="s">
        <v>675</v>
      </c>
      <c r="B1133" s="659"/>
      <c r="C1133" s="636"/>
      <c r="D1133" s="635"/>
      <c r="E1133" s="583"/>
      <c r="F1133" s="580"/>
    </row>
    <row r="1134" spans="1:6">
      <c r="A1134" s="581" t="s">
        <v>675</v>
      </c>
      <c r="B1134" s="659"/>
      <c r="C1134" s="636"/>
      <c r="D1134" s="635"/>
      <c r="E1134" s="583"/>
      <c r="F1134" s="580"/>
    </row>
    <row r="1135" spans="1:6">
      <c r="A1135" s="581" t="s">
        <v>675</v>
      </c>
      <c r="B1135" s="658"/>
      <c r="C1135" s="636"/>
      <c r="D1135" s="635"/>
      <c r="E1135" s="583"/>
      <c r="F1135" s="580"/>
    </row>
    <row r="1136" spans="1:6">
      <c r="C1136" s="664"/>
      <c r="D1136" s="661"/>
      <c r="E1136" s="662"/>
      <c r="F1136" s="580"/>
    </row>
    <row r="1137" spans="1:6">
      <c r="A1137" s="653" t="s">
        <v>294</v>
      </c>
      <c r="B1137" s="582" t="s">
        <v>798</v>
      </c>
      <c r="C1137" s="664">
        <v>10</v>
      </c>
      <c r="D1137" s="661" t="s">
        <v>306</v>
      </c>
      <c r="E1137" s="662">
        <f ca="1">Elec_Est!E2859</f>
        <v>6.75</v>
      </c>
      <c r="F1137" s="580">
        <f ca="1">C1137*E1137</f>
        <v>67.5</v>
      </c>
    </row>
    <row r="1138" spans="1:6">
      <c r="A1138" s="653" t="s">
        <v>675</v>
      </c>
      <c r="B1138" s="582"/>
      <c r="C1138" s="664"/>
      <c r="D1138" s="655"/>
      <c r="E1138" s="662"/>
      <c r="F1138" s="580"/>
    </row>
    <row r="1139" spans="1:6">
      <c r="A1139" s="653" t="s">
        <v>675</v>
      </c>
      <c r="B1139" s="582"/>
      <c r="C1139" s="664"/>
      <c r="D1139" s="661"/>
      <c r="E1139" s="662"/>
      <c r="F1139" s="580"/>
    </row>
    <row r="1140" spans="1:6">
      <c r="A1140" s="653" t="s">
        <v>296</v>
      </c>
      <c r="B1140" s="582" t="s">
        <v>799</v>
      </c>
      <c r="C1140" s="664">
        <v>14</v>
      </c>
      <c r="D1140" s="655" t="s">
        <v>306</v>
      </c>
      <c r="E1140" s="662">
        <f ca="1">Elec_Est!E2866</f>
        <v>6.75</v>
      </c>
      <c r="F1140" s="580">
        <f ca="1">C1140*E1140</f>
        <v>94.5</v>
      </c>
    </row>
    <row r="1141" spans="1:6">
      <c r="A1141" s="653" t="s">
        <v>675</v>
      </c>
      <c r="B1141" s="582"/>
      <c r="C1141" s="664"/>
      <c r="D1141" s="655"/>
      <c r="E1141" s="662"/>
      <c r="F1141" s="580"/>
    </row>
    <row r="1142" spans="1:6">
      <c r="A1142" s="653" t="s">
        <v>675</v>
      </c>
      <c r="B1142" s="582"/>
      <c r="C1142" s="664"/>
      <c r="D1142" s="661"/>
      <c r="E1142" s="662"/>
      <c r="F1142" s="580"/>
    </row>
    <row r="1143" spans="1:6">
      <c r="A1143" s="653" t="s">
        <v>298</v>
      </c>
      <c r="B1143" s="582" t="s">
        <v>800</v>
      </c>
      <c r="C1143" s="664">
        <v>17</v>
      </c>
      <c r="D1143" s="661" t="s">
        <v>306</v>
      </c>
      <c r="E1143" s="662">
        <f ca="1">Elec_Est!E2873</f>
        <v>6.75</v>
      </c>
      <c r="F1143" s="580">
        <f ca="1">C1143*E1143</f>
        <v>114.75</v>
      </c>
    </row>
    <row r="1144" spans="1:6">
      <c r="C1144" s="664"/>
      <c r="D1144" s="661"/>
      <c r="E1144" s="662"/>
      <c r="F1144" s="580"/>
    </row>
    <row r="1145" spans="1:6">
      <c r="A1145" s="653" t="s">
        <v>675</v>
      </c>
      <c r="B1145" s="614"/>
      <c r="C1145" s="664"/>
      <c r="D1145" s="661"/>
      <c r="E1145" s="662"/>
      <c r="F1145" s="580"/>
    </row>
    <row r="1146" spans="1:6">
      <c r="A1146" s="653" t="s">
        <v>675</v>
      </c>
      <c r="B1146" s="614"/>
      <c r="C1146" s="664"/>
      <c r="D1146" s="661"/>
      <c r="E1146" s="662"/>
      <c r="F1146" s="580"/>
    </row>
    <row r="1147" spans="1:6">
      <c r="A1147" s="653" t="s">
        <v>675</v>
      </c>
      <c r="B1147" s="614"/>
      <c r="C1147" s="664"/>
      <c r="D1147" s="661"/>
      <c r="E1147" s="662"/>
      <c r="F1147" s="580"/>
    </row>
    <row r="1148" spans="1:6">
      <c r="A1148" s="653" t="s">
        <v>675</v>
      </c>
      <c r="B1148" s="614"/>
      <c r="C1148" s="664"/>
      <c r="D1148" s="661"/>
      <c r="E1148" s="662"/>
      <c r="F1148" s="580"/>
    </row>
    <row r="1149" spans="1:6">
      <c r="A1149" s="653" t="s">
        <v>675</v>
      </c>
      <c r="B1149" s="614"/>
      <c r="C1149" s="664"/>
      <c r="D1149" s="661"/>
      <c r="E1149" s="662"/>
      <c r="F1149" s="580"/>
    </row>
    <row r="1150" spans="1:6">
      <c r="A1150" s="653" t="s">
        <v>675</v>
      </c>
      <c r="B1150" s="614"/>
      <c r="C1150" s="664"/>
      <c r="D1150" s="661"/>
      <c r="E1150" s="662"/>
      <c r="F1150" s="580"/>
    </row>
    <row r="1151" spans="1:6">
      <c r="A1151" s="653" t="s">
        <v>675</v>
      </c>
      <c r="B1151" s="614"/>
      <c r="C1151" s="664"/>
      <c r="D1151" s="661"/>
      <c r="E1151" s="662"/>
      <c r="F1151" s="580"/>
    </row>
    <row r="1152" spans="1:6">
      <c r="A1152" s="653" t="s">
        <v>675</v>
      </c>
      <c r="B1152" s="614"/>
      <c r="C1152" s="664"/>
      <c r="D1152" s="661"/>
      <c r="E1152" s="662"/>
      <c r="F1152" s="580"/>
    </row>
    <row r="1153" spans="1:8">
      <c r="A1153" s="653" t="s">
        <v>675</v>
      </c>
      <c r="B1153" s="614"/>
      <c r="C1153" s="664"/>
      <c r="D1153" s="661"/>
      <c r="E1153" s="662"/>
      <c r="F1153" s="580"/>
    </row>
    <row r="1154" spans="1:8">
      <c r="A1154" s="653" t="s">
        <v>675</v>
      </c>
      <c r="B1154" s="614"/>
      <c r="C1154" s="664"/>
      <c r="D1154" s="661"/>
      <c r="E1154" s="662"/>
      <c r="F1154" s="580"/>
    </row>
    <row r="1155" spans="1:8">
      <c r="A1155" s="653" t="s">
        <v>675</v>
      </c>
      <c r="B1155" s="614"/>
      <c r="C1155" s="664"/>
      <c r="D1155" s="661"/>
      <c r="E1155" s="662"/>
      <c r="F1155" s="580"/>
    </row>
    <row r="1156" spans="1:8">
      <c r="A1156" s="653" t="s">
        <v>675</v>
      </c>
      <c r="B1156" s="614"/>
      <c r="C1156" s="664"/>
      <c r="D1156" s="661"/>
      <c r="E1156" s="662"/>
      <c r="F1156" s="580"/>
    </row>
    <row r="1157" spans="1:8">
      <c r="A1157" s="653" t="s">
        <v>675</v>
      </c>
      <c r="B1157" s="614"/>
      <c r="C1157" s="664"/>
      <c r="D1157" s="661"/>
      <c r="E1157" s="662"/>
      <c r="F1157" s="580"/>
    </row>
    <row r="1158" spans="1:8">
      <c r="A1158" s="653" t="s">
        <v>675</v>
      </c>
      <c r="B1158" s="614"/>
      <c r="C1158" s="664"/>
      <c r="D1158" s="661"/>
      <c r="E1158" s="662"/>
      <c r="F1158" s="580"/>
    </row>
    <row r="1159" spans="1:8">
      <c r="A1159" s="653" t="s">
        <v>675</v>
      </c>
      <c r="B1159" s="614"/>
      <c r="C1159" s="664"/>
      <c r="D1159" s="661"/>
      <c r="E1159" s="662"/>
      <c r="F1159" s="580"/>
    </row>
    <row r="1160" spans="1:8">
      <c r="A1160" s="653" t="s">
        <v>675</v>
      </c>
      <c r="B1160" s="614"/>
      <c r="C1160" s="664"/>
      <c r="D1160" s="661"/>
      <c r="E1160" s="662"/>
      <c r="F1160" s="580"/>
    </row>
    <row r="1161" spans="1:8">
      <c r="A1161" s="653" t="s">
        <v>675</v>
      </c>
      <c r="B1161" s="665"/>
      <c r="C1161" s="664"/>
      <c r="D1161" s="661"/>
      <c r="E1161" s="662"/>
      <c r="F1161" s="580"/>
    </row>
    <row r="1162" spans="1:8">
      <c r="A1162" s="572" t="s">
        <v>675</v>
      </c>
      <c r="B1162" s="578"/>
      <c r="C1162" s="575"/>
      <c r="D1162" s="574"/>
      <c r="E1162" s="576"/>
      <c r="F1162" s="580"/>
    </row>
    <row r="1163" spans="1:8">
      <c r="A1163" s="572" t="s">
        <v>675</v>
      </c>
      <c r="B1163" s="578"/>
      <c r="C1163" s="575"/>
      <c r="D1163" s="574"/>
      <c r="E1163" s="576"/>
      <c r="F1163" s="580"/>
    </row>
    <row r="1164" spans="1:8">
      <c r="A1164" s="653" t="s">
        <v>675</v>
      </c>
      <c r="B1164" s="659"/>
      <c r="C1164" s="656"/>
      <c r="D1164" s="655"/>
      <c r="E1164" s="662"/>
      <c r="F1164" s="580"/>
    </row>
    <row r="1165" spans="1:8">
      <c r="A1165" s="653" t="s">
        <v>675</v>
      </c>
      <c r="B1165" s="659"/>
      <c r="C1165" s="656"/>
      <c r="D1165" s="655"/>
      <c r="E1165" s="662"/>
      <c r="F1165" s="580"/>
    </row>
    <row r="1166" spans="1:8" ht="13.8" thickBot="1">
      <c r="A1166" s="653" t="s">
        <v>675</v>
      </c>
      <c r="B1166" s="573"/>
      <c r="C1166" s="575"/>
      <c r="D1166" s="574"/>
      <c r="E1166" s="662"/>
      <c r="F1166" s="580"/>
    </row>
    <row r="1167" spans="1:8">
      <c r="A1167" s="591" t="s">
        <v>675</v>
      </c>
      <c r="B1167" s="592"/>
      <c r="C1167" s="594"/>
      <c r="D1167" s="593"/>
      <c r="E1167" s="643"/>
      <c r="F1167" s="596"/>
    </row>
    <row r="1168" spans="1:8">
      <c r="A1168" s="597" t="s">
        <v>702</v>
      </c>
      <c r="B1168" s="598" t="s">
        <v>282</v>
      </c>
      <c r="C1168" s="600"/>
      <c r="D1168" s="599"/>
      <c r="E1168" s="601"/>
      <c r="F1168" s="602">
        <f ca="1">SUM(F1117:F1166)</f>
        <v>1096.9100000000001</v>
      </c>
      <c r="G1168" s="1202">
        <f ca="1">Elec_Est!F2881</f>
        <v>1096.9100000000001</v>
      </c>
      <c r="H1168" s="1203">
        <f ca="1">F1168-G1168</f>
        <v>0</v>
      </c>
    </row>
    <row r="1169" spans="1:6">
      <c r="A1169" s="603" t="s">
        <v>675</v>
      </c>
      <c r="B1169" s="604"/>
      <c r="C1169" s="606"/>
      <c r="D1169" s="605"/>
      <c r="E1169" s="644"/>
      <c r="F1169" s="608"/>
    </row>
    <row r="1170" spans="1:6" ht="12.75" customHeight="1">
      <c r="A1170" s="609" t="s">
        <v>675</v>
      </c>
      <c r="B1170" s="610"/>
      <c r="C1170" s="551"/>
      <c r="D1170" s="550"/>
      <c r="E1170" s="645"/>
      <c r="F1170" s="698"/>
    </row>
    <row r="1171" spans="1:6" ht="12.75" customHeight="1">
      <c r="A1171" s="612" t="s">
        <v>675</v>
      </c>
      <c r="B1171" s="646"/>
      <c r="C1171" s="648"/>
      <c r="D1171" s="647"/>
      <c r="E1171" s="649"/>
      <c r="F1171" s="561"/>
    </row>
    <row r="1172" spans="1:6">
      <c r="A1172" s="699" t="s">
        <v>675</v>
      </c>
      <c r="B1172" s="605"/>
      <c r="C1172" s="606"/>
      <c r="D1172" s="605"/>
      <c r="E1172" s="644"/>
      <c r="F1172" s="651"/>
    </row>
    <row r="1173" spans="1:6" ht="13.8" thickBot="1">
      <c r="A1173" s="710" t="s">
        <v>267</v>
      </c>
      <c r="B1173" s="711" t="s">
        <v>268</v>
      </c>
      <c r="C1173" s="703" t="s">
        <v>269</v>
      </c>
      <c r="D1173" s="702" t="s">
        <v>259</v>
      </c>
      <c r="E1173" s="704" t="s">
        <v>270</v>
      </c>
      <c r="F1173" s="705" t="s">
        <v>260</v>
      </c>
    </row>
    <row r="1174" spans="1:6">
      <c r="A1174" s="581" t="s">
        <v>675</v>
      </c>
      <c r="B1174" s="712"/>
      <c r="C1174" s="636"/>
      <c r="D1174" s="635"/>
      <c r="E1174" s="637"/>
      <c r="F1174" s="602"/>
    </row>
    <row r="1175" spans="1:6" ht="15.6">
      <c r="A1175" s="653" t="s">
        <v>703</v>
      </c>
      <c r="B1175" s="672" t="s">
        <v>455</v>
      </c>
      <c r="C1175" s="664"/>
      <c r="D1175" s="655"/>
      <c r="E1175" s="657"/>
      <c r="F1175" s="577"/>
    </row>
    <row r="1176" spans="1:6">
      <c r="A1176" s="653" t="s">
        <v>675</v>
      </c>
      <c r="B1176" s="639"/>
      <c r="C1176" s="664"/>
      <c r="D1176" s="655"/>
      <c r="E1176" s="662"/>
      <c r="F1176" s="580"/>
    </row>
    <row r="1177" spans="1:6" ht="18.75" customHeight="1">
      <c r="A1177" s="653" t="s">
        <v>703</v>
      </c>
      <c r="B1177" s="639" t="s">
        <v>332</v>
      </c>
      <c r="C1177" s="664"/>
      <c r="D1177" s="655"/>
      <c r="E1177" s="707"/>
      <c r="F1177" s="580"/>
    </row>
    <row r="1178" spans="1:6">
      <c r="A1178" s="653" t="s">
        <v>675</v>
      </c>
      <c r="B1178" s="598"/>
      <c r="C1178" s="664"/>
      <c r="D1178" s="655"/>
      <c r="E1178" s="707"/>
      <c r="F1178" s="580"/>
    </row>
    <row r="1179" spans="1:6" ht="26.4">
      <c r="A1179" s="653" t="s">
        <v>767</v>
      </c>
      <c r="B1179" s="582" t="s">
        <v>333</v>
      </c>
      <c r="C1179" s="664"/>
      <c r="D1179" s="686"/>
      <c r="E1179" s="662"/>
      <c r="F1179" s="580"/>
    </row>
    <row r="1180" spans="1:6">
      <c r="A1180" s="653" t="s">
        <v>675</v>
      </c>
      <c r="B1180" s="659"/>
      <c r="C1180" s="664"/>
      <c r="D1180" s="686"/>
      <c r="E1180" s="662"/>
      <c r="F1180" s="580"/>
    </row>
    <row r="1181" spans="1:6">
      <c r="A1181" s="653" t="s">
        <v>294</v>
      </c>
      <c r="B1181" s="659" t="s">
        <v>334</v>
      </c>
      <c r="C1181" s="664">
        <v>2</v>
      </c>
      <c r="D1181" s="655" t="s">
        <v>335</v>
      </c>
      <c r="E1181" s="662">
        <f ca="1">Elec_Est!E2898</f>
        <v>57.85</v>
      </c>
      <c r="F1181" s="580">
        <f ca="1">E1181*C1181</f>
        <v>115.7</v>
      </c>
    </row>
    <row r="1182" spans="1:6">
      <c r="A1182" s="653" t="s">
        <v>675</v>
      </c>
      <c r="B1182" s="659"/>
      <c r="C1182" s="664"/>
      <c r="D1182" s="686"/>
      <c r="E1182" s="662"/>
      <c r="F1182" s="580"/>
    </row>
    <row r="1183" spans="1:6">
      <c r="A1183" s="653" t="s">
        <v>296</v>
      </c>
      <c r="B1183" s="659" t="s">
        <v>401</v>
      </c>
      <c r="C1183" s="664">
        <v>3</v>
      </c>
      <c r="D1183" s="655" t="s">
        <v>335</v>
      </c>
      <c r="E1183" s="662">
        <f ca="1">Elec_Est!E2905</f>
        <v>86.78</v>
      </c>
      <c r="F1183" s="580">
        <f t="shared" ref="F1183:F1219" ca="1" si="1">E1183*C1183</f>
        <v>260.34000000000003</v>
      </c>
    </row>
    <row r="1184" spans="1:6">
      <c r="A1184" s="653" t="s">
        <v>675</v>
      </c>
      <c r="B1184" s="659"/>
      <c r="C1184" s="664"/>
      <c r="D1184" s="686"/>
      <c r="E1184" s="662"/>
      <c r="F1184" s="580"/>
    </row>
    <row r="1185" spans="1:6">
      <c r="A1185" s="653" t="s">
        <v>298</v>
      </c>
      <c r="B1185" s="588" t="s">
        <v>456</v>
      </c>
      <c r="C1185" s="664">
        <v>1</v>
      </c>
      <c r="D1185" s="655" t="s">
        <v>335</v>
      </c>
      <c r="E1185" s="662">
        <f ca="1">Elec_Est!E2912</f>
        <v>202.49</v>
      </c>
      <c r="F1185" s="580">
        <f t="shared" ca="1" si="1"/>
        <v>202.49</v>
      </c>
    </row>
    <row r="1186" spans="1:6">
      <c r="A1186" s="653" t="s">
        <v>675</v>
      </c>
      <c r="B1186" s="588"/>
      <c r="C1186" s="664"/>
      <c r="D1186" s="655"/>
      <c r="E1186" s="662"/>
      <c r="F1186" s="580"/>
    </row>
    <row r="1187" spans="1:6">
      <c r="A1187" s="653" t="s">
        <v>300</v>
      </c>
      <c r="B1187" s="588" t="s">
        <v>448</v>
      </c>
      <c r="C1187" s="664">
        <v>1</v>
      </c>
      <c r="D1187" s="655" t="s">
        <v>335</v>
      </c>
      <c r="E1187" s="662">
        <f ca="1">Elec_Est!E2919</f>
        <v>144.63</v>
      </c>
      <c r="F1187" s="580">
        <f t="shared" ca="1" si="1"/>
        <v>144.63</v>
      </c>
    </row>
    <row r="1188" spans="1:6">
      <c r="A1188" s="653" t="s">
        <v>675</v>
      </c>
      <c r="B1188" s="588"/>
      <c r="C1188" s="664"/>
      <c r="D1188" s="655"/>
      <c r="E1188" s="662"/>
      <c r="F1188" s="580"/>
    </row>
    <row r="1189" spans="1:6">
      <c r="A1189" s="653" t="s">
        <v>302</v>
      </c>
      <c r="B1189" s="588" t="s">
        <v>457</v>
      </c>
      <c r="C1189" s="664">
        <v>1</v>
      </c>
      <c r="D1189" s="655" t="s">
        <v>335</v>
      </c>
      <c r="E1189" s="662">
        <f ca="1">Elec_Est!E2926</f>
        <v>202.49</v>
      </c>
      <c r="F1189" s="580">
        <f t="shared" ca="1" si="1"/>
        <v>202.49</v>
      </c>
    </row>
    <row r="1190" spans="1:6">
      <c r="A1190" s="653" t="s">
        <v>675</v>
      </c>
      <c r="B1190" s="588"/>
      <c r="C1190" s="664"/>
      <c r="D1190" s="655"/>
      <c r="E1190" s="662"/>
      <c r="F1190" s="580"/>
    </row>
    <row r="1191" spans="1:6">
      <c r="A1191" s="653" t="s">
        <v>307</v>
      </c>
      <c r="B1191" s="588" t="s">
        <v>404</v>
      </c>
      <c r="C1191" s="664">
        <v>2</v>
      </c>
      <c r="D1191" s="655" t="s">
        <v>335</v>
      </c>
      <c r="E1191" s="662">
        <f ca="1">Elec_Est!E2933</f>
        <v>260.33999999999997</v>
      </c>
      <c r="F1191" s="580">
        <f t="shared" ca="1" si="1"/>
        <v>520.67999999999995</v>
      </c>
    </row>
    <row r="1192" spans="1:6">
      <c r="A1192" s="653" t="s">
        <v>675</v>
      </c>
      <c r="B1192" s="588"/>
      <c r="C1192" s="664"/>
      <c r="D1192" s="655"/>
      <c r="E1192" s="662"/>
      <c r="F1192" s="580"/>
    </row>
    <row r="1193" spans="1:6" ht="26.4">
      <c r="A1193" s="653" t="s">
        <v>308</v>
      </c>
      <c r="B1193" s="588" t="s">
        <v>435</v>
      </c>
      <c r="C1193" s="664">
        <v>1</v>
      </c>
      <c r="D1193" s="655" t="s">
        <v>335</v>
      </c>
      <c r="E1193" s="662">
        <f ca="1">Elec_Est!E2940</f>
        <v>144.63</v>
      </c>
      <c r="F1193" s="580">
        <f t="shared" ca="1" si="1"/>
        <v>144.63</v>
      </c>
    </row>
    <row r="1194" spans="1:6">
      <c r="A1194" s="653" t="s">
        <v>675</v>
      </c>
      <c r="B1194" s="588"/>
      <c r="C1194" s="664"/>
      <c r="D1194" s="655"/>
      <c r="E1194" s="662"/>
      <c r="F1194" s="580"/>
    </row>
    <row r="1195" spans="1:6" ht="26.4">
      <c r="A1195" s="653" t="s">
        <v>309</v>
      </c>
      <c r="B1195" s="588" t="s">
        <v>402</v>
      </c>
      <c r="C1195" s="664">
        <v>1</v>
      </c>
      <c r="D1195" s="655" t="s">
        <v>335</v>
      </c>
      <c r="E1195" s="662">
        <f ca="1">Elec_Est!E2947</f>
        <v>173.56</v>
      </c>
      <c r="F1195" s="580">
        <f t="shared" ca="1" si="1"/>
        <v>173.56</v>
      </c>
    </row>
    <row r="1196" spans="1:6">
      <c r="A1196" s="653" t="s">
        <v>675</v>
      </c>
      <c r="B1196" s="588"/>
      <c r="C1196" s="664"/>
      <c r="D1196" s="655"/>
      <c r="E1196" s="662"/>
      <c r="F1196" s="580"/>
    </row>
    <row r="1197" spans="1:6" ht="26.4">
      <c r="A1197" s="653" t="s">
        <v>310</v>
      </c>
      <c r="B1197" s="588" t="s">
        <v>403</v>
      </c>
      <c r="C1197" s="664">
        <v>1</v>
      </c>
      <c r="D1197" s="655" t="s">
        <v>335</v>
      </c>
      <c r="E1197" s="662">
        <f ca="1">Elec_Est!E2954</f>
        <v>202.49</v>
      </c>
      <c r="F1197" s="580">
        <f t="shared" ca="1" si="1"/>
        <v>202.49</v>
      </c>
    </row>
    <row r="1198" spans="1:6">
      <c r="A1198" s="653" t="s">
        <v>675</v>
      </c>
      <c r="B1198" s="588"/>
      <c r="C1198" s="664"/>
      <c r="D1198" s="655"/>
      <c r="E1198" s="662"/>
      <c r="F1198" s="580"/>
    </row>
    <row r="1199" spans="1:6" ht="39.6">
      <c r="A1199" s="653" t="s">
        <v>311</v>
      </c>
      <c r="B1199" s="582" t="s">
        <v>449</v>
      </c>
      <c r="C1199" s="664">
        <v>3</v>
      </c>
      <c r="D1199" s="655" t="s">
        <v>335</v>
      </c>
      <c r="E1199" s="662">
        <f ca="1">Elec_Est!E2961</f>
        <v>288.58999999999997</v>
      </c>
      <c r="F1199" s="580">
        <f t="shared" ca="1" si="1"/>
        <v>865.77</v>
      </c>
    </row>
    <row r="1200" spans="1:6">
      <c r="A1200" s="653" t="s">
        <v>675</v>
      </c>
      <c r="B1200" s="588"/>
      <c r="C1200" s="664"/>
      <c r="D1200" s="655"/>
      <c r="E1200" s="662"/>
      <c r="F1200" s="580"/>
    </row>
    <row r="1201" spans="1:6">
      <c r="A1201" s="653" t="s">
        <v>312</v>
      </c>
      <c r="B1201" s="588" t="s">
        <v>381</v>
      </c>
      <c r="C1201" s="664">
        <v>11</v>
      </c>
      <c r="D1201" s="655" t="s">
        <v>335</v>
      </c>
      <c r="E1201" s="662">
        <f ca="1">Elec_Est!E2972</f>
        <v>74.08</v>
      </c>
      <c r="F1201" s="580">
        <f t="shared" ca="1" si="1"/>
        <v>814.88</v>
      </c>
    </row>
    <row r="1202" spans="1:6">
      <c r="A1202" s="653" t="s">
        <v>675</v>
      </c>
      <c r="B1202" s="588"/>
      <c r="C1202" s="664"/>
      <c r="D1202" s="655"/>
      <c r="E1202" s="662"/>
      <c r="F1202" s="580"/>
    </row>
    <row r="1203" spans="1:6">
      <c r="A1203" s="653" t="s">
        <v>313</v>
      </c>
      <c r="B1203" s="588" t="s">
        <v>406</v>
      </c>
      <c r="C1203" s="664">
        <v>6</v>
      </c>
      <c r="D1203" s="655" t="s">
        <v>335</v>
      </c>
      <c r="E1203" s="662">
        <f ca="1">Elec_Est!E2980</f>
        <v>57.85</v>
      </c>
      <c r="F1203" s="580">
        <f t="shared" ca="1" si="1"/>
        <v>347.1</v>
      </c>
    </row>
    <row r="1204" spans="1:6">
      <c r="A1204" s="653" t="s">
        <v>675</v>
      </c>
      <c r="B1204" s="588"/>
      <c r="C1204" s="664"/>
      <c r="D1204" s="655"/>
      <c r="E1204" s="662"/>
      <c r="F1204" s="580"/>
    </row>
    <row r="1205" spans="1:6">
      <c r="A1205" s="653" t="s">
        <v>314</v>
      </c>
      <c r="B1205" s="588" t="s">
        <v>407</v>
      </c>
      <c r="C1205" s="664">
        <v>4</v>
      </c>
      <c r="D1205" s="655" t="s">
        <v>335</v>
      </c>
      <c r="E1205" s="662">
        <f ca="1">Elec_Est!E2987</f>
        <v>57.85</v>
      </c>
      <c r="F1205" s="580">
        <f t="shared" ca="1" si="1"/>
        <v>231.4</v>
      </c>
    </row>
    <row r="1206" spans="1:6">
      <c r="A1206" s="653" t="s">
        <v>675</v>
      </c>
      <c r="B1206" s="588"/>
      <c r="C1206" s="664"/>
      <c r="D1206" s="655"/>
      <c r="E1206" s="662"/>
      <c r="F1206" s="580"/>
    </row>
    <row r="1207" spans="1:6">
      <c r="A1207" s="653" t="s">
        <v>315</v>
      </c>
      <c r="B1207" s="588" t="s">
        <v>408</v>
      </c>
      <c r="C1207" s="664">
        <v>3</v>
      </c>
      <c r="D1207" s="655" t="s">
        <v>335</v>
      </c>
      <c r="E1207" s="662">
        <f ca="1">Elec_Est!E2994</f>
        <v>57.85</v>
      </c>
      <c r="F1207" s="580">
        <f t="shared" ca="1" si="1"/>
        <v>173.55</v>
      </c>
    </row>
    <row r="1208" spans="1:6">
      <c r="A1208" s="653" t="s">
        <v>675</v>
      </c>
      <c r="B1208" s="588"/>
      <c r="C1208" s="664"/>
      <c r="D1208" s="655"/>
      <c r="E1208" s="662"/>
      <c r="F1208" s="580"/>
    </row>
    <row r="1209" spans="1:6">
      <c r="A1209" s="653" t="s">
        <v>316</v>
      </c>
      <c r="B1209" s="588" t="s">
        <v>409</v>
      </c>
      <c r="C1209" s="664">
        <v>3</v>
      </c>
      <c r="D1209" s="655" t="s">
        <v>335</v>
      </c>
      <c r="E1209" s="662">
        <f ca="1">Elec_Est!E3001</f>
        <v>57.85</v>
      </c>
      <c r="F1209" s="580">
        <f t="shared" ca="1" si="1"/>
        <v>173.55</v>
      </c>
    </row>
    <row r="1210" spans="1:6">
      <c r="A1210" s="653" t="s">
        <v>675</v>
      </c>
      <c r="B1210" s="588"/>
      <c r="C1210" s="664"/>
      <c r="D1210" s="655"/>
      <c r="E1210" s="662"/>
      <c r="F1210" s="580"/>
    </row>
    <row r="1211" spans="1:6">
      <c r="A1211" s="653" t="s">
        <v>317</v>
      </c>
      <c r="B1211" s="588" t="s">
        <v>340</v>
      </c>
      <c r="C1211" s="664">
        <v>2</v>
      </c>
      <c r="D1211" s="655" t="s">
        <v>335</v>
      </c>
      <c r="E1211" s="662">
        <f ca="1">Elec_Est!E3008</f>
        <v>88.56</v>
      </c>
      <c r="F1211" s="580">
        <f t="shared" ca="1" si="1"/>
        <v>177.12</v>
      </c>
    </row>
    <row r="1212" spans="1:6">
      <c r="A1212" s="653" t="s">
        <v>675</v>
      </c>
      <c r="B1212" s="588"/>
      <c r="C1212" s="664"/>
      <c r="D1212" s="655"/>
      <c r="E1212" s="662"/>
      <c r="F1212" s="580"/>
    </row>
    <row r="1213" spans="1:6">
      <c r="A1213" s="653" t="s">
        <v>318</v>
      </c>
      <c r="B1213" s="588" t="s">
        <v>344</v>
      </c>
      <c r="C1213" s="664">
        <v>4</v>
      </c>
      <c r="D1213" s="655" t="s">
        <v>335</v>
      </c>
      <c r="E1213" s="662">
        <f ca="1">Elec_Est!E3017</f>
        <v>57.85</v>
      </c>
      <c r="F1213" s="580">
        <f t="shared" ca="1" si="1"/>
        <v>231.4</v>
      </c>
    </row>
    <row r="1214" spans="1:6">
      <c r="A1214" s="653" t="s">
        <v>675</v>
      </c>
      <c r="B1214" s="588"/>
      <c r="C1214" s="664"/>
      <c r="D1214" s="655"/>
      <c r="E1214" s="662"/>
      <c r="F1214" s="580"/>
    </row>
    <row r="1215" spans="1:6">
      <c r="A1215" s="653" t="s">
        <v>675</v>
      </c>
      <c r="B1215" s="588"/>
      <c r="C1215" s="664"/>
      <c r="D1215" s="655"/>
      <c r="E1215" s="662"/>
      <c r="F1215" s="580"/>
    </row>
    <row r="1216" spans="1:6" ht="26.4">
      <c r="A1216" s="653" t="s">
        <v>768</v>
      </c>
      <c r="B1216" s="687" t="s">
        <v>376</v>
      </c>
      <c r="C1216" s="664"/>
      <c r="D1216" s="655"/>
      <c r="E1216" s="662"/>
      <c r="F1216" s="580"/>
    </row>
    <row r="1217" spans="1:8">
      <c r="A1217" s="653" t="s">
        <v>675</v>
      </c>
      <c r="B1217" s="588"/>
      <c r="C1217" s="664"/>
      <c r="D1217" s="655"/>
      <c r="E1217" s="662"/>
      <c r="F1217" s="580"/>
    </row>
    <row r="1218" spans="1:8">
      <c r="A1218" s="653" t="s">
        <v>294</v>
      </c>
      <c r="B1218" s="588" t="s">
        <v>377</v>
      </c>
      <c r="C1218" s="664">
        <v>4</v>
      </c>
      <c r="D1218" s="655" t="s">
        <v>335</v>
      </c>
      <c r="E1218" s="662">
        <f ca="1">Elec_Est!E3028</f>
        <v>67.06</v>
      </c>
      <c r="F1218" s="580">
        <f t="shared" ca="1" si="1"/>
        <v>268.24</v>
      </c>
    </row>
    <row r="1219" spans="1:8">
      <c r="A1219" s="653" t="s">
        <v>296</v>
      </c>
      <c r="B1219" s="588" t="s">
        <v>378</v>
      </c>
      <c r="C1219" s="664">
        <v>8</v>
      </c>
      <c r="D1219" s="655" t="s">
        <v>335</v>
      </c>
      <c r="E1219" s="662">
        <f ca="1">Elec_Est!E3037</f>
        <v>124.92</v>
      </c>
      <c r="F1219" s="580">
        <f t="shared" ca="1" si="1"/>
        <v>999.36</v>
      </c>
    </row>
    <row r="1220" spans="1:8" ht="13.8" thickBot="1">
      <c r="A1220" s="572" t="s">
        <v>675</v>
      </c>
      <c r="B1220" s="573"/>
      <c r="C1220" s="575"/>
      <c r="D1220" s="574"/>
      <c r="E1220" s="669"/>
      <c r="F1220" s="580"/>
    </row>
    <row r="1221" spans="1:8">
      <c r="A1221" s="591" t="s">
        <v>675</v>
      </c>
      <c r="B1221" s="592"/>
      <c r="C1221" s="594"/>
      <c r="D1221" s="593"/>
      <c r="E1221" s="643"/>
      <c r="F1221" s="596"/>
    </row>
    <row r="1222" spans="1:8">
      <c r="A1222" s="597" t="s">
        <v>702</v>
      </c>
      <c r="B1222" s="598" t="s">
        <v>282</v>
      </c>
      <c r="C1222" s="600"/>
      <c r="D1222" s="599"/>
      <c r="E1222" s="601"/>
      <c r="F1222" s="602">
        <f ca="1">SUM(F1174:F1220)</f>
        <v>6249.3799999999992</v>
      </c>
      <c r="G1222" s="1202">
        <f ca="1">Elec_Est!F3047</f>
        <v>6249.3799999999992</v>
      </c>
      <c r="H1222" s="1203">
        <f ca="1">F1222-G1222</f>
        <v>0</v>
      </c>
    </row>
    <row r="1223" spans="1:8">
      <c r="A1223" s="603" t="s">
        <v>675</v>
      </c>
      <c r="B1223" s="604"/>
      <c r="C1223" s="606"/>
      <c r="D1223" s="605"/>
      <c r="E1223" s="644"/>
      <c r="F1223" s="608"/>
    </row>
    <row r="1224" spans="1:8" ht="17.399999999999999">
      <c r="A1224" s="609" t="s">
        <v>675</v>
      </c>
      <c r="B1224" s="610"/>
      <c r="C1224" s="551"/>
      <c r="D1224" s="550"/>
      <c r="E1224" s="645"/>
      <c r="F1224" s="698"/>
    </row>
    <row r="1225" spans="1:8" ht="13.2" customHeight="1">
      <c r="A1225" s="612" t="s">
        <v>675</v>
      </c>
      <c r="B1225" s="646"/>
      <c r="C1225" s="648"/>
      <c r="D1225" s="647"/>
      <c r="E1225" s="649"/>
      <c r="F1225" s="561"/>
    </row>
    <row r="1226" spans="1:8" ht="13.2" customHeight="1">
      <c r="A1226" s="612" t="s">
        <v>675</v>
      </c>
      <c r="B1226" s="646"/>
      <c r="C1226" s="648"/>
      <c r="D1226" s="647"/>
      <c r="E1226" s="649"/>
      <c r="F1226" s="561"/>
    </row>
    <row r="1227" spans="1:8">
      <c r="A1227" s="699" t="s">
        <v>675</v>
      </c>
      <c r="B1227" s="605"/>
      <c r="C1227" s="606"/>
      <c r="D1227" s="605"/>
      <c r="E1227" s="644"/>
      <c r="F1227" s="651"/>
    </row>
    <row r="1228" spans="1:8" ht="13.8" thickBot="1">
      <c r="A1228" s="710" t="s">
        <v>267</v>
      </c>
      <c r="B1228" s="711" t="s">
        <v>268</v>
      </c>
      <c r="C1228" s="703" t="s">
        <v>269</v>
      </c>
      <c r="D1228" s="702" t="s">
        <v>259</v>
      </c>
      <c r="E1228" s="704" t="s">
        <v>270</v>
      </c>
      <c r="F1228" s="705" t="s">
        <v>260</v>
      </c>
    </row>
    <row r="1229" spans="1:8">
      <c r="A1229" s="581" t="s">
        <v>675</v>
      </c>
      <c r="B1229" s="712"/>
      <c r="C1229" s="636"/>
      <c r="D1229" s="635"/>
      <c r="E1229" s="637"/>
      <c r="F1229" s="602"/>
    </row>
    <row r="1230" spans="1:8" ht="12.75" customHeight="1">
      <c r="A1230" s="653" t="s">
        <v>769</v>
      </c>
      <c r="B1230" s="687" t="s">
        <v>379</v>
      </c>
      <c r="C1230" s="664"/>
      <c r="D1230" s="655"/>
      <c r="E1230" s="662"/>
      <c r="F1230" s="580"/>
    </row>
    <row r="1231" spans="1:8">
      <c r="A1231" s="653" t="s">
        <v>675</v>
      </c>
      <c r="B1231" s="588"/>
      <c r="C1231" s="664"/>
      <c r="D1231" s="655"/>
      <c r="E1231" s="662"/>
      <c r="F1231" s="580"/>
    </row>
    <row r="1232" spans="1:8">
      <c r="A1232" s="653" t="s">
        <v>294</v>
      </c>
      <c r="B1232" s="706" t="s">
        <v>411</v>
      </c>
      <c r="C1232" s="664">
        <v>3</v>
      </c>
      <c r="D1232" s="655" t="s">
        <v>335</v>
      </c>
      <c r="E1232" s="662">
        <f ca="1">Elec_Est!E3056</f>
        <v>55.19</v>
      </c>
      <c r="F1232" s="580">
        <f ca="1">E1232*C1232</f>
        <v>165.57</v>
      </c>
    </row>
    <row r="1233" spans="1:6">
      <c r="A1233" s="653" t="s">
        <v>675</v>
      </c>
      <c r="B1233" s="706"/>
      <c r="C1233" s="664"/>
      <c r="D1233" s="655"/>
      <c r="E1233" s="662"/>
      <c r="F1233" s="580"/>
    </row>
    <row r="1234" spans="1:6" ht="15.75" customHeight="1">
      <c r="A1234" s="653" t="s">
        <v>296</v>
      </c>
      <c r="B1234" s="588" t="s">
        <v>412</v>
      </c>
      <c r="C1234" s="664">
        <v>1</v>
      </c>
      <c r="D1234" s="655" t="s">
        <v>335</v>
      </c>
      <c r="E1234" s="662">
        <f ca="1">Elec_Est!E3074</f>
        <v>973.68</v>
      </c>
      <c r="F1234" s="580">
        <f ca="1">E1234*C1234</f>
        <v>973.68</v>
      </c>
    </row>
    <row r="1235" spans="1:6" ht="15.75" customHeight="1">
      <c r="A1235" s="653" t="s">
        <v>675</v>
      </c>
      <c r="B1235" s="588"/>
      <c r="C1235" s="664"/>
      <c r="D1235" s="655"/>
      <c r="E1235" s="662"/>
      <c r="F1235" s="580"/>
    </row>
    <row r="1236" spans="1:6">
      <c r="A1236" s="653" t="s">
        <v>675</v>
      </c>
      <c r="B1236" s="588"/>
      <c r="C1236" s="664"/>
      <c r="D1236" s="655"/>
      <c r="E1236" s="662"/>
      <c r="F1236" s="580"/>
    </row>
    <row r="1237" spans="1:6">
      <c r="A1237" s="653" t="s">
        <v>770</v>
      </c>
      <c r="B1237" s="673" t="s">
        <v>345</v>
      </c>
      <c r="C1237" s="664"/>
      <c r="D1237" s="655"/>
      <c r="E1237" s="662"/>
      <c r="F1237" s="580"/>
    </row>
    <row r="1238" spans="1:6">
      <c r="A1238" s="653" t="s">
        <v>675</v>
      </c>
      <c r="B1238" s="588"/>
      <c r="C1238" s="664"/>
      <c r="D1238" s="655"/>
      <c r="E1238" s="662"/>
      <c r="F1238" s="580"/>
    </row>
    <row r="1239" spans="1:6" ht="26.4">
      <c r="A1239" s="653" t="s">
        <v>294</v>
      </c>
      <c r="B1239" s="588" t="s">
        <v>381</v>
      </c>
      <c r="C1239" s="664">
        <v>11</v>
      </c>
      <c r="D1239" s="655" t="s">
        <v>335</v>
      </c>
      <c r="E1239" s="662" t="str">
        <f>Elec_Est!Q3096</f>
        <v>Included in item 49k</v>
      </c>
      <c r="F1239" s="580"/>
    </row>
    <row r="1240" spans="1:6">
      <c r="A1240" s="653" t="s">
        <v>675</v>
      </c>
      <c r="B1240" s="588"/>
      <c r="C1240" s="664"/>
      <c r="D1240" s="655"/>
      <c r="E1240" s="662"/>
      <c r="F1240" s="580"/>
    </row>
    <row r="1241" spans="1:6" ht="26.4">
      <c r="A1241" s="653" t="s">
        <v>296</v>
      </c>
      <c r="B1241" s="582" t="s">
        <v>348</v>
      </c>
      <c r="C1241" s="664">
        <v>4</v>
      </c>
      <c r="D1241" s="655" t="s">
        <v>335</v>
      </c>
      <c r="E1241" s="662">
        <f ca="1">Elec_Est!E3103</f>
        <v>28.98</v>
      </c>
      <c r="F1241" s="580">
        <f ca="1">E1241*C1241</f>
        <v>115.92</v>
      </c>
    </row>
    <row r="1242" spans="1:6">
      <c r="A1242" s="653" t="s">
        <v>675</v>
      </c>
      <c r="B1242" s="582"/>
      <c r="C1242" s="664"/>
      <c r="D1242" s="655"/>
      <c r="E1242" s="662"/>
      <c r="F1242" s="580"/>
    </row>
    <row r="1243" spans="1:6">
      <c r="A1243" s="653" t="s">
        <v>675</v>
      </c>
      <c r="B1243" s="588"/>
      <c r="C1243" s="664"/>
      <c r="D1243" s="655"/>
      <c r="E1243" s="662"/>
      <c r="F1243" s="580"/>
    </row>
    <row r="1244" spans="1:6" ht="26.4">
      <c r="A1244" s="653" t="s">
        <v>771</v>
      </c>
      <c r="B1244" s="582" t="s">
        <v>351</v>
      </c>
      <c r="C1244" s="664"/>
      <c r="D1244" s="655"/>
      <c r="E1244" s="662"/>
      <c r="F1244" s="580"/>
    </row>
    <row r="1245" spans="1:6">
      <c r="A1245" s="653" t="s">
        <v>675</v>
      </c>
      <c r="B1245" s="588"/>
      <c r="C1245" s="664"/>
      <c r="D1245" s="655"/>
      <c r="E1245" s="662"/>
      <c r="F1245" s="580"/>
    </row>
    <row r="1246" spans="1:6">
      <c r="A1246" s="653" t="s">
        <v>294</v>
      </c>
      <c r="B1246" s="588" t="s">
        <v>413</v>
      </c>
      <c r="C1246" s="664">
        <v>30</v>
      </c>
      <c r="D1246" s="655" t="s">
        <v>335</v>
      </c>
      <c r="E1246" s="662">
        <f ca="1">Elec_Est!E3114</f>
        <v>14.36</v>
      </c>
      <c r="F1246" s="580">
        <f ca="1">E1246*C1246</f>
        <v>430.79999999999995</v>
      </c>
    </row>
    <row r="1247" spans="1:6">
      <c r="A1247" s="653" t="s">
        <v>675</v>
      </c>
      <c r="B1247" s="588"/>
      <c r="C1247" s="664"/>
      <c r="D1247" s="655"/>
      <c r="E1247" s="662"/>
      <c r="F1247" s="580"/>
    </row>
    <row r="1248" spans="1:6">
      <c r="A1248" s="653" t="s">
        <v>296</v>
      </c>
      <c r="B1248" s="588" t="s">
        <v>414</v>
      </c>
      <c r="C1248" s="664">
        <v>11</v>
      </c>
      <c r="D1248" s="655" t="s">
        <v>335</v>
      </c>
      <c r="E1248" s="662">
        <f ca="1">Elec_Est!E3121</f>
        <v>14.36</v>
      </c>
      <c r="F1248" s="580">
        <f ca="1">E1248*C1248</f>
        <v>157.95999999999998</v>
      </c>
    </row>
    <row r="1249" spans="1:6">
      <c r="A1249" s="653" t="s">
        <v>675</v>
      </c>
      <c r="B1249" s="588"/>
      <c r="C1249" s="664"/>
      <c r="D1249" s="655"/>
      <c r="E1249" s="662"/>
      <c r="F1249" s="580"/>
    </row>
    <row r="1250" spans="1:6">
      <c r="A1250" s="653" t="s">
        <v>298</v>
      </c>
      <c r="B1250" s="588" t="s">
        <v>418</v>
      </c>
      <c r="C1250" s="664">
        <v>1</v>
      </c>
      <c r="D1250" s="655" t="s">
        <v>335</v>
      </c>
      <c r="E1250" s="662">
        <f ca="1">Elec_Est!E3128</f>
        <v>9.15</v>
      </c>
      <c r="F1250" s="580">
        <f ca="1">E1250*C1250</f>
        <v>9.15</v>
      </c>
    </row>
    <row r="1251" spans="1:6">
      <c r="A1251" s="653" t="s">
        <v>675</v>
      </c>
      <c r="C1251" s="664"/>
      <c r="D1251" s="655"/>
      <c r="E1251" s="657"/>
      <c r="F1251" s="580"/>
    </row>
    <row r="1252" spans="1:6" ht="26.4">
      <c r="A1252" s="653" t="s">
        <v>300</v>
      </c>
      <c r="B1252" s="588" t="s">
        <v>419</v>
      </c>
      <c r="C1252" s="664">
        <v>8</v>
      </c>
      <c r="D1252" s="655" t="s">
        <v>335</v>
      </c>
      <c r="E1252" s="662">
        <f ca="1">Elec_Est!E3135</f>
        <v>49.48</v>
      </c>
      <c r="F1252" s="580">
        <f ca="1">E1252*C1252</f>
        <v>395.84</v>
      </c>
    </row>
    <row r="1253" spans="1:6">
      <c r="A1253" s="653" t="s">
        <v>675</v>
      </c>
      <c r="B1253" s="588"/>
      <c r="C1253" s="664"/>
      <c r="D1253" s="655"/>
      <c r="E1253" s="662"/>
      <c r="F1253" s="580"/>
    </row>
    <row r="1254" spans="1:6">
      <c r="A1254" s="653" t="s">
        <v>302</v>
      </c>
      <c r="B1254" s="588" t="s">
        <v>420</v>
      </c>
      <c r="C1254" s="664">
        <v>5</v>
      </c>
      <c r="D1254" s="655" t="s">
        <v>326</v>
      </c>
      <c r="E1254" s="662">
        <f ca="1">Elec_Est!E3142</f>
        <v>5.63</v>
      </c>
      <c r="F1254" s="580">
        <f ca="1">E1254*C1254</f>
        <v>28.15</v>
      </c>
    </row>
    <row r="1255" spans="1:6">
      <c r="A1255" s="653" t="s">
        <v>675</v>
      </c>
      <c r="B1255" s="588"/>
      <c r="C1255" s="664"/>
      <c r="D1255" s="655"/>
      <c r="E1255" s="662"/>
      <c r="F1255" s="580"/>
    </row>
    <row r="1256" spans="1:6">
      <c r="A1256" s="653" t="s">
        <v>307</v>
      </c>
      <c r="B1256" s="588" t="s">
        <v>439</v>
      </c>
      <c r="C1256" s="664">
        <v>1</v>
      </c>
      <c r="D1256" s="655" t="s">
        <v>335</v>
      </c>
      <c r="E1256" s="662">
        <f ca="1">Elec_Est!E3149</f>
        <v>37.51</v>
      </c>
      <c r="F1256" s="580">
        <f ca="1">E1256*C1256</f>
        <v>37.51</v>
      </c>
    </row>
    <row r="1257" spans="1:6">
      <c r="A1257" s="653" t="s">
        <v>675</v>
      </c>
      <c r="B1257" s="588"/>
      <c r="C1257" s="664"/>
      <c r="D1257" s="655"/>
      <c r="E1257" s="662"/>
      <c r="F1257" s="580"/>
    </row>
    <row r="1258" spans="1:6">
      <c r="A1258" s="653" t="s">
        <v>308</v>
      </c>
      <c r="B1258" s="588" t="s">
        <v>356</v>
      </c>
      <c r="C1258" s="664">
        <v>3</v>
      </c>
      <c r="D1258" s="655" t="s">
        <v>335</v>
      </c>
      <c r="E1258" s="662">
        <f ca="1">Elec_Est!E3156</f>
        <v>11.35</v>
      </c>
      <c r="F1258" s="580">
        <f ca="1">E1258*C1258</f>
        <v>34.049999999999997</v>
      </c>
    </row>
    <row r="1259" spans="1:6">
      <c r="A1259" s="653" t="s">
        <v>675</v>
      </c>
      <c r="B1259" s="588"/>
      <c r="C1259" s="664"/>
      <c r="D1259" s="655"/>
      <c r="E1259" s="662"/>
      <c r="F1259" s="580"/>
    </row>
    <row r="1260" spans="1:6">
      <c r="A1260" s="653" t="s">
        <v>309</v>
      </c>
      <c r="B1260" s="588" t="s">
        <v>422</v>
      </c>
      <c r="C1260" s="664">
        <v>6</v>
      </c>
      <c r="D1260" s="655" t="s">
        <v>335</v>
      </c>
      <c r="E1260" s="662">
        <f ca="1">Elec_Est!E3163</f>
        <v>11.35</v>
      </c>
      <c r="F1260" s="580">
        <f ca="1">E1260*C1260</f>
        <v>68.099999999999994</v>
      </c>
    </row>
    <row r="1261" spans="1:6">
      <c r="A1261" s="653" t="s">
        <v>675</v>
      </c>
      <c r="B1261" s="588"/>
      <c r="C1261" s="664"/>
      <c r="D1261" s="655"/>
      <c r="E1261" s="662"/>
      <c r="F1261" s="580"/>
    </row>
    <row r="1262" spans="1:6">
      <c r="A1262" s="653" t="s">
        <v>310</v>
      </c>
      <c r="B1262" s="588" t="s">
        <v>423</v>
      </c>
      <c r="C1262" s="664">
        <v>5</v>
      </c>
      <c r="D1262" s="655" t="s">
        <v>335</v>
      </c>
      <c r="E1262" s="662">
        <f ca="1">Elec_Est!E3170</f>
        <v>11.35</v>
      </c>
      <c r="F1262" s="580">
        <f ca="1">E1262*C1262</f>
        <v>56.75</v>
      </c>
    </row>
    <row r="1263" spans="1:6">
      <c r="A1263" s="653" t="s">
        <v>675</v>
      </c>
      <c r="B1263" s="588"/>
      <c r="C1263" s="664"/>
      <c r="D1263" s="655"/>
      <c r="E1263" s="662"/>
      <c r="F1263" s="580"/>
    </row>
    <row r="1264" spans="1:6" ht="26.4">
      <c r="A1264" s="653" t="s">
        <v>311</v>
      </c>
      <c r="B1264" s="588" t="s">
        <v>381</v>
      </c>
      <c r="C1264" s="664">
        <v>11</v>
      </c>
      <c r="D1264" s="655" t="s">
        <v>335</v>
      </c>
      <c r="E1264" s="662" t="str">
        <f>Elec_Est!Q3177</f>
        <v>Included in item 49k</v>
      </c>
      <c r="F1264" s="580"/>
    </row>
    <row r="1265" spans="1:8">
      <c r="A1265" s="653" t="s">
        <v>675</v>
      </c>
      <c r="B1265" s="588"/>
      <c r="C1265" s="664"/>
      <c r="D1265" s="655"/>
      <c r="E1265" s="662"/>
      <c r="F1265" s="580"/>
    </row>
    <row r="1266" spans="1:8" ht="26.4">
      <c r="A1266" s="653" t="s">
        <v>312</v>
      </c>
      <c r="B1266" s="582" t="s">
        <v>348</v>
      </c>
      <c r="C1266" s="664">
        <v>4</v>
      </c>
      <c r="D1266" s="655" t="s">
        <v>335</v>
      </c>
      <c r="E1266" s="662">
        <f ca="1">Elec_Est!E3184</f>
        <v>13.21</v>
      </c>
      <c r="F1266" s="580">
        <f ca="1">E1266*C1266</f>
        <v>52.84</v>
      </c>
    </row>
    <row r="1267" spans="1:8">
      <c r="A1267" s="653" t="s">
        <v>675</v>
      </c>
      <c r="B1267" s="582"/>
      <c r="C1267" s="664"/>
      <c r="D1267" s="655"/>
      <c r="E1267" s="662"/>
      <c r="F1267" s="580"/>
    </row>
    <row r="1268" spans="1:8">
      <c r="A1268" s="653" t="s">
        <v>313</v>
      </c>
      <c r="B1268" s="588" t="s">
        <v>450</v>
      </c>
      <c r="C1268" s="664">
        <v>6</v>
      </c>
      <c r="D1268" s="655" t="s">
        <v>335</v>
      </c>
      <c r="E1268" s="662">
        <f ca="1">Elec_Est!E3191</f>
        <v>16.12</v>
      </c>
      <c r="F1268" s="580">
        <f ca="1">E1268*C1268</f>
        <v>96.72</v>
      </c>
    </row>
    <row r="1269" spans="1:8">
      <c r="A1269" s="581" t="s">
        <v>675</v>
      </c>
      <c r="B1269" s="712"/>
      <c r="C1269" s="636"/>
      <c r="D1269" s="635"/>
      <c r="E1269" s="583"/>
      <c r="F1269" s="580"/>
    </row>
    <row r="1270" spans="1:8">
      <c r="A1270" s="572" t="s">
        <v>314</v>
      </c>
      <c r="B1270" s="588" t="s">
        <v>425</v>
      </c>
      <c r="C1270" s="575">
        <v>3</v>
      </c>
      <c r="D1270" s="574" t="s">
        <v>335</v>
      </c>
      <c r="E1270" s="576">
        <f ca="1">Elec_Est!E3198</f>
        <v>11.35</v>
      </c>
      <c r="F1270" s="580">
        <f ca="1">E1270*C1270</f>
        <v>34.049999999999997</v>
      </c>
    </row>
    <row r="1271" spans="1:8">
      <c r="A1271" s="572" t="s">
        <v>675</v>
      </c>
      <c r="B1271" s="588"/>
      <c r="C1271" s="575"/>
      <c r="D1271" s="574"/>
      <c r="E1271" s="576"/>
      <c r="F1271" s="580"/>
    </row>
    <row r="1272" spans="1:8">
      <c r="A1272" s="653" t="s">
        <v>675</v>
      </c>
      <c r="B1272" s="573"/>
      <c r="C1272" s="575"/>
      <c r="D1272" s="574"/>
      <c r="E1272" s="662"/>
      <c r="F1272" s="580"/>
    </row>
    <row r="1273" spans="1:8">
      <c r="A1273" s="653" t="s">
        <v>675</v>
      </c>
      <c r="B1273" s="573"/>
      <c r="C1273" s="575"/>
      <c r="D1273" s="574"/>
      <c r="E1273" s="662"/>
      <c r="F1273" s="580"/>
    </row>
    <row r="1274" spans="1:8">
      <c r="A1274" s="653" t="s">
        <v>675</v>
      </c>
      <c r="B1274" s="573"/>
      <c r="C1274" s="575"/>
      <c r="D1274" s="574"/>
      <c r="E1274" s="662"/>
      <c r="F1274" s="580"/>
    </row>
    <row r="1275" spans="1:8">
      <c r="A1275" s="653" t="s">
        <v>675</v>
      </c>
      <c r="B1275" s="573"/>
      <c r="C1275" s="575"/>
      <c r="D1275" s="574"/>
      <c r="E1275" s="662"/>
      <c r="F1275" s="584"/>
    </row>
    <row r="1276" spans="1:8" ht="13.8" thickBot="1">
      <c r="A1276" s="572" t="s">
        <v>675</v>
      </c>
      <c r="B1276" s="573"/>
      <c r="C1276" s="575"/>
      <c r="D1276" s="574"/>
      <c r="E1276" s="669"/>
      <c r="F1276" s="577"/>
    </row>
    <row r="1277" spans="1:8">
      <c r="A1277" s="591" t="s">
        <v>675</v>
      </c>
      <c r="B1277" s="592"/>
      <c r="C1277" s="594"/>
      <c r="D1277" s="593"/>
      <c r="E1277" s="643"/>
      <c r="F1277" s="596"/>
    </row>
    <row r="1278" spans="1:8">
      <c r="A1278" s="597" t="s">
        <v>702</v>
      </c>
      <c r="B1278" s="598" t="s">
        <v>282</v>
      </c>
      <c r="C1278" s="600"/>
      <c r="D1278" s="599"/>
      <c r="E1278" s="601"/>
      <c r="F1278" s="602">
        <f ca="1">SUM(F1229:F1276)</f>
        <v>2657.0900000000006</v>
      </c>
      <c r="G1278" s="1202">
        <f ca="1">Elec_Est!F3206</f>
        <v>2657.0900000000006</v>
      </c>
      <c r="H1278" s="1203">
        <f ca="1">F1278-G1278</f>
        <v>0</v>
      </c>
    </row>
    <row r="1279" spans="1:8">
      <c r="A1279" s="603" t="s">
        <v>675</v>
      </c>
      <c r="B1279" s="604"/>
      <c r="C1279" s="606"/>
      <c r="D1279" s="605"/>
      <c r="E1279" s="644"/>
      <c r="F1279" s="608"/>
    </row>
    <row r="1280" spans="1:8" ht="12.75" customHeight="1">
      <c r="A1280" s="609" t="s">
        <v>675</v>
      </c>
      <c r="B1280" s="610"/>
      <c r="C1280" s="551"/>
      <c r="D1280" s="550"/>
      <c r="E1280" s="645"/>
      <c r="F1280" s="698"/>
    </row>
    <row r="1281" spans="1:6" ht="12.75" customHeight="1">
      <c r="A1281" s="612" t="s">
        <v>675</v>
      </c>
      <c r="B1281" s="646"/>
      <c r="C1281" s="648"/>
      <c r="D1281" s="647"/>
      <c r="E1281" s="649"/>
      <c r="F1281" s="561"/>
    </row>
    <row r="1282" spans="1:6" ht="12.75" customHeight="1">
      <c r="A1282" s="612" t="s">
        <v>675</v>
      </c>
      <c r="B1282" s="646"/>
      <c r="C1282" s="648"/>
      <c r="D1282" s="647"/>
      <c r="E1282" s="649"/>
      <c r="F1282" s="561"/>
    </row>
    <row r="1283" spans="1:6" ht="12.75" customHeight="1">
      <c r="A1283" s="699" t="s">
        <v>675</v>
      </c>
      <c r="B1283" s="605"/>
      <c r="C1283" s="606"/>
      <c r="D1283" s="605"/>
      <c r="E1283" s="644"/>
      <c r="F1283" s="651"/>
    </row>
    <row r="1284" spans="1:6" ht="13.8" thickBot="1">
      <c r="A1284" s="710" t="s">
        <v>267</v>
      </c>
      <c r="B1284" s="711" t="s">
        <v>268</v>
      </c>
      <c r="C1284" s="703" t="s">
        <v>269</v>
      </c>
      <c r="D1284" s="702" t="s">
        <v>259</v>
      </c>
      <c r="E1284" s="704" t="s">
        <v>270</v>
      </c>
      <c r="F1284" s="705" t="s">
        <v>260</v>
      </c>
    </row>
    <row r="1285" spans="1:6">
      <c r="A1285" s="581" t="s">
        <v>675</v>
      </c>
      <c r="B1285" s="712"/>
      <c r="C1285" s="636"/>
      <c r="D1285" s="635"/>
      <c r="E1285" s="637"/>
      <c r="F1285" s="602"/>
    </row>
    <row r="1286" spans="1:6">
      <c r="A1286" s="675" t="s">
        <v>703</v>
      </c>
      <c r="B1286" s="639" t="s">
        <v>358</v>
      </c>
      <c r="C1286" s="661"/>
      <c r="D1286" s="661"/>
      <c r="E1286" s="662"/>
      <c r="F1286" s="580"/>
    </row>
    <row r="1287" spans="1:6">
      <c r="A1287" s="675" t="s">
        <v>675</v>
      </c>
      <c r="B1287" s="658"/>
      <c r="C1287" s="661"/>
      <c r="D1287" s="661"/>
      <c r="E1287" s="662"/>
      <c r="F1287" s="580"/>
    </row>
    <row r="1288" spans="1:6" ht="26.4">
      <c r="A1288" s="675" t="s">
        <v>773</v>
      </c>
      <c r="B1288" s="673" t="s">
        <v>772</v>
      </c>
      <c r="C1288" s="664"/>
      <c r="D1288" s="661"/>
      <c r="E1288" s="662"/>
      <c r="F1288" s="580"/>
    </row>
    <row r="1289" spans="1:6">
      <c r="A1289" s="675" t="s">
        <v>675</v>
      </c>
      <c r="B1289" s="659"/>
      <c r="C1289" s="664"/>
      <c r="D1289" s="661"/>
      <c r="E1289" s="662"/>
      <c r="F1289" s="580"/>
    </row>
    <row r="1290" spans="1:6">
      <c r="A1290" s="675" t="s">
        <v>675</v>
      </c>
      <c r="B1290" s="658"/>
      <c r="C1290" s="656"/>
      <c r="D1290" s="661"/>
      <c r="E1290" s="662"/>
      <c r="F1290" s="580"/>
    </row>
    <row r="1291" spans="1:6">
      <c r="A1291" s="675" t="s">
        <v>294</v>
      </c>
      <c r="B1291" s="554" t="s">
        <v>359</v>
      </c>
      <c r="C1291" s="664">
        <v>7</v>
      </c>
      <c r="D1291" s="655" t="s">
        <v>335</v>
      </c>
      <c r="E1291" s="662">
        <f ca="1">Elec_Est!E3219</f>
        <v>77.31</v>
      </c>
      <c r="F1291" s="580">
        <f ca="1">C1291*E1291</f>
        <v>541.17000000000007</v>
      </c>
    </row>
    <row r="1292" spans="1:6">
      <c r="A1292" s="675" t="s">
        <v>675</v>
      </c>
      <c r="B1292" s="639"/>
      <c r="C1292" s="664"/>
      <c r="D1292" s="655"/>
      <c r="E1292" s="662"/>
      <c r="F1292" s="580"/>
    </row>
    <row r="1293" spans="1:6">
      <c r="A1293" s="675" t="s">
        <v>296</v>
      </c>
      <c r="B1293" s="642" t="s">
        <v>360</v>
      </c>
      <c r="C1293" s="664">
        <v>4</v>
      </c>
      <c r="D1293" s="655" t="s">
        <v>335</v>
      </c>
      <c r="E1293" s="662">
        <f ca="1">Elec_Est!E3227</f>
        <v>79.36</v>
      </c>
      <c r="F1293" s="580">
        <f t="shared" ref="F1293:F1305" ca="1" si="2">C1293*E1293</f>
        <v>317.44</v>
      </c>
    </row>
    <row r="1294" spans="1:6">
      <c r="A1294" s="653" t="s">
        <v>675</v>
      </c>
      <c r="B1294" s="639"/>
      <c r="C1294" s="664"/>
      <c r="D1294" s="655"/>
      <c r="E1294" s="662"/>
      <c r="F1294" s="580"/>
    </row>
    <row r="1295" spans="1:6">
      <c r="A1295" s="653" t="s">
        <v>298</v>
      </c>
      <c r="B1295" s="642" t="s">
        <v>426</v>
      </c>
      <c r="C1295" s="664">
        <v>9</v>
      </c>
      <c r="D1295" s="655" t="s">
        <v>335</v>
      </c>
      <c r="E1295" s="662">
        <f ca="1">Elec_Est!E3235</f>
        <v>119.8</v>
      </c>
      <c r="F1295" s="580">
        <f t="shared" ca="1" si="2"/>
        <v>1078.2</v>
      </c>
    </row>
    <row r="1296" spans="1:6">
      <c r="A1296" s="653" t="s">
        <v>675</v>
      </c>
      <c r="B1296" s="639"/>
      <c r="C1296" s="664"/>
      <c r="D1296" s="655"/>
      <c r="E1296" s="662"/>
      <c r="F1296" s="580"/>
    </row>
    <row r="1297" spans="1:6" ht="26.4">
      <c r="A1297" s="653" t="s">
        <v>300</v>
      </c>
      <c r="B1297" s="673" t="s">
        <v>427</v>
      </c>
      <c r="C1297" s="664">
        <v>9</v>
      </c>
      <c r="D1297" s="655" t="s">
        <v>335</v>
      </c>
      <c r="E1297" s="662">
        <f ca="1">Elec_Est!E3243</f>
        <v>119.8</v>
      </c>
      <c r="F1297" s="580">
        <f t="shared" ca="1" si="2"/>
        <v>1078.2</v>
      </c>
    </row>
    <row r="1298" spans="1:6">
      <c r="A1298" s="653" t="s">
        <v>675</v>
      </c>
      <c r="B1298" s="642"/>
      <c r="C1298" s="656"/>
      <c r="D1298" s="655"/>
      <c r="E1298" s="662"/>
      <c r="F1298" s="580"/>
    </row>
    <row r="1299" spans="1:6">
      <c r="A1299" s="653" t="s">
        <v>302</v>
      </c>
      <c r="B1299" s="673" t="s">
        <v>362</v>
      </c>
      <c r="C1299" s="656">
        <v>2</v>
      </c>
      <c r="D1299" s="655" t="s">
        <v>335</v>
      </c>
      <c r="E1299" s="662">
        <f ca="1">Elec_Est!E3251</f>
        <v>115.17</v>
      </c>
      <c r="F1299" s="580">
        <f t="shared" ca="1" si="2"/>
        <v>230.34</v>
      </c>
    </row>
    <row r="1300" spans="1:6">
      <c r="A1300" s="653" t="s">
        <v>675</v>
      </c>
      <c r="B1300" s="642"/>
      <c r="C1300" s="656"/>
      <c r="D1300" s="655"/>
      <c r="E1300" s="662"/>
      <c r="F1300" s="580"/>
    </row>
    <row r="1301" spans="1:6">
      <c r="A1301" s="653" t="s">
        <v>307</v>
      </c>
      <c r="B1301" s="642" t="s">
        <v>363</v>
      </c>
      <c r="C1301" s="656">
        <v>6</v>
      </c>
      <c r="D1301" s="655" t="s">
        <v>335</v>
      </c>
      <c r="E1301" s="662">
        <f ca="1">Elec_Est!E3259</f>
        <v>79.88</v>
      </c>
      <c r="F1301" s="580">
        <f t="shared" ca="1" si="2"/>
        <v>479.28</v>
      </c>
    </row>
    <row r="1302" spans="1:6">
      <c r="A1302" s="653" t="s">
        <v>675</v>
      </c>
      <c r="B1302" s="642"/>
      <c r="C1302" s="656"/>
      <c r="D1302" s="655"/>
      <c r="E1302" s="662"/>
      <c r="F1302" s="580"/>
    </row>
    <row r="1303" spans="1:6">
      <c r="A1303" s="653" t="s">
        <v>308</v>
      </c>
      <c r="B1303" s="642" t="s">
        <v>364</v>
      </c>
      <c r="C1303" s="656">
        <v>6</v>
      </c>
      <c r="D1303" s="655" t="s">
        <v>335</v>
      </c>
      <c r="E1303" s="662">
        <f ca="1">Elec_Est!E3267</f>
        <v>79.88</v>
      </c>
      <c r="F1303" s="580">
        <f t="shared" ca="1" si="2"/>
        <v>479.28</v>
      </c>
    </row>
    <row r="1304" spans="1:6">
      <c r="A1304" s="653" t="s">
        <v>675</v>
      </c>
      <c r="B1304" s="642"/>
      <c r="C1304" s="656"/>
      <c r="D1304" s="655"/>
      <c r="E1304" s="662"/>
      <c r="F1304" s="580"/>
    </row>
    <row r="1305" spans="1:6">
      <c r="A1305" s="653" t="s">
        <v>309</v>
      </c>
      <c r="B1305" s="642" t="s">
        <v>428</v>
      </c>
      <c r="C1305" s="656">
        <v>3</v>
      </c>
      <c r="D1305" s="655" t="s">
        <v>335</v>
      </c>
      <c r="E1305" s="662">
        <f ca="1">Elec_Est!E3275</f>
        <v>107.8</v>
      </c>
      <c r="F1305" s="580">
        <f t="shared" ca="1" si="2"/>
        <v>323.39999999999998</v>
      </c>
    </row>
    <row r="1306" spans="1:6">
      <c r="A1306" s="653" t="s">
        <v>675</v>
      </c>
      <c r="B1306" s="642"/>
      <c r="C1306" s="656"/>
      <c r="D1306" s="655"/>
      <c r="E1306" s="662"/>
      <c r="F1306" s="580"/>
    </row>
    <row r="1307" spans="1:6">
      <c r="A1307" s="653" t="s">
        <v>675</v>
      </c>
      <c r="B1307" s="642"/>
      <c r="C1307" s="656"/>
      <c r="D1307" s="655"/>
      <c r="E1307" s="662"/>
      <c r="F1307" s="580"/>
    </row>
    <row r="1308" spans="1:6">
      <c r="A1308" s="675" t="s">
        <v>703</v>
      </c>
      <c r="B1308" s="639" t="s">
        <v>292</v>
      </c>
      <c r="C1308" s="664"/>
      <c r="D1308" s="661"/>
      <c r="E1308" s="657"/>
      <c r="F1308" s="577"/>
    </row>
    <row r="1309" spans="1:6">
      <c r="A1309" s="675" t="s">
        <v>675</v>
      </c>
      <c r="B1309" s="658"/>
      <c r="C1309" s="664"/>
      <c r="D1309" s="661"/>
      <c r="E1309" s="657"/>
      <c r="F1309" s="577"/>
    </row>
    <row r="1310" spans="1:6" ht="29.4" customHeight="1">
      <c r="A1310" s="675" t="s">
        <v>774</v>
      </c>
      <c r="B1310" s="582" t="s">
        <v>293</v>
      </c>
      <c r="C1310" s="664"/>
      <c r="D1310" s="661"/>
      <c r="E1310" s="662"/>
      <c r="F1310" s="580"/>
    </row>
    <row r="1311" spans="1:6">
      <c r="A1311" s="675" t="s">
        <v>675</v>
      </c>
      <c r="B1311" s="642"/>
      <c r="C1311" s="664"/>
      <c r="D1311" s="655"/>
      <c r="E1311" s="662"/>
      <c r="F1311" s="580"/>
    </row>
    <row r="1312" spans="1:6">
      <c r="A1312" s="675" t="s">
        <v>294</v>
      </c>
      <c r="B1312" s="642" t="s">
        <v>458</v>
      </c>
      <c r="C1312" s="575">
        <v>1</v>
      </c>
      <c r="D1312" s="655" t="s">
        <v>335</v>
      </c>
      <c r="E1312" s="662">
        <f>Elec_Est!E3291</f>
        <v>832.37</v>
      </c>
      <c r="F1312" s="580">
        <f>C1312*E1312</f>
        <v>832.37</v>
      </c>
    </row>
    <row r="1313" spans="1:6">
      <c r="A1313" s="675" t="s">
        <v>675</v>
      </c>
      <c r="B1313" s="642"/>
      <c r="C1313" s="636"/>
      <c r="D1313" s="655"/>
      <c r="E1313" s="662"/>
      <c r="F1313" s="580"/>
    </row>
    <row r="1314" spans="1:6">
      <c r="A1314" s="675" t="s">
        <v>296</v>
      </c>
      <c r="B1314" s="588" t="s">
        <v>459</v>
      </c>
      <c r="C1314" s="664">
        <v>1</v>
      </c>
      <c r="D1314" s="655" t="s">
        <v>335</v>
      </c>
      <c r="E1314" s="662">
        <f>Elec_Est!E3297</f>
        <v>124.4</v>
      </c>
      <c r="F1314" s="580">
        <f>C1314*E1314</f>
        <v>124.4</v>
      </c>
    </row>
    <row r="1315" spans="1:6">
      <c r="A1315" s="675" t="s">
        <v>675</v>
      </c>
      <c r="B1315" s="588"/>
      <c r="C1315" s="664"/>
      <c r="D1315" s="655"/>
      <c r="E1315" s="662"/>
      <c r="F1315" s="580"/>
    </row>
    <row r="1316" spans="1:6">
      <c r="A1316" s="675" t="s">
        <v>298</v>
      </c>
      <c r="B1316" s="588" t="s">
        <v>460</v>
      </c>
      <c r="C1316" s="664">
        <v>1</v>
      </c>
      <c r="D1316" s="655" t="s">
        <v>335</v>
      </c>
      <c r="E1316" s="662">
        <f>Elec_Est!E3303</f>
        <v>124.4</v>
      </c>
      <c r="F1316" s="580">
        <f>C1316*E1316</f>
        <v>124.4</v>
      </c>
    </row>
    <row r="1317" spans="1:6">
      <c r="A1317" s="675" t="s">
        <v>675</v>
      </c>
      <c r="B1317" s="588"/>
      <c r="C1317" s="664"/>
      <c r="D1317" s="655"/>
      <c r="E1317" s="662"/>
      <c r="F1317" s="580"/>
    </row>
    <row r="1318" spans="1:6">
      <c r="A1318" s="675" t="s">
        <v>300</v>
      </c>
      <c r="B1318" s="588" t="s">
        <v>461</v>
      </c>
      <c r="C1318" s="664">
        <v>1</v>
      </c>
      <c r="D1318" s="655" t="s">
        <v>335</v>
      </c>
      <c r="E1318" s="662">
        <f>Elec_Est!E3309</f>
        <v>124.4</v>
      </c>
      <c r="F1318" s="580">
        <f>C1318*E1318</f>
        <v>124.4</v>
      </c>
    </row>
    <row r="1319" spans="1:6">
      <c r="A1319" s="675" t="s">
        <v>675</v>
      </c>
      <c r="B1319" s="588"/>
      <c r="C1319" s="664"/>
      <c r="D1319" s="655"/>
      <c r="E1319" s="662"/>
      <c r="F1319" s="580"/>
    </row>
    <row r="1320" spans="1:6">
      <c r="A1320" s="675" t="s">
        <v>302</v>
      </c>
      <c r="B1320" s="588" t="s">
        <v>367</v>
      </c>
      <c r="C1320" s="664">
        <v>2</v>
      </c>
      <c r="D1320" s="655" t="s">
        <v>335</v>
      </c>
      <c r="E1320" s="662">
        <f>Elec_Est!E3315</f>
        <v>23.42</v>
      </c>
      <c r="F1320" s="580">
        <f>C1320*E1320</f>
        <v>46.84</v>
      </c>
    </row>
    <row r="1321" spans="1:6">
      <c r="A1321" s="675" t="s">
        <v>675</v>
      </c>
      <c r="B1321" s="588"/>
      <c r="C1321" s="664"/>
      <c r="D1321" s="655"/>
      <c r="E1321" s="662"/>
      <c r="F1321" s="580"/>
    </row>
    <row r="1322" spans="1:6">
      <c r="A1322" s="675" t="s">
        <v>675</v>
      </c>
      <c r="B1322" s="588"/>
      <c r="C1322" s="664"/>
      <c r="D1322" s="655"/>
      <c r="E1322" s="662"/>
      <c r="F1322" s="580"/>
    </row>
    <row r="1323" spans="1:6" ht="26.4">
      <c r="A1323" s="675" t="s">
        <v>775</v>
      </c>
      <c r="B1323" s="582" t="s">
        <v>304</v>
      </c>
      <c r="C1323" s="664"/>
      <c r="D1323" s="655"/>
      <c r="E1323" s="662"/>
      <c r="F1323" s="580"/>
    </row>
    <row r="1324" spans="1:6">
      <c r="A1324" s="675" t="s">
        <v>675</v>
      </c>
      <c r="B1324" s="588"/>
      <c r="C1324" s="664"/>
      <c r="D1324" s="655"/>
      <c r="E1324" s="662"/>
      <c r="F1324" s="580"/>
    </row>
    <row r="1325" spans="1:6">
      <c r="A1325" s="675" t="s">
        <v>294</v>
      </c>
      <c r="B1325" s="642" t="s">
        <v>458</v>
      </c>
      <c r="C1325" s="575">
        <v>1</v>
      </c>
      <c r="D1325" s="655" t="s">
        <v>335</v>
      </c>
      <c r="E1325" s="662">
        <f>Elec_Est!E3325</f>
        <v>272.55</v>
      </c>
      <c r="F1325" s="580">
        <f>C1325*E1325</f>
        <v>272.55</v>
      </c>
    </row>
    <row r="1326" spans="1:6">
      <c r="A1326" s="675" t="s">
        <v>675</v>
      </c>
      <c r="B1326" s="642"/>
      <c r="C1326" s="636"/>
      <c r="D1326" s="655"/>
      <c r="E1326" s="662"/>
      <c r="F1326" s="580"/>
    </row>
    <row r="1327" spans="1:6">
      <c r="A1327" s="675" t="s">
        <v>296</v>
      </c>
      <c r="B1327" s="588" t="s">
        <v>459</v>
      </c>
      <c r="C1327" s="664">
        <v>1</v>
      </c>
      <c r="D1327" s="655" t="s">
        <v>335</v>
      </c>
      <c r="E1327" s="662">
        <f>Elec_Est!E3334</f>
        <v>161.1</v>
      </c>
      <c r="F1327" s="580">
        <f>C1327*E1327</f>
        <v>161.1</v>
      </c>
    </row>
    <row r="1328" spans="1:6">
      <c r="A1328" s="675" t="s">
        <v>675</v>
      </c>
      <c r="B1328" s="588"/>
      <c r="C1328" s="664"/>
      <c r="D1328" s="655"/>
      <c r="E1328" s="662"/>
      <c r="F1328" s="580"/>
    </row>
    <row r="1329" spans="1:8">
      <c r="A1329" s="675" t="s">
        <v>298</v>
      </c>
      <c r="B1329" s="588" t="s">
        <v>460</v>
      </c>
      <c r="C1329" s="664">
        <v>1</v>
      </c>
      <c r="D1329" s="655" t="s">
        <v>335</v>
      </c>
      <c r="E1329" s="662">
        <f>Elec_Est!E3344</f>
        <v>161.1</v>
      </c>
      <c r="F1329" s="580">
        <f>C1329*E1329</f>
        <v>161.1</v>
      </c>
    </row>
    <row r="1330" spans="1:8">
      <c r="A1330" s="675" t="s">
        <v>675</v>
      </c>
      <c r="B1330" s="588"/>
      <c r="C1330" s="664"/>
      <c r="D1330" s="655"/>
      <c r="E1330" s="662"/>
      <c r="F1330" s="580"/>
    </row>
    <row r="1331" spans="1:8">
      <c r="A1331" s="675" t="s">
        <v>300</v>
      </c>
      <c r="B1331" s="588" t="s">
        <v>461</v>
      </c>
      <c r="C1331" s="664">
        <v>1</v>
      </c>
      <c r="D1331" s="655" t="s">
        <v>335</v>
      </c>
      <c r="E1331" s="662">
        <f>Elec_Est!E3354</f>
        <v>161.1</v>
      </c>
      <c r="F1331" s="580">
        <f>C1331*E1331</f>
        <v>161.1</v>
      </c>
    </row>
    <row r="1332" spans="1:8">
      <c r="A1332" s="675" t="s">
        <v>675</v>
      </c>
      <c r="B1332" s="588"/>
      <c r="C1332" s="664"/>
      <c r="D1332" s="655"/>
      <c r="E1332" s="662"/>
      <c r="F1332" s="580"/>
    </row>
    <row r="1333" spans="1:8">
      <c r="A1333" s="675" t="s">
        <v>302</v>
      </c>
      <c r="B1333" s="588" t="s">
        <v>367</v>
      </c>
      <c r="C1333" s="664">
        <v>2</v>
      </c>
      <c r="D1333" s="655" t="s">
        <v>335</v>
      </c>
      <c r="E1333" s="662">
        <f>Elec_Est!E3364</f>
        <v>13.69</v>
      </c>
      <c r="F1333" s="580">
        <f>C1333*E1333</f>
        <v>27.38</v>
      </c>
    </row>
    <row r="1334" spans="1:8" ht="13.8" thickBot="1">
      <c r="A1334" s="572" t="s">
        <v>675</v>
      </c>
      <c r="B1334" s="573"/>
      <c r="C1334" s="575"/>
      <c r="D1334" s="574"/>
      <c r="E1334" s="669"/>
      <c r="F1334" s="577"/>
    </row>
    <row r="1335" spans="1:8">
      <c r="A1335" s="591" t="s">
        <v>675</v>
      </c>
      <c r="B1335" s="592"/>
      <c r="C1335" s="594"/>
      <c r="D1335" s="593"/>
      <c r="E1335" s="643"/>
      <c r="F1335" s="596"/>
    </row>
    <row r="1336" spans="1:8">
      <c r="A1336" s="597" t="s">
        <v>702</v>
      </c>
      <c r="B1336" s="598" t="s">
        <v>282</v>
      </c>
      <c r="C1336" s="600"/>
      <c r="D1336" s="599"/>
      <c r="E1336" s="601"/>
      <c r="F1336" s="602">
        <f ca="1">SUM(F1286:F1334)</f>
        <v>6562.95</v>
      </c>
      <c r="G1336" s="1202">
        <f ca="1">Elec_Est!F3374</f>
        <v>6562.95</v>
      </c>
      <c r="H1336" s="1203">
        <f ca="1">F1336-G1336</f>
        <v>0</v>
      </c>
    </row>
    <row r="1337" spans="1:8">
      <c r="A1337" s="603" t="s">
        <v>675</v>
      </c>
      <c r="B1337" s="604"/>
      <c r="C1337" s="606"/>
      <c r="D1337" s="605"/>
      <c r="E1337" s="644"/>
      <c r="F1337" s="608"/>
    </row>
    <row r="1338" spans="1:8" ht="12.75" customHeight="1">
      <c r="A1338" s="609" t="s">
        <v>675</v>
      </c>
      <c r="B1338" s="610"/>
      <c r="C1338" s="551"/>
      <c r="D1338" s="550"/>
      <c r="E1338" s="645"/>
      <c r="F1338" s="698"/>
    </row>
    <row r="1339" spans="1:8" ht="12.75" customHeight="1">
      <c r="A1339" s="612" t="s">
        <v>675</v>
      </c>
      <c r="B1339" s="646"/>
      <c r="C1339" s="648"/>
      <c r="D1339" s="647"/>
      <c r="E1339" s="649"/>
      <c r="F1339" s="561"/>
    </row>
    <row r="1340" spans="1:8" ht="12.75" customHeight="1">
      <c r="A1340" s="612" t="s">
        <v>675</v>
      </c>
      <c r="B1340" s="646"/>
      <c r="C1340" s="648"/>
      <c r="D1340" s="647"/>
      <c r="E1340" s="649"/>
      <c r="F1340" s="561"/>
    </row>
    <row r="1341" spans="1:8" ht="12.75" customHeight="1">
      <c r="A1341" s="699" t="s">
        <v>675</v>
      </c>
      <c r="B1341" s="605"/>
      <c r="C1341" s="606"/>
      <c r="D1341" s="605"/>
      <c r="E1341" s="644"/>
      <c r="F1341" s="651"/>
    </row>
    <row r="1342" spans="1:8" ht="13.8" thickBot="1">
      <c r="A1342" s="710" t="s">
        <v>267</v>
      </c>
      <c r="B1342" s="711" t="s">
        <v>268</v>
      </c>
      <c r="C1342" s="703" t="s">
        <v>269</v>
      </c>
      <c r="D1342" s="702" t="s">
        <v>259</v>
      </c>
      <c r="E1342" s="704" t="s">
        <v>270</v>
      </c>
      <c r="F1342" s="705" t="s">
        <v>260</v>
      </c>
    </row>
    <row r="1343" spans="1:8">
      <c r="A1343" s="581" t="s">
        <v>675</v>
      </c>
      <c r="B1343" s="712"/>
      <c r="C1343" s="636"/>
      <c r="D1343" s="635"/>
      <c r="E1343" s="637"/>
      <c r="F1343" s="602"/>
    </row>
    <row r="1344" spans="1:8">
      <c r="A1344" s="653" t="s">
        <v>703</v>
      </c>
      <c r="B1344" s="578" t="s">
        <v>305</v>
      </c>
      <c r="C1344" s="664"/>
      <c r="D1344" s="655"/>
      <c r="E1344" s="662"/>
      <c r="F1344" s="580"/>
    </row>
    <row r="1345" spans="1:6">
      <c r="A1345" s="653" t="s">
        <v>675</v>
      </c>
      <c r="B1345" s="658"/>
      <c r="C1345" s="664"/>
      <c r="D1345" s="661"/>
      <c r="E1345" s="662"/>
      <c r="F1345" s="580"/>
    </row>
    <row r="1346" spans="1:6" ht="39.6">
      <c r="A1346" s="653" t="s">
        <v>679</v>
      </c>
      <c r="B1346" s="582" t="s">
        <v>687</v>
      </c>
      <c r="C1346" s="664"/>
      <c r="D1346" s="655"/>
      <c r="E1346" s="662"/>
      <c r="F1346" s="580"/>
    </row>
    <row r="1347" spans="1:6">
      <c r="A1347" s="653" t="s">
        <v>675</v>
      </c>
      <c r="B1347" s="659"/>
      <c r="C1347" s="664"/>
      <c r="D1347" s="661"/>
      <c r="E1347" s="662"/>
      <c r="F1347" s="580"/>
    </row>
    <row r="1348" spans="1:6">
      <c r="A1348" s="653" t="s">
        <v>675</v>
      </c>
      <c r="B1348" s="659"/>
      <c r="C1348" s="664"/>
      <c r="D1348" s="661"/>
      <c r="E1348" s="662"/>
      <c r="F1348" s="580"/>
    </row>
    <row r="1349" spans="1:6">
      <c r="A1349" s="653" t="s">
        <v>675</v>
      </c>
      <c r="B1349" s="642"/>
      <c r="C1349" s="664"/>
      <c r="D1349" s="661"/>
      <c r="E1349" s="662"/>
      <c r="F1349" s="580"/>
    </row>
    <row r="1350" spans="1:6">
      <c r="C1350" s="664"/>
      <c r="D1350" s="661"/>
      <c r="E1350" s="662"/>
      <c r="F1350" s="580"/>
    </row>
    <row r="1351" spans="1:6">
      <c r="A1351" s="653" t="s">
        <v>294</v>
      </c>
      <c r="B1351" s="706" t="s">
        <v>776</v>
      </c>
      <c r="C1351" s="664">
        <v>10</v>
      </c>
      <c r="D1351" s="661" t="s">
        <v>306</v>
      </c>
      <c r="E1351" s="662">
        <f ca="1">Elec_Est!E3387</f>
        <v>6.75</v>
      </c>
      <c r="F1351" s="580">
        <f ca="1">C1351*E1351</f>
        <v>67.5</v>
      </c>
    </row>
    <row r="1352" spans="1:6">
      <c r="A1352" s="653" t="s">
        <v>675</v>
      </c>
      <c r="B1352" s="614"/>
      <c r="C1352" s="664"/>
      <c r="D1352" s="655"/>
      <c r="E1352" s="662"/>
      <c r="F1352" s="580"/>
    </row>
    <row r="1353" spans="1:6">
      <c r="A1353" s="653" t="s">
        <v>675</v>
      </c>
      <c r="B1353" s="665"/>
      <c r="C1353" s="664"/>
      <c r="D1353" s="661"/>
      <c r="E1353" s="662"/>
      <c r="F1353" s="580"/>
    </row>
    <row r="1354" spans="1:6">
      <c r="A1354" s="653" t="s">
        <v>296</v>
      </c>
      <c r="B1354" s="706" t="s">
        <v>777</v>
      </c>
      <c r="C1354" s="664">
        <v>14</v>
      </c>
      <c r="D1354" s="655" t="s">
        <v>306</v>
      </c>
      <c r="E1354" s="662">
        <f ca="1">Elec_Est!E3394</f>
        <v>6.75</v>
      </c>
      <c r="F1354" s="580">
        <f ca="1">C1354*E1354</f>
        <v>94.5</v>
      </c>
    </row>
    <row r="1355" spans="1:6">
      <c r="A1355" s="653" t="s">
        <v>675</v>
      </c>
      <c r="B1355" s="614"/>
      <c r="C1355" s="664"/>
      <c r="D1355" s="655"/>
      <c r="E1355" s="662"/>
      <c r="F1355" s="580"/>
    </row>
    <row r="1356" spans="1:6">
      <c r="A1356" s="653" t="s">
        <v>675</v>
      </c>
      <c r="B1356" s="658"/>
      <c r="C1356" s="664"/>
      <c r="D1356" s="655"/>
      <c r="E1356" s="662"/>
      <c r="F1356" s="580"/>
    </row>
    <row r="1357" spans="1:6">
      <c r="A1357" s="653" t="s">
        <v>298</v>
      </c>
      <c r="B1357" s="706" t="s">
        <v>778</v>
      </c>
      <c r="C1357" s="664">
        <v>17</v>
      </c>
      <c r="D1357" s="655" t="s">
        <v>306</v>
      </c>
      <c r="E1357" s="662">
        <f ca="1">Elec_Est!E3401</f>
        <v>6.75</v>
      </c>
      <c r="F1357" s="580">
        <f ca="1">C1357*E1357</f>
        <v>114.75</v>
      </c>
    </row>
    <row r="1358" spans="1:6">
      <c r="A1358" s="653" t="s">
        <v>675</v>
      </c>
      <c r="B1358" s="614"/>
      <c r="C1358" s="664"/>
      <c r="D1358" s="655"/>
      <c r="E1358" s="662"/>
      <c r="F1358" s="580"/>
    </row>
    <row r="1359" spans="1:6">
      <c r="A1359" s="653" t="s">
        <v>675</v>
      </c>
      <c r="B1359" s="614"/>
      <c r="C1359" s="664"/>
      <c r="D1359" s="655"/>
      <c r="E1359" s="662"/>
      <c r="F1359" s="580"/>
    </row>
    <row r="1360" spans="1:6">
      <c r="A1360" s="653" t="s">
        <v>675</v>
      </c>
      <c r="B1360" s="614"/>
      <c r="C1360" s="664"/>
      <c r="D1360" s="655"/>
      <c r="E1360" s="662"/>
      <c r="F1360" s="580"/>
    </row>
    <row r="1361" spans="1:6">
      <c r="A1361" s="653" t="s">
        <v>675</v>
      </c>
      <c r="B1361" s="614"/>
      <c r="C1361" s="664"/>
      <c r="D1361" s="655"/>
      <c r="E1361" s="662"/>
      <c r="F1361" s="580"/>
    </row>
    <row r="1362" spans="1:6">
      <c r="A1362" s="653" t="s">
        <v>675</v>
      </c>
      <c r="B1362" s="614"/>
      <c r="C1362" s="664"/>
      <c r="D1362" s="655"/>
      <c r="E1362" s="662"/>
      <c r="F1362" s="580"/>
    </row>
    <row r="1363" spans="1:6">
      <c r="A1363" s="653" t="s">
        <v>675</v>
      </c>
      <c r="B1363" s="614"/>
      <c r="C1363" s="664"/>
      <c r="D1363" s="655"/>
      <c r="E1363" s="662"/>
      <c r="F1363" s="580"/>
    </row>
    <row r="1364" spans="1:6">
      <c r="A1364" s="653" t="s">
        <v>675</v>
      </c>
      <c r="B1364" s="614"/>
      <c r="C1364" s="664"/>
      <c r="D1364" s="655"/>
      <c r="E1364" s="662"/>
      <c r="F1364" s="580"/>
    </row>
    <row r="1365" spans="1:6">
      <c r="A1365" s="653" t="s">
        <v>675</v>
      </c>
      <c r="B1365" s="614"/>
      <c r="C1365" s="664"/>
      <c r="D1365" s="655"/>
      <c r="E1365" s="662"/>
      <c r="F1365" s="580"/>
    </row>
    <row r="1366" spans="1:6">
      <c r="A1366" s="653" t="s">
        <v>675</v>
      </c>
      <c r="B1366" s="614"/>
      <c r="C1366" s="664"/>
      <c r="D1366" s="655"/>
      <c r="E1366" s="662"/>
      <c r="F1366" s="580"/>
    </row>
    <row r="1367" spans="1:6">
      <c r="A1367" s="653" t="s">
        <v>675</v>
      </c>
      <c r="B1367" s="614"/>
      <c r="C1367" s="664"/>
      <c r="D1367" s="655"/>
      <c r="E1367" s="662"/>
      <c r="F1367" s="580"/>
    </row>
    <row r="1368" spans="1:6">
      <c r="A1368" s="653" t="s">
        <v>675</v>
      </c>
      <c r="B1368" s="614"/>
      <c r="C1368" s="664"/>
      <c r="D1368" s="655"/>
      <c r="E1368" s="662"/>
      <c r="F1368" s="580"/>
    </row>
    <row r="1369" spans="1:6">
      <c r="A1369" s="653" t="s">
        <v>675</v>
      </c>
      <c r="B1369" s="614"/>
      <c r="C1369" s="664"/>
      <c r="D1369" s="655"/>
      <c r="E1369" s="662"/>
      <c r="F1369" s="580"/>
    </row>
    <row r="1370" spans="1:6">
      <c r="A1370" s="653" t="s">
        <v>675</v>
      </c>
      <c r="B1370" s="614"/>
      <c r="C1370" s="664"/>
      <c r="D1370" s="655"/>
      <c r="E1370" s="662"/>
      <c r="F1370" s="580"/>
    </row>
    <row r="1371" spans="1:6">
      <c r="A1371" s="653" t="s">
        <v>675</v>
      </c>
      <c r="B1371" s="614"/>
      <c r="C1371" s="664"/>
      <c r="D1371" s="655"/>
      <c r="E1371" s="662"/>
      <c r="F1371" s="580"/>
    </row>
    <row r="1372" spans="1:6">
      <c r="A1372" s="653" t="s">
        <v>675</v>
      </c>
      <c r="B1372" s="614"/>
      <c r="C1372" s="664"/>
      <c r="D1372" s="655"/>
      <c r="E1372" s="662"/>
      <c r="F1372" s="580"/>
    </row>
    <row r="1373" spans="1:6">
      <c r="A1373" s="653" t="s">
        <v>675</v>
      </c>
      <c r="B1373" s="614"/>
      <c r="C1373" s="664"/>
      <c r="D1373" s="655"/>
      <c r="E1373" s="662"/>
      <c r="F1373" s="580"/>
    </row>
    <row r="1374" spans="1:6">
      <c r="A1374" s="653" t="s">
        <v>675</v>
      </c>
      <c r="B1374" s="614"/>
      <c r="C1374" s="664"/>
      <c r="D1374" s="655"/>
      <c r="E1374" s="662"/>
      <c r="F1374" s="580"/>
    </row>
    <row r="1375" spans="1:6">
      <c r="A1375" s="653" t="s">
        <v>675</v>
      </c>
      <c r="B1375" s="614"/>
      <c r="C1375" s="664"/>
      <c r="D1375" s="655"/>
      <c r="E1375" s="662"/>
      <c r="F1375" s="580"/>
    </row>
    <row r="1376" spans="1:6">
      <c r="A1376" s="653" t="s">
        <v>675</v>
      </c>
      <c r="B1376" s="614"/>
      <c r="C1376" s="664"/>
      <c r="D1376" s="655"/>
      <c r="E1376" s="662"/>
      <c r="F1376" s="580"/>
    </row>
    <row r="1377" spans="1:6">
      <c r="A1377" s="653" t="s">
        <v>675</v>
      </c>
      <c r="B1377" s="614"/>
      <c r="C1377" s="664"/>
      <c r="D1377" s="655"/>
      <c r="E1377" s="662"/>
      <c r="F1377" s="580"/>
    </row>
    <row r="1378" spans="1:6">
      <c r="A1378" s="653" t="s">
        <v>675</v>
      </c>
      <c r="B1378" s="614"/>
      <c r="C1378" s="664"/>
      <c r="D1378" s="655"/>
      <c r="E1378" s="662"/>
      <c r="F1378" s="580"/>
    </row>
    <row r="1379" spans="1:6">
      <c r="A1379" s="653" t="s">
        <v>675</v>
      </c>
      <c r="B1379" s="614"/>
      <c r="C1379" s="664"/>
      <c r="D1379" s="655"/>
      <c r="E1379" s="662"/>
      <c r="F1379" s="580"/>
    </row>
    <row r="1380" spans="1:6">
      <c r="A1380" s="653" t="s">
        <v>675</v>
      </c>
      <c r="B1380" s="614"/>
      <c r="C1380" s="664"/>
      <c r="D1380" s="655"/>
      <c r="E1380" s="662"/>
      <c r="F1380" s="580"/>
    </row>
    <row r="1381" spans="1:6">
      <c r="A1381" s="653" t="s">
        <v>675</v>
      </c>
      <c r="B1381" s="614"/>
      <c r="C1381" s="664"/>
      <c r="D1381" s="655"/>
      <c r="E1381" s="662"/>
      <c r="F1381" s="580"/>
    </row>
    <row r="1382" spans="1:6">
      <c r="A1382" s="653" t="s">
        <v>675</v>
      </c>
      <c r="B1382" s="614"/>
      <c r="C1382" s="664"/>
      <c r="D1382" s="655"/>
      <c r="E1382" s="662"/>
      <c r="F1382" s="580"/>
    </row>
    <row r="1383" spans="1:6">
      <c r="A1383" s="653" t="s">
        <v>675</v>
      </c>
      <c r="B1383" s="614"/>
      <c r="C1383" s="664"/>
      <c r="D1383" s="655"/>
      <c r="E1383" s="662"/>
      <c r="F1383" s="580"/>
    </row>
    <row r="1384" spans="1:6">
      <c r="A1384" s="653" t="s">
        <v>675</v>
      </c>
      <c r="B1384" s="614"/>
      <c r="C1384" s="664"/>
      <c r="D1384" s="655"/>
      <c r="E1384" s="662"/>
      <c r="F1384" s="580"/>
    </row>
    <row r="1385" spans="1:6">
      <c r="A1385" s="653" t="s">
        <v>675</v>
      </c>
      <c r="B1385" s="614"/>
      <c r="C1385" s="664"/>
      <c r="D1385" s="655"/>
      <c r="E1385" s="662"/>
      <c r="F1385" s="580"/>
    </row>
    <row r="1386" spans="1:6">
      <c r="A1386" s="653" t="s">
        <v>675</v>
      </c>
      <c r="B1386" s="614"/>
      <c r="C1386" s="664"/>
      <c r="D1386" s="655"/>
      <c r="E1386" s="662"/>
      <c r="F1386" s="580"/>
    </row>
    <row r="1387" spans="1:6">
      <c r="A1387" s="653" t="s">
        <v>675</v>
      </c>
      <c r="B1387" s="614"/>
      <c r="C1387" s="664"/>
      <c r="D1387" s="655"/>
      <c r="E1387" s="662"/>
      <c r="F1387" s="580"/>
    </row>
    <row r="1388" spans="1:6">
      <c r="A1388" s="653" t="s">
        <v>675</v>
      </c>
      <c r="B1388" s="614"/>
      <c r="C1388" s="664"/>
      <c r="D1388" s="655"/>
      <c r="E1388" s="662"/>
      <c r="F1388" s="580"/>
    </row>
    <row r="1389" spans="1:6">
      <c r="A1389" s="653" t="s">
        <v>675</v>
      </c>
      <c r="B1389" s="614"/>
      <c r="C1389" s="664"/>
      <c r="D1389" s="655"/>
      <c r="E1389" s="662"/>
      <c r="F1389" s="580"/>
    </row>
    <row r="1390" spans="1:6">
      <c r="A1390" s="653" t="s">
        <v>675</v>
      </c>
      <c r="B1390" s="614"/>
      <c r="C1390" s="664"/>
      <c r="D1390" s="655"/>
      <c r="E1390" s="662"/>
      <c r="F1390" s="580"/>
    </row>
    <row r="1391" spans="1:6">
      <c r="A1391" s="653" t="s">
        <v>675</v>
      </c>
      <c r="B1391" s="588"/>
      <c r="C1391" s="664"/>
      <c r="D1391" s="655"/>
      <c r="E1391" s="662"/>
      <c r="F1391" s="580"/>
    </row>
    <row r="1392" spans="1:6">
      <c r="A1392" s="653" t="s">
        <v>675</v>
      </c>
      <c r="C1392" s="664"/>
      <c r="D1392" s="655"/>
      <c r="E1392" s="657"/>
      <c r="F1392" s="577"/>
    </row>
    <row r="1393" spans="1:8">
      <c r="A1393" s="653" t="s">
        <v>675</v>
      </c>
      <c r="B1393" s="713"/>
      <c r="C1393" s="664"/>
      <c r="D1393" s="655"/>
      <c r="E1393" s="657"/>
      <c r="F1393" s="577"/>
    </row>
    <row r="1394" spans="1:8" ht="13.8" thickBot="1">
      <c r="A1394" s="572" t="s">
        <v>675</v>
      </c>
      <c r="B1394" s="573"/>
      <c r="C1394" s="575"/>
      <c r="D1394" s="574"/>
      <c r="E1394" s="669"/>
      <c r="F1394" s="577"/>
    </row>
    <row r="1395" spans="1:8">
      <c r="A1395" s="591" t="s">
        <v>675</v>
      </c>
      <c r="B1395" s="592"/>
      <c r="C1395" s="594"/>
      <c r="D1395" s="593"/>
      <c r="E1395" s="643"/>
      <c r="F1395" s="596"/>
    </row>
    <row r="1396" spans="1:8">
      <c r="A1396" s="597" t="s">
        <v>702</v>
      </c>
      <c r="B1396" s="598" t="s">
        <v>282</v>
      </c>
      <c r="C1396" s="600"/>
      <c r="D1396" s="599"/>
      <c r="E1396" s="601"/>
      <c r="F1396" s="602">
        <f ca="1">SUM(F1343:F1393)</f>
        <v>276.75</v>
      </c>
      <c r="G1396" s="1202">
        <f ca="1">Elec_Est!F3409</f>
        <v>276.75</v>
      </c>
      <c r="H1396" s="1203">
        <f ca="1">F1396-G1396</f>
        <v>0</v>
      </c>
    </row>
    <row r="1397" spans="1:8">
      <c r="A1397" s="603" t="s">
        <v>675</v>
      </c>
      <c r="B1397" s="604"/>
      <c r="C1397" s="606"/>
      <c r="D1397" s="605"/>
      <c r="E1397" s="644"/>
      <c r="F1397" s="608"/>
    </row>
    <row r="1398" spans="1:8" ht="17.399999999999999">
      <c r="A1398" s="609" t="s">
        <v>675</v>
      </c>
      <c r="B1398" s="610"/>
      <c r="C1398" s="551"/>
      <c r="D1398" s="550"/>
      <c r="E1398" s="645"/>
      <c r="F1398" s="698"/>
    </row>
    <row r="1399" spans="1:8" ht="13.2" customHeight="1">
      <c r="A1399" s="612" t="s">
        <v>675</v>
      </c>
      <c r="B1399" s="646"/>
      <c r="C1399" s="648"/>
      <c r="D1399" s="647"/>
      <c r="E1399" s="649"/>
      <c r="F1399" s="561"/>
    </row>
    <row r="1400" spans="1:8" ht="13.2" customHeight="1">
      <c r="A1400" s="612" t="s">
        <v>675</v>
      </c>
      <c r="B1400" s="646"/>
      <c r="C1400" s="648"/>
      <c r="D1400" s="647"/>
      <c r="E1400" s="649"/>
      <c r="F1400" s="561"/>
    </row>
    <row r="1401" spans="1:8">
      <c r="A1401" s="699" t="s">
        <v>675</v>
      </c>
      <c r="B1401" s="605"/>
      <c r="C1401" s="606"/>
      <c r="D1401" s="605"/>
      <c r="E1401" s="644"/>
      <c r="F1401" s="651"/>
    </row>
    <row r="1402" spans="1:8" ht="13.8" thickBot="1">
      <c r="A1402" s="710" t="s">
        <v>267</v>
      </c>
      <c r="B1402" s="711" t="s">
        <v>268</v>
      </c>
      <c r="C1402" s="703" t="s">
        <v>269</v>
      </c>
      <c r="D1402" s="702" t="s">
        <v>259</v>
      </c>
      <c r="E1402" s="704" t="s">
        <v>270</v>
      </c>
      <c r="F1402" s="705" t="s">
        <v>260</v>
      </c>
    </row>
    <row r="1403" spans="1:8">
      <c r="A1403" s="581" t="s">
        <v>675</v>
      </c>
      <c r="B1403" s="712"/>
      <c r="C1403" s="636"/>
      <c r="D1403" s="635"/>
      <c r="E1403" s="583"/>
      <c r="F1403" s="584"/>
    </row>
    <row r="1404" spans="1:8" ht="15.6">
      <c r="A1404" s="653" t="s">
        <v>703</v>
      </c>
      <c r="B1404" s="672" t="s">
        <v>462</v>
      </c>
      <c r="C1404" s="664"/>
      <c r="D1404" s="655"/>
      <c r="E1404" s="662"/>
      <c r="F1404" s="580"/>
    </row>
    <row r="1405" spans="1:8">
      <c r="A1405" s="653" t="s">
        <v>675</v>
      </c>
      <c r="B1405" s="639"/>
      <c r="C1405" s="664"/>
      <c r="D1405" s="655"/>
      <c r="E1405" s="662"/>
      <c r="F1405" s="580"/>
    </row>
    <row r="1406" spans="1:8" ht="18.75" customHeight="1">
      <c r="A1406" s="653" t="s">
        <v>703</v>
      </c>
      <c r="B1406" s="639" t="s">
        <v>332</v>
      </c>
      <c r="C1406" s="664"/>
      <c r="D1406" s="655"/>
      <c r="E1406" s="707"/>
      <c r="F1406" s="580"/>
    </row>
    <row r="1407" spans="1:8">
      <c r="A1407" s="653" t="s">
        <v>675</v>
      </c>
      <c r="B1407" s="598"/>
      <c r="C1407" s="664"/>
      <c r="D1407" s="655"/>
      <c r="E1407" s="707"/>
      <c r="F1407" s="580"/>
    </row>
    <row r="1408" spans="1:8" ht="26.4">
      <c r="A1408" s="653" t="s">
        <v>779</v>
      </c>
      <c r="B1408" s="582" t="s">
        <v>333</v>
      </c>
      <c r="C1408" s="664"/>
      <c r="D1408" s="686"/>
      <c r="E1408" s="662"/>
      <c r="F1408" s="580"/>
    </row>
    <row r="1409" spans="1:6">
      <c r="A1409" s="653" t="s">
        <v>675</v>
      </c>
      <c r="B1409" s="582"/>
      <c r="C1409" s="664"/>
      <c r="D1409" s="686"/>
      <c r="E1409" s="662"/>
      <c r="F1409" s="580"/>
    </row>
    <row r="1410" spans="1:6">
      <c r="A1410" s="653" t="s">
        <v>294</v>
      </c>
      <c r="B1410" s="582" t="s">
        <v>334</v>
      </c>
      <c r="C1410" s="664">
        <v>1</v>
      </c>
      <c r="D1410" s="655" t="s">
        <v>335</v>
      </c>
      <c r="E1410" s="662">
        <f ca="1">Elec_Est!E3426</f>
        <v>57.85</v>
      </c>
      <c r="F1410" s="580">
        <f ca="1">E1410*C1410</f>
        <v>57.85</v>
      </c>
    </row>
    <row r="1411" spans="1:6">
      <c r="A1411" s="653" t="s">
        <v>675</v>
      </c>
      <c r="B1411" s="582"/>
      <c r="C1411" s="664"/>
      <c r="D1411" s="686"/>
      <c r="E1411" s="662"/>
      <c r="F1411" s="580"/>
    </row>
    <row r="1412" spans="1:6">
      <c r="A1412" s="653" t="s">
        <v>296</v>
      </c>
      <c r="B1412" s="582" t="s">
        <v>401</v>
      </c>
      <c r="C1412" s="664">
        <v>2</v>
      </c>
      <c r="D1412" s="655" t="s">
        <v>335</v>
      </c>
      <c r="E1412" s="662">
        <f ca="1">Elec_Est!E3433</f>
        <v>86.78</v>
      </c>
      <c r="F1412" s="580">
        <f t="shared" ref="F1412:F1444" ca="1" si="3">E1412*C1412</f>
        <v>173.56</v>
      </c>
    </row>
    <row r="1413" spans="1:6">
      <c r="A1413" s="653" t="s">
        <v>675</v>
      </c>
      <c r="B1413" s="582"/>
      <c r="C1413" s="664"/>
      <c r="D1413" s="686"/>
      <c r="E1413" s="662"/>
      <c r="F1413" s="580"/>
    </row>
    <row r="1414" spans="1:6">
      <c r="A1414" s="653" t="s">
        <v>298</v>
      </c>
      <c r="B1414" s="582" t="s">
        <v>463</v>
      </c>
      <c r="C1414" s="664">
        <v>2</v>
      </c>
      <c r="D1414" s="655" t="s">
        <v>335</v>
      </c>
      <c r="E1414" s="662">
        <f ca="1">Elec_Est!E3440</f>
        <v>144.63</v>
      </c>
      <c r="F1414" s="580">
        <f t="shared" ca="1" si="3"/>
        <v>289.26</v>
      </c>
    </row>
    <row r="1415" spans="1:6">
      <c r="A1415" s="653" t="s">
        <v>675</v>
      </c>
      <c r="B1415" s="582"/>
      <c r="C1415" s="664"/>
      <c r="D1415" s="686"/>
      <c r="E1415" s="662"/>
      <c r="F1415" s="580"/>
    </row>
    <row r="1416" spans="1:6">
      <c r="A1416" s="653" t="s">
        <v>300</v>
      </c>
      <c r="B1416" s="582" t="s">
        <v>464</v>
      </c>
      <c r="C1416" s="664">
        <v>1</v>
      </c>
      <c r="D1416" s="655" t="s">
        <v>335</v>
      </c>
      <c r="E1416" s="662">
        <f ca="1">Elec_Est!E3447</f>
        <v>173.56</v>
      </c>
      <c r="F1416" s="580">
        <f t="shared" ca="1" si="3"/>
        <v>173.56</v>
      </c>
    </row>
    <row r="1417" spans="1:6">
      <c r="A1417" s="653" t="s">
        <v>675</v>
      </c>
      <c r="B1417" s="582"/>
      <c r="C1417" s="664"/>
      <c r="D1417" s="686"/>
      <c r="E1417" s="662"/>
      <c r="F1417" s="580"/>
    </row>
    <row r="1418" spans="1:6">
      <c r="A1418" s="653" t="s">
        <v>302</v>
      </c>
      <c r="B1418" s="582" t="s">
        <v>465</v>
      </c>
      <c r="C1418" s="664">
        <v>2</v>
      </c>
      <c r="D1418" s="655" t="s">
        <v>335</v>
      </c>
      <c r="E1418" s="662">
        <f ca="1">Elec_Est!E3454</f>
        <v>289.27</v>
      </c>
      <c r="F1418" s="580">
        <f t="shared" ca="1" si="3"/>
        <v>578.54</v>
      </c>
    </row>
    <row r="1419" spans="1:6">
      <c r="A1419" s="653" t="s">
        <v>675</v>
      </c>
      <c r="B1419" s="659"/>
      <c r="C1419" s="664"/>
      <c r="D1419" s="686"/>
      <c r="E1419" s="662"/>
      <c r="F1419" s="580"/>
    </row>
    <row r="1420" spans="1:6">
      <c r="A1420" s="653" t="s">
        <v>307</v>
      </c>
      <c r="B1420" s="659" t="s">
        <v>404</v>
      </c>
      <c r="C1420" s="664">
        <v>1</v>
      </c>
      <c r="D1420" s="655" t="s">
        <v>335</v>
      </c>
      <c r="E1420" s="662">
        <f ca="1">Elec_Est!E3461</f>
        <v>260.33999999999997</v>
      </c>
      <c r="F1420" s="580">
        <f t="shared" ca="1" si="3"/>
        <v>260.33999999999997</v>
      </c>
    </row>
    <row r="1421" spans="1:6">
      <c r="A1421" s="653" t="s">
        <v>675</v>
      </c>
      <c r="B1421" s="659"/>
      <c r="C1421" s="664"/>
      <c r="D1421" s="686"/>
      <c r="E1421" s="662"/>
      <c r="F1421" s="580"/>
    </row>
    <row r="1422" spans="1:6">
      <c r="A1422" s="653" t="s">
        <v>308</v>
      </c>
      <c r="B1422" s="659" t="s">
        <v>466</v>
      </c>
      <c r="C1422" s="664">
        <v>1</v>
      </c>
      <c r="D1422" s="655" t="s">
        <v>335</v>
      </c>
      <c r="E1422" s="662">
        <f ca="1">Elec_Est!E3468</f>
        <v>289.27</v>
      </c>
      <c r="F1422" s="580">
        <f t="shared" ca="1" si="3"/>
        <v>289.27</v>
      </c>
    </row>
    <row r="1423" spans="1:6">
      <c r="A1423" s="653" t="s">
        <v>675</v>
      </c>
      <c r="B1423" s="659"/>
      <c r="C1423" s="664"/>
      <c r="D1423" s="686"/>
      <c r="E1423" s="662"/>
      <c r="F1423" s="580"/>
    </row>
    <row r="1424" spans="1:6">
      <c r="A1424" s="653" t="s">
        <v>309</v>
      </c>
      <c r="B1424" s="588" t="s">
        <v>467</v>
      </c>
      <c r="C1424" s="664">
        <v>1</v>
      </c>
      <c r="D1424" s="655" t="s">
        <v>335</v>
      </c>
      <c r="E1424" s="662">
        <f ca="1">Elec_Est!E3475</f>
        <v>284.92</v>
      </c>
      <c r="F1424" s="580">
        <f t="shared" ca="1" si="3"/>
        <v>284.92</v>
      </c>
    </row>
    <row r="1425" spans="1:6">
      <c r="A1425" s="653" t="s">
        <v>675</v>
      </c>
      <c r="B1425" s="588"/>
      <c r="C1425" s="664"/>
      <c r="D1425" s="655"/>
      <c r="E1425" s="662"/>
      <c r="F1425" s="580"/>
    </row>
    <row r="1426" spans="1:6" ht="26.4">
      <c r="A1426" s="653" t="s">
        <v>310</v>
      </c>
      <c r="B1426" s="588" t="s">
        <v>435</v>
      </c>
      <c r="C1426" s="664">
        <v>1</v>
      </c>
      <c r="D1426" s="655" t="s">
        <v>335</v>
      </c>
      <c r="E1426" s="662">
        <f ca="1">Elec_Est!E3483</f>
        <v>144.63</v>
      </c>
      <c r="F1426" s="580">
        <f t="shared" ca="1" si="3"/>
        <v>144.63</v>
      </c>
    </row>
    <row r="1427" spans="1:6">
      <c r="A1427" s="653" t="s">
        <v>675</v>
      </c>
      <c r="B1427" s="588"/>
      <c r="C1427" s="664"/>
      <c r="D1427" s="655"/>
      <c r="E1427" s="662"/>
      <c r="F1427" s="580"/>
    </row>
    <row r="1428" spans="1:6" ht="26.4">
      <c r="A1428" s="653" t="s">
        <v>311</v>
      </c>
      <c r="B1428" s="588" t="s">
        <v>402</v>
      </c>
      <c r="C1428" s="664">
        <v>1</v>
      </c>
      <c r="D1428" s="655" t="s">
        <v>335</v>
      </c>
      <c r="E1428" s="662">
        <f ca="1">Elec_Est!E3490</f>
        <v>173.56</v>
      </c>
      <c r="F1428" s="580">
        <f t="shared" ca="1" si="3"/>
        <v>173.56</v>
      </c>
    </row>
    <row r="1429" spans="1:6">
      <c r="A1429" s="653" t="s">
        <v>675</v>
      </c>
      <c r="B1429" s="588"/>
      <c r="C1429" s="664"/>
      <c r="D1429" s="655"/>
      <c r="E1429" s="662"/>
      <c r="F1429" s="580"/>
    </row>
    <row r="1430" spans="1:6">
      <c r="A1430" s="653" t="s">
        <v>312</v>
      </c>
      <c r="B1430" s="588" t="s">
        <v>340</v>
      </c>
      <c r="C1430" s="664">
        <v>2</v>
      </c>
      <c r="D1430" s="655" t="s">
        <v>335</v>
      </c>
      <c r="E1430" s="662">
        <f ca="1">Elec_Est!E3497</f>
        <v>88.56</v>
      </c>
      <c r="F1430" s="580">
        <f t="shared" ca="1" si="3"/>
        <v>177.12</v>
      </c>
    </row>
    <row r="1431" spans="1:6">
      <c r="A1431" s="653" t="s">
        <v>675</v>
      </c>
      <c r="B1431" s="588"/>
      <c r="C1431" s="664"/>
      <c r="D1431" s="655"/>
      <c r="E1431" s="662"/>
      <c r="F1431" s="580"/>
    </row>
    <row r="1432" spans="1:6">
      <c r="A1432" s="653" t="s">
        <v>313</v>
      </c>
      <c r="B1432" s="554" t="s">
        <v>468</v>
      </c>
      <c r="C1432" s="664">
        <v>1</v>
      </c>
      <c r="D1432" s="655" t="s">
        <v>335</v>
      </c>
      <c r="E1432" s="662">
        <f ca="1">Elec_Est!E3506</f>
        <v>146.41</v>
      </c>
      <c r="F1432" s="580">
        <f t="shared" ca="1" si="3"/>
        <v>146.41</v>
      </c>
    </row>
    <row r="1433" spans="1:6">
      <c r="A1433" s="653" t="s">
        <v>675</v>
      </c>
      <c r="B1433" s="588"/>
      <c r="C1433" s="664"/>
      <c r="D1433" s="655"/>
      <c r="E1433" s="662"/>
      <c r="F1433" s="580"/>
    </row>
    <row r="1434" spans="1:6" ht="28.95" customHeight="1">
      <c r="A1434" s="653" t="s">
        <v>314</v>
      </c>
      <c r="B1434" s="582" t="s">
        <v>469</v>
      </c>
      <c r="C1434" s="664">
        <v>1</v>
      </c>
      <c r="D1434" s="655" t="s">
        <v>335</v>
      </c>
      <c r="E1434" s="662">
        <f ca="1">Elec_Est!E3515</f>
        <v>286.81</v>
      </c>
      <c r="F1434" s="580">
        <f t="shared" ca="1" si="3"/>
        <v>286.81</v>
      </c>
    </row>
    <row r="1435" spans="1:6">
      <c r="A1435" s="653" t="s">
        <v>675</v>
      </c>
      <c r="B1435" s="588"/>
      <c r="C1435" s="664"/>
      <c r="D1435" s="655"/>
      <c r="E1435" s="662"/>
      <c r="F1435" s="580"/>
    </row>
    <row r="1436" spans="1:6">
      <c r="A1436" s="653" t="s">
        <v>315</v>
      </c>
      <c r="B1436" s="588" t="s">
        <v>381</v>
      </c>
      <c r="C1436" s="664">
        <v>7</v>
      </c>
      <c r="D1436" s="655" t="s">
        <v>335</v>
      </c>
      <c r="E1436" s="662">
        <f ca="1">Elec_Est!E3526</f>
        <v>74.08</v>
      </c>
      <c r="F1436" s="580">
        <f t="shared" ca="1" si="3"/>
        <v>518.55999999999995</v>
      </c>
    </row>
    <row r="1437" spans="1:6">
      <c r="A1437" s="653" t="s">
        <v>675</v>
      </c>
      <c r="B1437" s="588"/>
      <c r="C1437" s="664"/>
      <c r="D1437" s="655"/>
      <c r="E1437" s="662"/>
      <c r="F1437" s="580"/>
    </row>
    <row r="1438" spans="1:6">
      <c r="A1438" s="653" t="s">
        <v>316</v>
      </c>
      <c r="B1438" s="588" t="s">
        <v>406</v>
      </c>
      <c r="C1438" s="664">
        <v>4</v>
      </c>
      <c r="D1438" s="655" t="s">
        <v>335</v>
      </c>
      <c r="E1438" s="662">
        <f ca="1">Elec_Est!E3534</f>
        <v>57.85</v>
      </c>
      <c r="F1438" s="580">
        <f t="shared" ca="1" si="3"/>
        <v>231.4</v>
      </c>
    </row>
    <row r="1439" spans="1:6">
      <c r="A1439" s="653" t="s">
        <v>675</v>
      </c>
      <c r="B1439" s="588"/>
      <c r="C1439" s="664"/>
      <c r="D1439" s="655"/>
      <c r="E1439" s="662"/>
      <c r="F1439" s="580"/>
    </row>
    <row r="1440" spans="1:6">
      <c r="A1440" s="653" t="s">
        <v>317</v>
      </c>
      <c r="B1440" s="588" t="s">
        <v>407</v>
      </c>
      <c r="C1440" s="664">
        <v>2</v>
      </c>
      <c r="D1440" s="655" t="s">
        <v>335</v>
      </c>
      <c r="E1440" s="662">
        <f ca="1">Elec_Est!E3541</f>
        <v>57.85</v>
      </c>
      <c r="F1440" s="580">
        <f t="shared" ca="1" si="3"/>
        <v>115.7</v>
      </c>
    </row>
    <row r="1441" spans="1:8">
      <c r="A1441" s="653" t="s">
        <v>675</v>
      </c>
      <c r="B1441" s="588"/>
      <c r="C1441" s="664"/>
      <c r="D1441" s="655"/>
      <c r="E1441" s="662"/>
      <c r="F1441" s="580"/>
    </row>
    <row r="1442" spans="1:8">
      <c r="A1442" s="653" t="s">
        <v>318</v>
      </c>
      <c r="B1442" s="588" t="s">
        <v>409</v>
      </c>
      <c r="C1442" s="664">
        <v>2</v>
      </c>
      <c r="D1442" s="655" t="s">
        <v>335</v>
      </c>
      <c r="E1442" s="662">
        <f ca="1">Elec_Est!E3548</f>
        <v>57.85</v>
      </c>
      <c r="F1442" s="580">
        <f t="shared" ca="1" si="3"/>
        <v>115.7</v>
      </c>
    </row>
    <row r="1443" spans="1:8">
      <c r="A1443" s="653" t="s">
        <v>675</v>
      </c>
      <c r="B1443" s="588"/>
      <c r="C1443" s="664"/>
      <c r="D1443" s="655"/>
      <c r="E1443" s="662"/>
      <c r="F1443" s="580"/>
    </row>
    <row r="1444" spans="1:8">
      <c r="A1444" s="653" t="s">
        <v>319</v>
      </c>
      <c r="B1444" s="588" t="s">
        <v>344</v>
      </c>
      <c r="C1444" s="664">
        <v>1</v>
      </c>
      <c r="D1444" s="655" t="s">
        <v>335</v>
      </c>
      <c r="E1444" s="662">
        <f ca="1">Elec_Est!E3555</f>
        <v>57.85</v>
      </c>
      <c r="F1444" s="580">
        <f t="shared" ca="1" si="3"/>
        <v>57.85</v>
      </c>
    </row>
    <row r="1445" spans="1:8">
      <c r="A1445" s="653" t="s">
        <v>675</v>
      </c>
      <c r="B1445" s="588"/>
      <c r="C1445" s="664"/>
      <c r="D1445" s="655"/>
      <c r="E1445" s="662"/>
      <c r="F1445" s="580"/>
    </row>
    <row r="1446" spans="1:8">
      <c r="A1446" s="653" t="s">
        <v>675</v>
      </c>
      <c r="B1446" s="588"/>
      <c r="C1446" s="664"/>
      <c r="D1446" s="655"/>
      <c r="E1446" s="662"/>
      <c r="F1446" s="580"/>
    </row>
    <row r="1447" spans="1:8">
      <c r="A1447" s="653" t="s">
        <v>675</v>
      </c>
      <c r="B1447" s="588"/>
      <c r="C1447" s="664"/>
      <c r="D1447" s="655"/>
      <c r="E1447" s="662"/>
      <c r="F1447" s="580"/>
    </row>
    <row r="1448" spans="1:8">
      <c r="A1448" s="653" t="s">
        <v>675</v>
      </c>
      <c r="B1448" s="588"/>
      <c r="C1448" s="664"/>
      <c r="D1448" s="655"/>
      <c r="E1448" s="662"/>
      <c r="F1448" s="580"/>
    </row>
    <row r="1449" spans="1:8">
      <c r="A1449" s="653" t="s">
        <v>675</v>
      </c>
      <c r="B1449" s="588"/>
      <c r="C1449" s="664"/>
      <c r="D1449" s="655"/>
      <c r="E1449" s="662"/>
      <c r="F1449" s="580"/>
    </row>
    <row r="1450" spans="1:8" ht="13.8" thickBot="1">
      <c r="A1450" s="653" t="s">
        <v>675</v>
      </c>
      <c r="B1450" s="642"/>
      <c r="C1450" s="667"/>
      <c r="D1450" s="666"/>
      <c r="E1450" s="683"/>
      <c r="F1450" s="580"/>
    </row>
    <row r="1451" spans="1:8">
      <c r="A1451" s="591" t="s">
        <v>675</v>
      </c>
      <c r="B1451" s="592"/>
      <c r="C1451" s="594"/>
      <c r="D1451" s="593"/>
      <c r="E1451" s="643"/>
      <c r="F1451" s="596"/>
    </row>
    <row r="1452" spans="1:8">
      <c r="A1452" s="597" t="s">
        <v>702</v>
      </c>
      <c r="B1452" s="598" t="s">
        <v>282</v>
      </c>
      <c r="C1452" s="600"/>
      <c r="D1452" s="599"/>
      <c r="E1452" s="601"/>
      <c r="F1452" s="602">
        <f ca="1">SUM(F1410:F1451)</f>
        <v>4075.0399999999991</v>
      </c>
      <c r="G1452" s="1202">
        <f ca="1">Elec_Est!F3563</f>
        <v>4075.0399999999991</v>
      </c>
      <c r="H1452" s="1203">
        <f ca="1">F1452-G1452</f>
        <v>0</v>
      </c>
    </row>
    <row r="1453" spans="1:8">
      <c r="A1453" s="603" t="s">
        <v>675</v>
      </c>
      <c r="B1453" s="604"/>
      <c r="C1453" s="606"/>
      <c r="D1453" s="605"/>
      <c r="E1453" s="644"/>
      <c r="F1453" s="608"/>
    </row>
    <row r="1454" spans="1:8">
      <c r="A1454" s="609" t="s">
        <v>675</v>
      </c>
      <c r="B1454" s="714"/>
      <c r="C1454" s="716"/>
      <c r="D1454" s="715"/>
      <c r="E1454" s="697"/>
      <c r="F1454" s="698"/>
    </row>
    <row r="1455" spans="1:8">
      <c r="A1455" s="612" t="s">
        <v>675</v>
      </c>
      <c r="B1455" s="613"/>
      <c r="C1455" s="558"/>
      <c r="D1455" s="557"/>
      <c r="E1455" s="626"/>
      <c r="F1455" s="561"/>
    </row>
    <row r="1456" spans="1:8">
      <c r="A1456" s="612" t="s">
        <v>675</v>
      </c>
      <c r="B1456" s="613"/>
      <c r="C1456" s="558"/>
      <c r="D1456" s="557"/>
      <c r="E1456" s="626"/>
      <c r="F1456" s="561"/>
    </row>
    <row r="1457" spans="1:6">
      <c r="A1457" s="603" t="s">
        <v>675</v>
      </c>
      <c r="B1457" s="604"/>
      <c r="C1457" s="606"/>
      <c r="D1457" s="605"/>
      <c r="E1457" s="644"/>
      <c r="F1457" s="651"/>
    </row>
    <row r="1458" spans="1:6" ht="13.8" thickBot="1">
      <c r="A1458" s="710" t="s">
        <v>267</v>
      </c>
      <c r="B1458" s="711" t="s">
        <v>268</v>
      </c>
      <c r="C1458" s="703" t="s">
        <v>269</v>
      </c>
      <c r="D1458" s="702" t="s">
        <v>259</v>
      </c>
      <c r="E1458" s="704" t="s">
        <v>270</v>
      </c>
      <c r="F1458" s="705" t="s">
        <v>260</v>
      </c>
    </row>
    <row r="1459" spans="1:6">
      <c r="A1459" s="572" t="s">
        <v>675</v>
      </c>
      <c r="B1459" s="614"/>
      <c r="C1459" s="664"/>
      <c r="D1459" s="661"/>
      <c r="E1459" s="669"/>
      <c r="F1459" s="577"/>
    </row>
    <row r="1460" spans="1:6" ht="26.4">
      <c r="A1460" s="653" t="s">
        <v>780</v>
      </c>
      <c r="B1460" s="687" t="s">
        <v>376</v>
      </c>
      <c r="C1460" s="664"/>
      <c r="D1460" s="655"/>
      <c r="E1460" s="662"/>
      <c r="F1460" s="580"/>
    </row>
    <row r="1461" spans="1:6">
      <c r="A1461" s="653" t="s">
        <v>675</v>
      </c>
      <c r="B1461" s="588"/>
      <c r="C1461" s="664"/>
      <c r="D1461" s="655"/>
      <c r="E1461" s="662"/>
      <c r="F1461" s="580"/>
    </row>
    <row r="1462" spans="1:6">
      <c r="A1462" s="653" t="s">
        <v>294</v>
      </c>
      <c r="B1462" s="582" t="s">
        <v>377</v>
      </c>
      <c r="C1462" s="664">
        <v>1</v>
      </c>
      <c r="D1462" s="655" t="s">
        <v>335</v>
      </c>
      <c r="E1462" s="662">
        <f ca="1">Elec_Est!E3572</f>
        <v>67.06</v>
      </c>
      <c r="F1462" s="580">
        <f ca="1">C1462*E1462</f>
        <v>67.06</v>
      </c>
    </row>
    <row r="1463" spans="1:6">
      <c r="A1463" s="653" t="s">
        <v>675</v>
      </c>
      <c r="B1463" s="588"/>
      <c r="C1463" s="664"/>
      <c r="D1463" s="655"/>
      <c r="E1463" s="662"/>
      <c r="F1463" s="580"/>
    </row>
    <row r="1464" spans="1:6">
      <c r="A1464" s="653" t="s">
        <v>675</v>
      </c>
      <c r="B1464" s="588"/>
      <c r="C1464" s="664"/>
      <c r="D1464" s="655"/>
      <c r="E1464" s="662"/>
      <c r="F1464" s="580"/>
    </row>
    <row r="1465" spans="1:6" ht="12.75" customHeight="1">
      <c r="A1465" s="653" t="s">
        <v>781</v>
      </c>
      <c r="B1465" s="687" t="s">
        <v>379</v>
      </c>
      <c r="C1465" s="664"/>
      <c r="D1465" s="655"/>
      <c r="E1465" s="662"/>
      <c r="F1465" s="580"/>
    </row>
    <row r="1466" spans="1:6">
      <c r="A1466" s="653" t="s">
        <v>675</v>
      </c>
      <c r="B1466" s="588"/>
      <c r="C1466" s="664"/>
      <c r="D1466" s="655"/>
      <c r="E1466" s="662"/>
      <c r="F1466" s="580"/>
    </row>
    <row r="1467" spans="1:6" ht="26.4">
      <c r="A1467" s="653" t="s">
        <v>294</v>
      </c>
      <c r="B1467" s="706" t="s">
        <v>470</v>
      </c>
      <c r="C1467" s="664">
        <v>1</v>
      </c>
      <c r="D1467" s="655" t="s">
        <v>335</v>
      </c>
      <c r="E1467" s="662">
        <f ca="1">Elec_Est!E3585</f>
        <v>55.19</v>
      </c>
      <c r="F1467" s="580">
        <f ca="1">C1467*E1467</f>
        <v>55.19</v>
      </c>
    </row>
    <row r="1468" spans="1:6">
      <c r="A1468" s="653" t="s">
        <v>675</v>
      </c>
      <c r="B1468" s="706"/>
      <c r="C1468" s="664"/>
      <c r="D1468" s="655"/>
      <c r="E1468" s="662"/>
      <c r="F1468" s="580"/>
    </row>
    <row r="1469" spans="1:6">
      <c r="A1469" s="653" t="s">
        <v>675</v>
      </c>
      <c r="B1469" s="706"/>
      <c r="C1469" s="664"/>
      <c r="D1469" s="655"/>
      <c r="E1469" s="662"/>
      <c r="F1469" s="580"/>
    </row>
    <row r="1470" spans="1:6">
      <c r="A1470" s="653" t="s">
        <v>782</v>
      </c>
      <c r="B1470" s="673" t="s">
        <v>345</v>
      </c>
      <c r="C1470" s="664"/>
      <c r="D1470" s="655"/>
      <c r="E1470" s="662"/>
      <c r="F1470" s="580"/>
    </row>
    <row r="1471" spans="1:6">
      <c r="A1471" s="653" t="s">
        <v>675</v>
      </c>
      <c r="B1471" s="588"/>
      <c r="C1471" s="664"/>
      <c r="D1471" s="655"/>
      <c r="E1471" s="662"/>
      <c r="F1471" s="580"/>
    </row>
    <row r="1472" spans="1:6">
      <c r="A1472" s="653" t="s">
        <v>294</v>
      </c>
      <c r="B1472" s="588" t="s">
        <v>471</v>
      </c>
      <c r="C1472" s="664">
        <v>8</v>
      </c>
      <c r="D1472" s="655" t="s">
        <v>335</v>
      </c>
      <c r="E1472" s="662">
        <f ca="1">Elec_Est!E3607</f>
        <v>81.56</v>
      </c>
      <c r="F1472" s="580">
        <f ca="1">C1472*E1472</f>
        <v>652.48</v>
      </c>
    </row>
    <row r="1473" spans="1:6">
      <c r="A1473" s="653" t="s">
        <v>675</v>
      </c>
      <c r="B1473" s="588"/>
      <c r="C1473" s="664"/>
      <c r="D1473" s="655"/>
      <c r="E1473" s="662"/>
      <c r="F1473" s="580"/>
    </row>
    <row r="1474" spans="1:6" ht="26.4">
      <c r="A1474" s="653" t="s">
        <v>296</v>
      </c>
      <c r="B1474" s="588" t="s">
        <v>381</v>
      </c>
      <c r="C1474" s="664">
        <v>7</v>
      </c>
      <c r="D1474" s="655" t="s">
        <v>335</v>
      </c>
      <c r="E1474" s="662" t="str">
        <f>Elec_Est!Q3614</f>
        <v>Included in item 58n</v>
      </c>
      <c r="F1474" s="580"/>
    </row>
    <row r="1475" spans="1:6">
      <c r="A1475" s="653" t="s">
        <v>675</v>
      </c>
      <c r="B1475" s="588"/>
      <c r="C1475" s="664"/>
      <c r="D1475" s="655"/>
      <c r="E1475" s="662"/>
      <c r="F1475" s="580"/>
    </row>
    <row r="1476" spans="1:6" ht="26.4">
      <c r="A1476" s="653" t="s">
        <v>298</v>
      </c>
      <c r="B1476" s="582" t="s">
        <v>348</v>
      </c>
      <c r="C1476" s="664">
        <v>1</v>
      </c>
      <c r="D1476" s="655" t="s">
        <v>335</v>
      </c>
      <c r="E1476" s="662">
        <f ca="1">Elec_Est!E3621</f>
        <v>28.98</v>
      </c>
      <c r="F1476" s="580">
        <f ca="1">C1476*E1476</f>
        <v>28.98</v>
      </c>
    </row>
    <row r="1477" spans="1:6">
      <c r="A1477" s="653" t="s">
        <v>675</v>
      </c>
      <c r="B1477" s="582"/>
      <c r="C1477" s="664"/>
      <c r="D1477" s="655"/>
      <c r="E1477" s="662"/>
      <c r="F1477" s="580"/>
    </row>
    <row r="1478" spans="1:6">
      <c r="A1478" s="653" t="s">
        <v>675</v>
      </c>
      <c r="B1478" s="588"/>
      <c r="C1478" s="664"/>
      <c r="D1478" s="655"/>
      <c r="E1478" s="662"/>
      <c r="F1478" s="580"/>
    </row>
    <row r="1479" spans="1:6" ht="26.4">
      <c r="A1479" s="653" t="s">
        <v>783</v>
      </c>
      <c r="B1479" s="582" t="s">
        <v>351</v>
      </c>
      <c r="C1479" s="664"/>
      <c r="D1479" s="655"/>
      <c r="E1479" s="662"/>
      <c r="F1479" s="580"/>
    </row>
    <row r="1480" spans="1:6">
      <c r="A1480" s="653" t="s">
        <v>675</v>
      </c>
      <c r="B1480" s="588"/>
      <c r="C1480" s="664"/>
      <c r="D1480" s="655"/>
      <c r="E1480" s="662"/>
      <c r="F1480" s="580"/>
    </row>
    <row r="1481" spans="1:6">
      <c r="A1481" s="653" t="s">
        <v>294</v>
      </c>
      <c r="B1481" s="588" t="s">
        <v>413</v>
      </c>
      <c r="C1481" s="664">
        <v>31</v>
      </c>
      <c r="D1481" s="655" t="s">
        <v>335</v>
      </c>
      <c r="E1481" s="662">
        <f ca="1">Elec_Est!E3632</f>
        <v>14.36</v>
      </c>
      <c r="F1481" s="580">
        <f ca="1">C1481*E1481</f>
        <v>445.15999999999997</v>
      </c>
    </row>
    <row r="1482" spans="1:6">
      <c r="A1482" s="653" t="s">
        <v>675</v>
      </c>
      <c r="B1482" s="588"/>
      <c r="C1482" s="664"/>
      <c r="D1482" s="655"/>
      <c r="E1482" s="662"/>
      <c r="F1482" s="580"/>
    </row>
    <row r="1483" spans="1:6">
      <c r="A1483" s="653" t="s">
        <v>296</v>
      </c>
      <c r="B1483" s="588" t="s">
        <v>414</v>
      </c>
      <c r="C1483" s="664">
        <v>5</v>
      </c>
      <c r="D1483" s="655" t="s">
        <v>335</v>
      </c>
      <c r="E1483" s="662">
        <f ca="1">Elec_Est!E3639</f>
        <v>14.36</v>
      </c>
      <c r="F1483" s="580">
        <f ca="1">C1483*E1483</f>
        <v>71.8</v>
      </c>
    </row>
    <row r="1484" spans="1:6">
      <c r="A1484" s="653" t="s">
        <v>675</v>
      </c>
      <c r="B1484" s="588"/>
      <c r="C1484" s="664"/>
      <c r="D1484" s="655"/>
      <c r="E1484" s="662"/>
      <c r="F1484" s="580"/>
    </row>
    <row r="1485" spans="1:6">
      <c r="A1485" s="653" t="s">
        <v>298</v>
      </c>
      <c r="B1485" s="588" t="s">
        <v>472</v>
      </c>
      <c r="C1485" s="664">
        <v>3</v>
      </c>
      <c r="D1485" s="655" t="s">
        <v>335</v>
      </c>
      <c r="E1485" s="662">
        <f ca="1">Elec_Est!E3646</f>
        <v>42.09</v>
      </c>
      <c r="F1485" s="580">
        <f ca="1">C1485*E1485</f>
        <v>126.27000000000001</v>
      </c>
    </row>
    <row r="1486" spans="1:6">
      <c r="A1486" s="653" t="s">
        <v>675</v>
      </c>
      <c r="B1486" s="588"/>
      <c r="C1486" s="664"/>
      <c r="D1486" s="655"/>
      <c r="E1486" s="662"/>
      <c r="F1486" s="580"/>
    </row>
    <row r="1487" spans="1:6" ht="26.4">
      <c r="A1487" s="653" t="s">
        <v>300</v>
      </c>
      <c r="B1487" s="588" t="s">
        <v>419</v>
      </c>
      <c r="C1487" s="664">
        <v>8</v>
      </c>
      <c r="D1487" s="655" t="s">
        <v>335</v>
      </c>
      <c r="E1487" s="662">
        <f ca="1">Elec_Est!E3653</f>
        <v>49.48</v>
      </c>
      <c r="F1487" s="580">
        <f ca="1">C1487*E1487</f>
        <v>395.84</v>
      </c>
    </row>
    <row r="1488" spans="1:6">
      <c r="A1488" s="653" t="s">
        <v>675</v>
      </c>
      <c r="B1488" s="588"/>
      <c r="C1488" s="664"/>
      <c r="D1488" s="655"/>
      <c r="E1488" s="662"/>
      <c r="F1488" s="580"/>
    </row>
    <row r="1489" spans="1:6">
      <c r="A1489" s="653" t="s">
        <v>302</v>
      </c>
      <c r="B1489" s="588" t="s">
        <v>420</v>
      </c>
      <c r="C1489" s="664">
        <v>5</v>
      </c>
      <c r="D1489" s="655" t="s">
        <v>326</v>
      </c>
      <c r="E1489" s="662">
        <f ca="1">Elec_Est!E3660</f>
        <v>5.63</v>
      </c>
      <c r="F1489" s="580">
        <f ca="1">C1489*E1489</f>
        <v>28.15</v>
      </c>
    </row>
    <row r="1490" spans="1:6">
      <c r="A1490" s="653" t="s">
        <v>675</v>
      </c>
      <c r="B1490" s="588"/>
      <c r="C1490" s="664"/>
      <c r="D1490" s="655"/>
      <c r="E1490" s="662"/>
      <c r="F1490" s="580"/>
    </row>
    <row r="1491" spans="1:6">
      <c r="A1491" s="653" t="s">
        <v>307</v>
      </c>
      <c r="B1491" s="588" t="s">
        <v>473</v>
      </c>
      <c r="C1491" s="664">
        <v>7</v>
      </c>
      <c r="D1491" s="655" t="s">
        <v>335</v>
      </c>
      <c r="E1491" s="662">
        <f ca="1">Elec_Est!E3667</f>
        <v>11.35</v>
      </c>
      <c r="F1491" s="580">
        <f ca="1">C1491*E1491</f>
        <v>79.45</v>
      </c>
    </row>
    <row r="1492" spans="1:6">
      <c r="A1492" s="653" t="s">
        <v>675</v>
      </c>
      <c r="C1492" s="664"/>
      <c r="D1492" s="655"/>
      <c r="E1492" s="662"/>
      <c r="F1492" s="580"/>
    </row>
    <row r="1493" spans="1:6">
      <c r="A1493" s="653" t="s">
        <v>308</v>
      </c>
      <c r="B1493" s="588" t="s">
        <v>356</v>
      </c>
      <c r="C1493" s="664">
        <v>1</v>
      </c>
      <c r="D1493" s="655" t="s">
        <v>335</v>
      </c>
      <c r="E1493" s="662">
        <f ca="1">Elec_Est!E3674</f>
        <v>11.35</v>
      </c>
      <c r="F1493" s="580">
        <f ca="1">C1493*E1493</f>
        <v>11.35</v>
      </c>
    </row>
    <row r="1494" spans="1:6">
      <c r="A1494" s="653" t="s">
        <v>675</v>
      </c>
      <c r="B1494" s="588"/>
      <c r="C1494" s="664"/>
      <c r="D1494" s="655"/>
      <c r="E1494" s="662"/>
      <c r="F1494" s="580"/>
    </row>
    <row r="1495" spans="1:6">
      <c r="A1495" s="653" t="s">
        <v>309</v>
      </c>
      <c r="B1495" s="588" t="s">
        <v>422</v>
      </c>
      <c r="C1495" s="664">
        <v>4</v>
      </c>
      <c r="D1495" s="655" t="s">
        <v>335</v>
      </c>
      <c r="E1495" s="662">
        <f ca="1">Elec_Est!E3681</f>
        <v>11.35</v>
      </c>
      <c r="F1495" s="580">
        <f ca="1">C1495*E1495</f>
        <v>45.4</v>
      </c>
    </row>
    <row r="1496" spans="1:6">
      <c r="A1496" s="653" t="s">
        <v>675</v>
      </c>
      <c r="B1496" s="588"/>
      <c r="C1496" s="664"/>
      <c r="D1496" s="655"/>
      <c r="E1496" s="662"/>
      <c r="F1496" s="580"/>
    </row>
    <row r="1497" spans="1:6">
      <c r="A1497" s="653" t="s">
        <v>310</v>
      </c>
      <c r="B1497" s="588" t="s">
        <v>474</v>
      </c>
      <c r="C1497" s="664">
        <v>6</v>
      </c>
      <c r="D1497" s="655" t="s">
        <v>335</v>
      </c>
      <c r="E1497" s="662">
        <f ca="1">Elec_Est!E3688</f>
        <v>18.739999999999998</v>
      </c>
      <c r="F1497" s="580">
        <f ca="1">C1497*E1497</f>
        <v>112.44</v>
      </c>
    </row>
    <row r="1498" spans="1:6">
      <c r="A1498" s="653" t="s">
        <v>675</v>
      </c>
      <c r="B1498" s="588"/>
      <c r="C1498" s="664"/>
      <c r="D1498" s="655"/>
      <c r="E1498" s="662"/>
      <c r="F1498" s="580"/>
    </row>
    <row r="1499" spans="1:6">
      <c r="A1499" s="653" t="s">
        <v>311</v>
      </c>
      <c r="B1499" s="588" t="s">
        <v>423</v>
      </c>
      <c r="C1499" s="664">
        <v>3</v>
      </c>
      <c r="D1499" s="655" t="s">
        <v>335</v>
      </c>
      <c r="E1499" s="662">
        <f ca="1">Elec_Est!E3695</f>
        <v>11.35</v>
      </c>
      <c r="F1499" s="580">
        <f ca="1">C1499*E1499</f>
        <v>34.049999999999997</v>
      </c>
    </row>
    <row r="1500" spans="1:6">
      <c r="A1500" s="653" t="s">
        <v>675</v>
      </c>
      <c r="B1500" s="588"/>
      <c r="C1500" s="664"/>
      <c r="D1500" s="655"/>
      <c r="E1500" s="662"/>
      <c r="F1500" s="580"/>
    </row>
    <row r="1501" spans="1:6">
      <c r="A1501" s="653" t="s">
        <v>312</v>
      </c>
      <c r="B1501" s="588" t="s">
        <v>471</v>
      </c>
      <c r="C1501" s="664">
        <v>8</v>
      </c>
      <c r="D1501" s="655" t="s">
        <v>335</v>
      </c>
      <c r="E1501" s="662">
        <f ca="1">Elec_Est!E3702</f>
        <v>13.21</v>
      </c>
      <c r="F1501" s="580">
        <f ca="1">C1501*E1501</f>
        <v>105.68</v>
      </c>
    </row>
    <row r="1502" spans="1:6">
      <c r="A1502" s="653" t="s">
        <v>675</v>
      </c>
      <c r="B1502" s="588"/>
      <c r="C1502" s="664"/>
      <c r="D1502" s="655"/>
      <c r="E1502" s="662"/>
      <c r="F1502" s="580"/>
    </row>
    <row r="1503" spans="1:6" ht="26.4">
      <c r="A1503" s="653" t="s">
        <v>313</v>
      </c>
      <c r="B1503" s="588" t="s">
        <v>381</v>
      </c>
      <c r="C1503" s="664">
        <v>7</v>
      </c>
      <c r="D1503" s="655" t="s">
        <v>335</v>
      </c>
      <c r="E1503" s="662" t="str">
        <f>Elec_Est!Q3709</f>
        <v>Included in item 58n</v>
      </c>
      <c r="F1503" s="580"/>
    </row>
    <row r="1504" spans="1:6">
      <c r="A1504" s="653" t="s">
        <v>675</v>
      </c>
      <c r="B1504" s="588"/>
      <c r="C1504" s="664"/>
      <c r="D1504" s="655"/>
      <c r="E1504" s="662"/>
      <c r="F1504" s="580"/>
    </row>
    <row r="1505" spans="1:8">
      <c r="A1505" s="572" t="s">
        <v>675</v>
      </c>
      <c r="B1505" s="573"/>
      <c r="C1505" s="575"/>
      <c r="D1505" s="574"/>
      <c r="E1505" s="576"/>
      <c r="F1505" s="580"/>
    </row>
    <row r="1506" spans="1:8" ht="13.8" thickBot="1">
      <c r="A1506" s="572" t="s">
        <v>675</v>
      </c>
      <c r="B1506" s="658"/>
      <c r="C1506" s="587"/>
      <c r="D1506" s="655"/>
      <c r="E1506" s="576"/>
      <c r="F1506" s="580"/>
    </row>
    <row r="1507" spans="1:8">
      <c r="A1507" s="591" t="s">
        <v>675</v>
      </c>
      <c r="B1507" s="592"/>
      <c r="C1507" s="594"/>
      <c r="D1507" s="593"/>
      <c r="E1507" s="643"/>
      <c r="F1507" s="596"/>
    </row>
    <row r="1508" spans="1:8">
      <c r="A1508" s="597" t="s">
        <v>702</v>
      </c>
      <c r="B1508" s="598" t="s">
        <v>282</v>
      </c>
      <c r="C1508" s="600"/>
      <c r="D1508" s="599"/>
      <c r="E1508" s="601"/>
      <c r="F1508" s="602">
        <f ca="1">SUM(F1459:F1506)</f>
        <v>2259.2999999999997</v>
      </c>
      <c r="G1508" s="1202">
        <f ca="1">Elec_Est!F3717</f>
        <v>2259.3000000000002</v>
      </c>
      <c r="H1508" s="1203">
        <f ca="1">F1508-G1508</f>
        <v>0</v>
      </c>
    </row>
    <row r="1509" spans="1:8">
      <c r="A1509" s="603" t="s">
        <v>675</v>
      </c>
      <c r="B1509" s="604"/>
      <c r="C1509" s="606"/>
      <c r="D1509" s="605"/>
      <c r="E1509" s="644"/>
      <c r="F1509" s="608"/>
    </row>
    <row r="1510" spans="1:8">
      <c r="A1510" s="609" t="s">
        <v>675</v>
      </c>
      <c r="B1510" s="714"/>
      <c r="C1510" s="716"/>
      <c r="D1510" s="715"/>
      <c r="E1510" s="697"/>
      <c r="F1510" s="698"/>
    </row>
    <row r="1511" spans="1:8">
      <c r="A1511" s="612" t="s">
        <v>675</v>
      </c>
      <c r="B1511" s="613"/>
      <c r="C1511" s="558"/>
      <c r="D1511" s="557"/>
      <c r="E1511" s="626"/>
      <c r="F1511" s="561"/>
    </row>
    <row r="1512" spans="1:8">
      <c r="A1512" s="612" t="s">
        <v>675</v>
      </c>
      <c r="B1512" s="613"/>
      <c r="C1512" s="558"/>
      <c r="D1512" s="557"/>
      <c r="E1512" s="626"/>
      <c r="F1512" s="561"/>
    </row>
    <row r="1513" spans="1:8">
      <c r="A1513" s="603" t="s">
        <v>675</v>
      </c>
      <c r="B1513" s="604"/>
      <c r="C1513" s="606"/>
      <c r="D1513" s="605"/>
      <c r="E1513" s="644"/>
      <c r="F1513" s="651"/>
    </row>
    <row r="1514" spans="1:8" ht="13.8" thickBot="1">
      <c r="A1514" s="710" t="s">
        <v>267</v>
      </c>
      <c r="B1514" s="711" t="s">
        <v>268</v>
      </c>
      <c r="C1514" s="703" t="s">
        <v>269</v>
      </c>
      <c r="D1514" s="702" t="s">
        <v>259</v>
      </c>
      <c r="E1514" s="704" t="s">
        <v>270</v>
      </c>
      <c r="F1514" s="705" t="s">
        <v>260</v>
      </c>
    </row>
    <row r="1515" spans="1:8">
      <c r="A1515" s="572" t="s">
        <v>675</v>
      </c>
      <c r="B1515" s="614"/>
      <c r="C1515" s="664"/>
      <c r="D1515" s="661"/>
      <c r="E1515" s="669"/>
      <c r="F1515" s="577"/>
    </row>
    <row r="1516" spans="1:8" ht="26.4">
      <c r="A1516" s="653" t="s">
        <v>314</v>
      </c>
      <c r="B1516" s="582" t="s">
        <v>348</v>
      </c>
      <c r="C1516" s="664">
        <v>1</v>
      </c>
      <c r="D1516" s="655" t="s">
        <v>335</v>
      </c>
      <c r="E1516" s="662">
        <f ca="1">Elec_Est!E3722</f>
        <v>13.21</v>
      </c>
      <c r="F1516" s="580">
        <f ca="1">C1516*E1516</f>
        <v>13.21</v>
      </c>
    </row>
    <row r="1517" spans="1:8">
      <c r="A1517" s="653" t="s">
        <v>675</v>
      </c>
      <c r="B1517" s="582"/>
      <c r="C1517" s="664"/>
      <c r="D1517" s="655"/>
      <c r="E1517" s="662"/>
      <c r="F1517" s="580"/>
    </row>
    <row r="1518" spans="1:8">
      <c r="A1518" s="653" t="s">
        <v>315</v>
      </c>
      <c r="B1518" s="588" t="s">
        <v>450</v>
      </c>
      <c r="C1518" s="664">
        <v>6</v>
      </c>
      <c r="D1518" s="655" t="s">
        <v>335</v>
      </c>
      <c r="E1518" s="662">
        <f ca="1">Elec_Est!E3729</f>
        <v>16.12</v>
      </c>
      <c r="F1518" s="580">
        <f ca="1">C1518*E1518</f>
        <v>96.72</v>
      </c>
    </row>
    <row r="1519" spans="1:8">
      <c r="A1519" s="572" t="s">
        <v>675</v>
      </c>
      <c r="B1519" s="573"/>
      <c r="C1519" s="575"/>
      <c r="D1519" s="574"/>
      <c r="E1519" s="576"/>
      <c r="F1519" s="580"/>
    </row>
    <row r="1520" spans="1:8">
      <c r="A1520" s="572" t="s">
        <v>316</v>
      </c>
      <c r="B1520" s="588" t="s">
        <v>425</v>
      </c>
      <c r="C1520" s="575">
        <v>2</v>
      </c>
      <c r="D1520" s="574" t="s">
        <v>335</v>
      </c>
      <c r="E1520" s="576">
        <f ca="1">Elec_Est!E3736</f>
        <v>11.35</v>
      </c>
      <c r="F1520" s="580">
        <f ca="1">C1520*E1520</f>
        <v>22.7</v>
      </c>
    </row>
    <row r="1521" spans="1:6">
      <c r="A1521" s="572" t="s">
        <v>675</v>
      </c>
      <c r="B1521" s="614"/>
      <c r="C1521" s="664"/>
      <c r="D1521" s="661"/>
      <c r="E1521" s="669"/>
      <c r="F1521" s="580"/>
    </row>
    <row r="1522" spans="1:6">
      <c r="A1522" s="572" t="s">
        <v>675</v>
      </c>
      <c r="B1522" s="614"/>
      <c r="C1522" s="664"/>
      <c r="D1522" s="661"/>
      <c r="E1522" s="669"/>
      <c r="F1522" s="580"/>
    </row>
    <row r="1523" spans="1:6">
      <c r="A1523" s="675" t="s">
        <v>703</v>
      </c>
      <c r="B1523" s="639" t="s">
        <v>358</v>
      </c>
      <c r="C1523" s="661"/>
      <c r="D1523" s="661"/>
      <c r="E1523" s="662"/>
      <c r="F1523" s="580"/>
    </row>
    <row r="1524" spans="1:6">
      <c r="A1524" s="675" t="s">
        <v>675</v>
      </c>
      <c r="B1524" s="658"/>
      <c r="C1524" s="661"/>
      <c r="D1524" s="661"/>
      <c r="E1524" s="662"/>
      <c r="F1524" s="580"/>
    </row>
    <row r="1525" spans="1:6" ht="26.4">
      <c r="A1525" s="675" t="s">
        <v>784</v>
      </c>
      <c r="B1525" s="688" t="s">
        <v>393</v>
      </c>
      <c r="C1525" s="664"/>
      <c r="D1525" s="661"/>
      <c r="E1525" s="662"/>
      <c r="F1525" s="580"/>
    </row>
    <row r="1526" spans="1:6">
      <c r="A1526" s="675" t="s">
        <v>675</v>
      </c>
      <c r="B1526" s="658"/>
      <c r="C1526" s="656"/>
      <c r="D1526" s="661"/>
      <c r="E1526" s="662"/>
      <c r="F1526" s="580"/>
    </row>
    <row r="1527" spans="1:6">
      <c r="A1527" s="675" t="s">
        <v>294</v>
      </c>
      <c r="B1527" s="554" t="s">
        <v>359</v>
      </c>
      <c r="C1527" s="664">
        <v>11</v>
      </c>
      <c r="D1527" s="655" t="s">
        <v>335</v>
      </c>
      <c r="E1527" s="662">
        <f ca="1">Elec_Est!E3751</f>
        <v>77.31</v>
      </c>
      <c r="F1527" s="580">
        <f ca="1">C1527*E1527</f>
        <v>850.41000000000008</v>
      </c>
    </row>
    <row r="1528" spans="1:6">
      <c r="A1528" s="675" t="s">
        <v>675</v>
      </c>
      <c r="B1528" s="639"/>
      <c r="C1528" s="664"/>
      <c r="D1528" s="655"/>
      <c r="E1528" s="662"/>
      <c r="F1528" s="580"/>
    </row>
    <row r="1529" spans="1:6">
      <c r="A1529" s="675" t="s">
        <v>296</v>
      </c>
      <c r="B1529" s="642" t="s">
        <v>360</v>
      </c>
      <c r="C1529" s="664">
        <v>5</v>
      </c>
      <c r="D1529" s="655" t="s">
        <v>335</v>
      </c>
      <c r="E1529" s="662">
        <f ca="1">Elec_Est!E3759</f>
        <v>79.36</v>
      </c>
      <c r="F1529" s="580">
        <f ca="1">C1529*E1529</f>
        <v>396.8</v>
      </c>
    </row>
    <row r="1530" spans="1:6">
      <c r="A1530" s="675" t="s">
        <v>675</v>
      </c>
      <c r="B1530" s="639"/>
      <c r="C1530" s="664"/>
      <c r="D1530" s="655"/>
      <c r="E1530" s="662"/>
      <c r="F1530" s="580"/>
    </row>
    <row r="1531" spans="1:6">
      <c r="A1531" s="675" t="s">
        <v>298</v>
      </c>
      <c r="B1531" s="642" t="s">
        <v>426</v>
      </c>
      <c r="C1531" s="664">
        <v>6</v>
      </c>
      <c r="D1531" s="655" t="s">
        <v>335</v>
      </c>
      <c r="E1531" s="662">
        <f ca="1">Elec_Est!E3767</f>
        <v>119.8</v>
      </c>
      <c r="F1531" s="580">
        <f ca="1">C1531*E1531</f>
        <v>718.8</v>
      </c>
    </row>
    <row r="1532" spans="1:6">
      <c r="A1532" s="653" t="s">
        <v>675</v>
      </c>
      <c r="B1532" s="639"/>
      <c r="C1532" s="656"/>
      <c r="D1532" s="655"/>
      <c r="E1532" s="662"/>
      <c r="F1532" s="580"/>
    </row>
    <row r="1533" spans="1:6" ht="26.4">
      <c r="A1533" s="653" t="s">
        <v>300</v>
      </c>
      <c r="B1533" s="673" t="s">
        <v>427</v>
      </c>
      <c r="C1533" s="656">
        <v>6</v>
      </c>
      <c r="D1533" s="655" t="s">
        <v>335</v>
      </c>
      <c r="E1533" s="662">
        <f ca="1">Elec_Est!E3775</f>
        <v>119.8</v>
      </c>
      <c r="F1533" s="580">
        <f ca="1">C1533*E1533</f>
        <v>718.8</v>
      </c>
    </row>
    <row r="1534" spans="1:6">
      <c r="A1534" s="653" t="s">
        <v>675</v>
      </c>
      <c r="B1534" s="642"/>
      <c r="C1534" s="656"/>
      <c r="D1534" s="655"/>
      <c r="E1534" s="662"/>
      <c r="F1534" s="580"/>
    </row>
    <row r="1535" spans="1:6">
      <c r="A1535" s="653" t="s">
        <v>302</v>
      </c>
      <c r="B1535" s="673" t="s">
        <v>362</v>
      </c>
      <c r="C1535" s="656">
        <v>4</v>
      </c>
      <c r="D1535" s="655" t="s">
        <v>335</v>
      </c>
      <c r="E1535" s="662">
        <f ca="1">Elec_Est!E3783</f>
        <v>115.17</v>
      </c>
      <c r="F1535" s="580">
        <f ca="1">C1535*E1535</f>
        <v>460.68</v>
      </c>
    </row>
    <row r="1536" spans="1:6">
      <c r="A1536" s="653" t="s">
        <v>675</v>
      </c>
      <c r="B1536" s="642"/>
      <c r="C1536" s="656"/>
      <c r="D1536" s="655"/>
      <c r="E1536" s="662"/>
      <c r="F1536" s="580"/>
    </row>
    <row r="1537" spans="1:6">
      <c r="A1537" s="653" t="s">
        <v>307</v>
      </c>
      <c r="B1537" s="673" t="s">
        <v>363</v>
      </c>
      <c r="C1537" s="656">
        <v>10</v>
      </c>
      <c r="D1537" s="655" t="s">
        <v>335</v>
      </c>
      <c r="E1537" s="662">
        <f ca="1">Elec_Est!E3791</f>
        <v>79.88</v>
      </c>
      <c r="F1537" s="580">
        <f ca="1">C1537*E1537</f>
        <v>798.8</v>
      </c>
    </row>
    <row r="1538" spans="1:6">
      <c r="A1538" s="653" t="s">
        <v>675</v>
      </c>
      <c r="B1538" s="673"/>
      <c r="C1538" s="656"/>
      <c r="D1538" s="655"/>
      <c r="E1538" s="662"/>
      <c r="F1538" s="580"/>
    </row>
    <row r="1539" spans="1:6">
      <c r="A1539" s="653" t="s">
        <v>308</v>
      </c>
      <c r="B1539" s="673" t="s">
        <v>364</v>
      </c>
      <c r="C1539" s="656">
        <v>3</v>
      </c>
      <c r="D1539" s="655" t="s">
        <v>335</v>
      </c>
      <c r="E1539" s="662">
        <f ca="1">Elec_Est!E3799</f>
        <v>79.88</v>
      </c>
      <c r="F1539" s="580">
        <f ca="1">C1539*E1539</f>
        <v>239.64</v>
      </c>
    </row>
    <row r="1540" spans="1:6">
      <c r="A1540" s="653" t="s">
        <v>675</v>
      </c>
      <c r="B1540" s="642"/>
      <c r="C1540" s="656"/>
      <c r="D1540" s="655"/>
      <c r="E1540" s="662"/>
      <c r="F1540" s="580"/>
    </row>
    <row r="1541" spans="1:6">
      <c r="A1541" s="653" t="s">
        <v>309</v>
      </c>
      <c r="B1541" s="554" t="s">
        <v>475</v>
      </c>
      <c r="C1541" s="656">
        <v>1</v>
      </c>
      <c r="D1541" s="655" t="s">
        <v>335</v>
      </c>
      <c r="E1541" s="662">
        <f ca="1">Elec_Est!E3807</f>
        <v>80.2</v>
      </c>
      <c r="F1541" s="580">
        <f ca="1">C1541*E1541</f>
        <v>80.2</v>
      </c>
    </row>
    <row r="1542" spans="1:6">
      <c r="A1542" s="653" t="s">
        <v>675</v>
      </c>
      <c r="B1542" s="642"/>
      <c r="C1542" s="656"/>
      <c r="D1542" s="655"/>
      <c r="E1542" s="662"/>
      <c r="F1542" s="580"/>
    </row>
    <row r="1543" spans="1:6">
      <c r="A1543" s="653" t="s">
        <v>310</v>
      </c>
      <c r="B1543" s="642" t="s">
        <v>428</v>
      </c>
      <c r="C1543" s="656">
        <v>2</v>
      </c>
      <c r="D1543" s="655" t="s">
        <v>335</v>
      </c>
      <c r="E1543" s="662">
        <f ca="1">Elec_Est!E3815</f>
        <v>107.8</v>
      </c>
      <c r="F1543" s="580">
        <f ca="1">C1543*E1543</f>
        <v>215.6</v>
      </c>
    </row>
    <row r="1544" spans="1:6">
      <c r="A1544" s="653" t="s">
        <v>675</v>
      </c>
      <c r="B1544" s="642"/>
      <c r="C1544" s="656"/>
      <c r="D1544" s="655"/>
      <c r="E1544" s="662"/>
      <c r="F1544" s="580"/>
    </row>
    <row r="1545" spans="1:6">
      <c r="A1545" s="572" t="s">
        <v>675</v>
      </c>
      <c r="B1545" s="573"/>
      <c r="C1545" s="575"/>
      <c r="D1545" s="574"/>
      <c r="E1545" s="576"/>
      <c r="F1545" s="580"/>
    </row>
    <row r="1546" spans="1:6">
      <c r="A1546" s="653" t="s">
        <v>703</v>
      </c>
      <c r="B1546" s="639" t="s">
        <v>292</v>
      </c>
      <c r="C1546" s="656"/>
      <c r="D1546" s="655"/>
      <c r="E1546" s="657"/>
      <c r="F1546" s="580"/>
    </row>
    <row r="1547" spans="1:6">
      <c r="A1547" s="653" t="s">
        <v>675</v>
      </c>
      <c r="B1547" s="642"/>
      <c r="C1547" s="656"/>
      <c r="D1547" s="655"/>
      <c r="E1547" s="657"/>
      <c r="F1547" s="580"/>
    </row>
    <row r="1548" spans="1:6" ht="26.4" customHeight="1">
      <c r="A1548" s="675" t="s">
        <v>785</v>
      </c>
      <c r="B1548" s="582" t="s">
        <v>293</v>
      </c>
      <c r="C1548" s="664"/>
      <c r="D1548" s="661"/>
      <c r="E1548" s="662"/>
      <c r="F1548" s="580"/>
    </row>
    <row r="1549" spans="1:6">
      <c r="A1549" s="675" t="s">
        <v>675</v>
      </c>
      <c r="B1549" s="642"/>
      <c r="C1549" s="664"/>
      <c r="D1549" s="655"/>
      <c r="E1549" s="662"/>
      <c r="F1549" s="580"/>
    </row>
    <row r="1550" spans="1:6">
      <c r="A1550" s="675" t="s">
        <v>294</v>
      </c>
      <c r="B1550" s="642" t="s">
        <v>476</v>
      </c>
      <c r="C1550" s="575">
        <v>1</v>
      </c>
      <c r="D1550" s="655" t="s">
        <v>335</v>
      </c>
      <c r="E1550" s="662">
        <f>Elec_Est!E3831</f>
        <v>386.5</v>
      </c>
      <c r="F1550" s="580">
        <f>C1550*E1550</f>
        <v>386.5</v>
      </c>
    </row>
    <row r="1551" spans="1:6">
      <c r="A1551" s="675" t="s">
        <v>675</v>
      </c>
      <c r="B1551" s="642"/>
      <c r="C1551" s="636"/>
      <c r="D1551" s="655"/>
      <c r="E1551" s="662"/>
      <c r="F1551" s="580"/>
    </row>
    <row r="1552" spans="1:6">
      <c r="A1552" s="675" t="s">
        <v>296</v>
      </c>
      <c r="B1552" s="642" t="s">
        <v>477</v>
      </c>
      <c r="C1552" s="575">
        <v>1</v>
      </c>
      <c r="D1552" s="655" t="s">
        <v>335</v>
      </c>
      <c r="E1552" s="662">
        <f>Elec_Est!E3837</f>
        <v>216.67</v>
      </c>
      <c r="F1552" s="580">
        <f>C1552*E1552</f>
        <v>216.67</v>
      </c>
    </row>
    <row r="1553" spans="1:8">
      <c r="A1553" s="675" t="s">
        <v>675</v>
      </c>
      <c r="B1553" s="642"/>
      <c r="C1553" s="636"/>
      <c r="D1553" s="655"/>
      <c r="E1553" s="662"/>
      <c r="F1553" s="580"/>
    </row>
    <row r="1554" spans="1:8">
      <c r="A1554" s="675" t="s">
        <v>298</v>
      </c>
      <c r="B1554" s="588" t="s">
        <v>478</v>
      </c>
      <c r="C1554" s="664">
        <v>1</v>
      </c>
      <c r="D1554" s="655" t="s">
        <v>335</v>
      </c>
      <c r="E1554" s="662">
        <f>Elec_Est!E3843</f>
        <v>138.07</v>
      </c>
      <c r="F1554" s="580">
        <f>C1554*E1554</f>
        <v>138.07</v>
      </c>
    </row>
    <row r="1555" spans="1:8">
      <c r="A1555" s="675" t="s">
        <v>675</v>
      </c>
      <c r="B1555" s="588"/>
      <c r="C1555" s="664"/>
      <c r="D1555" s="655"/>
      <c r="E1555" s="662"/>
      <c r="F1555" s="580"/>
    </row>
    <row r="1556" spans="1:8">
      <c r="A1556" s="653" t="s">
        <v>300</v>
      </c>
      <c r="B1556" s="554" t="s">
        <v>367</v>
      </c>
      <c r="C1556" s="656">
        <v>1</v>
      </c>
      <c r="D1556" s="655" t="s">
        <v>335</v>
      </c>
      <c r="E1556" s="662">
        <f>Elec_Est!E3849</f>
        <v>23.42</v>
      </c>
      <c r="F1556" s="580">
        <f>C1556*E1556</f>
        <v>23.42</v>
      </c>
    </row>
    <row r="1557" spans="1:8">
      <c r="A1557" s="653" t="s">
        <v>675</v>
      </c>
      <c r="B1557" s="642"/>
      <c r="C1557" s="656"/>
      <c r="D1557" s="655"/>
      <c r="E1557" s="662"/>
      <c r="F1557" s="580"/>
    </row>
    <row r="1558" spans="1:8">
      <c r="A1558" s="653" t="s">
        <v>302</v>
      </c>
      <c r="B1558" s="642" t="s">
        <v>479</v>
      </c>
      <c r="C1558" s="656">
        <v>1</v>
      </c>
      <c r="D1558" s="655" t="s">
        <v>335</v>
      </c>
      <c r="E1558" s="662">
        <f>Elec_Est!E3855</f>
        <v>23.57</v>
      </c>
      <c r="F1558" s="580">
        <f>C1558*E1558</f>
        <v>23.57</v>
      </c>
    </row>
    <row r="1559" spans="1:8">
      <c r="A1559" s="653" t="s">
        <v>675</v>
      </c>
      <c r="B1559" s="642"/>
      <c r="C1559" s="656"/>
      <c r="D1559" s="655"/>
      <c r="E1559" s="662"/>
      <c r="F1559" s="580"/>
    </row>
    <row r="1560" spans="1:8">
      <c r="A1560" s="653" t="s">
        <v>307</v>
      </c>
      <c r="B1560" s="642" t="s">
        <v>480</v>
      </c>
      <c r="C1560" s="656">
        <v>1</v>
      </c>
      <c r="D1560" s="655" t="s">
        <v>335</v>
      </c>
      <c r="E1560" s="662">
        <f>Elec_Est!E3861</f>
        <v>332.3</v>
      </c>
      <c r="F1560" s="580">
        <f>C1560*E1560</f>
        <v>332.3</v>
      </c>
    </row>
    <row r="1561" spans="1:8">
      <c r="A1561" s="653" t="s">
        <v>675</v>
      </c>
      <c r="B1561" s="642"/>
      <c r="C1561" s="656"/>
      <c r="D1561" s="655"/>
      <c r="E1561" s="662"/>
      <c r="F1561" s="580"/>
    </row>
    <row r="1562" spans="1:8">
      <c r="A1562" s="653" t="s">
        <v>308</v>
      </c>
      <c r="B1562" s="642" t="s">
        <v>369</v>
      </c>
      <c r="C1562" s="656">
        <v>3</v>
      </c>
      <c r="D1562" s="655" t="s">
        <v>335</v>
      </c>
      <c r="E1562" s="662">
        <f>Elec_Est!E3867</f>
        <v>26.84</v>
      </c>
      <c r="F1562" s="580">
        <f>C1562*E1562</f>
        <v>80.52</v>
      </c>
    </row>
    <row r="1563" spans="1:8" ht="13.8" thickBot="1">
      <c r="A1563" s="653" t="s">
        <v>675</v>
      </c>
      <c r="B1563" s="614"/>
      <c r="C1563" s="664"/>
      <c r="D1563" s="655"/>
      <c r="E1563" s="657"/>
      <c r="F1563" s="580"/>
    </row>
    <row r="1564" spans="1:8">
      <c r="A1564" s="591" t="s">
        <v>675</v>
      </c>
      <c r="B1564" s="592"/>
      <c r="C1564" s="594"/>
      <c r="D1564" s="593"/>
      <c r="E1564" s="643"/>
      <c r="F1564" s="596"/>
    </row>
    <row r="1565" spans="1:8">
      <c r="A1565" s="597" t="s">
        <v>702</v>
      </c>
      <c r="B1565" s="598" t="s">
        <v>282</v>
      </c>
      <c r="C1565" s="600"/>
      <c r="D1565" s="599"/>
      <c r="E1565" s="601"/>
      <c r="F1565" s="602">
        <f ca="1">SUM(F1515:F1562)</f>
        <v>5813.4100000000008</v>
      </c>
      <c r="G1565" s="1202">
        <f ca="1">Elec_Est!F3874</f>
        <v>5813.41</v>
      </c>
      <c r="H1565" s="1203">
        <f ca="1">F1565-G1565</f>
        <v>0</v>
      </c>
    </row>
    <row r="1566" spans="1:8">
      <c r="A1566" s="603" t="s">
        <v>675</v>
      </c>
      <c r="B1566" s="604"/>
      <c r="C1566" s="606"/>
      <c r="D1566" s="605"/>
      <c r="E1566" s="644"/>
      <c r="F1566" s="608"/>
    </row>
    <row r="1567" spans="1:8">
      <c r="A1567" s="693" t="s">
        <v>675</v>
      </c>
      <c r="B1567" s="694"/>
      <c r="C1567" s="696"/>
      <c r="D1567" s="695"/>
      <c r="E1567" s="697"/>
      <c r="F1567" s="698"/>
    </row>
    <row r="1568" spans="1:8">
      <c r="A1568" s="612" t="s">
        <v>675</v>
      </c>
      <c r="B1568" s="613"/>
      <c r="C1568" s="558"/>
      <c r="D1568" s="557"/>
      <c r="E1568" s="626"/>
      <c r="F1568" s="561"/>
    </row>
    <row r="1569" spans="1:6">
      <c r="A1569" s="603" t="s">
        <v>675</v>
      </c>
      <c r="B1569" s="604"/>
      <c r="C1569" s="606"/>
      <c r="D1569" s="605"/>
      <c r="E1569" s="644"/>
      <c r="F1569" s="651"/>
    </row>
    <row r="1570" spans="1:6" ht="13.8" thickBot="1">
      <c r="A1570" s="710" t="s">
        <v>267</v>
      </c>
      <c r="B1570" s="711" t="s">
        <v>268</v>
      </c>
      <c r="C1570" s="703" t="s">
        <v>269</v>
      </c>
      <c r="D1570" s="702" t="s">
        <v>259</v>
      </c>
      <c r="E1570" s="704" t="s">
        <v>270</v>
      </c>
      <c r="F1570" s="705" t="s">
        <v>260</v>
      </c>
    </row>
    <row r="1571" spans="1:6">
      <c r="A1571" s="581" t="s">
        <v>675</v>
      </c>
      <c r="B1571" s="712"/>
      <c r="C1571" s="636"/>
      <c r="D1571" s="635"/>
      <c r="E1571" s="637"/>
      <c r="F1571" s="602"/>
    </row>
    <row r="1572" spans="1:6">
      <c r="A1572" s="653" t="s">
        <v>309</v>
      </c>
      <c r="B1572" s="642" t="s">
        <v>481</v>
      </c>
      <c r="C1572" s="656">
        <v>1</v>
      </c>
      <c r="D1572" s="655" t="s">
        <v>335</v>
      </c>
      <c r="E1572" s="662">
        <f>Elec_Est!E3879</f>
        <v>67.099999999999994</v>
      </c>
      <c r="F1572" s="580">
        <f>C1572*E1572</f>
        <v>67.099999999999994</v>
      </c>
    </row>
    <row r="1573" spans="1:6">
      <c r="A1573" s="653" t="s">
        <v>675</v>
      </c>
      <c r="B1573" s="642"/>
      <c r="C1573" s="656"/>
      <c r="D1573" s="655"/>
      <c r="E1573" s="662"/>
      <c r="F1573" s="580"/>
    </row>
    <row r="1574" spans="1:6" ht="26.4">
      <c r="A1574" s="653" t="s">
        <v>310</v>
      </c>
      <c r="B1574" s="673" t="s">
        <v>482</v>
      </c>
      <c r="C1574" s="656">
        <v>1</v>
      </c>
      <c r="D1574" s="655" t="s">
        <v>335</v>
      </c>
      <c r="E1574" s="662">
        <f>Elec_Est!E3885</f>
        <v>690.87</v>
      </c>
      <c r="F1574" s="580">
        <f>C1574*E1574</f>
        <v>690.87</v>
      </c>
    </row>
    <row r="1575" spans="1:6">
      <c r="A1575" s="653" t="s">
        <v>675</v>
      </c>
      <c r="B1575" s="642"/>
      <c r="C1575" s="656"/>
      <c r="D1575" s="655"/>
      <c r="E1575" s="662"/>
      <c r="F1575" s="580"/>
    </row>
    <row r="1576" spans="1:6">
      <c r="A1576" s="653" t="s">
        <v>311</v>
      </c>
      <c r="B1576" s="642" t="s">
        <v>483</v>
      </c>
      <c r="C1576" s="656">
        <v>1</v>
      </c>
      <c r="D1576" s="655" t="s">
        <v>335</v>
      </c>
      <c r="E1576" s="662">
        <f>Elec_Est!E3893</f>
        <v>690.87</v>
      </c>
      <c r="F1576" s="580">
        <f>C1576*E1576</f>
        <v>690.87</v>
      </c>
    </row>
    <row r="1577" spans="1:6">
      <c r="A1577" s="653" t="s">
        <v>675</v>
      </c>
      <c r="B1577" s="642"/>
      <c r="C1577" s="656"/>
      <c r="D1577" s="655"/>
      <c r="E1577" s="662"/>
      <c r="F1577" s="580"/>
    </row>
    <row r="1578" spans="1:6" ht="26.4">
      <c r="A1578" s="653" t="s">
        <v>312</v>
      </c>
      <c r="B1578" s="673" t="s">
        <v>484</v>
      </c>
      <c r="C1578" s="656">
        <v>4</v>
      </c>
      <c r="D1578" s="655" t="s">
        <v>335</v>
      </c>
      <c r="E1578" s="662">
        <f>Elec_Est!E3901</f>
        <v>281.81</v>
      </c>
      <c r="F1578" s="580">
        <f>C1578*E1578</f>
        <v>1127.24</v>
      </c>
    </row>
    <row r="1579" spans="1:6">
      <c r="A1579" s="581" t="s">
        <v>675</v>
      </c>
      <c r="B1579" s="712"/>
      <c r="C1579" s="636"/>
      <c r="D1579" s="635"/>
      <c r="E1579" s="637"/>
      <c r="F1579" s="580"/>
    </row>
    <row r="1580" spans="1:6">
      <c r="A1580" s="581" t="s">
        <v>675</v>
      </c>
      <c r="B1580" s="712"/>
      <c r="C1580" s="636"/>
      <c r="D1580" s="635"/>
      <c r="E1580" s="637"/>
      <c r="F1580" s="580"/>
    </row>
    <row r="1581" spans="1:6" ht="26.4">
      <c r="A1581" s="653" t="s">
        <v>786</v>
      </c>
      <c r="B1581" s="582" t="s">
        <v>304</v>
      </c>
      <c r="C1581" s="656"/>
      <c r="D1581" s="655"/>
      <c r="E1581" s="662"/>
      <c r="F1581" s="580"/>
    </row>
    <row r="1582" spans="1:6">
      <c r="A1582" s="675" t="s">
        <v>675</v>
      </c>
      <c r="B1582" s="588"/>
      <c r="C1582" s="664"/>
      <c r="D1582" s="655"/>
      <c r="E1582" s="662"/>
      <c r="F1582" s="580"/>
    </row>
    <row r="1583" spans="1:6">
      <c r="A1583" s="675" t="s">
        <v>294</v>
      </c>
      <c r="B1583" s="642" t="s">
        <v>476</v>
      </c>
      <c r="C1583" s="575">
        <v>1</v>
      </c>
      <c r="D1583" s="655" t="s">
        <v>335</v>
      </c>
      <c r="E1583" s="662">
        <f>Elec_Est!E3911</f>
        <v>161.74</v>
      </c>
      <c r="F1583" s="580">
        <f>C1583*E1583</f>
        <v>161.74</v>
      </c>
    </row>
    <row r="1584" spans="1:6">
      <c r="A1584" s="675" t="s">
        <v>675</v>
      </c>
      <c r="B1584" s="642"/>
      <c r="C1584" s="636"/>
      <c r="D1584" s="655"/>
      <c r="E1584" s="662"/>
      <c r="F1584" s="580"/>
    </row>
    <row r="1585" spans="1:6">
      <c r="A1585" s="675" t="s">
        <v>296</v>
      </c>
      <c r="B1585" s="642" t="s">
        <v>477</v>
      </c>
      <c r="C1585" s="575">
        <v>1</v>
      </c>
      <c r="D1585" s="655" t="s">
        <v>335</v>
      </c>
      <c r="E1585" s="662">
        <f>Elec_Est!E3920</f>
        <v>198.68</v>
      </c>
      <c r="F1585" s="580">
        <f>C1585*E1585</f>
        <v>198.68</v>
      </c>
    </row>
    <row r="1586" spans="1:6">
      <c r="A1586" s="675" t="s">
        <v>675</v>
      </c>
      <c r="B1586" s="642"/>
      <c r="C1586" s="575"/>
      <c r="D1586" s="655"/>
      <c r="E1586" s="662"/>
      <c r="F1586" s="580"/>
    </row>
    <row r="1587" spans="1:6">
      <c r="A1587" s="675" t="s">
        <v>298</v>
      </c>
      <c r="B1587" s="588" t="s">
        <v>478</v>
      </c>
      <c r="C1587" s="664">
        <v>1</v>
      </c>
      <c r="D1587" s="655" t="s">
        <v>335</v>
      </c>
      <c r="E1587" s="662">
        <f>Elec_Est!E3929</f>
        <v>161.1</v>
      </c>
      <c r="F1587" s="580">
        <f>C1587*E1587</f>
        <v>161.1</v>
      </c>
    </row>
    <row r="1588" spans="1:6">
      <c r="A1588" s="675" t="s">
        <v>675</v>
      </c>
      <c r="B1588" s="588"/>
      <c r="C1588" s="664"/>
      <c r="D1588" s="655"/>
      <c r="E1588" s="662"/>
      <c r="F1588" s="580"/>
    </row>
    <row r="1589" spans="1:6">
      <c r="A1589" s="653" t="s">
        <v>300</v>
      </c>
      <c r="B1589" s="554" t="s">
        <v>367</v>
      </c>
      <c r="C1589" s="656">
        <v>1</v>
      </c>
      <c r="D1589" s="655" t="s">
        <v>335</v>
      </c>
      <c r="E1589" s="662">
        <f>Elec_Est!E3939</f>
        <v>13.69</v>
      </c>
      <c r="F1589" s="580">
        <f>C1589*E1589</f>
        <v>13.69</v>
      </c>
    </row>
    <row r="1590" spans="1:6">
      <c r="A1590" s="653" t="s">
        <v>675</v>
      </c>
      <c r="B1590" s="642"/>
      <c r="C1590" s="656"/>
      <c r="D1590" s="655"/>
      <c r="E1590" s="662"/>
      <c r="F1590" s="580"/>
    </row>
    <row r="1591" spans="1:6">
      <c r="A1591" s="653" t="s">
        <v>302</v>
      </c>
      <c r="B1591" s="642" t="s">
        <v>485</v>
      </c>
      <c r="C1591" s="656">
        <v>1</v>
      </c>
      <c r="D1591" s="655" t="s">
        <v>335</v>
      </c>
      <c r="E1591" s="662">
        <f>Elec_Est!E3948</f>
        <v>13.69</v>
      </c>
      <c r="F1591" s="580">
        <f>C1591*E1591</f>
        <v>13.69</v>
      </c>
    </row>
    <row r="1592" spans="1:6">
      <c r="A1592" s="653" t="s">
        <v>675</v>
      </c>
      <c r="B1592" s="642"/>
      <c r="C1592" s="656"/>
      <c r="D1592" s="655"/>
      <c r="E1592" s="662"/>
      <c r="F1592" s="580"/>
    </row>
    <row r="1593" spans="1:6">
      <c r="A1593" s="653" t="s">
        <v>307</v>
      </c>
      <c r="B1593" s="642" t="s">
        <v>486</v>
      </c>
      <c r="C1593" s="656">
        <v>1</v>
      </c>
      <c r="D1593" s="655" t="s">
        <v>335</v>
      </c>
      <c r="E1593" s="662">
        <f>Elec_Est!E3957</f>
        <v>17.38</v>
      </c>
      <c r="F1593" s="580">
        <f>C1593*E1593</f>
        <v>17.38</v>
      </c>
    </row>
    <row r="1594" spans="1:6">
      <c r="A1594" s="653" t="s">
        <v>675</v>
      </c>
      <c r="B1594" s="642"/>
      <c r="C1594" s="656"/>
      <c r="D1594" s="655"/>
      <c r="E1594" s="662"/>
      <c r="F1594" s="580"/>
    </row>
    <row r="1595" spans="1:6">
      <c r="A1595" s="653" t="s">
        <v>308</v>
      </c>
      <c r="B1595" s="642" t="s">
        <v>369</v>
      </c>
      <c r="C1595" s="656">
        <v>3</v>
      </c>
      <c r="D1595" s="655" t="s">
        <v>335</v>
      </c>
      <c r="E1595" s="662">
        <f>Elec_Est!E3966</f>
        <v>13.69</v>
      </c>
      <c r="F1595" s="580">
        <f>C1595*E1595</f>
        <v>41.07</v>
      </c>
    </row>
    <row r="1596" spans="1:6">
      <c r="A1596" s="653" t="s">
        <v>675</v>
      </c>
      <c r="B1596" s="642"/>
      <c r="C1596" s="656"/>
      <c r="D1596" s="655"/>
      <c r="E1596" s="662"/>
      <c r="F1596" s="580"/>
    </row>
    <row r="1597" spans="1:6">
      <c r="A1597" s="653" t="s">
        <v>309</v>
      </c>
      <c r="B1597" s="642" t="s">
        <v>481</v>
      </c>
      <c r="C1597" s="656">
        <v>1</v>
      </c>
      <c r="D1597" s="655" t="s">
        <v>335</v>
      </c>
      <c r="E1597" s="662">
        <f>Elec_Est!E3975</f>
        <v>52.14</v>
      </c>
      <c r="F1597" s="580">
        <f>C1597*E1597</f>
        <v>52.14</v>
      </c>
    </row>
    <row r="1598" spans="1:6">
      <c r="A1598" s="653" t="s">
        <v>675</v>
      </c>
      <c r="B1598" s="642"/>
      <c r="C1598" s="656"/>
      <c r="D1598" s="655"/>
      <c r="E1598" s="662"/>
      <c r="F1598" s="580"/>
    </row>
    <row r="1599" spans="1:6" ht="26.4">
      <c r="A1599" s="653" t="s">
        <v>310</v>
      </c>
      <c r="B1599" s="673" t="s">
        <v>482</v>
      </c>
      <c r="C1599" s="656">
        <v>1</v>
      </c>
      <c r="D1599" s="655" t="s">
        <v>335</v>
      </c>
      <c r="E1599" s="662">
        <f>Elec_Est!E3984</f>
        <v>45.57</v>
      </c>
      <c r="F1599" s="580">
        <f>C1599*E1599</f>
        <v>45.57</v>
      </c>
    </row>
    <row r="1600" spans="1:6">
      <c r="A1600" s="653" t="s">
        <v>675</v>
      </c>
      <c r="B1600" s="642"/>
      <c r="C1600" s="656"/>
      <c r="D1600" s="655"/>
      <c r="E1600" s="662"/>
      <c r="F1600" s="580"/>
    </row>
    <row r="1601" spans="1:6">
      <c r="A1601" s="653" t="s">
        <v>311</v>
      </c>
      <c r="B1601" s="642" t="s">
        <v>483</v>
      </c>
      <c r="C1601" s="656">
        <v>1</v>
      </c>
      <c r="D1601" s="655" t="s">
        <v>335</v>
      </c>
      <c r="E1601" s="662">
        <f>Elec_Est!E3993</f>
        <v>45.57</v>
      </c>
      <c r="F1601" s="580">
        <f>C1601*E1601</f>
        <v>45.57</v>
      </c>
    </row>
    <row r="1602" spans="1:6">
      <c r="A1602" s="653" t="s">
        <v>675</v>
      </c>
      <c r="B1602" s="642"/>
      <c r="C1602" s="656"/>
      <c r="D1602" s="655"/>
      <c r="E1602" s="662"/>
      <c r="F1602" s="580"/>
    </row>
    <row r="1603" spans="1:6" ht="26.4">
      <c r="A1603" s="653" t="s">
        <v>312</v>
      </c>
      <c r="B1603" s="673" t="s">
        <v>484</v>
      </c>
      <c r="C1603" s="656">
        <v>4</v>
      </c>
      <c r="D1603" s="655" t="s">
        <v>335</v>
      </c>
      <c r="E1603" s="662">
        <f>Elec_Est!E4002</f>
        <v>17.38</v>
      </c>
      <c r="F1603" s="580">
        <f>C1603*E1603</f>
        <v>69.52</v>
      </c>
    </row>
    <row r="1604" spans="1:6">
      <c r="A1604" s="653" t="s">
        <v>675</v>
      </c>
      <c r="B1604" s="673"/>
      <c r="C1604" s="656"/>
      <c r="D1604" s="655"/>
      <c r="E1604" s="662"/>
      <c r="F1604" s="580"/>
    </row>
    <row r="1605" spans="1:6">
      <c r="A1605" s="653" t="s">
        <v>675</v>
      </c>
      <c r="B1605" s="673"/>
      <c r="C1605" s="656"/>
      <c r="D1605" s="655"/>
      <c r="E1605" s="662"/>
      <c r="F1605" s="580"/>
    </row>
    <row r="1606" spans="1:6">
      <c r="A1606" s="653" t="s">
        <v>703</v>
      </c>
      <c r="B1606" s="578" t="s">
        <v>305</v>
      </c>
      <c r="C1606" s="664"/>
      <c r="D1606" s="655"/>
      <c r="E1606" s="583"/>
      <c r="F1606" s="580"/>
    </row>
    <row r="1607" spans="1:6">
      <c r="A1607" s="653" t="s">
        <v>675</v>
      </c>
      <c r="B1607" s="658"/>
      <c r="C1607" s="664"/>
      <c r="D1607" s="661"/>
      <c r="E1607" s="583"/>
      <c r="F1607" s="580"/>
    </row>
    <row r="1608" spans="1:6" ht="39.6">
      <c r="A1608" s="653" t="s">
        <v>789</v>
      </c>
      <c r="B1608" s="673" t="s">
        <v>687</v>
      </c>
      <c r="C1608" s="664"/>
      <c r="D1608" s="655"/>
      <c r="E1608" s="583"/>
      <c r="F1608" s="580"/>
    </row>
    <row r="1609" spans="1:6">
      <c r="A1609" s="653" t="s">
        <v>675</v>
      </c>
      <c r="B1609" s="659"/>
      <c r="C1609" s="664"/>
      <c r="D1609" s="661"/>
      <c r="E1609" s="583"/>
      <c r="F1609" s="580"/>
    </row>
    <row r="1610" spans="1:6">
      <c r="A1610" s="653" t="s">
        <v>675</v>
      </c>
      <c r="B1610" s="659"/>
      <c r="C1610" s="664"/>
      <c r="D1610" s="661"/>
      <c r="E1610" s="583"/>
      <c r="F1610" s="580"/>
    </row>
    <row r="1611" spans="1:6">
      <c r="A1611" s="653" t="s">
        <v>675</v>
      </c>
      <c r="B1611" s="658"/>
      <c r="C1611" s="664"/>
      <c r="D1611" s="655"/>
      <c r="E1611" s="583"/>
      <c r="F1611" s="580"/>
    </row>
    <row r="1612" spans="1:6">
      <c r="C1612" s="664"/>
      <c r="D1612" s="661"/>
      <c r="E1612" s="662"/>
      <c r="F1612" s="580"/>
    </row>
    <row r="1613" spans="1:6" ht="26.4">
      <c r="A1613" s="653" t="s">
        <v>294</v>
      </c>
      <c r="B1613" s="706" t="s">
        <v>787</v>
      </c>
      <c r="C1613" s="664">
        <v>5</v>
      </c>
      <c r="D1613" s="655" t="s">
        <v>306</v>
      </c>
      <c r="E1613" s="662">
        <f ca="1">Elec_Est!E4019</f>
        <v>12.03</v>
      </c>
      <c r="F1613" s="580">
        <f ca="1">C1613*E1613</f>
        <v>60.15</v>
      </c>
    </row>
    <row r="1614" spans="1:6">
      <c r="A1614" s="653" t="s">
        <v>675</v>
      </c>
      <c r="B1614" s="614"/>
      <c r="C1614" s="664"/>
      <c r="D1614" s="655"/>
      <c r="E1614" s="662"/>
      <c r="F1614" s="580"/>
    </row>
    <row r="1615" spans="1:6">
      <c r="A1615" s="653" t="s">
        <v>675</v>
      </c>
      <c r="B1615" s="614"/>
      <c r="C1615" s="664"/>
      <c r="D1615" s="655"/>
      <c r="E1615" s="662"/>
      <c r="F1615" s="580"/>
    </row>
    <row r="1616" spans="1:6" ht="26.4">
      <c r="A1616" s="653" t="s">
        <v>296</v>
      </c>
      <c r="B1616" s="706" t="s">
        <v>788</v>
      </c>
      <c r="C1616" s="664">
        <v>12</v>
      </c>
      <c r="D1616" s="655" t="s">
        <v>306</v>
      </c>
      <c r="E1616" s="662">
        <f ca="1">Elec_Est!E4026</f>
        <v>13.11</v>
      </c>
      <c r="F1616" s="580">
        <f ca="1">C1616*E1616</f>
        <v>157.32</v>
      </c>
    </row>
    <row r="1617" spans="1:8">
      <c r="A1617" s="653" t="s">
        <v>675</v>
      </c>
      <c r="B1617" s="614"/>
      <c r="C1617" s="664"/>
      <c r="D1617" s="655"/>
      <c r="E1617" s="657"/>
      <c r="F1617" s="580"/>
    </row>
    <row r="1618" spans="1:8" ht="13.8" thickBot="1">
      <c r="A1618" s="572" t="s">
        <v>675</v>
      </c>
      <c r="B1618" s="658"/>
      <c r="C1618" s="587"/>
      <c r="D1618" s="655"/>
      <c r="E1618" s="669"/>
      <c r="F1618" s="577"/>
    </row>
    <row r="1619" spans="1:8">
      <c r="A1619" s="591" t="s">
        <v>675</v>
      </c>
      <c r="B1619" s="592"/>
      <c r="C1619" s="594"/>
      <c r="D1619" s="593"/>
      <c r="E1619" s="643"/>
      <c r="F1619" s="596"/>
    </row>
    <row r="1620" spans="1:8">
      <c r="A1620" s="597" t="s">
        <v>702</v>
      </c>
      <c r="B1620" s="598" t="s">
        <v>282</v>
      </c>
      <c r="C1620" s="600"/>
      <c r="D1620" s="599"/>
      <c r="E1620" s="601"/>
      <c r="F1620" s="602">
        <f ca="1">SUM(F1571:F1618)</f>
        <v>3613.7000000000003</v>
      </c>
      <c r="G1620" s="1202">
        <f ca="1">Elec_Est!F4034</f>
        <v>3613.7000000000003</v>
      </c>
      <c r="H1620" s="1203">
        <f ca="1">F1620-G1620</f>
        <v>0</v>
      </c>
    </row>
    <row r="1621" spans="1:8">
      <c r="A1621" s="603" t="s">
        <v>675</v>
      </c>
      <c r="B1621" s="604"/>
      <c r="C1621" s="606"/>
      <c r="D1621" s="605"/>
      <c r="E1621" s="644"/>
      <c r="F1621" s="608"/>
    </row>
    <row r="1622" spans="1:8">
      <c r="A1622" s="693" t="s">
        <v>675</v>
      </c>
      <c r="B1622" s="694"/>
      <c r="C1622" s="696"/>
      <c r="D1622" s="695"/>
      <c r="E1622" s="697"/>
      <c r="F1622" s="698"/>
    </row>
    <row r="1623" spans="1:8">
      <c r="A1623" s="612" t="s">
        <v>675</v>
      </c>
      <c r="B1623" s="613"/>
      <c r="C1623" s="558"/>
      <c r="D1623" s="557"/>
      <c r="E1623" s="626"/>
      <c r="F1623" s="561"/>
    </row>
    <row r="1624" spans="1:8">
      <c r="A1624" s="603" t="s">
        <v>675</v>
      </c>
      <c r="B1624" s="604"/>
      <c r="C1624" s="606"/>
      <c r="D1624" s="605"/>
      <c r="E1624" s="644"/>
      <c r="F1624" s="651"/>
    </row>
    <row r="1625" spans="1:8" ht="13.8" thickBot="1">
      <c r="A1625" s="710" t="s">
        <v>267</v>
      </c>
      <c r="B1625" s="711" t="s">
        <v>268</v>
      </c>
      <c r="C1625" s="703" t="s">
        <v>269</v>
      </c>
      <c r="D1625" s="702" t="s">
        <v>259</v>
      </c>
      <c r="E1625" s="704" t="s">
        <v>270</v>
      </c>
      <c r="F1625" s="705" t="s">
        <v>260</v>
      </c>
    </row>
    <row r="1626" spans="1:8">
      <c r="A1626" s="581" t="s">
        <v>675</v>
      </c>
      <c r="B1626" s="712"/>
      <c r="C1626" s="636"/>
      <c r="D1626" s="635"/>
      <c r="E1626" s="637"/>
      <c r="F1626" s="602"/>
    </row>
    <row r="1627" spans="1:8">
      <c r="C1627" s="664"/>
      <c r="D1627" s="655"/>
      <c r="E1627" s="657"/>
      <c r="F1627" s="577"/>
    </row>
    <row r="1628" spans="1:8" ht="26.4">
      <c r="A1628" s="653" t="s">
        <v>298</v>
      </c>
      <c r="B1628" s="706" t="s">
        <v>790</v>
      </c>
      <c r="C1628" s="664">
        <v>15</v>
      </c>
      <c r="D1628" s="655" t="s">
        <v>306</v>
      </c>
      <c r="E1628" s="662">
        <f ca="1">Elec_Est!E4039</f>
        <v>10.36</v>
      </c>
      <c r="F1628" s="580">
        <f ca="1">C1628*E1628</f>
        <v>155.39999999999998</v>
      </c>
    </row>
    <row r="1629" spans="1:8">
      <c r="A1629" s="653" t="s">
        <v>675</v>
      </c>
      <c r="B1629" s="706"/>
      <c r="C1629" s="664"/>
      <c r="D1629" s="655"/>
      <c r="E1629" s="662"/>
      <c r="F1629" s="580"/>
    </row>
    <row r="1630" spans="1:8">
      <c r="A1630" s="653" t="s">
        <v>675</v>
      </c>
      <c r="B1630" s="706"/>
      <c r="C1630" s="664"/>
      <c r="D1630" s="655"/>
      <c r="E1630" s="662"/>
      <c r="F1630" s="580"/>
    </row>
    <row r="1631" spans="1:8" ht="26.4">
      <c r="A1631" s="653" t="s">
        <v>300</v>
      </c>
      <c r="B1631" s="706" t="s">
        <v>791</v>
      </c>
      <c r="C1631" s="664">
        <v>17</v>
      </c>
      <c r="D1631" s="655" t="s">
        <v>306</v>
      </c>
      <c r="E1631" s="662">
        <f ca="1">Elec_Est!E4046</f>
        <v>10.36</v>
      </c>
      <c r="F1631" s="580">
        <f ca="1">C1631*E1631</f>
        <v>176.12</v>
      </c>
    </row>
    <row r="1632" spans="1:8">
      <c r="A1632" s="653" t="s">
        <v>675</v>
      </c>
      <c r="B1632" s="706"/>
      <c r="C1632" s="664"/>
      <c r="D1632" s="655"/>
      <c r="E1632" s="662"/>
      <c r="F1632" s="580"/>
    </row>
    <row r="1633" spans="1:6">
      <c r="A1633" s="653" t="s">
        <v>675</v>
      </c>
      <c r="B1633" s="706"/>
      <c r="C1633" s="664"/>
      <c r="D1633" s="655"/>
      <c r="E1633" s="662"/>
      <c r="F1633" s="580"/>
    </row>
    <row r="1634" spans="1:6" ht="26.4">
      <c r="A1634" s="653" t="s">
        <v>302</v>
      </c>
      <c r="B1634" s="706" t="s">
        <v>792</v>
      </c>
      <c r="C1634" s="664">
        <v>20</v>
      </c>
      <c r="D1634" s="655" t="s">
        <v>306</v>
      </c>
      <c r="E1634" s="662">
        <f ca="1">Elec_Est!E4053</f>
        <v>10.36</v>
      </c>
      <c r="F1634" s="580">
        <f ca="1">C1634*E1634</f>
        <v>207.2</v>
      </c>
    </row>
    <row r="1635" spans="1:6">
      <c r="A1635" s="653" t="s">
        <v>675</v>
      </c>
      <c r="B1635" s="706"/>
      <c r="C1635" s="664"/>
      <c r="D1635" s="655"/>
      <c r="E1635" s="662"/>
      <c r="F1635" s="580"/>
    </row>
    <row r="1636" spans="1:6">
      <c r="A1636" s="653" t="s">
        <v>675</v>
      </c>
      <c r="B1636" s="706"/>
      <c r="C1636" s="664"/>
      <c r="D1636" s="655"/>
      <c r="E1636" s="662"/>
      <c r="F1636" s="580"/>
    </row>
    <row r="1637" spans="1:6" ht="26.4">
      <c r="A1637" s="653" t="s">
        <v>307</v>
      </c>
      <c r="B1637" s="706" t="s">
        <v>793</v>
      </c>
      <c r="C1637" s="664">
        <v>24</v>
      </c>
      <c r="D1637" s="655" t="s">
        <v>306</v>
      </c>
      <c r="E1637" s="662">
        <f ca="1">Elec_Est!E4060</f>
        <v>4.5</v>
      </c>
      <c r="F1637" s="580">
        <f ca="1">C1637*E1637</f>
        <v>108</v>
      </c>
    </row>
    <row r="1638" spans="1:6">
      <c r="A1638" s="675" t="s">
        <v>675</v>
      </c>
      <c r="B1638" s="642"/>
      <c r="C1638" s="575"/>
      <c r="D1638" s="655"/>
      <c r="E1638" s="662"/>
      <c r="F1638" s="580"/>
    </row>
    <row r="1639" spans="1:6">
      <c r="A1639" s="675" t="s">
        <v>675</v>
      </c>
      <c r="B1639" s="642"/>
      <c r="C1639" s="636"/>
      <c r="D1639" s="655"/>
      <c r="E1639" s="662"/>
      <c r="F1639" s="580"/>
    </row>
    <row r="1640" spans="1:6">
      <c r="A1640" s="675" t="s">
        <v>675</v>
      </c>
      <c r="B1640" s="642"/>
      <c r="C1640" s="575"/>
      <c r="D1640" s="655"/>
      <c r="E1640" s="662"/>
      <c r="F1640" s="580"/>
    </row>
    <row r="1641" spans="1:6">
      <c r="A1641" s="675" t="s">
        <v>675</v>
      </c>
      <c r="B1641" s="642"/>
      <c r="C1641" s="575"/>
      <c r="D1641" s="655"/>
      <c r="E1641" s="662"/>
      <c r="F1641" s="580"/>
    </row>
    <row r="1642" spans="1:6">
      <c r="A1642" s="675" t="s">
        <v>675</v>
      </c>
      <c r="B1642" s="588"/>
      <c r="C1642" s="664"/>
      <c r="D1642" s="655"/>
      <c r="E1642" s="662"/>
      <c r="F1642" s="580"/>
    </row>
    <row r="1643" spans="1:6">
      <c r="A1643" s="675" t="s">
        <v>675</v>
      </c>
      <c r="B1643" s="588"/>
      <c r="C1643" s="664"/>
      <c r="D1643" s="655"/>
      <c r="E1643" s="662"/>
      <c r="F1643" s="580"/>
    </row>
    <row r="1644" spans="1:6">
      <c r="A1644" s="653" t="s">
        <v>675</v>
      </c>
      <c r="C1644" s="656"/>
      <c r="D1644" s="655"/>
      <c r="E1644" s="662"/>
      <c r="F1644" s="580"/>
    </row>
    <row r="1645" spans="1:6">
      <c r="A1645" s="653" t="s">
        <v>675</v>
      </c>
      <c r="B1645" s="642"/>
      <c r="C1645" s="656"/>
      <c r="D1645" s="655"/>
      <c r="E1645" s="662"/>
      <c r="F1645" s="580"/>
    </row>
    <row r="1646" spans="1:6">
      <c r="A1646" s="653" t="s">
        <v>675</v>
      </c>
      <c r="B1646" s="642"/>
      <c r="C1646" s="656"/>
      <c r="D1646" s="655"/>
      <c r="E1646" s="662"/>
      <c r="F1646" s="580"/>
    </row>
    <row r="1647" spans="1:6">
      <c r="A1647" s="653" t="s">
        <v>675</v>
      </c>
      <c r="B1647" s="642"/>
      <c r="C1647" s="656"/>
      <c r="D1647" s="655"/>
      <c r="E1647" s="662"/>
      <c r="F1647" s="580"/>
    </row>
    <row r="1648" spans="1:6">
      <c r="A1648" s="653" t="s">
        <v>675</v>
      </c>
      <c r="B1648" s="642"/>
      <c r="C1648" s="656"/>
      <c r="D1648" s="655"/>
      <c r="E1648" s="662"/>
      <c r="F1648" s="580"/>
    </row>
    <row r="1649" spans="1:6">
      <c r="A1649" s="653" t="s">
        <v>675</v>
      </c>
      <c r="B1649" s="642"/>
      <c r="C1649" s="656"/>
      <c r="D1649" s="655"/>
      <c r="E1649" s="662"/>
      <c r="F1649" s="580"/>
    </row>
    <row r="1650" spans="1:6">
      <c r="A1650" s="653" t="s">
        <v>675</v>
      </c>
      <c r="B1650" s="642"/>
      <c r="C1650" s="656"/>
      <c r="D1650" s="655"/>
      <c r="E1650" s="662"/>
      <c r="F1650" s="580"/>
    </row>
    <row r="1651" spans="1:6">
      <c r="A1651" s="653" t="s">
        <v>675</v>
      </c>
      <c r="B1651" s="642"/>
      <c r="C1651" s="656"/>
      <c r="D1651" s="655"/>
      <c r="E1651" s="662"/>
      <c r="F1651" s="580"/>
    </row>
    <row r="1652" spans="1:6">
      <c r="A1652" s="653" t="s">
        <v>675</v>
      </c>
      <c r="B1652" s="642"/>
      <c r="C1652" s="656"/>
      <c r="D1652" s="655"/>
      <c r="E1652" s="662"/>
      <c r="F1652" s="580"/>
    </row>
    <row r="1653" spans="1:6">
      <c r="A1653" s="653" t="s">
        <v>675</v>
      </c>
      <c r="B1653" s="642"/>
      <c r="C1653" s="656"/>
      <c r="D1653" s="655"/>
      <c r="E1653" s="662"/>
      <c r="F1653" s="580"/>
    </row>
    <row r="1654" spans="1:6">
      <c r="A1654" s="653" t="s">
        <v>675</v>
      </c>
      <c r="B1654" s="673"/>
      <c r="C1654" s="656"/>
      <c r="D1654" s="655"/>
      <c r="E1654" s="662"/>
      <c r="F1654" s="580"/>
    </row>
    <row r="1655" spans="1:6">
      <c r="A1655" s="653" t="s">
        <v>675</v>
      </c>
      <c r="B1655" s="642"/>
      <c r="C1655" s="656"/>
      <c r="D1655" s="655"/>
      <c r="E1655" s="662"/>
      <c r="F1655" s="580"/>
    </row>
    <row r="1656" spans="1:6">
      <c r="A1656" s="653" t="s">
        <v>675</v>
      </c>
      <c r="B1656" s="642"/>
      <c r="C1656" s="656"/>
      <c r="D1656" s="655"/>
      <c r="E1656" s="662"/>
      <c r="F1656" s="580"/>
    </row>
    <row r="1657" spans="1:6">
      <c r="A1657" s="653" t="s">
        <v>675</v>
      </c>
      <c r="B1657" s="642"/>
      <c r="C1657" s="656"/>
      <c r="D1657" s="655"/>
      <c r="E1657" s="662"/>
      <c r="F1657" s="580"/>
    </row>
    <row r="1658" spans="1:6">
      <c r="A1658" s="653" t="s">
        <v>675</v>
      </c>
      <c r="B1658" s="673"/>
      <c r="C1658" s="656"/>
      <c r="D1658" s="655"/>
      <c r="E1658" s="662"/>
      <c r="F1658" s="580"/>
    </row>
    <row r="1659" spans="1:6">
      <c r="A1659" s="653" t="s">
        <v>675</v>
      </c>
      <c r="B1659" s="673"/>
      <c r="C1659" s="656"/>
      <c r="D1659" s="655"/>
      <c r="E1659" s="662"/>
      <c r="F1659" s="580"/>
    </row>
    <row r="1660" spans="1:6">
      <c r="A1660" s="653" t="s">
        <v>675</v>
      </c>
      <c r="B1660" s="673"/>
      <c r="C1660" s="656"/>
      <c r="D1660" s="655"/>
      <c r="E1660" s="662"/>
      <c r="F1660" s="580"/>
    </row>
    <row r="1661" spans="1:6">
      <c r="A1661" s="653" t="s">
        <v>675</v>
      </c>
      <c r="B1661" s="578"/>
      <c r="C1661" s="664"/>
      <c r="D1661" s="655"/>
      <c r="E1661" s="583"/>
      <c r="F1661" s="580"/>
    </row>
    <row r="1662" spans="1:6">
      <c r="A1662" s="653" t="s">
        <v>675</v>
      </c>
      <c r="B1662" s="658"/>
      <c r="C1662" s="664"/>
      <c r="D1662" s="661"/>
      <c r="E1662" s="583"/>
      <c r="F1662" s="580"/>
    </row>
    <row r="1663" spans="1:6">
      <c r="A1663" s="653" t="s">
        <v>675</v>
      </c>
      <c r="B1663" s="659"/>
      <c r="C1663" s="664"/>
      <c r="D1663" s="655"/>
      <c r="E1663" s="583"/>
      <c r="F1663" s="580"/>
    </row>
    <row r="1664" spans="1:6">
      <c r="A1664" s="653" t="s">
        <v>675</v>
      </c>
      <c r="B1664" s="659"/>
      <c r="C1664" s="664"/>
      <c r="D1664" s="661"/>
      <c r="E1664" s="583"/>
      <c r="F1664" s="580"/>
    </row>
    <row r="1665" spans="1:8">
      <c r="A1665" s="653" t="s">
        <v>675</v>
      </c>
      <c r="B1665" s="659"/>
      <c r="C1665" s="664"/>
      <c r="D1665" s="661"/>
      <c r="E1665" s="583"/>
      <c r="F1665" s="580"/>
    </row>
    <row r="1666" spans="1:8">
      <c r="A1666" s="653" t="s">
        <v>675</v>
      </c>
      <c r="B1666" s="658"/>
      <c r="C1666" s="664"/>
      <c r="D1666" s="655"/>
      <c r="E1666" s="583"/>
      <c r="F1666" s="580"/>
    </row>
    <row r="1667" spans="1:8">
      <c r="A1667" s="653" t="s">
        <v>675</v>
      </c>
      <c r="B1667" s="658"/>
      <c r="C1667" s="664"/>
      <c r="D1667" s="661"/>
      <c r="E1667" s="662"/>
      <c r="F1667" s="580"/>
    </row>
    <row r="1668" spans="1:8">
      <c r="A1668" s="653" t="s">
        <v>675</v>
      </c>
      <c r="B1668" s="614"/>
      <c r="C1668" s="664"/>
      <c r="D1668" s="655"/>
      <c r="E1668" s="662"/>
      <c r="F1668" s="580"/>
    </row>
    <row r="1669" spans="1:8">
      <c r="A1669" s="653" t="s">
        <v>675</v>
      </c>
      <c r="B1669" s="614"/>
      <c r="C1669" s="664"/>
      <c r="D1669" s="655"/>
      <c r="E1669" s="662"/>
      <c r="F1669" s="580"/>
    </row>
    <row r="1670" spans="1:8">
      <c r="A1670" s="653" t="s">
        <v>675</v>
      </c>
      <c r="B1670" s="614"/>
      <c r="C1670" s="664"/>
      <c r="D1670" s="655"/>
      <c r="E1670" s="662"/>
      <c r="F1670" s="580"/>
    </row>
    <row r="1671" spans="1:8">
      <c r="A1671" s="653" t="s">
        <v>675</v>
      </c>
      <c r="B1671" s="614"/>
      <c r="C1671" s="664"/>
      <c r="D1671" s="655"/>
      <c r="E1671" s="662"/>
      <c r="F1671" s="580"/>
    </row>
    <row r="1672" spans="1:8">
      <c r="A1672" s="653" t="s">
        <v>675</v>
      </c>
      <c r="B1672" s="614"/>
      <c r="C1672" s="664"/>
      <c r="D1672" s="655"/>
      <c r="E1672" s="657"/>
      <c r="F1672" s="577"/>
    </row>
    <row r="1673" spans="1:8">
      <c r="A1673" s="653" t="s">
        <v>675</v>
      </c>
      <c r="B1673" s="614"/>
      <c r="C1673" s="664"/>
      <c r="D1673" s="655"/>
      <c r="E1673" s="657"/>
      <c r="F1673" s="577"/>
    </row>
    <row r="1674" spans="1:8">
      <c r="A1674" s="653" t="s">
        <v>675</v>
      </c>
      <c r="B1674" s="614"/>
      <c r="C1674" s="664"/>
      <c r="D1674" s="655"/>
      <c r="E1674" s="662"/>
      <c r="F1674" s="580"/>
    </row>
    <row r="1675" spans="1:8">
      <c r="A1675" s="653" t="s">
        <v>675</v>
      </c>
      <c r="B1675" s="614"/>
      <c r="C1675" s="664"/>
      <c r="D1675" s="655"/>
      <c r="E1675" s="662"/>
      <c r="F1675" s="580"/>
    </row>
    <row r="1676" spans="1:8">
      <c r="A1676" s="653" t="s">
        <v>675</v>
      </c>
      <c r="B1676" s="614"/>
      <c r="C1676" s="664"/>
      <c r="D1676" s="655"/>
      <c r="E1676" s="662"/>
      <c r="F1676" s="580"/>
    </row>
    <row r="1677" spans="1:8">
      <c r="A1677" s="653" t="s">
        <v>675</v>
      </c>
      <c r="B1677" s="614"/>
      <c r="C1677" s="664"/>
      <c r="D1677" s="655"/>
      <c r="E1677" s="662"/>
      <c r="F1677" s="580"/>
    </row>
    <row r="1678" spans="1:8" ht="13.8" thickBot="1">
      <c r="A1678" s="572" t="s">
        <v>675</v>
      </c>
      <c r="B1678" s="658"/>
      <c r="C1678" s="587"/>
      <c r="D1678" s="655"/>
      <c r="E1678" s="669"/>
      <c r="F1678" s="577"/>
    </row>
    <row r="1679" spans="1:8">
      <c r="A1679" s="591" t="s">
        <v>675</v>
      </c>
      <c r="B1679" s="592"/>
      <c r="C1679" s="594"/>
      <c r="D1679" s="593"/>
      <c r="E1679" s="643"/>
      <c r="F1679" s="596"/>
    </row>
    <row r="1680" spans="1:8">
      <c r="A1680" s="597" t="s">
        <v>702</v>
      </c>
      <c r="B1680" s="598" t="s">
        <v>282</v>
      </c>
      <c r="C1680" s="600"/>
      <c r="D1680" s="599"/>
      <c r="E1680" s="601"/>
      <c r="F1680" s="602">
        <f ca="1">SUM(F1626:F1678)</f>
        <v>646.72</v>
      </c>
      <c r="G1680" s="1202">
        <f ca="1">Elec_Est!F4068</f>
        <v>646.72</v>
      </c>
      <c r="H1680" s="1203">
        <f ca="1">F1680-G1680</f>
        <v>0</v>
      </c>
    </row>
    <row r="1681" spans="1:6">
      <c r="A1681" s="603" t="s">
        <v>675</v>
      </c>
      <c r="B1681" s="604"/>
      <c r="C1681" s="606"/>
      <c r="D1681" s="605"/>
      <c r="E1681" s="644"/>
      <c r="F1681" s="608"/>
    </row>
    <row r="1682" spans="1:6">
      <c r="A1682" s="609" t="s">
        <v>675</v>
      </c>
      <c r="B1682" s="714"/>
      <c r="C1682" s="716"/>
      <c r="D1682" s="715"/>
      <c r="E1682" s="697"/>
      <c r="F1682" s="698"/>
    </row>
    <row r="1683" spans="1:6">
      <c r="A1683" s="612" t="s">
        <v>675</v>
      </c>
      <c r="B1683" s="613"/>
      <c r="C1683" s="558"/>
      <c r="D1683" s="557"/>
      <c r="E1683" s="626"/>
      <c r="F1683" s="561"/>
    </row>
    <row r="1684" spans="1:6">
      <c r="A1684" s="612" t="s">
        <v>675</v>
      </c>
      <c r="B1684" s="613"/>
      <c r="C1684" s="558"/>
      <c r="D1684" s="557"/>
      <c r="E1684" s="626"/>
      <c r="F1684" s="561"/>
    </row>
    <row r="1685" spans="1:6">
      <c r="A1685" s="603" t="s">
        <v>675</v>
      </c>
      <c r="B1685" s="604"/>
      <c r="C1685" s="606"/>
      <c r="D1685" s="605"/>
      <c r="E1685" s="644"/>
      <c r="F1685" s="651"/>
    </row>
    <row r="1686" spans="1:6" ht="13.8" thickBot="1">
      <c r="A1686" s="710" t="s">
        <v>267</v>
      </c>
      <c r="B1686" s="711" t="s">
        <v>268</v>
      </c>
      <c r="C1686" s="703" t="s">
        <v>269</v>
      </c>
      <c r="D1686" s="702" t="s">
        <v>259</v>
      </c>
      <c r="E1686" s="704" t="s">
        <v>270</v>
      </c>
      <c r="F1686" s="705" t="s">
        <v>260</v>
      </c>
    </row>
    <row r="1687" spans="1:6">
      <c r="A1687" s="581" t="s">
        <v>675</v>
      </c>
      <c r="B1687" s="712"/>
      <c r="C1687" s="636"/>
      <c r="D1687" s="635"/>
      <c r="E1687" s="637"/>
      <c r="F1687" s="602"/>
    </row>
    <row r="1688" spans="1:6" ht="15.6">
      <c r="A1688" s="581" t="s">
        <v>703</v>
      </c>
      <c r="B1688" s="672" t="s">
        <v>487</v>
      </c>
      <c r="C1688" s="636"/>
      <c r="D1688" s="635"/>
      <c r="E1688" s="637"/>
      <c r="F1688" s="602"/>
    </row>
    <row r="1689" spans="1:6">
      <c r="A1689" s="581" t="s">
        <v>675</v>
      </c>
      <c r="B1689" s="639"/>
      <c r="C1689" s="636"/>
      <c r="D1689" s="635"/>
      <c r="E1689" s="637"/>
      <c r="F1689" s="602"/>
    </row>
    <row r="1690" spans="1:6">
      <c r="A1690" s="581" t="s">
        <v>703</v>
      </c>
      <c r="B1690" s="639" t="s">
        <v>332</v>
      </c>
      <c r="C1690" s="636"/>
      <c r="D1690" s="635"/>
      <c r="E1690" s="637"/>
      <c r="F1690" s="602"/>
    </row>
    <row r="1691" spans="1:6">
      <c r="A1691" s="581" t="s">
        <v>675</v>
      </c>
      <c r="B1691" s="598"/>
      <c r="C1691" s="636"/>
      <c r="D1691" s="635"/>
      <c r="E1691" s="637"/>
      <c r="F1691" s="602"/>
    </row>
    <row r="1692" spans="1:6" ht="26.4">
      <c r="A1692" s="572" t="s">
        <v>794</v>
      </c>
      <c r="B1692" s="582" t="s">
        <v>333</v>
      </c>
      <c r="C1692" s="636"/>
      <c r="D1692" s="635"/>
      <c r="E1692" s="637"/>
      <c r="F1692" s="602"/>
    </row>
    <row r="1693" spans="1:6">
      <c r="A1693" s="581" t="s">
        <v>675</v>
      </c>
      <c r="B1693" s="582"/>
      <c r="C1693" s="636"/>
      <c r="D1693" s="635"/>
      <c r="E1693" s="637"/>
      <c r="F1693" s="602"/>
    </row>
    <row r="1694" spans="1:6" ht="26.4">
      <c r="A1694" s="581" t="s">
        <v>294</v>
      </c>
      <c r="B1694" s="582" t="s">
        <v>488</v>
      </c>
      <c r="C1694" s="575">
        <v>1</v>
      </c>
      <c r="D1694" s="574" t="s">
        <v>335</v>
      </c>
      <c r="E1694" s="637">
        <f ca="1">Elec_Est!E4085</f>
        <v>611.02</v>
      </c>
      <c r="F1694" s="602">
        <f ca="1">E1694*C1694</f>
        <v>611.02</v>
      </c>
    </row>
    <row r="1695" spans="1:6">
      <c r="A1695" s="581" t="s">
        <v>675</v>
      </c>
      <c r="B1695" s="582"/>
      <c r="C1695" s="575"/>
      <c r="D1695" s="635"/>
      <c r="E1695" s="637"/>
      <c r="F1695" s="602"/>
    </row>
    <row r="1696" spans="1:6" ht="12.75" customHeight="1">
      <c r="A1696" s="581" t="s">
        <v>296</v>
      </c>
      <c r="B1696" s="582" t="s">
        <v>489</v>
      </c>
      <c r="C1696" s="575">
        <v>1</v>
      </c>
      <c r="D1696" s="574" t="s">
        <v>335</v>
      </c>
      <c r="E1696" s="637">
        <f ca="1">Elec_Est!E4094</f>
        <v>1399.15</v>
      </c>
      <c r="F1696" s="602">
        <f ca="1">E1696*C1696</f>
        <v>1399.15</v>
      </c>
    </row>
    <row r="1697" spans="1:6">
      <c r="A1697" s="581" t="s">
        <v>675</v>
      </c>
      <c r="B1697" s="582"/>
      <c r="C1697" s="575"/>
      <c r="D1697" s="635"/>
      <c r="E1697" s="637"/>
      <c r="F1697" s="602"/>
    </row>
    <row r="1698" spans="1:6">
      <c r="A1698" s="581" t="s">
        <v>298</v>
      </c>
      <c r="B1698" s="582" t="s">
        <v>344</v>
      </c>
      <c r="C1698" s="575">
        <v>9</v>
      </c>
      <c r="D1698" s="574" t="s">
        <v>335</v>
      </c>
      <c r="E1698" s="637">
        <f ca="1">Elec_Est!E4103</f>
        <v>57.85</v>
      </c>
      <c r="F1698" s="602">
        <f ca="1">E1698*C1698</f>
        <v>520.65</v>
      </c>
    </row>
    <row r="1699" spans="1:6">
      <c r="A1699" s="581" t="s">
        <v>675</v>
      </c>
      <c r="B1699" s="582"/>
      <c r="C1699" s="575"/>
      <c r="D1699" s="635"/>
      <c r="E1699" s="637"/>
      <c r="F1699" s="602"/>
    </row>
    <row r="1700" spans="1:6">
      <c r="A1700" s="581" t="s">
        <v>675</v>
      </c>
      <c r="B1700" s="588"/>
      <c r="C1700" s="575"/>
      <c r="D1700" s="635"/>
      <c r="E1700" s="637"/>
      <c r="F1700" s="602"/>
    </row>
    <row r="1701" spans="1:6">
      <c r="A1701" s="653" t="s">
        <v>795</v>
      </c>
      <c r="B1701" s="673" t="s">
        <v>345</v>
      </c>
      <c r="C1701" s="664"/>
      <c r="D1701" s="655"/>
      <c r="E1701" s="662"/>
      <c r="F1701" s="602"/>
    </row>
    <row r="1702" spans="1:6">
      <c r="A1702" s="653" t="s">
        <v>675</v>
      </c>
      <c r="B1702" s="588"/>
      <c r="C1702" s="664"/>
      <c r="D1702" s="655"/>
      <c r="E1702" s="662"/>
      <c r="F1702" s="602"/>
    </row>
    <row r="1703" spans="1:6" ht="26.4">
      <c r="A1703" s="653" t="s">
        <v>294</v>
      </c>
      <c r="B1703" s="582" t="s">
        <v>348</v>
      </c>
      <c r="C1703" s="664">
        <v>9</v>
      </c>
      <c r="D1703" s="655" t="s">
        <v>335</v>
      </c>
      <c r="E1703" s="662">
        <f ca="1">Elec_Est!E4114</f>
        <v>28.98</v>
      </c>
      <c r="F1703" s="602">
        <f ca="1">E1703*C1703</f>
        <v>260.82</v>
      </c>
    </row>
    <row r="1704" spans="1:6">
      <c r="A1704" s="653" t="s">
        <v>675</v>
      </c>
      <c r="B1704" s="582"/>
      <c r="C1704" s="664"/>
      <c r="D1704" s="655"/>
      <c r="E1704" s="662"/>
      <c r="F1704" s="602"/>
    </row>
    <row r="1705" spans="1:6">
      <c r="A1705" s="653" t="s">
        <v>675</v>
      </c>
      <c r="B1705" s="588"/>
      <c r="C1705" s="664"/>
      <c r="D1705" s="655"/>
      <c r="E1705" s="662"/>
      <c r="F1705" s="602"/>
    </row>
    <row r="1706" spans="1:6" ht="26.4">
      <c r="A1706" s="653" t="s">
        <v>796</v>
      </c>
      <c r="B1706" s="582" t="s">
        <v>351</v>
      </c>
      <c r="C1706" s="664"/>
      <c r="D1706" s="655"/>
      <c r="E1706" s="662"/>
      <c r="F1706" s="602"/>
    </row>
    <row r="1707" spans="1:6">
      <c r="A1707" s="653" t="s">
        <v>675</v>
      </c>
      <c r="B1707" s="588"/>
      <c r="C1707" s="664"/>
      <c r="D1707" s="655"/>
      <c r="E1707" s="662"/>
      <c r="F1707" s="602"/>
    </row>
    <row r="1708" spans="1:6">
      <c r="A1708" s="653" t="s">
        <v>294</v>
      </c>
      <c r="B1708" s="588" t="s">
        <v>490</v>
      </c>
      <c r="C1708" s="664">
        <v>43</v>
      </c>
      <c r="D1708" s="655" t="s">
        <v>335</v>
      </c>
      <c r="E1708" s="662">
        <f ca="1">Elec_Est!E4125</f>
        <v>11.35</v>
      </c>
      <c r="F1708" s="602">
        <f ca="1">E1708*C1708</f>
        <v>488.05</v>
      </c>
    </row>
    <row r="1709" spans="1:6">
      <c r="A1709" s="653" t="s">
        <v>675</v>
      </c>
      <c r="B1709" s="588"/>
      <c r="C1709" s="664"/>
      <c r="D1709" s="655"/>
      <c r="E1709" s="662"/>
      <c r="F1709" s="602"/>
    </row>
    <row r="1710" spans="1:6">
      <c r="A1710" s="653" t="s">
        <v>296</v>
      </c>
      <c r="B1710" s="588" t="s">
        <v>491</v>
      </c>
      <c r="C1710" s="664">
        <v>10</v>
      </c>
      <c r="D1710" s="655" t="s">
        <v>335</v>
      </c>
      <c r="E1710" s="662">
        <f ca="1">Elec_Est!E4132</f>
        <v>11.35</v>
      </c>
      <c r="F1710" s="602">
        <f ca="1">E1710*C1710</f>
        <v>113.5</v>
      </c>
    </row>
    <row r="1711" spans="1:6">
      <c r="A1711" s="653" t="s">
        <v>675</v>
      </c>
      <c r="B1711" s="588"/>
      <c r="C1711" s="664"/>
      <c r="D1711" s="655"/>
      <c r="E1711" s="662"/>
      <c r="F1711" s="602"/>
    </row>
    <row r="1712" spans="1:6" ht="26.4">
      <c r="A1712" s="653" t="s">
        <v>298</v>
      </c>
      <c r="B1712" s="582" t="s">
        <v>348</v>
      </c>
      <c r="C1712" s="664">
        <v>9</v>
      </c>
      <c r="D1712" s="655" t="s">
        <v>335</v>
      </c>
      <c r="E1712" s="662">
        <f ca="1">Elec_Est!E4139</f>
        <v>13.21</v>
      </c>
      <c r="F1712" s="602">
        <f ca="1">E1712*C1712</f>
        <v>118.89000000000001</v>
      </c>
    </row>
    <row r="1713" spans="1:6">
      <c r="A1713" s="581" t="s">
        <v>675</v>
      </c>
      <c r="B1713" s="712"/>
      <c r="C1713" s="636"/>
      <c r="D1713" s="635"/>
      <c r="E1713" s="637"/>
      <c r="F1713" s="602"/>
    </row>
    <row r="1714" spans="1:6">
      <c r="A1714" s="581" t="s">
        <v>675</v>
      </c>
      <c r="B1714" s="712"/>
      <c r="C1714" s="636"/>
      <c r="D1714" s="635"/>
      <c r="E1714" s="637"/>
      <c r="F1714" s="602"/>
    </row>
    <row r="1715" spans="1:6">
      <c r="A1715" s="581" t="s">
        <v>675</v>
      </c>
      <c r="B1715" s="712"/>
      <c r="C1715" s="636"/>
      <c r="D1715" s="635"/>
      <c r="E1715" s="637"/>
      <c r="F1715" s="602"/>
    </row>
    <row r="1716" spans="1:6">
      <c r="A1716" s="581" t="s">
        <v>675</v>
      </c>
      <c r="B1716" s="712"/>
      <c r="C1716" s="636"/>
      <c r="D1716" s="635"/>
      <c r="E1716" s="637"/>
      <c r="F1716" s="602"/>
    </row>
    <row r="1717" spans="1:6">
      <c r="A1717" s="581" t="s">
        <v>675</v>
      </c>
      <c r="B1717" s="712"/>
      <c r="C1717" s="636"/>
      <c r="D1717" s="635"/>
      <c r="E1717" s="637"/>
      <c r="F1717" s="602"/>
    </row>
    <row r="1718" spans="1:6">
      <c r="A1718" s="581" t="s">
        <v>675</v>
      </c>
      <c r="B1718" s="712"/>
      <c r="C1718" s="636"/>
      <c r="D1718" s="635"/>
      <c r="E1718" s="637"/>
      <c r="F1718" s="602"/>
    </row>
    <row r="1719" spans="1:6">
      <c r="A1719" s="581" t="s">
        <v>675</v>
      </c>
      <c r="B1719" s="712"/>
      <c r="C1719" s="636"/>
      <c r="D1719" s="635"/>
      <c r="E1719" s="637"/>
      <c r="F1719" s="602"/>
    </row>
    <row r="1720" spans="1:6">
      <c r="A1720" s="581" t="s">
        <v>675</v>
      </c>
      <c r="B1720" s="712"/>
      <c r="C1720" s="636"/>
      <c r="D1720" s="635"/>
      <c r="E1720" s="637"/>
      <c r="F1720" s="602"/>
    </row>
    <row r="1721" spans="1:6">
      <c r="A1721" s="581" t="s">
        <v>675</v>
      </c>
      <c r="B1721" s="712"/>
      <c r="C1721" s="636"/>
      <c r="D1721" s="635"/>
      <c r="E1721" s="637"/>
      <c r="F1721" s="602"/>
    </row>
    <row r="1722" spans="1:6">
      <c r="A1722" s="581" t="s">
        <v>675</v>
      </c>
      <c r="B1722" s="712"/>
      <c r="C1722" s="636"/>
      <c r="D1722" s="635"/>
      <c r="E1722" s="637"/>
      <c r="F1722" s="602"/>
    </row>
    <row r="1723" spans="1:6">
      <c r="A1723" s="581" t="s">
        <v>675</v>
      </c>
      <c r="B1723" s="712"/>
      <c r="C1723" s="636"/>
      <c r="D1723" s="635"/>
      <c r="E1723" s="637"/>
      <c r="F1723" s="602"/>
    </row>
    <row r="1724" spans="1:6">
      <c r="A1724" s="581" t="s">
        <v>675</v>
      </c>
      <c r="B1724" s="712"/>
      <c r="C1724" s="636"/>
      <c r="D1724" s="635"/>
      <c r="E1724" s="637"/>
      <c r="F1724" s="602"/>
    </row>
    <row r="1725" spans="1:6">
      <c r="A1725" s="581" t="s">
        <v>675</v>
      </c>
      <c r="B1725" s="712"/>
      <c r="C1725" s="636"/>
      <c r="D1725" s="635"/>
      <c r="E1725" s="637"/>
      <c r="F1725" s="602"/>
    </row>
    <row r="1726" spans="1:6">
      <c r="A1726" s="581" t="s">
        <v>675</v>
      </c>
      <c r="B1726" s="712"/>
      <c r="C1726" s="636"/>
      <c r="D1726" s="635"/>
      <c r="E1726" s="637"/>
      <c r="F1726" s="602"/>
    </row>
    <row r="1727" spans="1:6">
      <c r="A1727" s="581" t="s">
        <v>675</v>
      </c>
      <c r="B1727" s="712"/>
      <c r="C1727" s="636"/>
      <c r="D1727" s="635"/>
      <c r="E1727" s="637"/>
      <c r="F1727" s="602"/>
    </row>
    <row r="1728" spans="1:6">
      <c r="A1728" s="581" t="s">
        <v>675</v>
      </c>
      <c r="B1728" s="712"/>
      <c r="C1728" s="636"/>
      <c r="D1728" s="635"/>
      <c r="E1728" s="637"/>
      <c r="F1728" s="602"/>
    </row>
    <row r="1729" spans="1:8">
      <c r="A1729" s="581" t="s">
        <v>675</v>
      </c>
      <c r="B1729" s="712"/>
      <c r="C1729" s="636"/>
      <c r="D1729" s="635"/>
      <c r="E1729" s="637"/>
      <c r="F1729" s="602"/>
    </row>
    <row r="1730" spans="1:8">
      <c r="A1730" s="581" t="s">
        <v>675</v>
      </c>
      <c r="B1730" s="712"/>
      <c r="C1730" s="636"/>
      <c r="D1730" s="635"/>
      <c r="E1730" s="637"/>
      <c r="F1730" s="602"/>
    </row>
    <row r="1731" spans="1:8">
      <c r="A1731" s="572" t="s">
        <v>675</v>
      </c>
      <c r="B1731" s="614"/>
      <c r="C1731" s="664"/>
      <c r="D1731" s="661"/>
      <c r="E1731" s="669"/>
      <c r="F1731" s="577"/>
    </row>
    <row r="1732" spans="1:8">
      <c r="A1732" s="653" t="s">
        <v>675</v>
      </c>
      <c r="B1732" s="717"/>
      <c r="C1732" s="664"/>
      <c r="D1732" s="661"/>
      <c r="E1732" s="662"/>
      <c r="F1732" s="580"/>
    </row>
    <row r="1733" spans="1:8" ht="13.8" thickBot="1">
      <c r="A1733" s="572" t="s">
        <v>675</v>
      </c>
      <c r="B1733" s="658"/>
      <c r="C1733" s="587"/>
      <c r="D1733" s="655"/>
      <c r="E1733" s="669"/>
      <c r="F1733" s="577"/>
    </row>
    <row r="1734" spans="1:8">
      <c r="A1734" s="591" t="s">
        <v>675</v>
      </c>
      <c r="B1734" s="592"/>
      <c r="C1734" s="594"/>
      <c r="D1734" s="593"/>
      <c r="E1734" s="643"/>
      <c r="F1734" s="596"/>
    </row>
    <row r="1735" spans="1:8">
      <c r="A1735" s="597" t="s">
        <v>702</v>
      </c>
      <c r="B1735" s="598" t="s">
        <v>282</v>
      </c>
      <c r="C1735" s="600"/>
      <c r="D1735" s="599"/>
      <c r="E1735" s="601"/>
      <c r="F1735" s="602">
        <f ca="1">SUM(F1688:F1733)</f>
        <v>3512.0800000000004</v>
      </c>
      <c r="G1735" s="1202">
        <f ca="1">Elec_Est!F4147</f>
        <v>3512.0800000000004</v>
      </c>
      <c r="H1735" s="1203">
        <f ca="1">F1735-G1735</f>
        <v>0</v>
      </c>
    </row>
    <row r="1736" spans="1:8">
      <c r="A1736" s="603" t="s">
        <v>675</v>
      </c>
      <c r="B1736" s="604"/>
      <c r="C1736" s="606"/>
      <c r="D1736" s="605"/>
      <c r="E1736" s="644"/>
      <c r="F1736" s="608"/>
    </row>
    <row r="1737" spans="1:8">
      <c r="A1737" s="609" t="s">
        <v>675</v>
      </c>
      <c r="B1737" s="714"/>
      <c r="C1737" s="716"/>
      <c r="D1737" s="715"/>
      <c r="E1737" s="697"/>
      <c r="F1737" s="698"/>
    </row>
    <row r="1738" spans="1:8">
      <c r="A1738" s="612" t="s">
        <v>675</v>
      </c>
      <c r="B1738" s="613"/>
      <c r="C1738" s="558"/>
      <c r="D1738" s="557"/>
      <c r="E1738" s="626"/>
      <c r="F1738" s="561"/>
    </row>
    <row r="1739" spans="1:8">
      <c r="A1739" s="612" t="s">
        <v>675</v>
      </c>
      <c r="B1739" s="613"/>
      <c r="C1739" s="558"/>
      <c r="D1739" s="557"/>
      <c r="E1739" s="626"/>
      <c r="F1739" s="561"/>
    </row>
    <row r="1740" spans="1:8">
      <c r="A1740" s="603" t="s">
        <v>675</v>
      </c>
      <c r="B1740" s="604"/>
      <c r="C1740" s="606"/>
      <c r="D1740" s="605"/>
      <c r="E1740" s="644"/>
      <c r="F1740" s="651"/>
    </row>
    <row r="1741" spans="1:8" ht="13.8" thickBot="1">
      <c r="A1741" s="710" t="s">
        <v>267</v>
      </c>
      <c r="B1741" s="711" t="s">
        <v>268</v>
      </c>
      <c r="C1741" s="703" t="s">
        <v>269</v>
      </c>
      <c r="D1741" s="702" t="s">
        <v>259</v>
      </c>
      <c r="E1741" s="704" t="s">
        <v>270</v>
      </c>
      <c r="F1741" s="705" t="s">
        <v>260</v>
      </c>
    </row>
    <row r="1742" spans="1:8">
      <c r="A1742" s="572" t="s">
        <v>675</v>
      </c>
      <c r="B1742" s="614"/>
      <c r="C1742" s="664"/>
      <c r="D1742" s="661"/>
      <c r="E1742" s="669"/>
      <c r="F1742" s="577"/>
    </row>
    <row r="1743" spans="1:8">
      <c r="A1743" s="653" t="s">
        <v>703</v>
      </c>
      <c r="B1743" s="639" t="s">
        <v>492</v>
      </c>
      <c r="C1743" s="656"/>
      <c r="D1743" s="661"/>
      <c r="E1743" s="657"/>
      <c r="F1743" s="577"/>
    </row>
    <row r="1744" spans="1:8">
      <c r="A1744" s="653" t="s">
        <v>675</v>
      </c>
      <c r="B1744" s="639"/>
      <c r="C1744" s="656"/>
      <c r="D1744" s="661"/>
      <c r="E1744" s="657"/>
      <c r="F1744" s="577"/>
    </row>
    <row r="1745" spans="1:6" ht="41.4" customHeight="1">
      <c r="A1745" s="653" t="s">
        <v>680</v>
      </c>
      <c r="B1745" s="718" t="s">
        <v>493</v>
      </c>
      <c r="C1745" s="664">
        <v>1</v>
      </c>
      <c r="D1745" s="655" t="s">
        <v>335</v>
      </c>
      <c r="E1745" s="662">
        <f>Elec_Est!E4156</f>
        <v>1384.64</v>
      </c>
      <c r="F1745" s="580">
        <f>E1745*C1745</f>
        <v>1384.64</v>
      </c>
    </row>
    <row r="1746" spans="1:6" ht="12.75" customHeight="1">
      <c r="A1746" s="653" t="s">
        <v>675</v>
      </c>
      <c r="B1746" s="719"/>
      <c r="C1746" s="664"/>
      <c r="D1746" s="655"/>
      <c r="E1746" s="662"/>
      <c r="F1746" s="580"/>
    </row>
    <row r="1747" spans="1:6">
      <c r="A1747" s="653" t="s">
        <v>675</v>
      </c>
      <c r="B1747" s="717"/>
      <c r="C1747" s="664"/>
      <c r="D1747" s="655"/>
      <c r="E1747" s="662"/>
      <c r="F1747" s="580"/>
    </row>
    <row r="1748" spans="1:6" ht="26.4">
      <c r="A1748" s="653" t="s">
        <v>681</v>
      </c>
      <c r="B1748" s="717" t="s">
        <v>494</v>
      </c>
      <c r="C1748" s="903">
        <v>1</v>
      </c>
      <c r="D1748" s="655" t="s">
        <v>335</v>
      </c>
      <c r="E1748" s="662">
        <f>Elec_Est!E4167</f>
        <v>136.72</v>
      </c>
      <c r="F1748" s="580">
        <f>E1748*C1748</f>
        <v>136.72</v>
      </c>
    </row>
    <row r="1749" spans="1:6">
      <c r="A1749" s="653" t="s">
        <v>675</v>
      </c>
      <c r="B1749" s="717"/>
      <c r="C1749" s="664"/>
      <c r="D1749" s="655"/>
      <c r="E1749" s="662"/>
      <c r="F1749" s="580"/>
    </row>
    <row r="1750" spans="1:6">
      <c r="A1750" s="653" t="s">
        <v>675</v>
      </c>
      <c r="B1750" s="717"/>
      <c r="C1750" s="664"/>
      <c r="D1750" s="655"/>
      <c r="E1750" s="662"/>
      <c r="F1750" s="580"/>
    </row>
    <row r="1751" spans="1:6">
      <c r="A1751" s="653" t="s">
        <v>682</v>
      </c>
      <c r="B1751" s="642" t="s">
        <v>495</v>
      </c>
      <c r="C1751" s="664">
        <v>1</v>
      </c>
      <c r="D1751" s="661" t="s">
        <v>272</v>
      </c>
      <c r="E1751" s="662" t="str">
        <f>Elec_Est!Q4173</f>
        <v>Included</v>
      </c>
      <c r="F1751" s="580"/>
    </row>
    <row r="1752" spans="1:6">
      <c r="A1752" s="653" t="s">
        <v>675</v>
      </c>
      <c r="B1752" s="658"/>
      <c r="C1752" s="664"/>
      <c r="D1752" s="661"/>
      <c r="E1752" s="662"/>
      <c r="F1752" s="580"/>
    </row>
    <row r="1753" spans="1:6">
      <c r="A1753" s="653" t="s">
        <v>675</v>
      </c>
      <c r="B1753" s="658"/>
      <c r="C1753" s="664"/>
      <c r="D1753" s="661"/>
      <c r="E1753" s="662"/>
      <c r="F1753" s="580"/>
    </row>
    <row r="1754" spans="1:6">
      <c r="C1754" s="664"/>
      <c r="D1754" s="661"/>
      <c r="E1754" s="662"/>
      <c r="F1754" s="580"/>
    </row>
    <row r="1755" spans="1:6" ht="26.4">
      <c r="A1755" s="653" t="s">
        <v>683</v>
      </c>
      <c r="B1755" s="717" t="s">
        <v>496</v>
      </c>
      <c r="C1755" s="664">
        <v>1</v>
      </c>
      <c r="D1755" s="661" t="s">
        <v>272</v>
      </c>
      <c r="E1755" s="662" t="str">
        <f>Elec_Est!Q4180</f>
        <v>Included</v>
      </c>
      <c r="F1755" s="580"/>
    </row>
    <row r="1756" spans="1:6">
      <c r="A1756" s="653" t="s">
        <v>675</v>
      </c>
      <c r="B1756" s="717"/>
      <c r="C1756" s="664"/>
      <c r="D1756" s="661"/>
      <c r="E1756" s="662"/>
      <c r="F1756" s="580"/>
    </row>
    <row r="1757" spans="1:6">
      <c r="A1757" s="653" t="s">
        <v>675</v>
      </c>
      <c r="B1757" s="717"/>
      <c r="C1757" s="664"/>
      <c r="D1757" s="661"/>
      <c r="E1757" s="662"/>
      <c r="F1757" s="580"/>
    </row>
    <row r="1758" spans="1:6">
      <c r="A1758" s="653" t="s">
        <v>797</v>
      </c>
      <c r="B1758" s="642" t="s">
        <v>497</v>
      </c>
      <c r="C1758" s="664"/>
      <c r="D1758" s="661"/>
      <c r="E1758" s="662" t="s">
        <v>1407</v>
      </c>
      <c r="F1758" s="580"/>
    </row>
    <row r="1759" spans="1:6">
      <c r="A1759" s="653" t="s">
        <v>675</v>
      </c>
      <c r="B1759" s="717"/>
      <c r="C1759" s="664"/>
      <c r="D1759" s="661"/>
      <c r="E1759" s="662"/>
      <c r="F1759" s="580"/>
    </row>
    <row r="1760" spans="1:6">
      <c r="A1760" s="653" t="s">
        <v>675</v>
      </c>
      <c r="B1760" s="717"/>
      <c r="C1760" s="664"/>
      <c r="D1760" s="661"/>
      <c r="E1760" s="662"/>
      <c r="F1760" s="580"/>
    </row>
    <row r="1761" spans="1:6">
      <c r="C1761" s="664"/>
      <c r="D1761" s="661"/>
      <c r="E1761" s="576"/>
      <c r="F1761" s="580"/>
    </row>
    <row r="1762" spans="1:6" ht="26.4">
      <c r="A1762" s="1350" t="s">
        <v>684</v>
      </c>
      <c r="B1762" s="1352" t="s">
        <v>498</v>
      </c>
      <c r="C1762" s="1340">
        <v>1</v>
      </c>
      <c r="D1762" s="1353" t="s">
        <v>272</v>
      </c>
      <c r="E1762" s="1335">
        <f>Elec_Est!E4191</f>
        <v>6551.57</v>
      </c>
      <c r="F1762" s="1336">
        <f>E1762*C1762</f>
        <v>6551.57</v>
      </c>
    </row>
    <row r="1763" spans="1:6">
      <c r="A1763" s="572" t="s">
        <v>675</v>
      </c>
      <c r="B1763" s="573"/>
      <c r="C1763" s="575"/>
      <c r="D1763" s="574"/>
      <c r="E1763" s="576"/>
      <c r="F1763" s="580"/>
    </row>
    <row r="1764" spans="1:6">
      <c r="A1764" s="572" t="s">
        <v>675</v>
      </c>
      <c r="B1764" s="573"/>
      <c r="C1764" s="575"/>
      <c r="D1764" s="574"/>
      <c r="E1764" s="576"/>
      <c r="F1764" s="580"/>
    </row>
    <row r="1765" spans="1:6" ht="52.8">
      <c r="A1765" s="1350" t="s">
        <v>685</v>
      </c>
      <c r="B1765" s="1354" t="s">
        <v>499</v>
      </c>
      <c r="C1765" s="1340">
        <v>1</v>
      </c>
      <c r="D1765" s="1353" t="s">
        <v>335</v>
      </c>
      <c r="E1765" s="1335">
        <f>Elec_Est!E4211</f>
        <v>1056.5999999999999</v>
      </c>
      <c r="F1765" s="1336">
        <f>E1765*C1765</f>
        <v>1056.5999999999999</v>
      </c>
    </row>
    <row r="1766" spans="1:6" ht="12.75" customHeight="1">
      <c r="A1766" s="653" t="s">
        <v>675</v>
      </c>
      <c r="B1766" s="573"/>
      <c r="C1766" s="664"/>
      <c r="D1766" s="661"/>
      <c r="E1766" s="576"/>
      <c r="F1766" s="580"/>
    </row>
    <row r="1767" spans="1:6">
      <c r="A1767" s="572" t="s">
        <v>675</v>
      </c>
      <c r="B1767" s="573"/>
      <c r="C1767" s="575"/>
      <c r="D1767" s="574"/>
      <c r="E1767" s="576"/>
      <c r="F1767" s="580"/>
    </row>
    <row r="1768" spans="1:6" ht="39.6">
      <c r="A1768" s="572" t="s">
        <v>686</v>
      </c>
      <c r="B1768" s="720" t="s">
        <v>500</v>
      </c>
      <c r="C1768" s="664">
        <v>1</v>
      </c>
      <c r="D1768" s="661" t="s">
        <v>272</v>
      </c>
      <c r="E1768" s="576">
        <f>Elec_Est!E4217</f>
        <v>572.1</v>
      </c>
      <c r="F1768" s="580">
        <f>E1768*C1768</f>
        <v>572.1</v>
      </c>
    </row>
    <row r="1769" spans="1:6">
      <c r="A1769" s="572" t="s">
        <v>675</v>
      </c>
      <c r="B1769" s="573"/>
      <c r="C1769" s="575"/>
      <c r="D1769" s="574"/>
      <c r="E1769" s="576"/>
      <c r="F1769" s="580"/>
    </row>
    <row r="1770" spans="1:6">
      <c r="A1770" s="572" t="s">
        <v>675</v>
      </c>
      <c r="B1770" s="573"/>
      <c r="C1770" s="575"/>
      <c r="D1770" s="661"/>
      <c r="E1770" s="576"/>
      <c r="F1770" s="580"/>
    </row>
    <row r="1771" spans="1:6">
      <c r="A1771" s="572" t="s">
        <v>675</v>
      </c>
      <c r="B1771" s="573"/>
      <c r="C1771" s="575"/>
      <c r="D1771" s="574"/>
      <c r="E1771" s="576"/>
      <c r="F1771" s="580"/>
    </row>
    <row r="1772" spans="1:6">
      <c r="A1772" s="572" t="s">
        <v>675</v>
      </c>
      <c r="B1772" s="573"/>
      <c r="C1772" s="575"/>
      <c r="D1772" s="574"/>
      <c r="E1772" s="576"/>
      <c r="F1772" s="580"/>
    </row>
    <row r="1773" spans="1:6">
      <c r="A1773" s="572" t="s">
        <v>675</v>
      </c>
      <c r="B1773" s="573"/>
      <c r="C1773" s="575"/>
      <c r="D1773" s="574"/>
      <c r="E1773" s="576"/>
      <c r="F1773" s="580"/>
    </row>
    <row r="1774" spans="1:6">
      <c r="A1774" s="572" t="s">
        <v>675</v>
      </c>
      <c r="B1774" s="573"/>
      <c r="C1774" s="575"/>
      <c r="D1774" s="574"/>
      <c r="E1774" s="576"/>
      <c r="F1774" s="580"/>
    </row>
    <row r="1775" spans="1:6">
      <c r="A1775" s="572" t="s">
        <v>675</v>
      </c>
      <c r="B1775" s="573"/>
      <c r="C1775" s="575"/>
      <c r="D1775" s="574"/>
      <c r="E1775" s="576"/>
      <c r="F1775" s="580"/>
    </row>
    <row r="1776" spans="1:6">
      <c r="A1776" s="572" t="s">
        <v>675</v>
      </c>
      <c r="B1776" s="573"/>
      <c r="C1776" s="575"/>
      <c r="D1776" s="574"/>
      <c r="E1776" s="576"/>
      <c r="F1776" s="580"/>
    </row>
    <row r="1777" spans="1:8">
      <c r="A1777" s="572" t="s">
        <v>675</v>
      </c>
      <c r="B1777" s="573"/>
      <c r="C1777" s="575"/>
      <c r="D1777" s="574"/>
      <c r="E1777" s="576"/>
      <c r="F1777" s="580"/>
    </row>
    <row r="1778" spans="1:8">
      <c r="A1778" s="572" t="s">
        <v>675</v>
      </c>
      <c r="B1778" s="573"/>
      <c r="C1778" s="575"/>
      <c r="D1778" s="574"/>
      <c r="E1778" s="576"/>
      <c r="F1778" s="580"/>
    </row>
    <row r="1779" spans="1:8">
      <c r="A1779" s="572" t="s">
        <v>675</v>
      </c>
      <c r="B1779" s="573"/>
      <c r="C1779" s="575"/>
      <c r="D1779" s="574"/>
      <c r="E1779" s="576"/>
      <c r="F1779" s="580"/>
    </row>
    <row r="1780" spans="1:8">
      <c r="A1780" s="572" t="s">
        <v>675</v>
      </c>
      <c r="B1780" s="573"/>
      <c r="C1780" s="575"/>
      <c r="D1780" s="574"/>
      <c r="E1780" s="576"/>
      <c r="F1780" s="580"/>
    </row>
    <row r="1781" spans="1:8">
      <c r="A1781" s="572" t="s">
        <v>675</v>
      </c>
      <c r="B1781" s="573"/>
      <c r="C1781" s="575"/>
      <c r="D1781" s="574"/>
      <c r="E1781" s="576"/>
      <c r="F1781" s="580"/>
    </row>
    <row r="1782" spans="1:8">
      <c r="A1782" s="572" t="s">
        <v>675</v>
      </c>
      <c r="B1782" s="573"/>
      <c r="C1782" s="575"/>
      <c r="D1782" s="574"/>
      <c r="E1782" s="576"/>
      <c r="F1782" s="580"/>
    </row>
    <row r="1783" spans="1:8">
      <c r="A1783" s="572" t="s">
        <v>675</v>
      </c>
      <c r="B1783" s="573"/>
      <c r="C1783" s="575"/>
      <c r="D1783" s="574"/>
      <c r="E1783" s="576"/>
      <c r="F1783" s="580"/>
    </row>
    <row r="1784" spans="1:8">
      <c r="A1784" s="572" t="s">
        <v>675</v>
      </c>
      <c r="B1784" s="573"/>
      <c r="C1784" s="575"/>
      <c r="D1784" s="574"/>
      <c r="E1784" s="576"/>
      <c r="F1784" s="580"/>
    </row>
    <row r="1785" spans="1:8" ht="13.8" thickBot="1">
      <c r="A1785" s="572" t="s">
        <v>675</v>
      </c>
      <c r="B1785" s="658"/>
      <c r="C1785" s="587"/>
      <c r="D1785" s="655"/>
      <c r="E1785" s="669"/>
      <c r="F1785" s="577"/>
    </row>
    <row r="1786" spans="1:8">
      <c r="A1786" s="591" t="s">
        <v>675</v>
      </c>
      <c r="B1786" s="592"/>
      <c r="C1786" s="594"/>
      <c r="D1786" s="593"/>
      <c r="E1786" s="643"/>
      <c r="F1786" s="596"/>
    </row>
    <row r="1787" spans="1:8">
      <c r="A1787" s="597" t="s">
        <v>702</v>
      </c>
      <c r="B1787" s="598" t="s">
        <v>282</v>
      </c>
      <c r="C1787" s="600"/>
      <c r="D1787" s="599"/>
      <c r="E1787" s="601"/>
      <c r="F1787" s="602">
        <f>SUM(F1742:F1785)</f>
        <v>9701.630000000001</v>
      </c>
      <c r="G1787" s="1202">
        <f>Elec_Est!F4228</f>
        <v>9701.630000000001</v>
      </c>
      <c r="H1787" s="1203">
        <f>F1787-G1787</f>
        <v>0</v>
      </c>
    </row>
    <row r="1788" spans="1:8">
      <c r="A1788" s="603" t="s">
        <v>675</v>
      </c>
      <c r="B1788" s="604"/>
      <c r="C1788" s="606"/>
      <c r="D1788" s="605"/>
      <c r="E1788" s="644"/>
      <c r="F1788" s="608"/>
    </row>
    <row r="1790" spans="1:8">
      <c r="H1790" s="554">
        <f ca="1">SUM(H2:H1789)</f>
        <v>0</v>
      </c>
    </row>
  </sheetData>
  <autoFilter ref="B1:B1788" xr:uid="{00000000-0001-0000-0600-000000000000}"/>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G49"/>
  <sheetViews>
    <sheetView topLeftCell="A8" workbookViewId="0">
      <selection activeCell="B25" sqref="B25"/>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554"/>
    <col min="8" max="8" width="9.109375" style="554" customWidth="1"/>
    <col min="9" max="16384" width="9.109375" style="554"/>
  </cols>
  <sheetData>
    <row r="1" spans="1:6">
      <c r="A1" s="548" t="s">
        <v>265</v>
      </c>
      <c r="B1" s="549"/>
      <c r="C1" s="549"/>
      <c r="D1" s="549"/>
      <c r="E1" s="622"/>
      <c r="F1" s="623"/>
    </row>
    <row r="2" spans="1:6">
      <c r="A2" s="555" t="s">
        <v>501</v>
      </c>
      <c r="B2" s="556"/>
      <c r="C2" s="556"/>
      <c r="D2" s="556"/>
      <c r="E2" s="624"/>
      <c r="F2" s="625"/>
    </row>
    <row r="3" spans="1:6">
      <c r="A3" s="555"/>
      <c r="B3" s="556"/>
      <c r="C3" s="556"/>
      <c r="D3" s="556"/>
      <c r="E3" s="624"/>
      <c r="F3" s="625"/>
    </row>
    <row r="4" spans="1:6">
      <c r="A4" s="562"/>
      <c r="B4" s="563"/>
      <c r="C4" s="564"/>
      <c r="D4" s="563"/>
      <c r="E4" s="626"/>
      <c r="F4" s="561"/>
    </row>
    <row r="5" spans="1:6" ht="13.8" thickBot="1">
      <c r="A5" s="566" t="s">
        <v>267</v>
      </c>
      <c r="B5" s="567"/>
      <c r="C5" s="569" t="s">
        <v>269</v>
      </c>
      <c r="D5" s="568" t="s">
        <v>259</v>
      </c>
      <c r="E5" s="570" t="s">
        <v>270</v>
      </c>
      <c r="F5" s="571" t="s">
        <v>260</v>
      </c>
    </row>
    <row r="6" spans="1:6">
      <c r="A6" s="627"/>
      <c r="B6" s="628"/>
      <c r="C6" s="630"/>
      <c r="D6" s="629"/>
      <c r="E6" s="631"/>
      <c r="F6" s="596"/>
    </row>
    <row r="7" spans="1:6">
      <c r="A7" s="632"/>
      <c r="B7" s="582"/>
      <c r="C7" s="636"/>
      <c r="D7" s="635"/>
      <c r="E7" s="637"/>
      <c r="F7" s="577"/>
    </row>
    <row r="8" spans="1:6" ht="52.8">
      <c r="A8" s="572">
        <v>1</v>
      </c>
      <c r="B8" s="688" t="s">
        <v>502</v>
      </c>
      <c r="C8" s="575">
        <v>1</v>
      </c>
      <c r="D8" s="574" t="s">
        <v>335</v>
      </c>
      <c r="E8" s="576">
        <f>Elec_Est!E4243</f>
        <v>24912.400000000001</v>
      </c>
      <c r="F8" s="580">
        <f>E8*C8</f>
        <v>24912.400000000001</v>
      </c>
    </row>
    <row r="9" spans="1:6">
      <c r="A9" s="640"/>
      <c r="B9" s="721"/>
      <c r="C9" s="636"/>
      <c r="D9" s="574"/>
      <c r="E9" s="576"/>
      <c r="F9" s="580"/>
    </row>
    <row r="10" spans="1:6">
      <c r="A10" s="640"/>
      <c r="B10" s="721"/>
      <c r="C10" s="636"/>
      <c r="D10" s="574"/>
      <c r="E10" s="576"/>
      <c r="F10" s="580"/>
    </row>
    <row r="11" spans="1:6">
      <c r="A11" s="554"/>
      <c r="C11" s="636"/>
      <c r="D11" s="574"/>
      <c r="E11" s="576"/>
      <c r="F11" s="580"/>
    </row>
    <row r="12" spans="1:6">
      <c r="A12" s="640"/>
      <c r="B12" s="722"/>
      <c r="C12" s="636"/>
      <c r="D12" s="574"/>
      <c r="E12" s="576"/>
      <c r="F12" s="580"/>
    </row>
    <row r="13" spans="1:6">
      <c r="A13" s="640"/>
      <c r="B13" s="582"/>
      <c r="C13" s="575"/>
      <c r="D13" s="574"/>
      <c r="E13" s="576"/>
      <c r="F13" s="580"/>
    </row>
    <row r="14" spans="1:6" ht="118.8">
      <c r="A14" s="572">
        <v>2</v>
      </c>
      <c r="B14" s="588" t="s">
        <v>801</v>
      </c>
      <c r="C14" s="575">
        <v>1</v>
      </c>
      <c r="D14" s="574" t="s">
        <v>272</v>
      </c>
      <c r="E14" s="576">
        <f ca="1">Elec_Est!E4251</f>
        <v>1265.03</v>
      </c>
      <c r="F14" s="580">
        <f t="shared" ref="F14:F20" ca="1" si="0">E14*C14</f>
        <v>1265.03</v>
      </c>
    </row>
    <row r="15" spans="1:6">
      <c r="A15" s="640"/>
      <c r="B15" s="713"/>
      <c r="C15" s="575"/>
      <c r="D15" s="574"/>
      <c r="E15" s="576"/>
      <c r="F15" s="580"/>
    </row>
    <row r="16" spans="1:6">
      <c r="A16" s="640"/>
      <c r="B16" s="586"/>
      <c r="C16" s="575"/>
      <c r="D16" s="574"/>
      <c r="E16" s="576"/>
      <c r="F16" s="580"/>
    </row>
    <row r="17" spans="1:6" ht="26.4">
      <c r="A17" s="572">
        <v>3</v>
      </c>
      <c r="B17" s="582" t="s">
        <v>503</v>
      </c>
      <c r="C17" s="575">
        <v>1</v>
      </c>
      <c r="D17" s="574" t="s">
        <v>335</v>
      </c>
      <c r="E17" s="576">
        <f>Elec_Est!E4262</f>
        <v>1220</v>
      </c>
      <c r="F17" s="580">
        <f t="shared" si="0"/>
        <v>1220</v>
      </c>
    </row>
    <row r="18" spans="1:6">
      <c r="A18" s="640"/>
      <c r="B18" s="588"/>
      <c r="C18" s="575"/>
      <c r="D18" s="574"/>
      <c r="E18" s="576"/>
      <c r="F18" s="580"/>
    </row>
    <row r="19" spans="1:6">
      <c r="A19" s="640"/>
      <c r="B19" s="586"/>
      <c r="C19" s="575"/>
      <c r="D19" s="574"/>
      <c r="E19" s="576"/>
      <c r="F19" s="580"/>
    </row>
    <row r="20" spans="1:6" ht="26.4">
      <c r="A20" s="572">
        <v>4</v>
      </c>
      <c r="B20" s="582" t="s">
        <v>504</v>
      </c>
      <c r="C20" s="575">
        <v>1</v>
      </c>
      <c r="D20" s="574" t="s">
        <v>335</v>
      </c>
      <c r="E20" s="576">
        <f>Elec_Est!E4268</f>
        <v>161.74</v>
      </c>
      <c r="F20" s="580">
        <f t="shared" si="0"/>
        <v>161.74</v>
      </c>
    </row>
    <row r="21" spans="1:6">
      <c r="A21" s="640"/>
      <c r="B21" s="588"/>
      <c r="C21" s="575"/>
      <c r="D21" s="574"/>
      <c r="E21" s="583"/>
      <c r="F21" s="580"/>
    </row>
    <row r="22" spans="1:6">
      <c r="A22" s="640"/>
      <c r="B22" s="586"/>
      <c r="C22" s="575"/>
      <c r="D22" s="574"/>
      <c r="E22" s="583"/>
      <c r="F22" s="580"/>
    </row>
    <row r="23" spans="1:6">
      <c r="A23" s="640"/>
      <c r="B23" s="582"/>
      <c r="C23" s="575"/>
      <c r="D23" s="574"/>
      <c r="E23" s="583"/>
      <c r="F23" s="580"/>
    </row>
    <row r="24" spans="1:6">
      <c r="A24" s="640"/>
      <c r="B24" s="588"/>
      <c r="C24" s="575"/>
      <c r="D24" s="574"/>
      <c r="E24" s="583"/>
      <c r="F24" s="580"/>
    </row>
    <row r="25" spans="1:6">
      <c r="A25" s="640"/>
      <c r="B25" s="586"/>
      <c r="C25" s="575"/>
      <c r="D25" s="574"/>
      <c r="E25" s="583"/>
      <c r="F25" s="580"/>
    </row>
    <row r="26" spans="1:6">
      <c r="A26" s="640"/>
      <c r="B26" s="586"/>
      <c r="C26" s="575"/>
      <c r="D26" s="574"/>
      <c r="E26" s="583"/>
      <c r="F26" s="580"/>
    </row>
    <row r="27" spans="1:6">
      <c r="A27" s="640"/>
      <c r="B27" s="586"/>
      <c r="C27" s="575"/>
      <c r="D27" s="574"/>
      <c r="E27" s="583"/>
      <c r="F27" s="580"/>
    </row>
    <row r="28" spans="1:6">
      <c r="A28" s="640"/>
      <c r="B28" s="586"/>
      <c r="C28" s="575"/>
      <c r="D28" s="574"/>
      <c r="E28" s="583"/>
      <c r="F28" s="580"/>
    </row>
    <row r="29" spans="1:6">
      <c r="A29" s="640"/>
      <c r="B29" s="586"/>
      <c r="C29" s="575"/>
      <c r="D29" s="574"/>
      <c r="E29" s="583"/>
      <c r="F29" s="580"/>
    </row>
    <row r="30" spans="1:6">
      <c r="A30" s="640"/>
      <c r="B30" s="586"/>
      <c r="C30" s="575"/>
      <c r="D30" s="574"/>
      <c r="E30" s="583"/>
      <c r="F30" s="580"/>
    </row>
    <row r="31" spans="1:6">
      <c r="A31" s="640"/>
      <c r="B31" s="586"/>
      <c r="C31" s="575"/>
      <c r="D31" s="574"/>
      <c r="E31" s="583"/>
      <c r="F31" s="580"/>
    </row>
    <row r="32" spans="1:6">
      <c r="A32" s="640"/>
      <c r="B32" s="586"/>
      <c r="C32" s="575"/>
      <c r="D32" s="574"/>
      <c r="E32" s="583"/>
      <c r="F32" s="580"/>
    </row>
    <row r="33" spans="1:7">
      <c r="A33" s="640"/>
      <c r="B33" s="586"/>
      <c r="C33" s="575"/>
      <c r="D33" s="574"/>
      <c r="E33" s="583"/>
      <c r="F33" s="580"/>
    </row>
    <row r="34" spans="1:7">
      <c r="A34" s="640"/>
      <c r="B34" s="586"/>
      <c r="C34" s="575"/>
      <c r="D34" s="574"/>
      <c r="E34" s="583"/>
      <c r="F34" s="580"/>
    </row>
    <row r="35" spans="1:7">
      <c r="A35" s="640"/>
      <c r="B35" s="586"/>
      <c r="C35" s="575"/>
      <c r="D35" s="574"/>
      <c r="E35" s="583"/>
      <c r="F35" s="580"/>
    </row>
    <row r="36" spans="1:7">
      <c r="A36" s="640"/>
      <c r="B36" s="586"/>
      <c r="C36" s="575"/>
      <c r="D36" s="574"/>
      <c r="E36" s="583"/>
      <c r="F36" s="580"/>
    </row>
    <row r="37" spans="1:7">
      <c r="A37" s="640"/>
      <c r="B37" s="586"/>
      <c r="C37" s="575"/>
      <c r="D37" s="574"/>
      <c r="E37" s="583"/>
      <c r="F37" s="580"/>
    </row>
    <row r="38" spans="1:7">
      <c r="A38" s="640"/>
      <c r="C38" s="575"/>
      <c r="D38" s="574"/>
      <c r="E38" s="583"/>
      <c r="F38" s="580"/>
    </row>
    <row r="39" spans="1:7">
      <c r="A39" s="640"/>
      <c r="B39" s="586"/>
      <c r="C39" s="575"/>
      <c r="D39" s="574"/>
      <c r="E39" s="583"/>
      <c r="F39" s="580"/>
    </row>
    <row r="40" spans="1:7">
      <c r="A40" s="640"/>
      <c r="B40" s="586"/>
      <c r="C40" s="575"/>
      <c r="D40" s="574"/>
      <c r="E40" s="583"/>
      <c r="F40" s="580"/>
    </row>
    <row r="41" spans="1:7">
      <c r="A41" s="640"/>
      <c r="B41" s="586"/>
      <c r="C41" s="575"/>
      <c r="D41" s="574"/>
      <c r="E41" s="583"/>
      <c r="F41" s="580"/>
    </row>
    <row r="42" spans="1:7">
      <c r="A42" s="572"/>
      <c r="B42" s="582"/>
      <c r="C42" s="575"/>
      <c r="D42" s="574"/>
      <c r="E42" s="583"/>
      <c r="F42" s="580"/>
    </row>
    <row r="43" spans="1:7">
      <c r="A43" s="640"/>
      <c r="B43" s="586"/>
      <c r="C43" s="575"/>
      <c r="D43" s="574"/>
      <c r="E43" s="583"/>
      <c r="F43" s="580"/>
    </row>
    <row r="44" spans="1:7">
      <c r="A44" s="640"/>
      <c r="B44" s="586"/>
      <c r="C44" s="575"/>
      <c r="D44" s="574"/>
      <c r="E44" s="583"/>
      <c r="F44" s="580"/>
    </row>
    <row r="45" spans="1:7">
      <c r="A45" s="640"/>
      <c r="B45" s="586"/>
      <c r="C45" s="575"/>
      <c r="D45" s="635"/>
      <c r="E45" s="583"/>
      <c r="F45" s="580"/>
    </row>
    <row r="46" spans="1:7" ht="13.8" thickBot="1">
      <c r="A46" s="572"/>
      <c r="B46" s="642"/>
      <c r="C46" s="575"/>
      <c r="D46" s="574"/>
      <c r="E46" s="576"/>
      <c r="F46" s="580"/>
    </row>
    <row r="47" spans="1:7">
      <c r="A47" s="591"/>
      <c r="B47" s="592"/>
      <c r="C47" s="594"/>
      <c r="D47" s="593"/>
      <c r="E47" s="643"/>
      <c r="F47" s="596"/>
    </row>
    <row r="48" spans="1:7">
      <c r="A48" s="597" t="s">
        <v>702</v>
      </c>
      <c r="B48" s="598" t="s">
        <v>282</v>
      </c>
      <c r="C48" s="600"/>
      <c r="D48" s="599"/>
      <c r="E48" s="601"/>
      <c r="F48" s="602">
        <f ca="1">SUM(F6:F46)</f>
        <v>27559.170000000002</v>
      </c>
      <c r="G48" s="1203">
        <f ca="1">Elec_Est!F4278</f>
        <v>27559.170000000002</v>
      </c>
    </row>
    <row r="49" spans="1:6">
      <c r="A49" s="603"/>
      <c r="B49" s="604"/>
      <c r="C49" s="606"/>
      <c r="D49" s="605"/>
      <c r="E49" s="644"/>
      <c r="F49" s="60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BS725"/>
  <sheetViews>
    <sheetView topLeftCell="A33" workbookViewId="0">
      <selection activeCell="E7" sqref="E7"/>
    </sheetView>
  </sheetViews>
  <sheetFormatPr defaultColWidth="8.6640625" defaultRowHeight="13.2"/>
  <cols>
    <col min="1" max="1" width="7.6640625" style="614" customWidth="1"/>
    <col min="2" max="2" width="48.109375" style="726" customWidth="1"/>
    <col min="3" max="3" width="6.33203125" style="739" customWidth="1"/>
    <col min="4" max="4" width="8.33203125" style="726" customWidth="1"/>
    <col min="5" max="5" width="10.33203125" style="740" customWidth="1"/>
    <col min="6" max="6" width="11.6640625" style="740" customWidth="1"/>
    <col min="7" max="7" width="8.6640625" style="563"/>
    <col min="8" max="8" width="8.5546875" style="563" customWidth="1"/>
    <col min="9" max="16" width="8.6640625" style="563"/>
    <col min="17" max="16384" width="8.6640625" style="726"/>
  </cols>
  <sheetData>
    <row r="1" spans="1:71" s="725" customFormat="1" ht="17.399999999999999">
      <c r="A1" s="548" t="s">
        <v>265</v>
      </c>
      <c r="B1" s="550"/>
      <c r="C1" s="550"/>
      <c r="D1" s="550"/>
      <c r="E1" s="552"/>
      <c r="F1" s="553"/>
      <c r="G1" s="723"/>
      <c r="H1" s="723"/>
      <c r="I1" s="723"/>
      <c r="J1" s="723"/>
      <c r="K1" s="723"/>
      <c r="L1" s="723"/>
      <c r="M1" s="723"/>
      <c r="N1" s="723"/>
      <c r="O1" s="723"/>
      <c r="P1" s="723"/>
      <c r="Q1" s="724"/>
      <c r="R1" s="723"/>
      <c r="S1" s="723"/>
      <c r="T1" s="723"/>
      <c r="U1" s="723"/>
      <c r="V1" s="723"/>
      <c r="W1" s="723"/>
      <c r="X1" s="723"/>
      <c r="Y1" s="723"/>
      <c r="Z1" s="723"/>
      <c r="AA1" s="723"/>
      <c r="AB1" s="723"/>
      <c r="AC1" s="723"/>
      <c r="AD1" s="723"/>
      <c r="AE1" s="723"/>
      <c r="AF1" s="723"/>
      <c r="AG1" s="723"/>
      <c r="AH1" s="723"/>
      <c r="AI1" s="723"/>
      <c r="AJ1" s="723"/>
      <c r="AK1" s="723"/>
      <c r="AL1" s="723"/>
      <c r="AM1" s="723"/>
      <c r="AN1" s="723"/>
      <c r="AO1" s="723"/>
      <c r="AP1" s="723"/>
      <c r="AQ1" s="723"/>
      <c r="AR1" s="723"/>
      <c r="AS1" s="723"/>
      <c r="AT1" s="723"/>
      <c r="AU1" s="723"/>
      <c r="AV1" s="723"/>
      <c r="AW1" s="723"/>
      <c r="AX1" s="723"/>
      <c r="AY1" s="723"/>
      <c r="AZ1" s="723"/>
      <c r="BA1" s="723"/>
      <c r="BB1" s="723"/>
      <c r="BC1" s="723"/>
      <c r="BD1" s="723"/>
      <c r="BE1" s="723"/>
      <c r="BF1" s="723"/>
      <c r="BG1" s="723"/>
      <c r="BH1" s="723"/>
      <c r="BI1" s="723"/>
      <c r="BJ1" s="723"/>
      <c r="BK1" s="723"/>
      <c r="BL1" s="723"/>
      <c r="BM1" s="723"/>
      <c r="BN1" s="723"/>
      <c r="BO1" s="723"/>
      <c r="BP1" s="723"/>
      <c r="BQ1" s="723"/>
      <c r="BR1" s="723"/>
      <c r="BS1" s="723"/>
    </row>
    <row r="2" spans="1:71">
      <c r="A2" s="612" t="s">
        <v>505</v>
      </c>
      <c r="B2" s="557"/>
      <c r="C2" s="557"/>
      <c r="D2" s="557"/>
      <c r="E2" s="559"/>
      <c r="F2" s="560"/>
      <c r="R2" s="563"/>
      <c r="S2" s="563"/>
      <c r="T2" s="563"/>
      <c r="U2" s="563"/>
      <c r="V2" s="563"/>
      <c r="W2" s="563"/>
      <c r="X2" s="563"/>
      <c r="Y2" s="563"/>
      <c r="Z2" s="563"/>
      <c r="AA2" s="563"/>
      <c r="AB2" s="563"/>
      <c r="AC2" s="563"/>
      <c r="AD2" s="563"/>
      <c r="AE2" s="563"/>
      <c r="AF2" s="563"/>
      <c r="AG2" s="563"/>
      <c r="AH2" s="563"/>
      <c r="AI2" s="563"/>
      <c r="AJ2" s="563"/>
      <c r="AK2" s="563"/>
      <c r="AL2" s="563"/>
      <c r="AM2" s="563"/>
      <c r="AN2" s="563"/>
      <c r="AO2" s="563"/>
      <c r="AP2" s="563"/>
      <c r="AQ2" s="563"/>
      <c r="AR2" s="563"/>
      <c r="AS2" s="563"/>
      <c r="AT2" s="563"/>
      <c r="AU2" s="563"/>
      <c r="AV2" s="563"/>
      <c r="AW2" s="563"/>
      <c r="AX2" s="563"/>
      <c r="AY2" s="563"/>
      <c r="AZ2" s="563"/>
      <c r="BA2" s="563"/>
      <c r="BB2" s="563"/>
      <c r="BC2" s="563"/>
      <c r="BD2" s="563"/>
      <c r="BE2" s="563"/>
      <c r="BF2" s="563"/>
      <c r="BG2" s="563"/>
      <c r="BH2" s="563"/>
      <c r="BI2" s="563"/>
      <c r="BJ2" s="563"/>
      <c r="BK2" s="563"/>
      <c r="BL2" s="563"/>
      <c r="BM2" s="563"/>
      <c r="BN2" s="563"/>
      <c r="BO2" s="563"/>
      <c r="BP2" s="563"/>
      <c r="BQ2" s="563"/>
      <c r="BR2" s="563"/>
      <c r="BS2" s="563"/>
    </row>
    <row r="3" spans="1:71">
      <c r="A3" s="612"/>
      <c r="B3" s="557"/>
      <c r="C3" s="557"/>
      <c r="D3" s="557"/>
      <c r="E3" s="559"/>
      <c r="F3" s="560"/>
      <c r="R3" s="563"/>
      <c r="S3" s="563"/>
      <c r="T3" s="563"/>
      <c r="U3" s="563"/>
      <c r="V3" s="563"/>
      <c r="W3" s="563"/>
      <c r="X3" s="563"/>
      <c r="Y3" s="563"/>
      <c r="Z3" s="563"/>
      <c r="AA3" s="563"/>
      <c r="AB3" s="563"/>
      <c r="AC3" s="563"/>
      <c r="AD3" s="563"/>
      <c r="AE3" s="563"/>
      <c r="AF3" s="563"/>
      <c r="AG3" s="563"/>
      <c r="AH3" s="563"/>
      <c r="AI3" s="563"/>
      <c r="AJ3" s="563"/>
      <c r="AK3" s="563"/>
      <c r="AL3" s="563"/>
      <c r="AM3" s="563"/>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3"/>
      <c r="BR3" s="563"/>
      <c r="BS3" s="563"/>
    </row>
    <row r="4" spans="1:71">
      <c r="A4" s="597"/>
      <c r="B4" s="563"/>
      <c r="C4" s="563"/>
      <c r="D4" s="563"/>
      <c r="E4" s="565"/>
      <c r="F4" s="727"/>
      <c r="R4" s="563"/>
      <c r="S4" s="563"/>
      <c r="T4" s="563"/>
      <c r="U4" s="563"/>
      <c r="V4" s="563"/>
      <c r="W4" s="563"/>
      <c r="X4" s="563"/>
      <c r="Y4" s="563"/>
      <c r="Z4" s="563"/>
      <c r="AA4" s="563"/>
      <c r="AB4" s="563"/>
      <c r="AC4" s="563"/>
      <c r="AD4" s="563"/>
      <c r="AE4" s="563"/>
      <c r="AF4" s="563"/>
      <c r="AG4" s="563"/>
      <c r="AH4" s="563"/>
      <c r="AI4" s="563"/>
      <c r="AJ4" s="563"/>
      <c r="AK4" s="563"/>
      <c r="AL4" s="563"/>
      <c r="AM4" s="563"/>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3"/>
      <c r="BR4" s="563"/>
      <c r="BS4" s="563"/>
    </row>
    <row r="5" spans="1:71" s="729" customFormat="1" ht="14.25" customHeight="1" thickBot="1">
      <c r="A5" s="616" t="s">
        <v>267</v>
      </c>
      <c r="B5" s="567"/>
      <c r="C5" s="728" t="s">
        <v>269</v>
      </c>
      <c r="D5" s="568" t="s">
        <v>259</v>
      </c>
      <c r="E5" s="570" t="s">
        <v>270</v>
      </c>
      <c r="F5" s="571" t="s">
        <v>260</v>
      </c>
      <c r="G5" s="563"/>
      <c r="H5" s="563"/>
      <c r="I5" s="563"/>
      <c r="J5" s="563"/>
      <c r="K5" s="563"/>
      <c r="L5" s="563"/>
      <c r="M5" s="563"/>
      <c r="N5" s="563"/>
      <c r="O5" s="563"/>
      <c r="P5" s="563"/>
    </row>
    <row r="6" spans="1:71">
      <c r="A6" s="572"/>
      <c r="C6" s="730"/>
      <c r="D6" s="574"/>
      <c r="E6" s="576"/>
      <c r="F6" s="580"/>
    </row>
    <row r="7" spans="1:71" s="563" customFormat="1" ht="51" customHeight="1">
      <c r="A7" s="572">
        <v>1</v>
      </c>
      <c r="B7" s="573" t="s">
        <v>506</v>
      </c>
      <c r="C7" s="579">
        <v>1</v>
      </c>
      <c r="D7" s="574" t="s">
        <v>272</v>
      </c>
      <c r="E7" s="576">
        <f>Elec_Est!E4293</f>
        <v>2293.1799999999998</v>
      </c>
      <c r="F7" s="580">
        <f>E7*C7</f>
        <v>2293.1799999999998</v>
      </c>
      <c r="Q7" s="726"/>
      <c r="R7" s="726"/>
      <c r="S7" s="726"/>
      <c r="T7" s="726"/>
      <c r="U7" s="726"/>
      <c r="V7" s="726"/>
      <c r="W7" s="726"/>
      <c r="X7" s="726"/>
      <c r="Y7" s="726"/>
      <c r="Z7" s="726"/>
      <c r="AA7" s="726"/>
      <c r="AB7" s="726"/>
      <c r="AC7" s="726"/>
      <c r="AD7" s="726"/>
      <c r="AE7" s="726"/>
      <c r="AF7" s="726"/>
      <c r="AG7" s="726"/>
      <c r="AH7" s="726"/>
      <c r="AI7" s="726"/>
      <c r="AJ7" s="726"/>
      <c r="AK7" s="726"/>
      <c r="AL7" s="726"/>
      <c r="AM7" s="726"/>
      <c r="AN7" s="726"/>
      <c r="AO7" s="726"/>
      <c r="AP7" s="726"/>
      <c r="AQ7" s="726"/>
      <c r="AR7" s="726"/>
      <c r="AS7" s="726"/>
      <c r="AT7" s="726"/>
      <c r="AU7" s="726"/>
      <c r="AV7" s="726"/>
      <c r="AW7" s="726"/>
      <c r="AX7" s="726"/>
      <c r="AY7" s="726"/>
      <c r="AZ7" s="726"/>
      <c r="BA7" s="726"/>
      <c r="BB7" s="726"/>
      <c r="BC7" s="726"/>
      <c r="BD7" s="726"/>
      <c r="BE7" s="726"/>
      <c r="BF7" s="726"/>
      <c r="BG7" s="726"/>
      <c r="BH7" s="726"/>
      <c r="BI7" s="726"/>
      <c r="BJ7" s="726"/>
      <c r="BK7" s="726"/>
      <c r="BL7" s="726"/>
      <c r="BM7" s="726"/>
      <c r="BN7" s="726"/>
      <c r="BO7" s="726"/>
      <c r="BP7" s="726"/>
      <c r="BQ7" s="726"/>
      <c r="BR7" s="726"/>
      <c r="BS7" s="726"/>
    </row>
    <row r="8" spans="1:71" s="563" customFormat="1">
      <c r="A8" s="572"/>
      <c r="B8" s="731"/>
      <c r="C8" s="730"/>
      <c r="D8" s="574"/>
      <c r="E8" s="576"/>
      <c r="F8" s="580"/>
      <c r="Q8" s="726"/>
      <c r="R8" s="726"/>
      <c r="S8" s="726"/>
      <c r="T8" s="726"/>
      <c r="U8" s="726"/>
      <c r="V8" s="726"/>
      <c r="W8" s="726"/>
      <c r="X8" s="726"/>
      <c r="Y8" s="726"/>
      <c r="Z8" s="726"/>
      <c r="AA8" s="726"/>
      <c r="AB8" s="726"/>
      <c r="AC8" s="726"/>
      <c r="AD8" s="726"/>
      <c r="AE8" s="726"/>
      <c r="AF8" s="726"/>
      <c r="AG8" s="726"/>
      <c r="AH8" s="726"/>
      <c r="AI8" s="726"/>
      <c r="AJ8" s="726"/>
      <c r="AK8" s="726"/>
      <c r="AL8" s="726"/>
      <c r="AM8" s="726"/>
      <c r="AN8" s="726"/>
      <c r="AO8" s="726"/>
      <c r="AP8" s="726"/>
      <c r="AQ8" s="726"/>
      <c r="AR8" s="726"/>
      <c r="AS8" s="726"/>
      <c r="AT8" s="726"/>
      <c r="AU8" s="726"/>
      <c r="AV8" s="726"/>
      <c r="AW8" s="726"/>
      <c r="AX8" s="726"/>
      <c r="AY8" s="726"/>
      <c r="AZ8" s="726"/>
      <c r="BA8" s="726"/>
      <c r="BB8" s="726"/>
      <c r="BC8" s="726"/>
      <c r="BD8" s="726"/>
      <c r="BE8" s="726"/>
      <c r="BF8" s="726"/>
      <c r="BG8" s="726"/>
      <c r="BH8" s="726"/>
      <c r="BI8" s="726"/>
      <c r="BJ8" s="726"/>
      <c r="BK8" s="726"/>
      <c r="BL8" s="726"/>
      <c r="BM8" s="726"/>
      <c r="BN8" s="726"/>
      <c r="BO8" s="726"/>
      <c r="BP8" s="726"/>
      <c r="BQ8" s="726"/>
      <c r="BR8" s="726"/>
      <c r="BS8" s="726"/>
    </row>
    <row r="9" spans="1:71" s="563" customFormat="1">
      <c r="A9" s="572"/>
      <c r="B9" s="731"/>
      <c r="C9" s="730"/>
      <c r="D9" s="574"/>
      <c r="E9" s="576"/>
      <c r="F9" s="580"/>
      <c r="Q9" s="726"/>
      <c r="R9" s="726"/>
      <c r="S9" s="726"/>
      <c r="T9" s="726"/>
      <c r="U9" s="726"/>
      <c r="V9" s="726"/>
      <c r="W9" s="726"/>
      <c r="X9" s="726"/>
      <c r="Y9" s="726"/>
      <c r="Z9" s="726"/>
      <c r="AA9" s="726"/>
      <c r="AB9" s="726"/>
      <c r="AC9" s="726"/>
      <c r="AD9" s="726"/>
      <c r="AE9" s="726"/>
      <c r="AF9" s="726"/>
      <c r="AG9" s="726"/>
      <c r="AH9" s="726"/>
      <c r="AI9" s="726"/>
      <c r="AJ9" s="726"/>
      <c r="AK9" s="726"/>
      <c r="AL9" s="726"/>
      <c r="AM9" s="726"/>
      <c r="AN9" s="726"/>
      <c r="AO9" s="726"/>
      <c r="AP9" s="726"/>
      <c r="AQ9" s="726"/>
      <c r="AR9" s="726"/>
      <c r="AS9" s="726"/>
      <c r="AT9" s="726"/>
      <c r="AU9" s="726"/>
      <c r="AV9" s="726"/>
      <c r="AW9" s="726"/>
      <c r="AX9" s="726"/>
      <c r="AY9" s="726"/>
      <c r="AZ9" s="726"/>
      <c r="BA9" s="726"/>
      <c r="BB9" s="726"/>
      <c r="BC9" s="726"/>
      <c r="BD9" s="726"/>
      <c r="BE9" s="726"/>
      <c r="BF9" s="726"/>
      <c r="BG9" s="726"/>
      <c r="BH9" s="726"/>
      <c r="BI9" s="726"/>
      <c r="BJ9" s="726"/>
      <c r="BK9" s="726"/>
      <c r="BL9" s="726"/>
      <c r="BM9" s="726"/>
      <c r="BN9" s="726"/>
      <c r="BO9" s="726"/>
      <c r="BP9" s="726"/>
      <c r="BQ9" s="726"/>
      <c r="BR9" s="726"/>
      <c r="BS9" s="726"/>
    </row>
    <row r="10" spans="1:71" s="563" customFormat="1">
      <c r="A10" s="572"/>
      <c r="B10" s="731"/>
      <c r="C10" s="730"/>
      <c r="D10" s="574"/>
      <c r="E10" s="576"/>
      <c r="F10" s="580"/>
      <c r="Q10" s="726"/>
      <c r="R10" s="726"/>
      <c r="S10" s="726"/>
      <c r="T10" s="726"/>
      <c r="U10" s="726"/>
      <c r="V10" s="726"/>
      <c r="W10" s="726"/>
      <c r="X10" s="726"/>
      <c r="Y10" s="726"/>
      <c r="Z10" s="726"/>
      <c r="AA10" s="726"/>
      <c r="AB10" s="726"/>
      <c r="AC10" s="726"/>
      <c r="AD10" s="726"/>
      <c r="AE10" s="726"/>
      <c r="AF10" s="726"/>
      <c r="AG10" s="726"/>
      <c r="AH10" s="726"/>
      <c r="AI10" s="726"/>
      <c r="AJ10" s="726"/>
      <c r="AK10" s="726"/>
      <c r="AL10" s="726"/>
      <c r="AM10" s="726"/>
      <c r="AN10" s="726"/>
      <c r="AO10" s="726"/>
      <c r="AP10" s="726"/>
      <c r="AQ10" s="726"/>
      <c r="AR10" s="726"/>
      <c r="AS10" s="726"/>
      <c r="AT10" s="726"/>
      <c r="AU10" s="726"/>
      <c r="AV10" s="726"/>
      <c r="AW10" s="726"/>
      <c r="AX10" s="726"/>
      <c r="AY10" s="726"/>
      <c r="AZ10" s="726"/>
      <c r="BA10" s="726"/>
      <c r="BB10" s="726"/>
      <c r="BC10" s="726"/>
      <c r="BD10" s="726"/>
      <c r="BE10" s="726"/>
      <c r="BF10" s="726"/>
      <c r="BG10" s="726"/>
      <c r="BH10" s="726"/>
      <c r="BI10" s="726"/>
      <c r="BJ10" s="726"/>
      <c r="BK10" s="726"/>
      <c r="BL10" s="726"/>
      <c r="BM10" s="726"/>
      <c r="BN10" s="726"/>
      <c r="BO10" s="726"/>
      <c r="BP10" s="726"/>
      <c r="BQ10" s="726"/>
      <c r="BR10" s="726"/>
      <c r="BS10" s="726"/>
    </row>
    <row r="11" spans="1:71" s="563" customFormat="1">
      <c r="A11" s="572"/>
      <c r="B11" s="731"/>
      <c r="C11" s="730"/>
      <c r="D11" s="574"/>
      <c r="E11" s="576"/>
      <c r="F11" s="580"/>
      <c r="Q11" s="726"/>
      <c r="R11" s="726"/>
      <c r="S11" s="726"/>
      <c r="T11" s="726"/>
      <c r="U11" s="726"/>
      <c r="V11" s="726"/>
      <c r="W11" s="726"/>
      <c r="X11" s="726"/>
      <c r="Y11" s="726"/>
      <c r="Z11" s="726"/>
      <c r="AA11" s="726"/>
      <c r="AB11" s="726"/>
      <c r="AC11" s="726"/>
      <c r="AD11" s="726"/>
      <c r="AE11" s="726"/>
      <c r="AF11" s="726"/>
      <c r="AG11" s="726"/>
      <c r="AH11" s="726"/>
      <c r="AI11" s="726"/>
      <c r="AJ11" s="726"/>
      <c r="AK11" s="726"/>
      <c r="AL11" s="726"/>
      <c r="AM11" s="726"/>
      <c r="AN11" s="726"/>
      <c r="AO11" s="726"/>
      <c r="AP11" s="726"/>
      <c r="AQ11" s="726"/>
      <c r="AR11" s="726"/>
      <c r="AS11" s="726"/>
      <c r="AT11" s="726"/>
      <c r="AU11" s="726"/>
      <c r="AV11" s="726"/>
      <c r="AW11" s="726"/>
      <c r="AX11" s="726"/>
      <c r="AY11" s="726"/>
      <c r="AZ11" s="726"/>
      <c r="BA11" s="726"/>
      <c r="BB11" s="726"/>
      <c r="BC11" s="726"/>
      <c r="BD11" s="726"/>
      <c r="BE11" s="726"/>
      <c r="BF11" s="726"/>
      <c r="BG11" s="726"/>
      <c r="BH11" s="726"/>
      <c r="BI11" s="726"/>
      <c r="BJ11" s="726"/>
      <c r="BK11" s="726"/>
      <c r="BL11" s="726"/>
      <c r="BM11" s="726"/>
      <c r="BN11" s="726"/>
      <c r="BO11" s="726"/>
      <c r="BP11" s="726"/>
      <c r="BQ11" s="726"/>
      <c r="BR11" s="726"/>
      <c r="BS11" s="726"/>
    </row>
    <row r="12" spans="1:71" s="563" customFormat="1">
      <c r="A12" s="572"/>
      <c r="B12" s="731"/>
      <c r="C12" s="730"/>
      <c r="D12" s="574"/>
      <c r="E12" s="576"/>
      <c r="F12" s="580"/>
      <c r="Q12" s="726"/>
      <c r="R12" s="726"/>
      <c r="S12" s="726"/>
      <c r="T12" s="726"/>
      <c r="U12" s="726"/>
      <c r="V12" s="726"/>
      <c r="W12" s="726"/>
      <c r="X12" s="726"/>
      <c r="Y12" s="726"/>
      <c r="Z12" s="726"/>
      <c r="AA12" s="726"/>
      <c r="AB12" s="726"/>
      <c r="AC12" s="726"/>
      <c r="AD12" s="726"/>
      <c r="AE12" s="726"/>
      <c r="AF12" s="726"/>
      <c r="AG12" s="726"/>
      <c r="AH12" s="726"/>
      <c r="AI12" s="726"/>
      <c r="AJ12" s="726"/>
      <c r="AK12" s="726"/>
      <c r="AL12" s="726"/>
      <c r="AM12" s="726"/>
      <c r="AN12" s="726"/>
      <c r="AO12" s="726"/>
      <c r="AP12" s="726"/>
      <c r="AQ12" s="726"/>
      <c r="AR12" s="726"/>
      <c r="AS12" s="726"/>
      <c r="AT12" s="726"/>
      <c r="AU12" s="726"/>
      <c r="AV12" s="726"/>
      <c r="AW12" s="726"/>
      <c r="AX12" s="726"/>
      <c r="AY12" s="726"/>
      <c r="AZ12" s="726"/>
      <c r="BA12" s="726"/>
      <c r="BB12" s="726"/>
      <c r="BC12" s="726"/>
      <c r="BD12" s="726"/>
      <c r="BE12" s="726"/>
      <c r="BF12" s="726"/>
      <c r="BG12" s="726"/>
      <c r="BH12" s="726"/>
      <c r="BI12" s="726"/>
      <c r="BJ12" s="726"/>
      <c r="BK12" s="726"/>
      <c r="BL12" s="726"/>
      <c r="BM12" s="726"/>
      <c r="BN12" s="726"/>
      <c r="BO12" s="726"/>
      <c r="BP12" s="726"/>
      <c r="BQ12" s="726"/>
      <c r="BR12" s="726"/>
      <c r="BS12" s="726"/>
    </row>
    <row r="13" spans="1:71" s="563" customFormat="1">
      <c r="A13" s="572"/>
      <c r="B13" s="731"/>
      <c r="C13" s="730"/>
      <c r="D13" s="574"/>
      <c r="E13" s="576"/>
      <c r="F13" s="580"/>
      <c r="Q13" s="726"/>
      <c r="R13" s="726"/>
      <c r="S13" s="726"/>
      <c r="T13" s="726"/>
      <c r="U13" s="726"/>
      <c r="V13" s="726"/>
      <c r="W13" s="726"/>
      <c r="X13" s="726"/>
      <c r="Y13" s="726"/>
      <c r="Z13" s="726"/>
      <c r="AA13" s="726"/>
      <c r="AB13" s="726"/>
      <c r="AC13" s="726"/>
      <c r="AD13" s="726"/>
      <c r="AE13" s="726"/>
      <c r="AF13" s="726"/>
      <c r="AG13" s="726"/>
      <c r="AH13" s="726"/>
      <c r="AI13" s="726"/>
      <c r="AJ13" s="726"/>
      <c r="AK13" s="726"/>
      <c r="AL13" s="726"/>
      <c r="AM13" s="726"/>
      <c r="AN13" s="726"/>
      <c r="AO13" s="726"/>
      <c r="AP13" s="726"/>
      <c r="AQ13" s="726"/>
      <c r="AR13" s="726"/>
      <c r="AS13" s="726"/>
      <c r="AT13" s="726"/>
      <c r="AU13" s="726"/>
      <c r="AV13" s="726"/>
      <c r="AW13" s="726"/>
      <c r="AX13" s="726"/>
      <c r="AY13" s="726"/>
      <c r="AZ13" s="726"/>
      <c r="BA13" s="726"/>
      <c r="BB13" s="726"/>
      <c r="BC13" s="726"/>
      <c r="BD13" s="726"/>
      <c r="BE13" s="726"/>
      <c r="BF13" s="726"/>
      <c r="BG13" s="726"/>
      <c r="BH13" s="726"/>
      <c r="BI13" s="726"/>
      <c r="BJ13" s="726"/>
      <c r="BK13" s="726"/>
      <c r="BL13" s="726"/>
      <c r="BM13" s="726"/>
      <c r="BN13" s="726"/>
      <c r="BO13" s="726"/>
      <c r="BP13" s="726"/>
      <c r="BQ13" s="726"/>
      <c r="BR13" s="726"/>
      <c r="BS13" s="726"/>
    </row>
    <row r="14" spans="1:71" s="563" customFormat="1">
      <c r="A14" s="572"/>
      <c r="B14" s="731"/>
      <c r="C14" s="730"/>
      <c r="D14" s="574"/>
      <c r="E14" s="576"/>
      <c r="F14" s="580"/>
      <c r="Q14" s="726"/>
      <c r="R14" s="726"/>
      <c r="S14" s="726"/>
      <c r="T14" s="726"/>
      <c r="U14" s="726"/>
      <c r="V14" s="726"/>
      <c r="W14" s="726"/>
      <c r="X14" s="726"/>
      <c r="Y14" s="726"/>
      <c r="Z14" s="726"/>
      <c r="AA14" s="726"/>
      <c r="AB14" s="726"/>
      <c r="AC14" s="726"/>
      <c r="AD14" s="726"/>
      <c r="AE14" s="726"/>
      <c r="AF14" s="726"/>
      <c r="AG14" s="726"/>
      <c r="AH14" s="726"/>
      <c r="AI14" s="726"/>
      <c r="AJ14" s="726"/>
      <c r="AK14" s="726"/>
      <c r="AL14" s="726"/>
      <c r="AM14" s="726"/>
      <c r="AN14" s="726"/>
      <c r="AO14" s="726"/>
      <c r="AP14" s="726"/>
      <c r="AQ14" s="726"/>
      <c r="AR14" s="726"/>
      <c r="AS14" s="726"/>
      <c r="AT14" s="726"/>
      <c r="AU14" s="726"/>
      <c r="AV14" s="726"/>
      <c r="AW14" s="726"/>
      <c r="AX14" s="726"/>
      <c r="AY14" s="726"/>
      <c r="AZ14" s="726"/>
      <c r="BA14" s="726"/>
      <c r="BB14" s="726"/>
      <c r="BC14" s="726"/>
      <c r="BD14" s="726"/>
      <c r="BE14" s="726"/>
      <c r="BF14" s="726"/>
      <c r="BG14" s="726"/>
      <c r="BH14" s="726"/>
      <c r="BI14" s="726"/>
      <c r="BJ14" s="726"/>
      <c r="BK14" s="726"/>
      <c r="BL14" s="726"/>
      <c r="BM14" s="726"/>
      <c r="BN14" s="726"/>
      <c r="BO14" s="726"/>
      <c r="BP14" s="726"/>
      <c r="BQ14" s="726"/>
      <c r="BR14" s="726"/>
      <c r="BS14" s="726"/>
    </row>
    <row r="15" spans="1:71" s="563" customFormat="1">
      <c r="A15" s="572"/>
      <c r="B15" s="731"/>
      <c r="C15" s="730"/>
      <c r="D15" s="574"/>
      <c r="E15" s="576"/>
      <c r="F15" s="580"/>
      <c r="Q15" s="726"/>
      <c r="R15" s="726"/>
      <c r="S15" s="726"/>
      <c r="T15" s="726"/>
      <c r="U15" s="726"/>
      <c r="V15" s="726"/>
      <c r="W15" s="726"/>
      <c r="X15" s="726"/>
      <c r="Y15" s="726"/>
      <c r="Z15" s="726"/>
      <c r="AA15" s="726"/>
      <c r="AB15" s="726"/>
      <c r="AC15" s="726"/>
      <c r="AD15" s="726"/>
      <c r="AE15" s="726"/>
      <c r="AF15" s="726"/>
      <c r="AG15" s="726"/>
      <c r="AH15" s="726"/>
      <c r="AI15" s="726"/>
      <c r="AJ15" s="726"/>
      <c r="AK15" s="726"/>
      <c r="AL15" s="726"/>
      <c r="AM15" s="726"/>
      <c r="AN15" s="726"/>
      <c r="AO15" s="726"/>
      <c r="AP15" s="726"/>
      <c r="AQ15" s="726"/>
      <c r="AR15" s="726"/>
      <c r="AS15" s="726"/>
      <c r="AT15" s="726"/>
      <c r="AU15" s="726"/>
      <c r="AV15" s="726"/>
      <c r="AW15" s="726"/>
      <c r="AX15" s="726"/>
      <c r="AY15" s="726"/>
      <c r="AZ15" s="726"/>
      <c r="BA15" s="726"/>
      <c r="BB15" s="726"/>
      <c r="BC15" s="726"/>
      <c r="BD15" s="726"/>
      <c r="BE15" s="726"/>
      <c r="BF15" s="726"/>
      <c r="BG15" s="726"/>
      <c r="BH15" s="726"/>
      <c r="BI15" s="726"/>
      <c r="BJ15" s="726"/>
      <c r="BK15" s="726"/>
      <c r="BL15" s="726"/>
      <c r="BM15" s="726"/>
      <c r="BN15" s="726"/>
      <c r="BO15" s="726"/>
      <c r="BP15" s="726"/>
      <c r="BQ15" s="726"/>
      <c r="BR15" s="726"/>
      <c r="BS15" s="726"/>
    </row>
    <row r="16" spans="1:71" s="563" customFormat="1">
      <c r="A16" s="572"/>
      <c r="B16" s="731"/>
      <c r="C16" s="730"/>
      <c r="D16" s="574"/>
      <c r="E16" s="669"/>
      <c r="F16" s="580"/>
      <c r="Q16" s="726"/>
      <c r="R16" s="726"/>
      <c r="S16" s="726"/>
      <c r="T16" s="726"/>
      <c r="U16" s="726"/>
      <c r="V16" s="726"/>
      <c r="W16" s="726"/>
      <c r="X16" s="726"/>
      <c r="Y16" s="726"/>
      <c r="Z16" s="726"/>
      <c r="AA16" s="726"/>
      <c r="AB16" s="726"/>
      <c r="AC16" s="726"/>
      <c r="AD16" s="726"/>
      <c r="AE16" s="726"/>
      <c r="AF16" s="726"/>
      <c r="AG16" s="726"/>
      <c r="AH16" s="726"/>
      <c r="AI16" s="726"/>
      <c r="AJ16" s="726"/>
      <c r="AK16" s="726"/>
      <c r="AL16" s="726"/>
      <c r="AM16" s="726"/>
      <c r="AN16" s="726"/>
      <c r="AO16" s="726"/>
      <c r="AP16" s="726"/>
      <c r="AQ16" s="726"/>
      <c r="AR16" s="726"/>
      <c r="AS16" s="726"/>
      <c r="AT16" s="726"/>
      <c r="AU16" s="726"/>
      <c r="AV16" s="726"/>
      <c r="AW16" s="726"/>
      <c r="AX16" s="726"/>
      <c r="AY16" s="726"/>
      <c r="AZ16" s="726"/>
      <c r="BA16" s="726"/>
      <c r="BB16" s="726"/>
      <c r="BC16" s="726"/>
      <c r="BD16" s="726"/>
      <c r="BE16" s="726"/>
      <c r="BF16" s="726"/>
      <c r="BG16" s="726"/>
      <c r="BH16" s="726"/>
      <c r="BI16" s="726"/>
      <c r="BJ16" s="726"/>
      <c r="BK16" s="726"/>
      <c r="BL16" s="726"/>
      <c r="BM16" s="726"/>
      <c r="BN16" s="726"/>
      <c r="BO16" s="726"/>
      <c r="BP16" s="726"/>
      <c r="BQ16" s="726"/>
      <c r="BR16" s="726"/>
      <c r="BS16" s="726"/>
    </row>
    <row r="17" spans="1:71" s="563" customFormat="1">
      <c r="A17" s="572"/>
      <c r="B17" s="731"/>
      <c r="C17" s="730"/>
      <c r="D17" s="574"/>
      <c r="E17" s="669"/>
      <c r="F17" s="580"/>
      <c r="Q17" s="726"/>
      <c r="R17" s="726"/>
      <c r="S17" s="726"/>
      <c r="T17" s="726"/>
      <c r="U17" s="726"/>
      <c r="V17" s="726"/>
      <c r="W17" s="726"/>
      <c r="X17" s="726"/>
      <c r="Y17" s="726"/>
      <c r="Z17" s="726"/>
      <c r="AA17" s="726"/>
      <c r="AB17" s="726"/>
      <c r="AC17" s="726"/>
      <c r="AD17" s="726"/>
      <c r="AE17" s="726"/>
      <c r="AF17" s="726"/>
      <c r="AG17" s="726"/>
      <c r="AH17" s="726"/>
      <c r="AI17" s="726"/>
      <c r="AJ17" s="726"/>
      <c r="AK17" s="726"/>
      <c r="AL17" s="726"/>
      <c r="AM17" s="726"/>
      <c r="AN17" s="726"/>
      <c r="AO17" s="726"/>
      <c r="AP17" s="726"/>
      <c r="AQ17" s="726"/>
      <c r="AR17" s="726"/>
      <c r="AS17" s="726"/>
      <c r="AT17" s="726"/>
      <c r="AU17" s="726"/>
      <c r="AV17" s="726"/>
      <c r="AW17" s="726"/>
      <c r="AX17" s="726"/>
      <c r="AY17" s="726"/>
      <c r="AZ17" s="726"/>
      <c r="BA17" s="726"/>
      <c r="BB17" s="726"/>
      <c r="BC17" s="726"/>
      <c r="BD17" s="726"/>
      <c r="BE17" s="726"/>
      <c r="BF17" s="726"/>
      <c r="BG17" s="726"/>
      <c r="BH17" s="726"/>
      <c r="BI17" s="726"/>
      <c r="BJ17" s="726"/>
      <c r="BK17" s="726"/>
      <c r="BL17" s="726"/>
      <c r="BM17" s="726"/>
      <c r="BN17" s="726"/>
      <c r="BO17" s="726"/>
      <c r="BP17" s="726"/>
      <c r="BQ17" s="726"/>
      <c r="BR17" s="726"/>
      <c r="BS17" s="726"/>
    </row>
    <row r="18" spans="1:71" s="563" customFormat="1">
      <c r="A18" s="572"/>
      <c r="B18" s="731"/>
      <c r="C18" s="730"/>
      <c r="D18" s="574"/>
      <c r="E18" s="669"/>
      <c r="F18" s="580"/>
      <c r="Q18" s="726"/>
      <c r="R18" s="726"/>
      <c r="S18" s="726"/>
      <c r="T18" s="726"/>
      <c r="U18" s="726"/>
      <c r="V18" s="726"/>
      <c r="W18" s="726"/>
      <c r="X18" s="726"/>
      <c r="Y18" s="726"/>
      <c r="Z18" s="726"/>
      <c r="AA18" s="726"/>
      <c r="AB18" s="726"/>
      <c r="AC18" s="726"/>
      <c r="AD18" s="726"/>
      <c r="AE18" s="726"/>
      <c r="AF18" s="726"/>
      <c r="AG18" s="726"/>
      <c r="AH18" s="726"/>
      <c r="AI18" s="726"/>
      <c r="AJ18" s="726"/>
      <c r="AK18" s="726"/>
      <c r="AL18" s="726"/>
      <c r="AM18" s="726"/>
      <c r="AN18" s="726"/>
      <c r="AO18" s="726"/>
      <c r="AP18" s="726"/>
      <c r="AQ18" s="726"/>
      <c r="AR18" s="726"/>
      <c r="AS18" s="726"/>
      <c r="AT18" s="726"/>
      <c r="AU18" s="726"/>
      <c r="AV18" s="726"/>
      <c r="AW18" s="726"/>
      <c r="AX18" s="726"/>
      <c r="AY18" s="726"/>
      <c r="AZ18" s="726"/>
      <c r="BA18" s="726"/>
      <c r="BB18" s="726"/>
      <c r="BC18" s="726"/>
      <c r="BD18" s="726"/>
      <c r="BE18" s="726"/>
      <c r="BF18" s="726"/>
      <c r="BG18" s="726"/>
      <c r="BH18" s="726"/>
      <c r="BI18" s="726"/>
      <c r="BJ18" s="726"/>
      <c r="BK18" s="726"/>
      <c r="BL18" s="726"/>
      <c r="BM18" s="726"/>
      <c r="BN18" s="726"/>
      <c r="BO18" s="726"/>
      <c r="BP18" s="726"/>
      <c r="BQ18" s="726"/>
      <c r="BR18" s="726"/>
      <c r="BS18" s="726"/>
    </row>
    <row r="19" spans="1:71" s="563" customFormat="1">
      <c r="A19" s="572"/>
      <c r="B19" s="731"/>
      <c r="C19" s="730"/>
      <c r="D19" s="574"/>
      <c r="E19" s="669"/>
      <c r="F19" s="580"/>
      <c r="Q19" s="726"/>
      <c r="R19" s="726"/>
      <c r="S19" s="726"/>
      <c r="T19" s="726"/>
      <c r="U19" s="726"/>
      <c r="V19" s="726"/>
      <c r="W19" s="726"/>
      <c r="X19" s="726"/>
      <c r="Y19" s="726"/>
      <c r="Z19" s="726"/>
      <c r="AA19" s="726"/>
      <c r="AB19" s="726"/>
      <c r="AC19" s="726"/>
      <c r="AD19" s="726"/>
      <c r="AE19" s="726"/>
      <c r="AF19" s="726"/>
      <c r="AG19" s="726"/>
      <c r="AH19" s="726"/>
      <c r="AI19" s="726"/>
      <c r="AJ19" s="726"/>
      <c r="AK19" s="726"/>
      <c r="AL19" s="726"/>
      <c r="AM19" s="726"/>
      <c r="AN19" s="726"/>
      <c r="AO19" s="726"/>
      <c r="AP19" s="726"/>
      <c r="AQ19" s="726"/>
      <c r="AR19" s="726"/>
      <c r="AS19" s="726"/>
      <c r="AT19" s="726"/>
      <c r="AU19" s="726"/>
      <c r="AV19" s="726"/>
      <c r="AW19" s="726"/>
      <c r="AX19" s="726"/>
      <c r="AY19" s="726"/>
      <c r="AZ19" s="726"/>
      <c r="BA19" s="726"/>
      <c r="BB19" s="726"/>
      <c r="BC19" s="726"/>
      <c r="BD19" s="726"/>
      <c r="BE19" s="726"/>
      <c r="BF19" s="726"/>
      <c r="BG19" s="726"/>
      <c r="BH19" s="726"/>
      <c r="BI19" s="726"/>
      <c r="BJ19" s="726"/>
      <c r="BK19" s="726"/>
      <c r="BL19" s="726"/>
      <c r="BM19" s="726"/>
      <c r="BN19" s="726"/>
      <c r="BO19" s="726"/>
      <c r="BP19" s="726"/>
      <c r="BQ19" s="726"/>
      <c r="BR19" s="726"/>
      <c r="BS19" s="726"/>
    </row>
    <row r="20" spans="1:71" s="563" customFormat="1">
      <c r="A20" s="572"/>
      <c r="B20" s="731"/>
      <c r="C20" s="730"/>
      <c r="D20" s="574"/>
      <c r="E20" s="669"/>
      <c r="F20" s="580"/>
      <c r="Q20" s="726"/>
      <c r="R20" s="726"/>
      <c r="S20" s="726"/>
      <c r="T20" s="726"/>
      <c r="U20" s="726"/>
      <c r="V20" s="726"/>
      <c r="W20" s="726"/>
      <c r="X20" s="726"/>
      <c r="Y20" s="726"/>
      <c r="Z20" s="726"/>
      <c r="AA20" s="726"/>
      <c r="AB20" s="726"/>
      <c r="AC20" s="726"/>
      <c r="AD20" s="726"/>
      <c r="AE20" s="726"/>
      <c r="AF20" s="726"/>
      <c r="AG20" s="726"/>
      <c r="AH20" s="726"/>
      <c r="AI20" s="726"/>
      <c r="AJ20" s="726"/>
      <c r="AK20" s="726"/>
      <c r="AL20" s="726"/>
      <c r="AM20" s="726"/>
      <c r="AN20" s="726"/>
      <c r="AO20" s="726"/>
      <c r="AP20" s="726"/>
      <c r="AQ20" s="726"/>
      <c r="AR20" s="726"/>
      <c r="AS20" s="726"/>
      <c r="AT20" s="726"/>
      <c r="AU20" s="726"/>
      <c r="AV20" s="726"/>
      <c r="AW20" s="726"/>
      <c r="AX20" s="726"/>
      <c r="AY20" s="726"/>
      <c r="AZ20" s="726"/>
      <c r="BA20" s="726"/>
      <c r="BB20" s="726"/>
      <c r="BC20" s="726"/>
      <c r="BD20" s="726"/>
      <c r="BE20" s="726"/>
      <c r="BF20" s="726"/>
      <c r="BG20" s="726"/>
      <c r="BH20" s="726"/>
      <c r="BI20" s="726"/>
      <c r="BJ20" s="726"/>
      <c r="BK20" s="726"/>
      <c r="BL20" s="726"/>
      <c r="BM20" s="726"/>
      <c r="BN20" s="726"/>
      <c r="BO20" s="726"/>
      <c r="BP20" s="726"/>
      <c r="BQ20" s="726"/>
      <c r="BR20" s="726"/>
      <c r="BS20" s="726"/>
    </row>
    <row r="21" spans="1:71" s="563" customFormat="1">
      <c r="A21" s="572"/>
      <c r="B21" s="731"/>
      <c r="C21" s="730"/>
      <c r="D21" s="574"/>
      <c r="E21" s="669"/>
      <c r="F21" s="580"/>
      <c r="Q21" s="726"/>
      <c r="R21" s="726"/>
      <c r="S21" s="726"/>
      <c r="T21" s="726"/>
      <c r="U21" s="726"/>
      <c r="V21" s="726"/>
      <c r="W21" s="726"/>
      <c r="X21" s="726"/>
      <c r="Y21" s="726"/>
      <c r="Z21" s="726"/>
      <c r="AA21" s="726"/>
      <c r="AB21" s="726"/>
      <c r="AC21" s="726"/>
      <c r="AD21" s="726"/>
      <c r="AE21" s="726"/>
      <c r="AF21" s="726"/>
      <c r="AG21" s="726"/>
      <c r="AH21" s="726"/>
      <c r="AI21" s="726"/>
      <c r="AJ21" s="726"/>
      <c r="AK21" s="726"/>
      <c r="AL21" s="726"/>
      <c r="AM21" s="726"/>
      <c r="AN21" s="726"/>
      <c r="AO21" s="726"/>
      <c r="AP21" s="726"/>
      <c r="AQ21" s="726"/>
      <c r="AR21" s="726"/>
      <c r="AS21" s="726"/>
      <c r="AT21" s="726"/>
      <c r="AU21" s="726"/>
      <c r="AV21" s="726"/>
      <c r="AW21" s="726"/>
      <c r="AX21" s="726"/>
      <c r="AY21" s="726"/>
      <c r="AZ21" s="726"/>
      <c r="BA21" s="726"/>
      <c r="BB21" s="726"/>
      <c r="BC21" s="726"/>
      <c r="BD21" s="726"/>
      <c r="BE21" s="726"/>
      <c r="BF21" s="726"/>
      <c r="BG21" s="726"/>
      <c r="BH21" s="726"/>
      <c r="BI21" s="726"/>
      <c r="BJ21" s="726"/>
      <c r="BK21" s="726"/>
      <c r="BL21" s="726"/>
      <c r="BM21" s="726"/>
      <c r="BN21" s="726"/>
      <c r="BO21" s="726"/>
      <c r="BP21" s="726"/>
      <c r="BQ21" s="726"/>
      <c r="BR21" s="726"/>
      <c r="BS21" s="726"/>
    </row>
    <row r="22" spans="1:71" s="563" customFormat="1">
      <c r="A22" s="572"/>
      <c r="B22" s="731"/>
      <c r="C22" s="730"/>
      <c r="D22" s="574"/>
      <c r="E22" s="669"/>
      <c r="F22" s="580"/>
      <c r="Q22" s="726"/>
      <c r="R22" s="726"/>
      <c r="S22" s="726"/>
      <c r="T22" s="726"/>
      <c r="U22" s="726"/>
      <c r="V22" s="726"/>
      <c r="W22" s="726"/>
      <c r="X22" s="726"/>
      <c r="Y22" s="726"/>
      <c r="Z22" s="726"/>
      <c r="AA22" s="726"/>
      <c r="AB22" s="726"/>
      <c r="AC22" s="726"/>
      <c r="AD22" s="726"/>
      <c r="AE22" s="726"/>
      <c r="AF22" s="726"/>
      <c r="AG22" s="726"/>
      <c r="AH22" s="726"/>
      <c r="AI22" s="726"/>
      <c r="AJ22" s="726"/>
      <c r="AK22" s="726"/>
      <c r="AL22" s="726"/>
      <c r="AM22" s="726"/>
      <c r="AN22" s="726"/>
      <c r="AO22" s="726"/>
      <c r="AP22" s="726"/>
      <c r="AQ22" s="726"/>
      <c r="AR22" s="726"/>
      <c r="AS22" s="726"/>
      <c r="AT22" s="726"/>
      <c r="AU22" s="726"/>
      <c r="AV22" s="726"/>
      <c r="AW22" s="726"/>
      <c r="AX22" s="726"/>
      <c r="AY22" s="726"/>
      <c r="AZ22" s="726"/>
      <c r="BA22" s="726"/>
      <c r="BB22" s="726"/>
      <c r="BC22" s="726"/>
      <c r="BD22" s="726"/>
      <c r="BE22" s="726"/>
      <c r="BF22" s="726"/>
      <c r="BG22" s="726"/>
      <c r="BH22" s="726"/>
      <c r="BI22" s="726"/>
      <c r="BJ22" s="726"/>
      <c r="BK22" s="726"/>
      <c r="BL22" s="726"/>
      <c r="BM22" s="726"/>
      <c r="BN22" s="726"/>
      <c r="BO22" s="726"/>
      <c r="BP22" s="726"/>
      <c r="BQ22" s="726"/>
      <c r="BR22" s="726"/>
      <c r="BS22" s="726"/>
    </row>
    <row r="23" spans="1:71" s="563" customFormat="1">
      <c r="A23" s="572"/>
      <c r="B23" s="731"/>
      <c r="C23" s="730"/>
      <c r="D23" s="574"/>
      <c r="E23" s="669"/>
      <c r="F23" s="580"/>
      <c r="Q23" s="726"/>
      <c r="R23" s="726"/>
      <c r="S23" s="726"/>
      <c r="T23" s="726"/>
      <c r="U23" s="726"/>
      <c r="V23" s="726"/>
      <c r="W23" s="726"/>
      <c r="X23" s="726"/>
      <c r="Y23" s="726"/>
      <c r="Z23" s="726"/>
      <c r="AA23" s="726"/>
      <c r="AB23" s="726"/>
      <c r="AC23" s="726"/>
      <c r="AD23" s="726"/>
      <c r="AE23" s="726"/>
      <c r="AF23" s="726"/>
      <c r="AG23" s="726"/>
      <c r="AH23" s="726"/>
      <c r="AI23" s="726"/>
      <c r="AJ23" s="726"/>
      <c r="AK23" s="726"/>
      <c r="AL23" s="726"/>
      <c r="AM23" s="726"/>
      <c r="AN23" s="726"/>
      <c r="AO23" s="726"/>
      <c r="AP23" s="726"/>
      <c r="AQ23" s="726"/>
      <c r="AR23" s="726"/>
      <c r="AS23" s="726"/>
      <c r="AT23" s="726"/>
      <c r="AU23" s="726"/>
      <c r="AV23" s="726"/>
      <c r="AW23" s="726"/>
      <c r="AX23" s="726"/>
      <c r="AY23" s="726"/>
      <c r="AZ23" s="726"/>
      <c r="BA23" s="726"/>
      <c r="BB23" s="726"/>
      <c r="BC23" s="726"/>
      <c r="BD23" s="726"/>
      <c r="BE23" s="726"/>
      <c r="BF23" s="726"/>
      <c r="BG23" s="726"/>
      <c r="BH23" s="726"/>
      <c r="BI23" s="726"/>
      <c r="BJ23" s="726"/>
      <c r="BK23" s="726"/>
      <c r="BL23" s="726"/>
      <c r="BM23" s="726"/>
      <c r="BN23" s="726"/>
      <c r="BO23" s="726"/>
      <c r="BP23" s="726"/>
      <c r="BQ23" s="726"/>
      <c r="BR23" s="726"/>
      <c r="BS23" s="726"/>
    </row>
    <row r="24" spans="1:71" s="563" customFormat="1">
      <c r="A24" s="572"/>
      <c r="B24" s="731"/>
      <c r="C24" s="730"/>
      <c r="D24" s="574"/>
      <c r="E24" s="669"/>
      <c r="F24" s="580"/>
      <c r="Q24" s="726"/>
      <c r="R24" s="726"/>
      <c r="S24" s="726"/>
      <c r="T24" s="726"/>
      <c r="U24" s="726"/>
      <c r="V24" s="726"/>
      <c r="W24" s="726"/>
      <c r="X24" s="726"/>
      <c r="Y24" s="726"/>
      <c r="Z24" s="726"/>
      <c r="AA24" s="726"/>
      <c r="AB24" s="726"/>
      <c r="AC24" s="726"/>
      <c r="AD24" s="726"/>
      <c r="AE24" s="726"/>
      <c r="AF24" s="726"/>
      <c r="AG24" s="726"/>
      <c r="AH24" s="726"/>
      <c r="AI24" s="726"/>
      <c r="AJ24" s="726"/>
      <c r="AK24" s="726"/>
      <c r="AL24" s="726"/>
      <c r="AM24" s="726"/>
      <c r="AN24" s="726"/>
      <c r="AO24" s="726"/>
      <c r="AP24" s="726"/>
      <c r="AQ24" s="726"/>
      <c r="AR24" s="726"/>
      <c r="AS24" s="726"/>
      <c r="AT24" s="726"/>
      <c r="AU24" s="726"/>
      <c r="AV24" s="726"/>
      <c r="AW24" s="726"/>
      <c r="AX24" s="726"/>
      <c r="AY24" s="726"/>
      <c r="AZ24" s="726"/>
      <c r="BA24" s="726"/>
      <c r="BB24" s="726"/>
      <c r="BC24" s="726"/>
      <c r="BD24" s="726"/>
      <c r="BE24" s="726"/>
      <c r="BF24" s="726"/>
      <c r="BG24" s="726"/>
      <c r="BH24" s="726"/>
      <c r="BI24" s="726"/>
      <c r="BJ24" s="726"/>
      <c r="BK24" s="726"/>
      <c r="BL24" s="726"/>
      <c r="BM24" s="726"/>
      <c r="BN24" s="726"/>
      <c r="BO24" s="726"/>
      <c r="BP24" s="726"/>
      <c r="BQ24" s="726"/>
      <c r="BR24" s="726"/>
      <c r="BS24" s="726"/>
    </row>
    <row r="25" spans="1:71" s="563" customFormat="1">
      <c r="A25" s="572"/>
      <c r="B25" s="731"/>
      <c r="C25" s="730"/>
      <c r="D25" s="574"/>
      <c r="E25" s="669"/>
      <c r="F25" s="580"/>
      <c r="Q25" s="726"/>
      <c r="R25" s="726"/>
      <c r="S25" s="726"/>
      <c r="T25" s="726"/>
      <c r="U25" s="726"/>
      <c r="V25" s="726"/>
      <c r="W25" s="726"/>
      <c r="X25" s="726"/>
      <c r="Y25" s="726"/>
      <c r="Z25" s="726"/>
      <c r="AA25" s="726"/>
      <c r="AB25" s="726"/>
      <c r="AC25" s="726"/>
      <c r="AD25" s="726"/>
      <c r="AE25" s="726"/>
      <c r="AF25" s="726"/>
      <c r="AG25" s="726"/>
      <c r="AH25" s="726"/>
      <c r="AI25" s="726"/>
      <c r="AJ25" s="726"/>
      <c r="AK25" s="726"/>
      <c r="AL25" s="726"/>
      <c r="AM25" s="726"/>
      <c r="AN25" s="726"/>
      <c r="AO25" s="726"/>
      <c r="AP25" s="726"/>
      <c r="AQ25" s="726"/>
      <c r="AR25" s="726"/>
      <c r="AS25" s="726"/>
      <c r="AT25" s="726"/>
      <c r="AU25" s="726"/>
      <c r="AV25" s="726"/>
      <c r="AW25" s="726"/>
      <c r="AX25" s="726"/>
      <c r="AY25" s="726"/>
      <c r="AZ25" s="726"/>
      <c r="BA25" s="726"/>
      <c r="BB25" s="726"/>
      <c r="BC25" s="726"/>
      <c r="BD25" s="726"/>
      <c r="BE25" s="726"/>
      <c r="BF25" s="726"/>
      <c r="BG25" s="726"/>
      <c r="BH25" s="726"/>
      <c r="BI25" s="726"/>
      <c r="BJ25" s="726"/>
      <c r="BK25" s="726"/>
      <c r="BL25" s="726"/>
      <c r="BM25" s="726"/>
      <c r="BN25" s="726"/>
      <c r="BO25" s="726"/>
      <c r="BP25" s="726"/>
      <c r="BQ25" s="726"/>
      <c r="BR25" s="726"/>
      <c r="BS25" s="726"/>
    </row>
    <row r="26" spans="1:71" s="563" customFormat="1">
      <c r="A26" s="572"/>
      <c r="B26" s="731"/>
      <c r="C26" s="730"/>
      <c r="D26" s="574"/>
      <c r="E26" s="669"/>
      <c r="F26" s="580"/>
      <c r="Q26" s="726"/>
      <c r="R26" s="726"/>
      <c r="S26" s="726"/>
      <c r="T26" s="726"/>
      <c r="U26" s="726"/>
      <c r="V26" s="726"/>
      <c r="W26" s="726"/>
      <c r="X26" s="726"/>
      <c r="Y26" s="726"/>
      <c r="Z26" s="726"/>
      <c r="AA26" s="726"/>
      <c r="AB26" s="726"/>
      <c r="AC26" s="726"/>
      <c r="AD26" s="726"/>
      <c r="AE26" s="726"/>
      <c r="AF26" s="726"/>
      <c r="AG26" s="726"/>
      <c r="AH26" s="726"/>
      <c r="AI26" s="726"/>
      <c r="AJ26" s="726"/>
      <c r="AK26" s="726"/>
      <c r="AL26" s="726"/>
      <c r="AM26" s="726"/>
      <c r="AN26" s="726"/>
      <c r="AO26" s="726"/>
      <c r="AP26" s="726"/>
      <c r="AQ26" s="726"/>
      <c r="AR26" s="726"/>
      <c r="AS26" s="726"/>
      <c r="AT26" s="726"/>
      <c r="AU26" s="726"/>
      <c r="AV26" s="726"/>
      <c r="AW26" s="726"/>
      <c r="AX26" s="726"/>
      <c r="AY26" s="726"/>
      <c r="AZ26" s="726"/>
      <c r="BA26" s="726"/>
      <c r="BB26" s="726"/>
      <c r="BC26" s="726"/>
      <c r="BD26" s="726"/>
      <c r="BE26" s="726"/>
      <c r="BF26" s="726"/>
      <c r="BG26" s="726"/>
      <c r="BH26" s="726"/>
      <c r="BI26" s="726"/>
      <c r="BJ26" s="726"/>
      <c r="BK26" s="726"/>
      <c r="BL26" s="726"/>
      <c r="BM26" s="726"/>
      <c r="BN26" s="726"/>
      <c r="BO26" s="726"/>
      <c r="BP26" s="726"/>
      <c r="BQ26" s="726"/>
      <c r="BR26" s="726"/>
      <c r="BS26" s="726"/>
    </row>
    <row r="27" spans="1:71" s="563" customFormat="1">
      <c r="A27" s="572"/>
      <c r="B27" s="731"/>
      <c r="C27" s="730"/>
      <c r="D27" s="574"/>
      <c r="E27" s="669"/>
      <c r="F27" s="580"/>
      <c r="Q27" s="726"/>
      <c r="R27" s="726"/>
      <c r="S27" s="726"/>
      <c r="T27" s="726"/>
      <c r="U27" s="726"/>
      <c r="V27" s="726"/>
      <c r="W27" s="726"/>
      <c r="X27" s="726"/>
      <c r="Y27" s="726"/>
      <c r="Z27" s="726"/>
      <c r="AA27" s="726"/>
      <c r="AB27" s="726"/>
      <c r="AC27" s="726"/>
      <c r="AD27" s="726"/>
      <c r="AE27" s="726"/>
      <c r="AF27" s="726"/>
      <c r="AG27" s="726"/>
      <c r="AH27" s="726"/>
      <c r="AI27" s="726"/>
      <c r="AJ27" s="726"/>
      <c r="AK27" s="726"/>
      <c r="AL27" s="726"/>
      <c r="AM27" s="726"/>
      <c r="AN27" s="726"/>
      <c r="AO27" s="726"/>
      <c r="AP27" s="726"/>
      <c r="AQ27" s="726"/>
      <c r="AR27" s="726"/>
      <c r="AS27" s="726"/>
      <c r="AT27" s="726"/>
      <c r="AU27" s="726"/>
      <c r="AV27" s="726"/>
      <c r="AW27" s="726"/>
      <c r="AX27" s="726"/>
      <c r="AY27" s="726"/>
      <c r="AZ27" s="726"/>
      <c r="BA27" s="726"/>
      <c r="BB27" s="726"/>
      <c r="BC27" s="726"/>
      <c r="BD27" s="726"/>
      <c r="BE27" s="726"/>
      <c r="BF27" s="726"/>
      <c r="BG27" s="726"/>
      <c r="BH27" s="726"/>
      <c r="BI27" s="726"/>
      <c r="BJ27" s="726"/>
      <c r="BK27" s="726"/>
      <c r="BL27" s="726"/>
      <c r="BM27" s="726"/>
      <c r="BN27" s="726"/>
      <c r="BO27" s="726"/>
      <c r="BP27" s="726"/>
      <c r="BQ27" s="726"/>
      <c r="BR27" s="726"/>
      <c r="BS27" s="726"/>
    </row>
    <row r="28" spans="1:71" s="563" customFormat="1">
      <c r="A28" s="572"/>
      <c r="B28" s="731"/>
      <c r="C28" s="730"/>
      <c r="D28" s="574"/>
      <c r="E28" s="669"/>
      <c r="F28" s="580"/>
      <c r="Q28" s="726"/>
      <c r="R28" s="726"/>
      <c r="S28" s="726"/>
      <c r="T28" s="726"/>
      <c r="U28" s="726"/>
      <c r="V28" s="726"/>
      <c r="W28" s="726"/>
      <c r="X28" s="726"/>
      <c r="Y28" s="726"/>
      <c r="Z28" s="726"/>
      <c r="AA28" s="726"/>
      <c r="AB28" s="726"/>
      <c r="AC28" s="726"/>
      <c r="AD28" s="726"/>
      <c r="AE28" s="726"/>
      <c r="AF28" s="726"/>
      <c r="AG28" s="726"/>
      <c r="AH28" s="726"/>
      <c r="AI28" s="726"/>
      <c r="AJ28" s="726"/>
      <c r="AK28" s="726"/>
      <c r="AL28" s="726"/>
      <c r="AM28" s="726"/>
      <c r="AN28" s="726"/>
      <c r="AO28" s="726"/>
      <c r="AP28" s="726"/>
      <c r="AQ28" s="726"/>
      <c r="AR28" s="726"/>
      <c r="AS28" s="726"/>
      <c r="AT28" s="726"/>
      <c r="AU28" s="726"/>
      <c r="AV28" s="726"/>
      <c r="AW28" s="726"/>
      <c r="AX28" s="726"/>
      <c r="AY28" s="726"/>
      <c r="AZ28" s="726"/>
      <c r="BA28" s="726"/>
      <c r="BB28" s="726"/>
      <c r="BC28" s="726"/>
      <c r="BD28" s="726"/>
      <c r="BE28" s="726"/>
      <c r="BF28" s="726"/>
      <c r="BG28" s="726"/>
      <c r="BH28" s="726"/>
      <c r="BI28" s="726"/>
      <c r="BJ28" s="726"/>
      <c r="BK28" s="726"/>
      <c r="BL28" s="726"/>
      <c r="BM28" s="726"/>
      <c r="BN28" s="726"/>
      <c r="BO28" s="726"/>
      <c r="BP28" s="726"/>
      <c r="BQ28" s="726"/>
      <c r="BR28" s="726"/>
      <c r="BS28" s="726"/>
    </row>
    <row r="29" spans="1:71" s="563" customFormat="1">
      <c r="A29" s="572"/>
      <c r="B29" s="731"/>
      <c r="C29" s="730"/>
      <c r="D29" s="574"/>
      <c r="E29" s="669"/>
      <c r="F29" s="580"/>
      <c r="Q29" s="726"/>
      <c r="R29" s="726"/>
      <c r="S29" s="726"/>
      <c r="T29" s="726"/>
      <c r="U29" s="726"/>
      <c r="V29" s="726"/>
      <c r="W29" s="726"/>
      <c r="X29" s="726"/>
      <c r="Y29" s="726"/>
      <c r="Z29" s="726"/>
      <c r="AA29" s="726"/>
      <c r="AB29" s="726"/>
      <c r="AC29" s="726"/>
      <c r="AD29" s="726"/>
      <c r="AE29" s="726"/>
      <c r="AF29" s="726"/>
      <c r="AG29" s="726"/>
      <c r="AH29" s="726"/>
      <c r="AI29" s="726"/>
      <c r="AJ29" s="726"/>
      <c r="AK29" s="726"/>
      <c r="AL29" s="726"/>
      <c r="AM29" s="726"/>
      <c r="AN29" s="726"/>
      <c r="AO29" s="726"/>
      <c r="AP29" s="726"/>
      <c r="AQ29" s="726"/>
      <c r="AR29" s="726"/>
      <c r="AS29" s="726"/>
      <c r="AT29" s="726"/>
      <c r="AU29" s="726"/>
      <c r="AV29" s="726"/>
      <c r="AW29" s="726"/>
      <c r="AX29" s="726"/>
      <c r="AY29" s="726"/>
      <c r="AZ29" s="726"/>
      <c r="BA29" s="726"/>
      <c r="BB29" s="726"/>
      <c r="BC29" s="726"/>
      <c r="BD29" s="726"/>
      <c r="BE29" s="726"/>
      <c r="BF29" s="726"/>
      <c r="BG29" s="726"/>
      <c r="BH29" s="726"/>
      <c r="BI29" s="726"/>
      <c r="BJ29" s="726"/>
      <c r="BK29" s="726"/>
      <c r="BL29" s="726"/>
      <c r="BM29" s="726"/>
      <c r="BN29" s="726"/>
      <c r="BO29" s="726"/>
      <c r="BP29" s="726"/>
      <c r="BQ29" s="726"/>
      <c r="BR29" s="726"/>
      <c r="BS29" s="726"/>
    </row>
    <row r="30" spans="1:71" s="563" customFormat="1">
      <c r="A30" s="572"/>
      <c r="B30" s="731"/>
      <c r="C30" s="730"/>
      <c r="D30" s="574"/>
      <c r="E30" s="669"/>
      <c r="F30" s="580"/>
      <c r="Q30" s="726"/>
      <c r="R30" s="726"/>
      <c r="S30" s="726"/>
      <c r="T30" s="726"/>
      <c r="U30" s="726"/>
      <c r="V30" s="726"/>
      <c r="W30" s="726"/>
      <c r="X30" s="726"/>
      <c r="Y30" s="726"/>
      <c r="Z30" s="726"/>
      <c r="AA30" s="726"/>
      <c r="AB30" s="726"/>
      <c r="AC30" s="726"/>
      <c r="AD30" s="726"/>
      <c r="AE30" s="726"/>
      <c r="AF30" s="726"/>
      <c r="AG30" s="726"/>
      <c r="AH30" s="726"/>
      <c r="AI30" s="726"/>
      <c r="AJ30" s="726"/>
      <c r="AK30" s="726"/>
      <c r="AL30" s="726"/>
      <c r="AM30" s="726"/>
      <c r="AN30" s="726"/>
      <c r="AO30" s="726"/>
      <c r="AP30" s="726"/>
      <c r="AQ30" s="726"/>
      <c r="AR30" s="726"/>
      <c r="AS30" s="726"/>
      <c r="AT30" s="726"/>
      <c r="AU30" s="726"/>
      <c r="AV30" s="726"/>
      <c r="AW30" s="726"/>
      <c r="AX30" s="726"/>
      <c r="AY30" s="726"/>
      <c r="AZ30" s="726"/>
      <c r="BA30" s="726"/>
      <c r="BB30" s="726"/>
      <c r="BC30" s="726"/>
      <c r="BD30" s="726"/>
      <c r="BE30" s="726"/>
      <c r="BF30" s="726"/>
      <c r="BG30" s="726"/>
      <c r="BH30" s="726"/>
      <c r="BI30" s="726"/>
      <c r="BJ30" s="726"/>
      <c r="BK30" s="726"/>
      <c r="BL30" s="726"/>
      <c r="BM30" s="726"/>
      <c r="BN30" s="726"/>
      <c r="BO30" s="726"/>
      <c r="BP30" s="726"/>
      <c r="BQ30" s="726"/>
      <c r="BR30" s="726"/>
      <c r="BS30" s="726"/>
    </row>
    <row r="31" spans="1:71" s="563" customFormat="1">
      <c r="A31" s="572"/>
      <c r="B31" s="731"/>
      <c r="C31" s="730"/>
      <c r="D31" s="574"/>
      <c r="E31" s="669"/>
      <c r="F31" s="580"/>
      <c r="Q31" s="726"/>
      <c r="R31" s="726"/>
      <c r="S31" s="726"/>
      <c r="T31" s="726"/>
      <c r="U31" s="726"/>
      <c r="V31" s="726"/>
      <c r="W31" s="726"/>
      <c r="X31" s="726"/>
      <c r="Y31" s="726"/>
      <c r="Z31" s="726"/>
      <c r="AA31" s="726"/>
      <c r="AB31" s="726"/>
      <c r="AC31" s="726"/>
      <c r="AD31" s="726"/>
      <c r="AE31" s="726"/>
      <c r="AF31" s="726"/>
      <c r="AG31" s="726"/>
      <c r="AH31" s="726"/>
      <c r="AI31" s="726"/>
      <c r="AJ31" s="726"/>
      <c r="AK31" s="726"/>
      <c r="AL31" s="726"/>
      <c r="AM31" s="726"/>
      <c r="AN31" s="726"/>
      <c r="AO31" s="726"/>
      <c r="AP31" s="726"/>
      <c r="AQ31" s="726"/>
      <c r="AR31" s="726"/>
      <c r="AS31" s="726"/>
      <c r="AT31" s="726"/>
      <c r="AU31" s="726"/>
      <c r="AV31" s="726"/>
      <c r="AW31" s="726"/>
      <c r="AX31" s="726"/>
      <c r="AY31" s="726"/>
      <c r="AZ31" s="726"/>
      <c r="BA31" s="726"/>
      <c r="BB31" s="726"/>
      <c r="BC31" s="726"/>
      <c r="BD31" s="726"/>
      <c r="BE31" s="726"/>
      <c r="BF31" s="726"/>
      <c r="BG31" s="726"/>
      <c r="BH31" s="726"/>
      <c r="BI31" s="726"/>
      <c r="BJ31" s="726"/>
      <c r="BK31" s="726"/>
      <c r="BL31" s="726"/>
      <c r="BM31" s="726"/>
      <c r="BN31" s="726"/>
      <c r="BO31" s="726"/>
      <c r="BP31" s="726"/>
      <c r="BQ31" s="726"/>
      <c r="BR31" s="726"/>
      <c r="BS31" s="726"/>
    </row>
    <row r="32" spans="1:71" s="563" customFormat="1">
      <c r="A32" s="572"/>
      <c r="B32" s="731"/>
      <c r="C32" s="730"/>
      <c r="D32" s="574"/>
      <c r="E32" s="669"/>
      <c r="F32" s="580"/>
      <c r="Q32" s="726"/>
      <c r="R32" s="726"/>
      <c r="S32" s="726"/>
      <c r="T32" s="726"/>
      <c r="U32" s="726"/>
      <c r="V32" s="726"/>
      <c r="W32" s="726"/>
      <c r="X32" s="726"/>
      <c r="Y32" s="726"/>
      <c r="Z32" s="726"/>
      <c r="AA32" s="726"/>
      <c r="AB32" s="726"/>
      <c r="AC32" s="726"/>
      <c r="AD32" s="726"/>
      <c r="AE32" s="726"/>
      <c r="AF32" s="726"/>
      <c r="AG32" s="726"/>
      <c r="AH32" s="726"/>
      <c r="AI32" s="726"/>
      <c r="AJ32" s="726"/>
      <c r="AK32" s="726"/>
      <c r="AL32" s="726"/>
      <c r="AM32" s="726"/>
      <c r="AN32" s="726"/>
      <c r="AO32" s="726"/>
      <c r="AP32" s="726"/>
      <c r="AQ32" s="726"/>
      <c r="AR32" s="726"/>
      <c r="AS32" s="726"/>
      <c r="AT32" s="726"/>
      <c r="AU32" s="726"/>
      <c r="AV32" s="726"/>
      <c r="AW32" s="726"/>
      <c r="AX32" s="726"/>
      <c r="AY32" s="726"/>
      <c r="AZ32" s="726"/>
      <c r="BA32" s="726"/>
      <c r="BB32" s="726"/>
      <c r="BC32" s="726"/>
      <c r="BD32" s="726"/>
      <c r="BE32" s="726"/>
      <c r="BF32" s="726"/>
      <c r="BG32" s="726"/>
      <c r="BH32" s="726"/>
      <c r="BI32" s="726"/>
      <c r="BJ32" s="726"/>
      <c r="BK32" s="726"/>
      <c r="BL32" s="726"/>
      <c r="BM32" s="726"/>
      <c r="BN32" s="726"/>
      <c r="BO32" s="726"/>
      <c r="BP32" s="726"/>
      <c r="BQ32" s="726"/>
      <c r="BR32" s="726"/>
      <c r="BS32" s="726"/>
    </row>
    <row r="33" spans="1:71" s="563" customFormat="1">
      <c r="A33" s="572"/>
      <c r="B33" s="731"/>
      <c r="C33" s="730"/>
      <c r="D33" s="574"/>
      <c r="E33" s="669"/>
      <c r="F33" s="580"/>
      <c r="Q33" s="726"/>
      <c r="R33" s="726"/>
      <c r="S33" s="726"/>
      <c r="T33" s="726"/>
      <c r="U33" s="726"/>
      <c r="V33" s="726"/>
      <c r="W33" s="726"/>
      <c r="X33" s="726"/>
      <c r="Y33" s="726"/>
      <c r="Z33" s="726"/>
      <c r="AA33" s="726"/>
      <c r="AB33" s="726"/>
      <c r="AC33" s="726"/>
      <c r="AD33" s="726"/>
      <c r="AE33" s="726"/>
      <c r="AF33" s="726"/>
      <c r="AG33" s="726"/>
      <c r="AH33" s="726"/>
      <c r="AI33" s="726"/>
      <c r="AJ33" s="726"/>
      <c r="AK33" s="726"/>
      <c r="AL33" s="726"/>
      <c r="AM33" s="726"/>
      <c r="AN33" s="726"/>
      <c r="AO33" s="726"/>
      <c r="AP33" s="726"/>
      <c r="AQ33" s="726"/>
      <c r="AR33" s="726"/>
      <c r="AS33" s="726"/>
      <c r="AT33" s="726"/>
      <c r="AU33" s="726"/>
      <c r="AV33" s="726"/>
      <c r="AW33" s="726"/>
      <c r="AX33" s="726"/>
      <c r="AY33" s="726"/>
      <c r="AZ33" s="726"/>
      <c r="BA33" s="726"/>
      <c r="BB33" s="726"/>
      <c r="BC33" s="726"/>
      <c r="BD33" s="726"/>
      <c r="BE33" s="726"/>
      <c r="BF33" s="726"/>
      <c r="BG33" s="726"/>
      <c r="BH33" s="726"/>
      <c r="BI33" s="726"/>
      <c r="BJ33" s="726"/>
      <c r="BK33" s="726"/>
      <c r="BL33" s="726"/>
      <c r="BM33" s="726"/>
      <c r="BN33" s="726"/>
      <c r="BO33" s="726"/>
      <c r="BP33" s="726"/>
      <c r="BQ33" s="726"/>
      <c r="BR33" s="726"/>
      <c r="BS33" s="726"/>
    </row>
    <row r="34" spans="1:71" s="563" customFormat="1">
      <c r="A34" s="572"/>
      <c r="B34" s="731"/>
      <c r="C34" s="730"/>
      <c r="D34" s="574"/>
      <c r="E34" s="669"/>
      <c r="F34" s="580"/>
      <c r="Q34" s="726"/>
      <c r="R34" s="726"/>
      <c r="S34" s="726"/>
      <c r="T34" s="726"/>
      <c r="U34" s="726"/>
      <c r="V34" s="726"/>
      <c r="W34" s="726"/>
      <c r="X34" s="726"/>
      <c r="Y34" s="726"/>
      <c r="Z34" s="726"/>
      <c r="AA34" s="726"/>
      <c r="AB34" s="726"/>
      <c r="AC34" s="726"/>
      <c r="AD34" s="726"/>
      <c r="AE34" s="726"/>
      <c r="AF34" s="726"/>
      <c r="AG34" s="726"/>
      <c r="AH34" s="726"/>
      <c r="AI34" s="726"/>
      <c r="AJ34" s="726"/>
      <c r="AK34" s="726"/>
      <c r="AL34" s="726"/>
      <c r="AM34" s="726"/>
      <c r="AN34" s="726"/>
      <c r="AO34" s="726"/>
      <c r="AP34" s="726"/>
      <c r="AQ34" s="726"/>
      <c r="AR34" s="726"/>
      <c r="AS34" s="726"/>
      <c r="AT34" s="726"/>
      <c r="AU34" s="726"/>
      <c r="AV34" s="726"/>
      <c r="AW34" s="726"/>
      <c r="AX34" s="726"/>
      <c r="AY34" s="726"/>
      <c r="AZ34" s="726"/>
      <c r="BA34" s="726"/>
      <c r="BB34" s="726"/>
      <c r="BC34" s="726"/>
      <c r="BD34" s="726"/>
      <c r="BE34" s="726"/>
      <c r="BF34" s="726"/>
      <c r="BG34" s="726"/>
      <c r="BH34" s="726"/>
      <c r="BI34" s="726"/>
      <c r="BJ34" s="726"/>
      <c r="BK34" s="726"/>
      <c r="BL34" s="726"/>
      <c r="BM34" s="726"/>
      <c r="BN34" s="726"/>
      <c r="BO34" s="726"/>
      <c r="BP34" s="726"/>
      <c r="BQ34" s="726"/>
      <c r="BR34" s="726"/>
      <c r="BS34" s="726"/>
    </row>
    <row r="35" spans="1:71" s="563" customFormat="1">
      <c r="A35" s="572"/>
      <c r="B35" s="731"/>
      <c r="C35" s="730"/>
      <c r="D35" s="574"/>
      <c r="E35" s="669"/>
      <c r="F35" s="580"/>
      <c r="Q35" s="726"/>
      <c r="R35" s="726"/>
      <c r="S35" s="726"/>
      <c r="T35" s="726"/>
      <c r="U35" s="726"/>
      <c r="V35" s="726"/>
      <c r="W35" s="726"/>
      <c r="X35" s="726"/>
      <c r="Y35" s="726"/>
      <c r="Z35" s="726"/>
      <c r="AA35" s="726"/>
      <c r="AB35" s="726"/>
      <c r="AC35" s="726"/>
      <c r="AD35" s="726"/>
      <c r="AE35" s="726"/>
      <c r="AF35" s="726"/>
      <c r="AG35" s="726"/>
      <c r="AH35" s="726"/>
      <c r="AI35" s="726"/>
      <c r="AJ35" s="726"/>
      <c r="AK35" s="726"/>
      <c r="AL35" s="726"/>
      <c r="AM35" s="726"/>
      <c r="AN35" s="726"/>
      <c r="AO35" s="726"/>
      <c r="AP35" s="726"/>
      <c r="AQ35" s="726"/>
      <c r="AR35" s="726"/>
      <c r="AS35" s="726"/>
      <c r="AT35" s="726"/>
      <c r="AU35" s="726"/>
      <c r="AV35" s="726"/>
      <c r="AW35" s="726"/>
      <c r="AX35" s="726"/>
      <c r="AY35" s="726"/>
      <c r="AZ35" s="726"/>
      <c r="BA35" s="726"/>
      <c r="BB35" s="726"/>
      <c r="BC35" s="726"/>
      <c r="BD35" s="726"/>
      <c r="BE35" s="726"/>
      <c r="BF35" s="726"/>
      <c r="BG35" s="726"/>
      <c r="BH35" s="726"/>
      <c r="BI35" s="726"/>
      <c r="BJ35" s="726"/>
      <c r="BK35" s="726"/>
      <c r="BL35" s="726"/>
      <c r="BM35" s="726"/>
      <c r="BN35" s="726"/>
      <c r="BO35" s="726"/>
      <c r="BP35" s="726"/>
      <c r="BQ35" s="726"/>
      <c r="BR35" s="726"/>
      <c r="BS35" s="726"/>
    </row>
    <row r="36" spans="1:71" s="563" customFormat="1">
      <c r="A36" s="572"/>
      <c r="B36" s="731"/>
      <c r="C36" s="730"/>
      <c r="D36" s="574"/>
      <c r="E36" s="669"/>
      <c r="F36" s="580"/>
      <c r="Q36" s="726"/>
      <c r="R36" s="726"/>
      <c r="S36" s="726"/>
      <c r="T36" s="726"/>
      <c r="U36" s="726"/>
      <c r="V36" s="726"/>
      <c r="W36" s="726"/>
      <c r="X36" s="726"/>
      <c r="Y36" s="726"/>
      <c r="Z36" s="726"/>
      <c r="AA36" s="726"/>
      <c r="AB36" s="726"/>
      <c r="AC36" s="726"/>
      <c r="AD36" s="726"/>
      <c r="AE36" s="726"/>
      <c r="AF36" s="726"/>
      <c r="AG36" s="726"/>
      <c r="AH36" s="726"/>
      <c r="AI36" s="726"/>
      <c r="AJ36" s="726"/>
      <c r="AK36" s="726"/>
      <c r="AL36" s="726"/>
      <c r="AM36" s="726"/>
      <c r="AN36" s="726"/>
      <c r="AO36" s="726"/>
      <c r="AP36" s="726"/>
      <c r="AQ36" s="726"/>
      <c r="AR36" s="726"/>
      <c r="AS36" s="726"/>
      <c r="AT36" s="726"/>
      <c r="AU36" s="726"/>
      <c r="AV36" s="726"/>
      <c r="AW36" s="726"/>
      <c r="AX36" s="726"/>
      <c r="AY36" s="726"/>
      <c r="AZ36" s="726"/>
      <c r="BA36" s="726"/>
      <c r="BB36" s="726"/>
      <c r="BC36" s="726"/>
      <c r="BD36" s="726"/>
      <c r="BE36" s="726"/>
      <c r="BF36" s="726"/>
      <c r="BG36" s="726"/>
      <c r="BH36" s="726"/>
      <c r="BI36" s="726"/>
      <c r="BJ36" s="726"/>
      <c r="BK36" s="726"/>
      <c r="BL36" s="726"/>
      <c r="BM36" s="726"/>
      <c r="BN36" s="726"/>
      <c r="BO36" s="726"/>
      <c r="BP36" s="726"/>
      <c r="BQ36" s="726"/>
      <c r="BR36" s="726"/>
      <c r="BS36" s="726"/>
    </row>
    <row r="37" spans="1:71" s="563" customFormat="1">
      <c r="A37" s="572"/>
      <c r="B37" s="731"/>
      <c r="C37" s="730"/>
      <c r="D37" s="574"/>
      <c r="E37" s="669"/>
      <c r="F37" s="580"/>
      <c r="Q37" s="726"/>
      <c r="R37" s="726"/>
      <c r="S37" s="726"/>
      <c r="T37" s="726"/>
      <c r="U37" s="726"/>
      <c r="V37" s="726"/>
      <c r="W37" s="726"/>
      <c r="X37" s="726"/>
      <c r="Y37" s="726"/>
      <c r="Z37" s="726"/>
      <c r="AA37" s="726"/>
      <c r="AB37" s="726"/>
      <c r="AC37" s="726"/>
      <c r="AD37" s="726"/>
      <c r="AE37" s="726"/>
      <c r="AF37" s="726"/>
      <c r="AG37" s="726"/>
      <c r="AH37" s="726"/>
      <c r="AI37" s="726"/>
      <c r="AJ37" s="726"/>
      <c r="AK37" s="726"/>
      <c r="AL37" s="726"/>
      <c r="AM37" s="726"/>
      <c r="AN37" s="726"/>
      <c r="AO37" s="726"/>
      <c r="AP37" s="726"/>
      <c r="AQ37" s="726"/>
      <c r="AR37" s="726"/>
      <c r="AS37" s="726"/>
      <c r="AT37" s="726"/>
      <c r="AU37" s="726"/>
      <c r="AV37" s="726"/>
      <c r="AW37" s="726"/>
      <c r="AX37" s="726"/>
      <c r="AY37" s="726"/>
      <c r="AZ37" s="726"/>
      <c r="BA37" s="726"/>
      <c r="BB37" s="726"/>
      <c r="BC37" s="726"/>
      <c r="BD37" s="726"/>
      <c r="BE37" s="726"/>
      <c r="BF37" s="726"/>
      <c r="BG37" s="726"/>
      <c r="BH37" s="726"/>
      <c r="BI37" s="726"/>
      <c r="BJ37" s="726"/>
      <c r="BK37" s="726"/>
      <c r="BL37" s="726"/>
      <c r="BM37" s="726"/>
      <c r="BN37" s="726"/>
      <c r="BO37" s="726"/>
      <c r="BP37" s="726"/>
      <c r="BQ37" s="726"/>
      <c r="BR37" s="726"/>
      <c r="BS37" s="726"/>
    </row>
    <row r="38" spans="1:71" s="563" customFormat="1">
      <c r="A38" s="572"/>
      <c r="B38" s="731"/>
      <c r="C38" s="730"/>
      <c r="D38" s="574"/>
      <c r="E38" s="669"/>
      <c r="F38" s="580"/>
      <c r="Q38" s="726"/>
      <c r="R38" s="726"/>
      <c r="S38" s="726"/>
      <c r="T38" s="726"/>
      <c r="U38" s="726"/>
      <c r="V38" s="726"/>
      <c r="W38" s="726"/>
      <c r="X38" s="726"/>
      <c r="Y38" s="726"/>
      <c r="Z38" s="726"/>
      <c r="AA38" s="726"/>
      <c r="AB38" s="726"/>
      <c r="AC38" s="726"/>
      <c r="AD38" s="726"/>
      <c r="AE38" s="726"/>
      <c r="AF38" s="726"/>
      <c r="AG38" s="726"/>
      <c r="AH38" s="726"/>
      <c r="AI38" s="726"/>
      <c r="AJ38" s="726"/>
      <c r="AK38" s="726"/>
      <c r="AL38" s="726"/>
      <c r="AM38" s="726"/>
      <c r="AN38" s="726"/>
      <c r="AO38" s="726"/>
      <c r="AP38" s="726"/>
      <c r="AQ38" s="726"/>
      <c r="AR38" s="726"/>
      <c r="AS38" s="726"/>
      <c r="AT38" s="726"/>
      <c r="AU38" s="726"/>
      <c r="AV38" s="726"/>
      <c r="AW38" s="726"/>
      <c r="AX38" s="726"/>
      <c r="AY38" s="726"/>
      <c r="AZ38" s="726"/>
      <c r="BA38" s="726"/>
      <c r="BB38" s="726"/>
      <c r="BC38" s="726"/>
      <c r="BD38" s="726"/>
      <c r="BE38" s="726"/>
      <c r="BF38" s="726"/>
      <c r="BG38" s="726"/>
      <c r="BH38" s="726"/>
      <c r="BI38" s="726"/>
      <c r="BJ38" s="726"/>
      <c r="BK38" s="726"/>
      <c r="BL38" s="726"/>
      <c r="BM38" s="726"/>
      <c r="BN38" s="726"/>
      <c r="BO38" s="726"/>
      <c r="BP38" s="726"/>
      <c r="BQ38" s="726"/>
      <c r="BR38" s="726"/>
      <c r="BS38" s="726"/>
    </row>
    <row r="39" spans="1:71" s="563" customFormat="1">
      <c r="A39" s="572"/>
      <c r="B39" s="731"/>
      <c r="C39" s="730"/>
      <c r="D39" s="574"/>
      <c r="E39" s="669"/>
      <c r="F39" s="580"/>
      <c r="Q39" s="726"/>
      <c r="R39" s="726"/>
      <c r="S39" s="726"/>
      <c r="T39" s="726"/>
      <c r="U39" s="726"/>
      <c r="V39" s="726"/>
      <c r="W39" s="726"/>
      <c r="X39" s="726"/>
      <c r="Y39" s="726"/>
      <c r="Z39" s="726"/>
      <c r="AA39" s="726"/>
      <c r="AB39" s="726"/>
      <c r="AC39" s="726"/>
      <c r="AD39" s="726"/>
      <c r="AE39" s="726"/>
      <c r="AF39" s="726"/>
      <c r="AG39" s="726"/>
      <c r="AH39" s="726"/>
      <c r="AI39" s="726"/>
      <c r="AJ39" s="726"/>
      <c r="AK39" s="726"/>
      <c r="AL39" s="726"/>
      <c r="AM39" s="726"/>
      <c r="AN39" s="726"/>
      <c r="AO39" s="726"/>
      <c r="AP39" s="726"/>
      <c r="AQ39" s="726"/>
      <c r="AR39" s="726"/>
      <c r="AS39" s="726"/>
      <c r="AT39" s="726"/>
      <c r="AU39" s="726"/>
      <c r="AV39" s="726"/>
      <c r="AW39" s="726"/>
      <c r="AX39" s="726"/>
      <c r="AY39" s="726"/>
      <c r="AZ39" s="726"/>
      <c r="BA39" s="726"/>
      <c r="BB39" s="726"/>
      <c r="BC39" s="726"/>
      <c r="BD39" s="726"/>
      <c r="BE39" s="726"/>
      <c r="BF39" s="726"/>
      <c r="BG39" s="726"/>
      <c r="BH39" s="726"/>
      <c r="BI39" s="726"/>
      <c r="BJ39" s="726"/>
      <c r="BK39" s="726"/>
      <c r="BL39" s="726"/>
      <c r="BM39" s="726"/>
      <c r="BN39" s="726"/>
      <c r="BO39" s="726"/>
      <c r="BP39" s="726"/>
      <c r="BQ39" s="726"/>
      <c r="BR39" s="726"/>
      <c r="BS39" s="726"/>
    </row>
    <row r="40" spans="1:71" s="563" customFormat="1">
      <c r="A40" s="572"/>
      <c r="B40" s="731"/>
      <c r="C40" s="730"/>
      <c r="D40" s="574"/>
      <c r="E40" s="669"/>
      <c r="F40" s="580"/>
      <c r="Q40" s="726"/>
      <c r="R40" s="726"/>
      <c r="S40" s="726"/>
      <c r="T40" s="726"/>
      <c r="U40" s="726"/>
      <c r="V40" s="726"/>
      <c r="W40" s="726"/>
      <c r="X40" s="726"/>
      <c r="Y40" s="726"/>
      <c r="Z40" s="726"/>
      <c r="AA40" s="726"/>
      <c r="AB40" s="726"/>
      <c r="AC40" s="726"/>
      <c r="AD40" s="726"/>
      <c r="AE40" s="726"/>
      <c r="AF40" s="726"/>
      <c r="AG40" s="726"/>
      <c r="AH40" s="726"/>
      <c r="AI40" s="726"/>
      <c r="AJ40" s="726"/>
      <c r="AK40" s="726"/>
      <c r="AL40" s="726"/>
      <c r="AM40" s="726"/>
      <c r="AN40" s="726"/>
      <c r="AO40" s="726"/>
      <c r="AP40" s="726"/>
      <c r="AQ40" s="726"/>
      <c r="AR40" s="726"/>
      <c r="AS40" s="726"/>
      <c r="AT40" s="726"/>
      <c r="AU40" s="726"/>
      <c r="AV40" s="726"/>
      <c r="AW40" s="726"/>
      <c r="AX40" s="726"/>
      <c r="AY40" s="726"/>
      <c r="AZ40" s="726"/>
      <c r="BA40" s="726"/>
      <c r="BB40" s="726"/>
      <c r="BC40" s="726"/>
      <c r="BD40" s="726"/>
      <c r="BE40" s="726"/>
      <c r="BF40" s="726"/>
      <c r="BG40" s="726"/>
      <c r="BH40" s="726"/>
      <c r="BI40" s="726"/>
      <c r="BJ40" s="726"/>
      <c r="BK40" s="726"/>
      <c r="BL40" s="726"/>
      <c r="BM40" s="726"/>
      <c r="BN40" s="726"/>
      <c r="BO40" s="726"/>
      <c r="BP40" s="726"/>
      <c r="BQ40" s="726"/>
      <c r="BR40" s="726"/>
      <c r="BS40" s="726"/>
    </row>
    <row r="41" spans="1:71" s="563" customFormat="1">
      <c r="A41" s="572"/>
      <c r="B41" s="731"/>
      <c r="C41" s="730"/>
      <c r="D41" s="574"/>
      <c r="E41" s="669"/>
      <c r="F41" s="580"/>
      <c r="Q41" s="726"/>
      <c r="R41" s="726"/>
      <c r="S41" s="726"/>
      <c r="T41" s="726"/>
      <c r="U41" s="726"/>
      <c r="V41" s="726"/>
      <c r="W41" s="726"/>
      <c r="X41" s="726"/>
      <c r="Y41" s="726"/>
      <c r="Z41" s="726"/>
      <c r="AA41" s="726"/>
      <c r="AB41" s="726"/>
      <c r="AC41" s="726"/>
      <c r="AD41" s="726"/>
      <c r="AE41" s="726"/>
      <c r="AF41" s="726"/>
      <c r="AG41" s="726"/>
      <c r="AH41" s="726"/>
      <c r="AI41" s="726"/>
      <c r="AJ41" s="726"/>
      <c r="AK41" s="726"/>
      <c r="AL41" s="726"/>
      <c r="AM41" s="726"/>
      <c r="AN41" s="726"/>
      <c r="AO41" s="726"/>
      <c r="AP41" s="726"/>
      <c r="AQ41" s="726"/>
      <c r="AR41" s="726"/>
      <c r="AS41" s="726"/>
      <c r="AT41" s="726"/>
      <c r="AU41" s="726"/>
      <c r="AV41" s="726"/>
      <c r="AW41" s="726"/>
      <c r="AX41" s="726"/>
      <c r="AY41" s="726"/>
      <c r="AZ41" s="726"/>
      <c r="BA41" s="726"/>
      <c r="BB41" s="726"/>
      <c r="BC41" s="726"/>
      <c r="BD41" s="726"/>
      <c r="BE41" s="726"/>
      <c r="BF41" s="726"/>
      <c r="BG41" s="726"/>
      <c r="BH41" s="726"/>
      <c r="BI41" s="726"/>
      <c r="BJ41" s="726"/>
      <c r="BK41" s="726"/>
      <c r="BL41" s="726"/>
      <c r="BM41" s="726"/>
      <c r="BN41" s="726"/>
      <c r="BO41" s="726"/>
      <c r="BP41" s="726"/>
      <c r="BQ41" s="726"/>
      <c r="BR41" s="726"/>
      <c r="BS41" s="726"/>
    </row>
    <row r="42" spans="1:71" s="563" customFormat="1">
      <c r="A42" s="572"/>
      <c r="B42" s="731"/>
      <c r="C42" s="730"/>
      <c r="D42" s="574"/>
      <c r="E42" s="669"/>
      <c r="F42" s="580"/>
      <c r="Q42" s="726"/>
      <c r="R42" s="726"/>
      <c r="S42" s="726"/>
      <c r="T42" s="726"/>
      <c r="U42" s="726"/>
      <c r="V42" s="726"/>
      <c r="W42" s="726"/>
      <c r="X42" s="726"/>
      <c r="Y42" s="726"/>
      <c r="Z42" s="726"/>
      <c r="AA42" s="726"/>
      <c r="AB42" s="726"/>
      <c r="AC42" s="726"/>
      <c r="AD42" s="726"/>
      <c r="AE42" s="726"/>
      <c r="AF42" s="726"/>
      <c r="AG42" s="726"/>
      <c r="AH42" s="726"/>
      <c r="AI42" s="726"/>
      <c r="AJ42" s="726"/>
      <c r="AK42" s="726"/>
      <c r="AL42" s="726"/>
      <c r="AM42" s="726"/>
      <c r="AN42" s="726"/>
      <c r="AO42" s="726"/>
      <c r="AP42" s="726"/>
      <c r="AQ42" s="726"/>
      <c r="AR42" s="726"/>
      <c r="AS42" s="726"/>
      <c r="AT42" s="726"/>
      <c r="AU42" s="726"/>
      <c r="AV42" s="726"/>
      <c r="AW42" s="726"/>
      <c r="AX42" s="726"/>
      <c r="AY42" s="726"/>
      <c r="AZ42" s="726"/>
      <c r="BA42" s="726"/>
      <c r="BB42" s="726"/>
      <c r="BC42" s="726"/>
      <c r="BD42" s="726"/>
      <c r="BE42" s="726"/>
      <c r="BF42" s="726"/>
      <c r="BG42" s="726"/>
      <c r="BH42" s="726"/>
      <c r="BI42" s="726"/>
      <c r="BJ42" s="726"/>
      <c r="BK42" s="726"/>
      <c r="BL42" s="726"/>
      <c r="BM42" s="726"/>
      <c r="BN42" s="726"/>
      <c r="BO42" s="726"/>
      <c r="BP42" s="726"/>
      <c r="BQ42" s="726"/>
      <c r="BR42" s="726"/>
      <c r="BS42" s="726"/>
    </row>
    <row r="43" spans="1:71" s="563" customFormat="1">
      <c r="A43" s="572"/>
      <c r="B43" s="731"/>
      <c r="C43" s="730"/>
      <c r="D43" s="574"/>
      <c r="E43" s="669"/>
      <c r="F43" s="580"/>
      <c r="Q43" s="726"/>
      <c r="R43" s="726"/>
      <c r="S43" s="726"/>
      <c r="T43" s="726"/>
      <c r="U43" s="726"/>
      <c r="V43" s="726"/>
      <c r="W43" s="726"/>
      <c r="X43" s="726"/>
      <c r="Y43" s="726"/>
      <c r="Z43" s="726"/>
      <c r="AA43" s="726"/>
      <c r="AB43" s="726"/>
      <c r="AC43" s="726"/>
      <c r="AD43" s="726"/>
      <c r="AE43" s="726"/>
      <c r="AF43" s="726"/>
      <c r="AG43" s="726"/>
      <c r="AH43" s="726"/>
      <c r="AI43" s="726"/>
      <c r="AJ43" s="726"/>
      <c r="AK43" s="726"/>
      <c r="AL43" s="726"/>
      <c r="AM43" s="726"/>
      <c r="AN43" s="726"/>
      <c r="AO43" s="726"/>
      <c r="AP43" s="726"/>
      <c r="AQ43" s="726"/>
      <c r="AR43" s="726"/>
      <c r="AS43" s="726"/>
      <c r="AT43" s="726"/>
      <c r="AU43" s="726"/>
      <c r="AV43" s="726"/>
      <c r="AW43" s="726"/>
      <c r="AX43" s="726"/>
      <c r="AY43" s="726"/>
      <c r="AZ43" s="726"/>
      <c r="BA43" s="726"/>
      <c r="BB43" s="726"/>
      <c r="BC43" s="726"/>
      <c r="BD43" s="726"/>
      <c r="BE43" s="726"/>
      <c r="BF43" s="726"/>
      <c r="BG43" s="726"/>
      <c r="BH43" s="726"/>
      <c r="BI43" s="726"/>
      <c r="BJ43" s="726"/>
      <c r="BK43" s="726"/>
      <c r="BL43" s="726"/>
      <c r="BM43" s="726"/>
      <c r="BN43" s="726"/>
      <c r="BO43" s="726"/>
      <c r="BP43" s="726"/>
      <c r="BQ43" s="726"/>
      <c r="BR43" s="726"/>
      <c r="BS43" s="726"/>
    </row>
    <row r="44" spans="1:71" s="563" customFormat="1">
      <c r="A44" s="572"/>
      <c r="B44" s="731"/>
      <c r="C44" s="730"/>
      <c r="D44" s="574"/>
      <c r="E44" s="669"/>
      <c r="F44" s="580"/>
      <c r="Q44" s="726"/>
      <c r="R44" s="726"/>
      <c r="S44" s="726"/>
      <c r="T44" s="726"/>
      <c r="U44" s="726"/>
      <c r="V44" s="726"/>
      <c r="W44" s="726"/>
      <c r="X44" s="726"/>
      <c r="Y44" s="726"/>
      <c r="Z44" s="726"/>
      <c r="AA44" s="726"/>
      <c r="AB44" s="726"/>
      <c r="AC44" s="726"/>
      <c r="AD44" s="726"/>
      <c r="AE44" s="726"/>
      <c r="AF44" s="726"/>
      <c r="AG44" s="726"/>
      <c r="AH44" s="726"/>
      <c r="AI44" s="726"/>
      <c r="AJ44" s="726"/>
      <c r="AK44" s="726"/>
      <c r="AL44" s="726"/>
      <c r="AM44" s="726"/>
      <c r="AN44" s="726"/>
      <c r="AO44" s="726"/>
      <c r="AP44" s="726"/>
      <c r="AQ44" s="726"/>
      <c r="AR44" s="726"/>
      <c r="AS44" s="726"/>
      <c r="AT44" s="726"/>
      <c r="AU44" s="726"/>
      <c r="AV44" s="726"/>
      <c r="AW44" s="726"/>
      <c r="AX44" s="726"/>
      <c r="AY44" s="726"/>
      <c r="AZ44" s="726"/>
      <c r="BA44" s="726"/>
      <c r="BB44" s="726"/>
      <c r="BC44" s="726"/>
      <c r="BD44" s="726"/>
      <c r="BE44" s="726"/>
      <c r="BF44" s="726"/>
      <c r="BG44" s="726"/>
      <c r="BH44" s="726"/>
      <c r="BI44" s="726"/>
      <c r="BJ44" s="726"/>
      <c r="BK44" s="726"/>
      <c r="BL44" s="726"/>
      <c r="BM44" s="726"/>
      <c r="BN44" s="726"/>
      <c r="BO44" s="726"/>
      <c r="BP44" s="726"/>
      <c r="BQ44" s="726"/>
      <c r="BR44" s="726"/>
      <c r="BS44" s="726"/>
    </row>
    <row r="45" spans="1:71" s="563" customFormat="1">
      <c r="A45" s="572"/>
      <c r="B45" s="731"/>
      <c r="C45" s="730"/>
      <c r="D45" s="574"/>
      <c r="E45" s="669"/>
      <c r="F45" s="580"/>
      <c r="Q45" s="726"/>
      <c r="R45" s="726"/>
      <c r="S45" s="726"/>
      <c r="T45" s="726"/>
      <c r="U45" s="726"/>
      <c r="V45" s="726"/>
      <c r="W45" s="726"/>
      <c r="X45" s="726"/>
      <c r="Y45" s="726"/>
      <c r="Z45" s="726"/>
      <c r="AA45" s="726"/>
      <c r="AB45" s="726"/>
      <c r="AC45" s="726"/>
      <c r="AD45" s="726"/>
      <c r="AE45" s="726"/>
      <c r="AF45" s="726"/>
      <c r="AG45" s="726"/>
      <c r="AH45" s="726"/>
      <c r="AI45" s="726"/>
      <c r="AJ45" s="726"/>
      <c r="AK45" s="726"/>
      <c r="AL45" s="726"/>
      <c r="AM45" s="726"/>
      <c r="AN45" s="726"/>
      <c r="AO45" s="726"/>
      <c r="AP45" s="726"/>
      <c r="AQ45" s="726"/>
      <c r="AR45" s="726"/>
      <c r="AS45" s="726"/>
      <c r="AT45" s="726"/>
      <c r="AU45" s="726"/>
      <c r="AV45" s="726"/>
      <c r="AW45" s="726"/>
      <c r="AX45" s="726"/>
      <c r="AY45" s="726"/>
      <c r="AZ45" s="726"/>
      <c r="BA45" s="726"/>
      <c r="BB45" s="726"/>
      <c r="BC45" s="726"/>
      <c r="BD45" s="726"/>
      <c r="BE45" s="726"/>
      <c r="BF45" s="726"/>
      <c r="BG45" s="726"/>
      <c r="BH45" s="726"/>
      <c r="BI45" s="726"/>
      <c r="BJ45" s="726"/>
      <c r="BK45" s="726"/>
      <c r="BL45" s="726"/>
      <c r="BM45" s="726"/>
      <c r="BN45" s="726"/>
      <c r="BO45" s="726"/>
      <c r="BP45" s="726"/>
      <c r="BQ45" s="726"/>
      <c r="BR45" s="726"/>
      <c r="BS45" s="726"/>
    </row>
    <row r="46" spans="1:71" s="563" customFormat="1">
      <c r="A46" s="572"/>
      <c r="B46" s="731"/>
      <c r="C46" s="730"/>
      <c r="D46" s="574"/>
      <c r="E46" s="669"/>
      <c r="F46" s="580"/>
      <c r="Q46" s="726"/>
      <c r="R46" s="726"/>
      <c r="S46" s="726"/>
      <c r="T46" s="726"/>
      <c r="U46" s="726"/>
      <c r="V46" s="726"/>
      <c r="W46" s="726"/>
      <c r="X46" s="726"/>
      <c r="Y46" s="726"/>
      <c r="Z46" s="726"/>
      <c r="AA46" s="726"/>
      <c r="AB46" s="726"/>
      <c r="AC46" s="726"/>
      <c r="AD46" s="726"/>
      <c r="AE46" s="726"/>
      <c r="AF46" s="726"/>
      <c r="AG46" s="726"/>
      <c r="AH46" s="726"/>
      <c r="AI46" s="726"/>
      <c r="AJ46" s="726"/>
      <c r="AK46" s="726"/>
      <c r="AL46" s="726"/>
      <c r="AM46" s="726"/>
      <c r="AN46" s="726"/>
      <c r="AO46" s="726"/>
      <c r="AP46" s="726"/>
      <c r="AQ46" s="726"/>
      <c r="AR46" s="726"/>
      <c r="AS46" s="726"/>
      <c r="AT46" s="726"/>
      <c r="AU46" s="726"/>
      <c r="AV46" s="726"/>
      <c r="AW46" s="726"/>
      <c r="AX46" s="726"/>
      <c r="AY46" s="726"/>
      <c r="AZ46" s="726"/>
      <c r="BA46" s="726"/>
      <c r="BB46" s="726"/>
      <c r="BC46" s="726"/>
      <c r="BD46" s="726"/>
      <c r="BE46" s="726"/>
      <c r="BF46" s="726"/>
      <c r="BG46" s="726"/>
      <c r="BH46" s="726"/>
      <c r="BI46" s="726"/>
      <c r="BJ46" s="726"/>
      <c r="BK46" s="726"/>
      <c r="BL46" s="726"/>
      <c r="BM46" s="726"/>
      <c r="BN46" s="726"/>
      <c r="BO46" s="726"/>
      <c r="BP46" s="726"/>
      <c r="BQ46" s="726"/>
      <c r="BR46" s="726"/>
      <c r="BS46" s="726"/>
    </row>
    <row r="47" spans="1:71" s="563" customFormat="1">
      <c r="A47" s="572"/>
      <c r="B47" s="731"/>
      <c r="C47" s="730"/>
      <c r="D47" s="574"/>
      <c r="E47" s="669"/>
      <c r="F47" s="580"/>
      <c r="Q47" s="726"/>
      <c r="R47" s="726"/>
      <c r="S47" s="726"/>
      <c r="T47" s="726"/>
      <c r="U47" s="726"/>
      <c r="V47" s="726"/>
      <c r="W47" s="726"/>
      <c r="X47" s="726"/>
      <c r="Y47" s="726"/>
      <c r="Z47" s="726"/>
      <c r="AA47" s="726"/>
      <c r="AB47" s="726"/>
      <c r="AC47" s="726"/>
      <c r="AD47" s="726"/>
      <c r="AE47" s="726"/>
      <c r="AF47" s="726"/>
      <c r="AG47" s="726"/>
      <c r="AH47" s="726"/>
      <c r="AI47" s="726"/>
      <c r="AJ47" s="726"/>
      <c r="AK47" s="726"/>
      <c r="AL47" s="726"/>
      <c r="AM47" s="726"/>
      <c r="AN47" s="726"/>
      <c r="AO47" s="726"/>
      <c r="AP47" s="726"/>
      <c r="AQ47" s="726"/>
      <c r="AR47" s="726"/>
      <c r="AS47" s="726"/>
      <c r="AT47" s="726"/>
      <c r="AU47" s="726"/>
      <c r="AV47" s="726"/>
      <c r="AW47" s="726"/>
      <c r="AX47" s="726"/>
      <c r="AY47" s="726"/>
      <c r="AZ47" s="726"/>
      <c r="BA47" s="726"/>
      <c r="BB47" s="726"/>
      <c r="BC47" s="726"/>
      <c r="BD47" s="726"/>
      <c r="BE47" s="726"/>
      <c r="BF47" s="726"/>
      <c r="BG47" s="726"/>
      <c r="BH47" s="726"/>
      <c r="BI47" s="726"/>
      <c r="BJ47" s="726"/>
      <c r="BK47" s="726"/>
      <c r="BL47" s="726"/>
      <c r="BM47" s="726"/>
      <c r="BN47" s="726"/>
      <c r="BO47" s="726"/>
      <c r="BP47" s="726"/>
      <c r="BQ47" s="726"/>
      <c r="BR47" s="726"/>
      <c r="BS47" s="726"/>
    </row>
    <row r="48" spans="1:71" s="563" customFormat="1">
      <c r="A48" s="572"/>
      <c r="B48" s="731"/>
      <c r="C48" s="730"/>
      <c r="D48" s="574"/>
      <c r="E48" s="669"/>
      <c r="F48" s="580"/>
      <c r="Q48" s="726"/>
      <c r="R48" s="726"/>
      <c r="S48" s="726"/>
      <c r="T48" s="726"/>
      <c r="U48" s="726"/>
      <c r="V48" s="726"/>
      <c r="W48" s="726"/>
      <c r="X48" s="726"/>
      <c r="Y48" s="726"/>
      <c r="Z48" s="726"/>
      <c r="AA48" s="726"/>
      <c r="AB48" s="726"/>
      <c r="AC48" s="726"/>
      <c r="AD48" s="726"/>
      <c r="AE48" s="726"/>
      <c r="AF48" s="726"/>
      <c r="AG48" s="726"/>
      <c r="AH48" s="726"/>
      <c r="AI48" s="726"/>
      <c r="AJ48" s="726"/>
      <c r="AK48" s="726"/>
      <c r="AL48" s="726"/>
      <c r="AM48" s="726"/>
      <c r="AN48" s="726"/>
      <c r="AO48" s="726"/>
      <c r="AP48" s="726"/>
      <c r="AQ48" s="726"/>
      <c r="AR48" s="726"/>
      <c r="AS48" s="726"/>
      <c r="AT48" s="726"/>
      <c r="AU48" s="726"/>
      <c r="AV48" s="726"/>
      <c r="AW48" s="726"/>
      <c r="AX48" s="726"/>
      <c r="AY48" s="726"/>
      <c r="AZ48" s="726"/>
      <c r="BA48" s="726"/>
      <c r="BB48" s="726"/>
      <c r="BC48" s="726"/>
      <c r="BD48" s="726"/>
      <c r="BE48" s="726"/>
      <c r="BF48" s="726"/>
      <c r="BG48" s="726"/>
      <c r="BH48" s="726"/>
      <c r="BI48" s="726"/>
      <c r="BJ48" s="726"/>
      <c r="BK48" s="726"/>
      <c r="BL48" s="726"/>
      <c r="BM48" s="726"/>
      <c r="BN48" s="726"/>
      <c r="BO48" s="726"/>
      <c r="BP48" s="726"/>
      <c r="BQ48" s="726"/>
      <c r="BR48" s="726"/>
      <c r="BS48" s="726"/>
    </row>
    <row r="49" spans="1:71" s="563" customFormat="1">
      <c r="A49" s="572"/>
      <c r="B49" s="731"/>
      <c r="C49" s="730"/>
      <c r="D49" s="574"/>
      <c r="E49" s="669"/>
      <c r="F49" s="580"/>
      <c r="Q49" s="726"/>
      <c r="R49" s="726"/>
      <c r="S49" s="726"/>
      <c r="T49" s="726"/>
      <c r="U49" s="726"/>
      <c r="V49" s="726"/>
      <c r="W49" s="726"/>
      <c r="X49" s="726"/>
      <c r="Y49" s="726"/>
      <c r="Z49" s="726"/>
      <c r="AA49" s="726"/>
      <c r="AB49" s="726"/>
      <c r="AC49" s="726"/>
      <c r="AD49" s="726"/>
      <c r="AE49" s="726"/>
      <c r="AF49" s="726"/>
      <c r="AG49" s="726"/>
      <c r="AH49" s="726"/>
      <c r="AI49" s="726"/>
      <c r="AJ49" s="726"/>
      <c r="AK49" s="726"/>
      <c r="AL49" s="726"/>
      <c r="AM49" s="726"/>
      <c r="AN49" s="726"/>
      <c r="AO49" s="726"/>
      <c r="AP49" s="726"/>
      <c r="AQ49" s="726"/>
      <c r="AR49" s="726"/>
      <c r="AS49" s="726"/>
      <c r="AT49" s="726"/>
      <c r="AU49" s="726"/>
      <c r="AV49" s="726"/>
      <c r="AW49" s="726"/>
      <c r="AX49" s="726"/>
      <c r="AY49" s="726"/>
      <c r="AZ49" s="726"/>
      <c r="BA49" s="726"/>
      <c r="BB49" s="726"/>
      <c r="BC49" s="726"/>
      <c r="BD49" s="726"/>
      <c r="BE49" s="726"/>
      <c r="BF49" s="726"/>
      <c r="BG49" s="726"/>
      <c r="BH49" s="726"/>
      <c r="BI49" s="726"/>
      <c r="BJ49" s="726"/>
      <c r="BK49" s="726"/>
      <c r="BL49" s="726"/>
      <c r="BM49" s="726"/>
      <c r="BN49" s="726"/>
      <c r="BO49" s="726"/>
      <c r="BP49" s="726"/>
      <c r="BQ49" s="726"/>
      <c r="BR49" s="726"/>
      <c r="BS49" s="726"/>
    </row>
    <row r="50" spans="1:71" s="563" customFormat="1">
      <c r="A50" s="572"/>
      <c r="B50" s="731"/>
      <c r="C50" s="730"/>
      <c r="D50" s="574"/>
      <c r="E50" s="669"/>
      <c r="F50" s="580"/>
      <c r="Q50" s="726"/>
      <c r="R50" s="726"/>
      <c r="S50" s="726"/>
      <c r="T50" s="726"/>
      <c r="U50" s="726"/>
      <c r="V50" s="726"/>
      <c r="W50" s="726"/>
      <c r="X50" s="726"/>
      <c r="Y50" s="726"/>
      <c r="Z50" s="726"/>
      <c r="AA50" s="726"/>
      <c r="AB50" s="726"/>
      <c r="AC50" s="726"/>
      <c r="AD50" s="726"/>
      <c r="AE50" s="726"/>
      <c r="AF50" s="726"/>
      <c r="AG50" s="726"/>
      <c r="AH50" s="726"/>
      <c r="AI50" s="726"/>
      <c r="AJ50" s="726"/>
      <c r="AK50" s="726"/>
      <c r="AL50" s="726"/>
      <c r="AM50" s="726"/>
      <c r="AN50" s="726"/>
      <c r="AO50" s="726"/>
      <c r="AP50" s="726"/>
      <c r="AQ50" s="726"/>
      <c r="AR50" s="726"/>
      <c r="AS50" s="726"/>
      <c r="AT50" s="726"/>
      <c r="AU50" s="726"/>
      <c r="AV50" s="726"/>
      <c r="AW50" s="726"/>
      <c r="AX50" s="726"/>
      <c r="AY50" s="726"/>
      <c r="AZ50" s="726"/>
      <c r="BA50" s="726"/>
      <c r="BB50" s="726"/>
      <c r="BC50" s="726"/>
      <c r="BD50" s="726"/>
      <c r="BE50" s="726"/>
      <c r="BF50" s="726"/>
      <c r="BG50" s="726"/>
      <c r="BH50" s="726"/>
      <c r="BI50" s="726"/>
      <c r="BJ50" s="726"/>
      <c r="BK50" s="726"/>
      <c r="BL50" s="726"/>
      <c r="BM50" s="726"/>
      <c r="BN50" s="726"/>
      <c r="BO50" s="726"/>
      <c r="BP50" s="726"/>
      <c r="BQ50" s="726"/>
      <c r="BR50" s="726"/>
      <c r="BS50" s="726"/>
    </row>
    <row r="51" spans="1:71" s="563" customFormat="1">
      <c r="A51" s="572"/>
      <c r="B51" s="731"/>
      <c r="C51" s="730"/>
      <c r="D51" s="574"/>
      <c r="E51" s="669"/>
      <c r="F51" s="580"/>
      <c r="Q51" s="726"/>
      <c r="R51" s="726"/>
      <c r="S51" s="726"/>
      <c r="T51" s="726"/>
      <c r="U51" s="726"/>
      <c r="V51" s="726"/>
      <c r="W51" s="726"/>
      <c r="X51" s="726"/>
      <c r="Y51" s="726"/>
      <c r="Z51" s="726"/>
      <c r="AA51" s="726"/>
      <c r="AB51" s="726"/>
      <c r="AC51" s="726"/>
      <c r="AD51" s="726"/>
      <c r="AE51" s="726"/>
      <c r="AF51" s="726"/>
      <c r="AG51" s="726"/>
      <c r="AH51" s="726"/>
      <c r="AI51" s="726"/>
      <c r="AJ51" s="726"/>
      <c r="AK51" s="726"/>
      <c r="AL51" s="726"/>
      <c r="AM51" s="726"/>
      <c r="AN51" s="726"/>
      <c r="AO51" s="726"/>
      <c r="AP51" s="726"/>
      <c r="AQ51" s="726"/>
      <c r="AR51" s="726"/>
      <c r="AS51" s="726"/>
      <c r="AT51" s="726"/>
      <c r="AU51" s="726"/>
      <c r="AV51" s="726"/>
      <c r="AW51" s="726"/>
      <c r="AX51" s="726"/>
      <c r="AY51" s="726"/>
      <c r="AZ51" s="726"/>
      <c r="BA51" s="726"/>
      <c r="BB51" s="726"/>
      <c r="BC51" s="726"/>
      <c r="BD51" s="726"/>
      <c r="BE51" s="726"/>
      <c r="BF51" s="726"/>
      <c r="BG51" s="726"/>
      <c r="BH51" s="726"/>
      <c r="BI51" s="726"/>
      <c r="BJ51" s="726"/>
      <c r="BK51" s="726"/>
      <c r="BL51" s="726"/>
      <c r="BM51" s="726"/>
      <c r="BN51" s="726"/>
      <c r="BO51" s="726"/>
      <c r="BP51" s="726"/>
      <c r="BQ51" s="726"/>
      <c r="BR51" s="726"/>
      <c r="BS51" s="726"/>
    </row>
    <row r="52" spans="1:71" s="563" customFormat="1">
      <c r="A52" s="572"/>
      <c r="B52" s="731"/>
      <c r="C52" s="730"/>
      <c r="D52" s="574"/>
      <c r="E52" s="669"/>
      <c r="F52" s="580"/>
      <c r="Q52" s="726"/>
      <c r="R52" s="726"/>
      <c r="S52" s="726"/>
      <c r="T52" s="726"/>
      <c r="U52" s="726"/>
      <c r="V52" s="726"/>
      <c r="W52" s="726"/>
      <c r="X52" s="726"/>
      <c r="Y52" s="726"/>
      <c r="Z52" s="726"/>
      <c r="AA52" s="726"/>
      <c r="AB52" s="726"/>
      <c r="AC52" s="726"/>
      <c r="AD52" s="726"/>
      <c r="AE52" s="726"/>
      <c r="AF52" s="726"/>
      <c r="AG52" s="726"/>
      <c r="AH52" s="726"/>
      <c r="AI52" s="726"/>
      <c r="AJ52" s="726"/>
      <c r="AK52" s="726"/>
      <c r="AL52" s="726"/>
      <c r="AM52" s="726"/>
      <c r="AN52" s="726"/>
      <c r="AO52" s="726"/>
      <c r="AP52" s="726"/>
      <c r="AQ52" s="726"/>
      <c r="AR52" s="726"/>
      <c r="AS52" s="726"/>
      <c r="AT52" s="726"/>
      <c r="AU52" s="726"/>
      <c r="AV52" s="726"/>
      <c r="AW52" s="726"/>
      <c r="AX52" s="726"/>
      <c r="AY52" s="726"/>
      <c r="AZ52" s="726"/>
      <c r="BA52" s="726"/>
      <c r="BB52" s="726"/>
      <c r="BC52" s="726"/>
      <c r="BD52" s="726"/>
      <c r="BE52" s="726"/>
      <c r="BF52" s="726"/>
      <c r="BG52" s="726"/>
      <c r="BH52" s="726"/>
      <c r="BI52" s="726"/>
      <c r="BJ52" s="726"/>
      <c r="BK52" s="726"/>
      <c r="BL52" s="726"/>
      <c r="BM52" s="726"/>
      <c r="BN52" s="726"/>
      <c r="BO52" s="726"/>
      <c r="BP52" s="726"/>
      <c r="BQ52" s="726"/>
      <c r="BR52" s="726"/>
      <c r="BS52" s="726"/>
    </row>
    <row r="53" spans="1:71" s="563" customFormat="1">
      <c r="A53" s="572"/>
      <c r="B53" s="731"/>
      <c r="C53" s="730"/>
      <c r="D53" s="574"/>
      <c r="E53" s="732"/>
      <c r="F53" s="580"/>
      <c r="Q53" s="726"/>
      <c r="R53" s="726"/>
      <c r="S53" s="726"/>
      <c r="T53" s="726"/>
      <c r="U53" s="726"/>
      <c r="V53" s="726"/>
      <c r="W53" s="726"/>
      <c r="X53" s="726"/>
      <c r="Y53" s="726"/>
      <c r="Z53" s="726"/>
      <c r="AA53" s="726"/>
      <c r="AB53" s="726"/>
      <c r="AC53" s="726"/>
      <c r="AD53" s="726"/>
      <c r="AE53" s="726"/>
      <c r="AF53" s="726"/>
      <c r="AG53" s="726"/>
      <c r="AH53" s="726"/>
      <c r="AI53" s="726"/>
      <c r="AJ53" s="726"/>
      <c r="AK53" s="726"/>
      <c r="AL53" s="726"/>
      <c r="AM53" s="726"/>
      <c r="AN53" s="726"/>
      <c r="AO53" s="726"/>
      <c r="AP53" s="726"/>
      <c r="AQ53" s="726"/>
      <c r="AR53" s="726"/>
      <c r="AS53" s="726"/>
      <c r="AT53" s="726"/>
      <c r="AU53" s="726"/>
      <c r="AV53" s="726"/>
      <c r="AW53" s="726"/>
      <c r="AX53" s="726"/>
      <c r="AY53" s="726"/>
      <c r="AZ53" s="726"/>
      <c r="BA53" s="726"/>
      <c r="BB53" s="726"/>
      <c r="BC53" s="726"/>
      <c r="BD53" s="726"/>
      <c r="BE53" s="726"/>
      <c r="BF53" s="726"/>
      <c r="BG53" s="726"/>
      <c r="BH53" s="726"/>
      <c r="BI53" s="726"/>
      <c r="BJ53" s="726"/>
      <c r="BK53" s="726"/>
      <c r="BL53" s="726"/>
      <c r="BM53" s="726"/>
      <c r="BN53" s="726"/>
      <c r="BO53" s="726"/>
      <c r="BP53" s="726"/>
      <c r="BQ53" s="726"/>
      <c r="BR53" s="726"/>
      <c r="BS53" s="726"/>
    </row>
    <row r="54" spans="1:71" s="563" customFormat="1" ht="13.8" thickBot="1">
      <c r="A54" s="572"/>
      <c r="B54" s="731"/>
      <c r="C54" s="730"/>
      <c r="D54" s="574"/>
      <c r="E54" s="732"/>
      <c r="F54" s="580"/>
      <c r="Q54" s="726"/>
      <c r="R54" s="726"/>
      <c r="S54" s="726"/>
      <c r="T54" s="726"/>
      <c r="U54" s="726"/>
      <c r="V54" s="726"/>
      <c r="W54" s="726"/>
      <c r="X54" s="726"/>
      <c r="Y54" s="726"/>
      <c r="Z54" s="726"/>
      <c r="AA54" s="726"/>
      <c r="AB54" s="726"/>
      <c r="AC54" s="726"/>
      <c r="AD54" s="726"/>
      <c r="AE54" s="726"/>
      <c r="AF54" s="726"/>
      <c r="AG54" s="726"/>
      <c r="AH54" s="726"/>
      <c r="AI54" s="726"/>
      <c r="AJ54" s="726"/>
      <c r="AK54" s="726"/>
      <c r="AL54" s="726"/>
      <c r="AM54" s="726"/>
      <c r="AN54" s="726"/>
      <c r="AO54" s="726"/>
      <c r="AP54" s="726"/>
      <c r="AQ54" s="726"/>
      <c r="AR54" s="726"/>
      <c r="AS54" s="726"/>
      <c r="AT54" s="726"/>
      <c r="AU54" s="726"/>
      <c r="AV54" s="726"/>
      <c r="AW54" s="726"/>
      <c r="AX54" s="726"/>
      <c r="AY54" s="726"/>
      <c r="AZ54" s="726"/>
      <c r="BA54" s="726"/>
      <c r="BB54" s="726"/>
      <c r="BC54" s="726"/>
      <c r="BD54" s="726"/>
      <c r="BE54" s="726"/>
      <c r="BF54" s="726"/>
      <c r="BG54" s="726"/>
      <c r="BH54" s="726"/>
      <c r="BI54" s="726"/>
      <c r="BJ54" s="726"/>
      <c r="BK54" s="726"/>
      <c r="BL54" s="726"/>
      <c r="BM54" s="726"/>
      <c r="BN54" s="726"/>
      <c r="BO54" s="726"/>
      <c r="BP54" s="726"/>
      <c r="BQ54" s="726"/>
      <c r="BR54" s="726"/>
      <c r="BS54" s="726"/>
    </row>
    <row r="55" spans="1:71" s="563" customFormat="1">
      <c r="A55" s="591"/>
      <c r="B55" s="733"/>
      <c r="C55" s="734"/>
      <c r="D55" s="593"/>
      <c r="E55" s="595"/>
      <c r="F55" s="735"/>
      <c r="Q55" s="726"/>
      <c r="R55" s="726"/>
      <c r="S55" s="726"/>
      <c r="T55" s="726"/>
      <c r="U55" s="726"/>
      <c r="V55" s="726"/>
      <c r="W55" s="726"/>
      <c r="X55" s="726"/>
      <c r="Y55" s="726"/>
      <c r="Z55" s="726"/>
      <c r="AA55" s="726"/>
      <c r="AB55" s="726"/>
      <c r="AC55" s="726"/>
      <c r="AD55" s="726"/>
      <c r="AE55" s="726"/>
      <c r="AF55" s="726"/>
      <c r="AG55" s="726"/>
      <c r="AH55" s="726"/>
      <c r="AI55" s="726"/>
      <c r="AJ55" s="726"/>
      <c r="AK55" s="726"/>
      <c r="AL55" s="726"/>
      <c r="AM55" s="726"/>
      <c r="AN55" s="726"/>
      <c r="AO55" s="726"/>
      <c r="AP55" s="726"/>
      <c r="AQ55" s="726"/>
      <c r="AR55" s="726"/>
      <c r="AS55" s="726"/>
      <c r="AT55" s="726"/>
      <c r="AU55" s="726"/>
      <c r="AV55" s="726"/>
      <c r="AW55" s="726"/>
      <c r="AX55" s="726"/>
      <c r="AY55" s="726"/>
      <c r="AZ55" s="726"/>
      <c r="BA55" s="726"/>
      <c r="BB55" s="726"/>
      <c r="BC55" s="726"/>
      <c r="BD55" s="726"/>
      <c r="BE55" s="726"/>
      <c r="BF55" s="726"/>
      <c r="BG55" s="726"/>
      <c r="BH55" s="726"/>
      <c r="BI55" s="726"/>
      <c r="BJ55" s="726"/>
      <c r="BK55" s="726"/>
      <c r="BL55" s="726"/>
      <c r="BM55" s="726"/>
      <c r="BN55" s="726"/>
      <c r="BO55" s="726"/>
      <c r="BP55" s="726"/>
      <c r="BQ55" s="726"/>
      <c r="BR55" s="726"/>
      <c r="BS55" s="726"/>
    </row>
    <row r="56" spans="1:71" s="563" customFormat="1">
      <c r="A56" s="597" t="s">
        <v>702</v>
      </c>
      <c r="B56" s="721" t="s">
        <v>282</v>
      </c>
      <c r="C56" s="736"/>
      <c r="D56" s="599"/>
      <c r="E56" s="601"/>
      <c r="F56" s="602">
        <f>SUM(F6:F54)</f>
        <v>2293.1799999999998</v>
      </c>
      <c r="G56" s="726">
        <f>Elec_Est!F4307</f>
        <v>2293.1799999999998</v>
      </c>
      <c r="Q56" s="726"/>
      <c r="R56" s="726"/>
      <c r="S56" s="726"/>
      <c r="T56" s="726"/>
      <c r="U56" s="726"/>
      <c r="V56" s="726"/>
      <c r="W56" s="726"/>
      <c r="X56" s="726"/>
      <c r="Y56" s="726"/>
      <c r="Z56" s="726"/>
      <c r="AA56" s="726"/>
      <c r="AB56" s="726"/>
      <c r="AC56" s="726"/>
      <c r="AD56" s="726"/>
      <c r="AE56" s="726"/>
      <c r="AF56" s="726"/>
      <c r="AG56" s="726"/>
      <c r="AH56" s="726"/>
      <c r="AI56" s="726"/>
      <c r="AJ56" s="726"/>
      <c r="AK56" s="726"/>
      <c r="AL56" s="726"/>
      <c r="AM56" s="726"/>
      <c r="AN56" s="726"/>
      <c r="AO56" s="726"/>
      <c r="AP56" s="726"/>
      <c r="AQ56" s="726"/>
      <c r="AR56" s="726"/>
      <c r="AS56" s="726"/>
      <c r="AT56" s="726"/>
      <c r="AU56" s="726"/>
      <c r="AV56" s="726"/>
      <c r="AW56" s="726"/>
      <c r="AX56" s="726"/>
      <c r="AY56" s="726"/>
      <c r="AZ56" s="726"/>
      <c r="BA56" s="726"/>
      <c r="BB56" s="726"/>
      <c r="BC56" s="726"/>
      <c r="BD56" s="726"/>
      <c r="BE56" s="726"/>
      <c r="BF56" s="726"/>
      <c r="BG56" s="726"/>
      <c r="BH56" s="726"/>
      <c r="BI56" s="726"/>
      <c r="BJ56" s="726"/>
      <c r="BK56" s="726"/>
      <c r="BL56" s="726"/>
      <c r="BM56" s="726"/>
      <c r="BN56" s="726"/>
      <c r="BO56" s="726"/>
      <c r="BP56" s="726"/>
      <c r="BQ56" s="726"/>
      <c r="BR56" s="726"/>
      <c r="BS56" s="726"/>
    </row>
    <row r="57" spans="1:71" s="563" customFormat="1">
      <c r="A57" s="603"/>
      <c r="B57" s="737"/>
      <c r="C57" s="605"/>
      <c r="D57" s="605"/>
      <c r="E57" s="607"/>
      <c r="F57" s="738"/>
      <c r="Q57" s="726"/>
      <c r="R57" s="726"/>
      <c r="S57" s="726"/>
      <c r="T57" s="726"/>
      <c r="U57" s="726"/>
      <c r="V57" s="726"/>
      <c r="W57" s="726"/>
      <c r="X57" s="726"/>
      <c r="Y57" s="726"/>
      <c r="Z57" s="726"/>
      <c r="AA57" s="726"/>
      <c r="AB57" s="726"/>
      <c r="AC57" s="726"/>
      <c r="AD57" s="726"/>
      <c r="AE57" s="726"/>
      <c r="AF57" s="726"/>
      <c r="AG57" s="726"/>
      <c r="AH57" s="726"/>
      <c r="AI57" s="726"/>
      <c r="AJ57" s="726"/>
      <c r="AK57" s="726"/>
      <c r="AL57" s="726"/>
      <c r="AM57" s="726"/>
      <c r="AN57" s="726"/>
      <c r="AO57" s="726"/>
      <c r="AP57" s="726"/>
      <c r="AQ57" s="726"/>
      <c r="AR57" s="726"/>
      <c r="AS57" s="726"/>
      <c r="AT57" s="726"/>
      <c r="AU57" s="726"/>
      <c r="AV57" s="726"/>
      <c r="AW57" s="726"/>
      <c r="AX57" s="726"/>
      <c r="AY57" s="726"/>
      <c r="AZ57" s="726"/>
      <c r="BA57" s="726"/>
      <c r="BB57" s="726"/>
      <c r="BC57" s="726"/>
      <c r="BD57" s="726"/>
      <c r="BE57" s="726"/>
      <c r="BF57" s="726"/>
      <c r="BG57" s="726"/>
      <c r="BH57" s="726"/>
      <c r="BI57" s="726"/>
      <c r="BJ57" s="726"/>
      <c r="BK57" s="726"/>
      <c r="BL57" s="726"/>
      <c r="BM57" s="726"/>
      <c r="BN57" s="726"/>
      <c r="BO57" s="726"/>
      <c r="BP57" s="726"/>
      <c r="BQ57" s="726"/>
      <c r="BR57" s="726"/>
      <c r="BS57" s="726"/>
    </row>
    <row r="58" spans="1:71" s="563" customFormat="1">
      <c r="A58" s="614"/>
      <c r="B58" s="720"/>
      <c r="E58" s="565"/>
      <c r="F58" s="565"/>
      <c r="Q58" s="726"/>
      <c r="R58" s="726"/>
      <c r="S58" s="726"/>
      <c r="T58" s="726"/>
      <c r="U58" s="726"/>
      <c r="V58" s="726"/>
      <c r="W58" s="726"/>
      <c r="X58" s="726"/>
      <c r="Y58" s="726"/>
      <c r="Z58" s="726"/>
      <c r="AA58" s="726"/>
      <c r="AB58" s="726"/>
      <c r="AC58" s="726"/>
      <c r="AD58" s="726"/>
      <c r="AE58" s="726"/>
      <c r="AF58" s="726"/>
      <c r="AG58" s="726"/>
      <c r="AH58" s="726"/>
      <c r="AI58" s="726"/>
      <c r="AJ58" s="726"/>
      <c r="AK58" s="726"/>
      <c r="AL58" s="726"/>
      <c r="AM58" s="726"/>
      <c r="AN58" s="726"/>
      <c r="AO58" s="726"/>
      <c r="AP58" s="726"/>
      <c r="AQ58" s="726"/>
      <c r="AR58" s="726"/>
      <c r="AS58" s="726"/>
      <c r="AT58" s="726"/>
      <c r="AU58" s="726"/>
      <c r="AV58" s="726"/>
      <c r="AW58" s="726"/>
      <c r="AX58" s="726"/>
      <c r="AY58" s="726"/>
      <c r="AZ58" s="726"/>
      <c r="BA58" s="726"/>
      <c r="BB58" s="726"/>
      <c r="BC58" s="726"/>
      <c r="BD58" s="726"/>
      <c r="BE58" s="726"/>
      <c r="BF58" s="726"/>
      <c r="BG58" s="726"/>
      <c r="BH58" s="726"/>
      <c r="BI58" s="726"/>
      <c r="BJ58" s="726"/>
      <c r="BK58" s="726"/>
      <c r="BL58" s="726"/>
      <c r="BM58" s="726"/>
      <c r="BN58" s="726"/>
      <c r="BO58" s="726"/>
      <c r="BP58" s="726"/>
      <c r="BQ58" s="726"/>
      <c r="BR58" s="726"/>
      <c r="BS58" s="726"/>
    </row>
    <row r="59" spans="1:71" s="563" customFormat="1">
      <c r="A59" s="614"/>
      <c r="B59" s="720"/>
      <c r="E59" s="565"/>
      <c r="F59" s="565"/>
      <c r="Q59" s="726"/>
      <c r="R59" s="726"/>
      <c r="S59" s="726"/>
      <c r="T59" s="726"/>
      <c r="U59" s="726"/>
      <c r="V59" s="726"/>
      <c r="W59" s="726"/>
      <c r="X59" s="726"/>
      <c r="Y59" s="726"/>
      <c r="Z59" s="726"/>
      <c r="AA59" s="726"/>
      <c r="AB59" s="726"/>
      <c r="AC59" s="726"/>
      <c r="AD59" s="726"/>
      <c r="AE59" s="726"/>
      <c r="AF59" s="726"/>
      <c r="AG59" s="726"/>
      <c r="AH59" s="726"/>
      <c r="AI59" s="726"/>
      <c r="AJ59" s="726"/>
      <c r="AK59" s="726"/>
      <c r="AL59" s="726"/>
      <c r="AM59" s="726"/>
      <c r="AN59" s="726"/>
      <c r="AO59" s="726"/>
      <c r="AP59" s="726"/>
      <c r="AQ59" s="726"/>
      <c r="AR59" s="726"/>
      <c r="AS59" s="726"/>
      <c r="AT59" s="726"/>
      <c r="AU59" s="726"/>
      <c r="AV59" s="726"/>
      <c r="AW59" s="726"/>
      <c r="AX59" s="726"/>
      <c r="AY59" s="726"/>
      <c r="AZ59" s="726"/>
      <c r="BA59" s="726"/>
      <c r="BB59" s="726"/>
      <c r="BC59" s="726"/>
      <c r="BD59" s="726"/>
      <c r="BE59" s="726"/>
      <c r="BF59" s="726"/>
      <c r="BG59" s="726"/>
      <c r="BH59" s="726"/>
      <c r="BI59" s="726"/>
      <c r="BJ59" s="726"/>
      <c r="BK59" s="726"/>
      <c r="BL59" s="726"/>
      <c r="BM59" s="726"/>
      <c r="BN59" s="726"/>
      <c r="BO59" s="726"/>
      <c r="BP59" s="726"/>
      <c r="BQ59" s="726"/>
      <c r="BR59" s="726"/>
      <c r="BS59" s="726"/>
    </row>
    <row r="60" spans="1:71" s="563" customFormat="1">
      <c r="A60" s="614"/>
      <c r="B60" s="720"/>
      <c r="E60" s="565"/>
      <c r="F60" s="565"/>
      <c r="Q60" s="726"/>
      <c r="R60" s="726"/>
      <c r="S60" s="726"/>
      <c r="T60" s="726"/>
      <c r="U60" s="726"/>
      <c r="V60" s="726"/>
      <c r="W60" s="726"/>
      <c r="X60" s="726"/>
      <c r="Y60" s="726"/>
      <c r="Z60" s="726"/>
      <c r="AA60" s="726"/>
      <c r="AB60" s="726"/>
      <c r="AC60" s="726"/>
      <c r="AD60" s="726"/>
      <c r="AE60" s="726"/>
      <c r="AF60" s="726"/>
      <c r="AG60" s="726"/>
      <c r="AH60" s="726"/>
      <c r="AI60" s="726"/>
      <c r="AJ60" s="726"/>
      <c r="AK60" s="726"/>
      <c r="AL60" s="726"/>
      <c r="AM60" s="726"/>
      <c r="AN60" s="726"/>
      <c r="AO60" s="726"/>
      <c r="AP60" s="726"/>
      <c r="AQ60" s="726"/>
      <c r="AR60" s="726"/>
      <c r="AS60" s="726"/>
      <c r="AT60" s="726"/>
      <c r="AU60" s="726"/>
      <c r="AV60" s="726"/>
      <c r="AW60" s="726"/>
      <c r="AX60" s="726"/>
      <c r="AY60" s="726"/>
      <c r="AZ60" s="726"/>
      <c r="BA60" s="726"/>
      <c r="BB60" s="726"/>
      <c r="BC60" s="726"/>
      <c r="BD60" s="726"/>
      <c r="BE60" s="726"/>
      <c r="BF60" s="726"/>
      <c r="BG60" s="726"/>
      <c r="BH60" s="726"/>
      <c r="BI60" s="726"/>
      <c r="BJ60" s="726"/>
      <c r="BK60" s="726"/>
      <c r="BL60" s="726"/>
      <c r="BM60" s="726"/>
      <c r="BN60" s="726"/>
      <c r="BO60" s="726"/>
      <c r="BP60" s="726"/>
      <c r="BQ60" s="726"/>
      <c r="BR60" s="726"/>
      <c r="BS60" s="726"/>
    </row>
    <row r="61" spans="1:71" s="563" customFormat="1">
      <c r="A61" s="614"/>
      <c r="B61" s="720"/>
      <c r="E61" s="565"/>
      <c r="F61" s="565"/>
      <c r="Q61" s="726"/>
      <c r="R61" s="726"/>
      <c r="S61" s="726"/>
      <c r="T61" s="726"/>
      <c r="U61" s="726"/>
      <c r="V61" s="726"/>
      <c r="W61" s="726"/>
      <c r="X61" s="726"/>
      <c r="Y61" s="726"/>
      <c r="Z61" s="726"/>
      <c r="AA61" s="726"/>
      <c r="AB61" s="726"/>
      <c r="AC61" s="726"/>
      <c r="AD61" s="726"/>
      <c r="AE61" s="726"/>
      <c r="AF61" s="726"/>
      <c r="AG61" s="726"/>
      <c r="AH61" s="726"/>
      <c r="AI61" s="726"/>
      <c r="AJ61" s="726"/>
      <c r="AK61" s="726"/>
      <c r="AL61" s="726"/>
      <c r="AM61" s="726"/>
      <c r="AN61" s="726"/>
      <c r="AO61" s="726"/>
      <c r="AP61" s="726"/>
      <c r="AQ61" s="726"/>
      <c r="AR61" s="726"/>
      <c r="AS61" s="726"/>
      <c r="AT61" s="726"/>
      <c r="AU61" s="726"/>
      <c r="AV61" s="726"/>
      <c r="AW61" s="726"/>
      <c r="AX61" s="726"/>
      <c r="AY61" s="726"/>
      <c r="AZ61" s="726"/>
      <c r="BA61" s="726"/>
      <c r="BB61" s="726"/>
      <c r="BC61" s="726"/>
      <c r="BD61" s="726"/>
      <c r="BE61" s="726"/>
      <c r="BF61" s="726"/>
      <c r="BG61" s="726"/>
      <c r="BH61" s="726"/>
      <c r="BI61" s="726"/>
      <c r="BJ61" s="726"/>
      <c r="BK61" s="726"/>
      <c r="BL61" s="726"/>
      <c r="BM61" s="726"/>
      <c r="BN61" s="726"/>
      <c r="BO61" s="726"/>
      <c r="BP61" s="726"/>
      <c r="BQ61" s="726"/>
      <c r="BR61" s="726"/>
      <c r="BS61" s="726"/>
    </row>
    <row r="62" spans="1:71" s="563" customFormat="1">
      <c r="A62" s="614"/>
      <c r="B62" s="720"/>
      <c r="E62" s="565"/>
      <c r="F62" s="565"/>
      <c r="Q62" s="726"/>
      <c r="R62" s="726"/>
      <c r="S62" s="726"/>
      <c r="T62" s="726"/>
      <c r="U62" s="726"/>
      <c r="V62" s="726"/>
      <c r="W62" s="726"/>
      <c r="X62" s="726"/>
      <c r="Y62" s="726"/>
      <c r="Z62" s="726"/>
      <c r="AA62" s="726"/>
      <c r="AB62" s="726"/>
      <c r="AC62" s="726"/>
      <c r="AD62" s="726"/>
      <c r="AE62" s="726"/>
      <c r="AF62" s="726"/>
      <c r="AG62" s="726"/>
      <c r="AH62" s="726"/>
      <c r="AI62" s="726"/>
      <c r="AJ62" s="726"/>
      <c r="AK62" s="726"/>
      <c r="AL62" s="726"/>
      <c r="AM62" s="726"/>
      <c r="AN62" s="726"/>
      <c r="AO62" s="726"/>
      <c r="AP62" s="726"/>
      <c r="AQ62" s="726"/>
      <c r="AR62" s="726"/>
      <c r="AS62" s="726"/>
      <c r="AT62" s="726"/>
      <c r="AU62" s="726"/>
      <c r="AV62" s="726"/>
      <c r="AW62" s="726"/>
      <c r="AX62" s="726"/>
      <c r="AY62" s="726"/>
      <c r="AZ62" s="726"/>
      <c r="BA62" s="726"/>
      <c r="BB62" s="726"/>
      <c r="BC62" s="726"/>
      <c r="BD62" s="726"/>
      <c r="BE62" s="726"/>
      <c r="BF62" s="726"/>
      <c r="BG62" s="726"/>
      <c r="BH62" s="726"/>
      <c r="BI62" s="726"/>
      <c r="BJ62" s="726"/>
      <c r="BK62" s="726"/>
      <c r="BL62" s="726"/>
      <c r="BM62" s="726"/>
      <c r="BN62" s="726"/>
      <c r="BO62" s="726"/>
      <c r="BP62" s="726"/>
      <c r="BQ62" s="726"/>
      <c r="BR62" s="726"/>
      <c r="BS62" s="726"/>
    </row>
    <row r="63" spans="1:71" s="563" customFormat="1">
      <c r="A63" s="614"/>
      <c r="B63" s="720"/>
      <c r="E63" s="565"/>
      <c r="F63" s="565"/>
      <c r="Q63" s="726"/>
      <c r="R63" s="726"/>
      <c r="S63" s="726"/>
      <c r="T63" s="726"/>
      <c r="U63" s="726"/>
      <c r="V63" s="726"/>
      <c r="W63" s="726"/>
      <c r="X63" s="726"/>
      <c r="Y63" s="726"/>
      <c r="Z63" s="726"/>
      <c r="AA63" s="726"/>
      <c r="AB63" s="726"/>
      <c r="AC63" s="726"/>
      <c r="AD63" s="726"/>
      <c r="AE63" s="726"/>
      <c r="AF63" s="726"/>
      <c r="AG63" s="726"/>
      <c r="AH63" s="726"/>
      <c r="AI63" s="726"/>
      <c r="AJ63" s="726"/>
      <c r="AK63" s="726"/>
      <c r="AL63" s="726"/>
      <c r="AM63" s="726"/>
      <c r="AN63" s="726"/>
      <c r="AO63" s="726"/>
      <c r="AP63" s="726"/>
      <c r="AQ63" s="726"/>
      <c r="AR63" s="726"/>
      <c r="AS63" s="726"/>
      <c r="AT63" s="726"/>
      <c r="AU63" s="726"/>
      <c r="AV63" s="726"/>
      <c r="AW63" s="726"/>
      <c r="AX63" s="726"/>
      <c r="AY63" s="726"/>
      <c r="AZ63" s="726"/>
      <c r="BA63" s="726"/>
      <c r="BB63" s="726"/>
      <c r="BC63" s="726"/>
      <c r="BD63" s="726"/>
      <c r="BE63" s="726"/>
      <c r="BF63" s="726"/>
      <c r="BG63" s="726"/>
      <c r="BH63" s="726"/>
      <c r="BI63" s="726"/>
      <c r="BJ63" s="726"/>
      <c r="BK63" s="726"/>
      <c r="BL63" s="726"/>
      <c r="BM63" s="726"/>
      <c r="BN63" s="726"/>
      <c r="BO63" s="726"/>
      <c r="BP63" s="726"/>
      <c r="BQ63" s="726"/>
      <c r="BR63" s="726"/>
      <c r="BS63" s="726"/>
    </row>
    <row r="64" spans="1:71" s="563" customFormat="1">
      <c r="A64" s="614"/>
      <c r="B64" s="720"/>
      <c r="E64" s="565"/>
      <c r="F64" s="565"/>
      <c r="Q64" s="726"/>
      <c r="R64" s="726"/>
      <c r="S64" s="726"/>
      <c r="T64" s="726"/>
      <c r="U64" s="726"/>
      <c r="V64" s="726"/>
      <c r="W64" s="726"/>
      <c r="X64" s="726"/>
      <c r="Y64" s="726"/>
      <c r="Z64" s="726"/>
      <c r="AA64" s="726"/>
      <c r="AB64" s="726"/>
      <c r="AC64" s="726"/>
      <c r="AD64" s="726"/>
      <c r="AE64" s="726"/>
      <c r="AF64" s="726"/>
      <c r="AG64" s="726"/>
      <c r="AH64" s="726"/>
      <c r="AI64" s="726"/>
      <c r="AJ64" s="726"/>
      <c r="AK64" s="726"/>
      <c r="AL64" s="726"/>
      <c r="AM64" s="726"/>
      <c r="AN64" s="726"/>
      <c r="AO64" s="726"/>
      <c r="AP64" s="726"/>
      <c r="AQ64" s="726"/>
      <c r="AR64" s="726"/>
      <c r="AS64" s="726"/>
      <c r="AT64" s="726"/>
      <c r="AU64" s="726"/>
      <c r="AV64" s="726"/>
      <c r="AW64" s="726"/>
      <c r="AX64" s="726"/>
      <c r="AY64" s="726"/>
      <c r="AZ64" s="726"/>
      <c r="BA64" s="726"/>
      <c r="BB64" s="726"/>
      <c r="BC64" s="726"/>
      <c r="BD64" s="726"/>
      <c r="BE64" s="726"/>
      <c r="BF64" s="726"/>
      <c r="BG64" s="726"/>
      <c r="BH64" s="726"/>
      <c r="BI64" s="726"/>
      <c r="BJ64" s="726"/>
      <c r="BK64" s="726"/>
      <c r="BL64" s="726"/>
      <c r="BM64" s="726"/>
      <c r="BN64" s="726"/>
      <c r="BO64" s="726"/>
      <c r="BP64" s="726"/>
      <c r="BQ64" s="726"/>
      <c r="BR64" s="726"/>
      <c r="BS64" s="726"/>
    </row>
    <row r="65" spans="1:71" s="563" customFormat="1">
      <c r="A65" s="614"/>
      <c r="B65" s="720"/>
      <c r="E65" s="565"/>
      <c r="F65" s="565"/>
      <c r="Q65" s="726"/>
      <c r="R65" s="726"/>
      <c r="S65" s="726"/>
      <c r="T65" s="726"/>
      <c r="U65" s="726"/>
      <c r="V65" s="726"/>
      <c r="W65" s="726"/>
      <c r="X65" s="726"/>
      <c r="Y65" s="726"/>
      <c r="Z65" s="726"/>
      <c r="AA65" s="726"/>
      <c r="AB65" s="726"/>
      <c r="AC65" s="726"/>
      <c r="AD65" s="726"/>
      <c r="AE65" s="726"/>
      <c r="AF65" s="726"/>
      <c r="AG65" s="726"/>
      <c r="AH65" s="726"/>
      <c r="AI65" s="726"/>
      <c r="AJ65" s="726"/>
      <c r="AK65" s="726"/>
      <c r="AL65" s="726"/>
      <c r="AM65" s="726"/>
      <c r="AN65" s="726"/>
      <c r="AO65" s="726"/>
      <c r="AP65" s="726"/>
      <c r="AQ65" s="726"/>
      <c r="AR65" s="726"/>
      <c r="AS65" s="726"/>
      <c r="AT65" s="726"/>
      <c r="AU65" s="726"/>
      <c r="AV65" s="726"/>
      <c r="AW65" s="726"/>
      <c r="AX65" s="726"/>
      <c r="AY65" s="726"/>
      <c r="AZ65" s="726"/>
      <c r="BA65" s="726"/>
      <c r="BB65" s="726"/>
      <c r="BC65" s="726"/>
      <c r="BD65" s="726"/>
      <c r="BE65" s="726"/>
      <c r="BF65" s="726"/>
      <c r="BG65" s="726"/>
      <c r="BH65" s="726"/>
      <c r="BI65" s="726"/>
      <c r="BJ65" s="726"/>
      <c r="BK65" s="726"/>
      <c r="BL65" s="726"/>
      <c r="BM65" s="726"/>
      <c r="BN65" s="726"/>
      <c r="BO65" s="726"/>
      <c r="BP65" s="726"/>
      <c r="BQ65" s="726"/>
      <c r="BR65" s="726"/>
      <c r="BS65" s="726"/>
    </row>
    <row r="66" spans="1:71" s="563" customFormat="1">
      <c r="A66" s="614"/>
      <c r="E66" s="565"/>
      <c r="F66" s="565"/>
      <c r="Q66" s="726"/>
      <c r="R66" s="726"/>
      <c r="S66" s="726"/>
      <c r="T66" s="726"/>
      <c r="U66" s="726"/>
      <c r="V66" s="726"/>
      <c r="W66" s="726"/>
      <c r="X66" s="726"/>
      <c r="Y66" s="726"/>
      <c r="Z66" s="726"/>
      <c r="AA66" s="726"/>
      <c r="AB66" s="726"/>
      <c r="AC66" s="726"/>
      <c r="AD66" s="726"/>
      <c r="AE66" s="726"/>
      <c r="AF66" s="726"/>
      <c r="AG66" s="726"/>
      <c r="AH66" s="726"/>
      <c r="AI66" s="726"/>
      <c r="AJ66" s="726"/>
      <c r="AK66" s="726"/>
      <c r="AL66" s="726"/>
      <c r="AM66" s="726"/>
      <c r="AN66" s="726"/>
      <c r="AO66" s="726"/>
      <c r="AP66" s="726"/>
      <c r="AQ66" s="726"/>
      <c r="AR66" s="726"/>
      <c r="AS66" s="726"/>
      <c r="AT66" s="726"/>
      <c r="AU66" s="726"/>
      <c r="AV66" s="726"/>
      <c r="AW66" s="726"/>
      <c r="AX66" s="726"/>
      <c r="AY66" s="726"/>
      <c r="AZ66" s="726"/>
      <c r="BA66" s="726"/>
      <c r="BB66" s="726"/>
      <c r="BC66" s="726"/>
      <c r="BD66" s="726"/>
      <c r="BE66" s="726"/>
      <c r="BF66" s="726"/>
      <c r="BG66" s="726"/>
      <c r="BH66" s="726"/>
      <c r="BI66" s="726"/>
      <c r="BJ66" s="726"/>
      <c r="BK66" s="726"/>
      <c r="BL66" s="726"/>
      <c r="BM66" s="726"/>
      <c r="BN66" s="726"/>
      <c r="BO66" s="726"/>
      <c r="BP66" s="726"/>
      <c r="BQ66" s="726"/>
      <c r="BR66" s="726"/>
      <c r="BS66" s="726"/>
    </row>
    <row r="67" spans="1:71" s="563" customFormat="1">
      <c r="A67" s="614"/>
      <c r="E67" s="565"/>
      <c r="F67" s="565"/>
      <c r="Q67" s="726"/>
      <c r="R67" s="726"/>
      <c r="S67" s="726"/>
      <c r="T67" s="726"/>
      <c r="U67" s="726"/>
      <c r="V67" s="726"/>
      <c r="W67" s="726"/>
      <c r="X67" s="726"/>
      <c r="Y67" s="726"/>
      <c r="Z67" s="726"/>
      <c r="AA67" s="726"/>
      <c r="AB67" s="726"/>
      <c r="AC67" s="726"/>
      <c r="AD67" s="726"/>
      <c r="AE67" s="726"/>
      <c r="AF67" s="726"/>
      <c r="AG67" s="726"/>
      <c r="AH67" s="726"/>
      <c r="AI67" s="726"/>
      <c r="AJ67" s="726"/>
      <c r="AK67" s="726"/>
      <c r="AL67" s="726"/>
      <c r="AM67" s="726"/>
      <c r="AN67" s="726"/>
      <c r="AO67" s="726"/>
      <c r="AP67" s="726"/>
      <c r="AQ67" s="726"/>
      <c r="AR67" s="726"/>
      <c r="AS67" s="726"/>
      <c r="AT67" s="726"/>
      <c r="AU67" s="726"/>
      <c r="AV67" s="726"/>
      <c r="AW67" s="726"/>
      <c r="AX67" s="726"/>
      <c r="AY67" s="726"/>
      <c r="AZ67" s="726"/>
      <c r="BA67" s="726"/>
      <c r="BB67" s="726"/>
      <c r="BC67" s="726"/>
      <c r="BD67" s="726"/>
      <c r="BE67" s="726"/>
      <c r="BF67" s="726"/>
      <c r="BG67" s="726"/>
      <c r="BH67" s="726"/>
      <c r="BI67" s="726"/>
      <c r="BJ67" s="726"/>
      <c r="BK67" s="726"/>
      <c r="BL67" s="726"/>
      <c r="BM67" s="726"/>
      <c r="BN67" s="726"/>
      <c r="BO67" s="726"/>
      <c r="BP67" s="726"/>
      <c r="BQ67" s="726"/>
      <c r="BR67" s="726"/>
      <c r="BS67" s="726"/>
    </row>
    <row r="68" spans="1:71" s="563" customFormat="1">
      <c r="A68" s="614"/>
      <c r="E68" s="565"/>
      <c r="F68" s="565"/>
      <c r="Q68" s="726"/>
      <c r="R68" s="726"/>
      <c r="S68" s="726"/>
      <c r="T68" s="726"/>
      <c r="U68" s="726"/>
      <c r="V68" s="726"/>
      <c r="W68" s="726"/>
      <c r="X68" s="726"/>
      <c r="Y68" s="726"/>
      <c r="Z68" s="726"/>
      <c r="AA68" s="726"/>
      <c r="AB68" s="726"/>
      <c r="AC68" s="726"/>
      <c r="AD68" s="726"/>
      <c r="AE68" s="726"/>
      <c r="AF68" s="726"/>
      <c r="AG68" s="726"/>
      <c r="AH68" s="726"/>
      <c r="AI68" s="726"/>
      <c r="AJ68" s="726"/>
      <c r="AK68" s="726"/>
      <c r="AL68" s="726"/>
      <c r="AM68" s="726"/>
      <c r="AN68" s="726"/>
      <c r="AO68" s="726"/>
      <c r="AP68" s="726"/>
      <c r="AQ68" s="726"/>
      <c r="AR68" s="726"/>
      <c r="AS68" s="726"/>
      <c r="AT68" s="726"/>
      <c r="AU68" s="726"/>
      <c r="AV68" s="726"/>
      <c r="AW68" s="726"/>
      <c r="AX68" s="726"/>
      <c r="AY68" s="726"/>
      <c r="AZ68" s="726"/>
      <c r="BA68" s="726"/>
      <c r="BB68" s="726"/>
      <c r="BC68" s="726"/>
      <c r="BD68" s="726"/>
      <c r="BE68" s="726"/>
      <c r="BF68" s="726"/>
      <c r="BG68" s="726"/>
      <c r="BH68" s="726"/>
      <c r="BI68" s="726"/>
      <c r="BJ68" s="726"/>
      <c r="BK68" s="726"/>
      <c r="BL68" s="726"/>
      <c r="BM68" s="726"/>
      <c r="BN68" s="726"/>
      <c r="BO68" s="726"/>
      <c r="BP68" s="726"/>
      <c r="BQ68" s="726"/>
      <c r="BR68" s="726"/>
      <c r="BS68" s="726"/>
    </row>
    <row r="69" spans="1:71" s="563" customFormat="1">
      <c r="A69" s="614"/>
      <c r="E69" s="565"/>
      <c r="F69" s="565"/>
      <c r="Q69" s="726"/>
      <c r="R69" s="726"/>
      <c r="S69" s="726"/>
      <c r="T69" s="726"/>
      <c r="U69" s="726"/>
      <c r="V69" s="726"/>
      <c r="W69" s="726"/>
      <c r="X69" s="726"/>
      <c r="Y69" s="726"/>
      <c r="Z69" s="726"/>
      <c r="AA69" s="726"/>
      <c r="AB69" s="726"/>
      <c r="AC69" s="726"/>
      <c r="AD69" s="726"/>
      <c r="AE69" s="726"/>
      <c r="AF69" s="726"/>
      <c r="AG69" s="726"/>
      <c r="AH69" s="726"/>
      <c r="AI69" s="726"/>
      <c r="AJ69" s="726"/>
      <c r="AK69" s="726"/>
      <c r="AL69" s="726"/>
      <c r="AM69" s="726"/>
      <c r="AN69" s="726"/>
      <c r="AO69" s="726"/>
      <c r="AP69" s="726"/>
      <c r="AQ69" s="726"/>
      <c r="AR69" s="726"/>
      <c r="AS69" s="726"/>
      <c r="AT69" s="726"/>
      <c r="AU69" s="726"/>
      <c r="AV69" s="726"/>
      <c r="AW69" s="726"/>
      <c r="AX69" s="726"/>
      <c r="AY69" s="726"/>
      <c r="AZ69" s="726"/>
      <c r="BA69" s="726"/>
      <c r="BB69" s="726"/>
      <c r="BC69" s="726"/>
      <c r="BD69" s="726"/>
      <c r="BE69" s="726"/>
      <c r="BF69" s="726"/>
      <c r="BG69" s="726"/>
      <c r="BH69" s="726"/>
      <c r="BI69" s="726"/>
      <c r="BJ69" s="726"/>
      <c r="BK69" s="726"/>
      <c r="BL69" s="726"/>
      <c r="BM69" s="726"/>
      <c r="BN69" s="726"/>
      <c r="BO69" s="726"/>
      <c r="BP69" s="726"/>
      <c r="BQ69" s="726"/>
      <c r="BR69" s="726"/>
      <c r="BS69" s="726"/>
    </row>
    <row r="70" spans="1:71" s="563" customFormat="1">
      <c r="A70" s="614"/>
      <c r="E70" s="565"/>
      <c r="F70" s="565"/>
      <c r="Q70" s="726"/>
      <c r="R70" s="726"/>
      <c r="S70" s="726"/>
      <c r="T70" s="726"/>
      <c r="U70" s="726"/>
      <c r="V70" s="726"/>
      <c r="W70" s="726"/>
      <c r="X70" s="726"/>
      <c r="Y70" s="726"/>
      <c r="Z70" s="726"/>
      <c r="AA70" s="726"/>
      <c r="AB70" s="726"/>
      <c r="AC70" s="726"/>
      <c r="AD70" s="726"/>
      <c r="AE70" s="726"/>
      <c r="AF70" s="726"/>
      <c r="AG70" s="726"/>
      <c r="AH70" s="726"/>
      <c r="AI70" s="726"/>
      <c r="AJ70" s="726"/>
      <c r="AK70" s="726"/>
      <c r="AL70" s="726"/>
      <c r="AM70" s="726"/>
      <c r="AN70" s="726"/>
      <c r="AO70" s="726"/>
      <c r="AP70" s="726"/>
      <c r="AQ70" s="726"/>
      <c r="AR70" s="726"/>
      <c r="AS70" s="726"/>
      <c r="AT70" s="726"/>
      <c r="AU70" s="726"/>
      <c r="AV70" s="726"/>
      <c r="AW70" s="726"/>
      <c r="AX70" s="726"/>
      <c r="AY70" s="726"/>
      <c r="AZ70" s="726"/>
      <c r="BA70" s="726"/>
      <c r="BB70" s="726"/>
      <c r="BC70" s="726"/>
      <c r="BD70" s="726"/>
      <c r="BE70" s="726"/>
      <c r="BF70" s="726"/>
      <c r="BG70" s="726"/>
      <c r="BH70" s="726"/>
      <c r="BI70" s="726"/>
      <c r="BJ70" s="726"/>
      <c r="BK70" s="726"/>
      <c r="BL70" s="726"/>
      <c r="BM70" s="726"/>
      <c r="BN70" s="726"/>
      <c r="BO70" s="726"/>
      <c r="BP70" s="726"/>
      <c r="BQ70" s="726"/>
      <c r="BR70" s="726"/>
      <c r="BS70" s="726"/>
    </row>
    <row r="71" spans="1:71" s="563" customFormat="1">
      <c r="A71" s="614"/>
      <c r="E71" s="565"/>
      <c r="F71" s="565"/>
      <c r="Q71" s="726"/>
      <c r="R71" s="726"/>
      <c r="S71" s="726"/>
      <c r="T71" s="726"/>
      <c r="U71" s="726"/>
      <c r="V71" s="726"/>
      <c r="W71" s="726"/>
      <c r="X71" s="726"/>
      <c r="Y71" s="726"/>
      <c r="Z71" s="726"/>
      <c r="AA71" s="726"/>
      <c r="AB71" s="726"/>
      <c r="AC71" s="726"/>
      <c r="AD71" s="726"/>
      <c r="AE71" s="726"/>
      <c r="AF71" s="726"/>
      <c r="AG71" s="726"/>
      <c r="AH71" s="726"/>
      <c r="AI71" s="726"/>
      <c r="AJ71" s="726"/>
      <c r="AK71" s="726"/>
      <c r="AL71" s="726"/>
      <c r="AM71" s="726"/>
      <c r="AN71" s="726"/>
      <c r="AO71" s="726"/>
      <c r="AP71" s="726"/>
      <c r="AQ71" s="726"/>
      <c r="AR71" s="726"/>
      <c r="AS71" s="726"/>
      <c r="AT71" s="726"/>
      <c r="AU71" s="726"/>
      <c r="AV71" s="726"/>
      <c r="AW71" s="726"/>
      <c r="AX71" s="726"/>
      <c r="AY71" s="726"/>
      <c r="AZ71" s="726"/>
      <c r="BA71" s="726"/>
      <c r="BB71" s="726"/>
      <c r="BC71" s="726"/>
      <c r="BD71" s="726"/>
      <c r="BE71" s="726"/>
      <c r="BF71" s="726"/>
      <c r="BG71" s="726"/>
      <c r="BH71" s="726"/>
      <c r="BI71" s="726"/>
      <c r="BJ71" s="726"/>
      <c r="BK71" s="726"/>
      <c r="BL71" s="726"/>
      <c r="BM71" s="726"/>
      <c r="BN71" s="726"/>
      <c r="BO71" s="726"/>
      <c r="BP71" s="726"/>
      <c r="BQ71" s="726"/>
      <c r="BR71" s="726"/>
      <c r="BS71" s="726"/>
    </row>
    <row r="72" spans="1:71" s="563" customFormat="1">
      <c r="A72" s="614"/>
      <c r="E72" s="565"/>
      <c r="F72" s="565"/>
      <c r="Q72" s="726"/>
      <c r="R72" s="726"/>
      <c r="S72" s="726"/>
      <c r="T72" s="726"/>
      <c r="U72" s="726"/>
      <c r="V72" s="726"/>
      <c r="W72" s="726"/>
      <c r="X72" s="726"/>
      <c r="Y72" s="726"/>
      <c r="Z72" s="726"/>
      <c r="AA72" s="726"/>
      <c r="AB72" s="726"/>
      <c r="AC72" s="726"/>
      <c r="AD72" s="726"/>
      <c r="AE72" s="726"/>
      <c r="AF72" s="726"/>
      <c r="AG72" s="726"/>
      <c r="AH72" s="726"/>
      <c r="AI72" s="726"/>
      <c r="AJ72" s="726"/>
      <c r="AK72" s="726"/>
      <c r="AL72" s="726"/>
      <c r="AM72" s="726"/>
      <c r="AN72" s="726"/>
      <c r="AO72" s="726"/>
      <c r="AP72" s="726"/>
      <c r="AQ72" s="726"/>
      <c r="AR72" s="726"/>
      <c r="AS72" s="726"/>
      <c r="AT72" s="726"/>
      <c r="AU72" s="726"/>
      <c r="AV72" s="726"/>
      <c r="AW72" s="726"/>
      <c r="AX72" s="726"/>
      <c r="AY72" s="726"/>
      <c r="AZ72" s="726"/>
      <c r="BA72" s="726"/>
      <c r="BB72" s="726"/>
      <c r="BC72" s="726"/>
      <c r="BD72" s="726"/>
      <c r="BE72" s="726"/>
      <c r="BF72" s="726"/>
      <c r="BG72" s="726"/>
      <c r="BH72" s="726"/>
      <c r="BI72" s="726"/>
      <c r="BJ72" s="726"/>
      <c r="BK72" s="726"/>
      <c r="BL72" s="726"/>
      <c r="BM72" s="726"/>
      <c r="BN72" s="726"/>
      <c r="BO72" s="726"/>
      <c r="BP72" s="726"/>
      <c r="BQ72" s="726"/>
      <c r="BR72" s="726"/>
      <c r="BS72" s="726"/>
    </row>
    <row r="73" spans="1:71" s="563" customFormat="1">
      <c r="A73" s="614"/>
      <c r="E73" s="565"/>
      <c r="F73" s="565"/>
      <c r="Q73" s="726"/>
      <c r="R73" s="726"/>
      <c r="S73" s="726"/>
      <c r="T73" s="726"/>
      <c r="U73" s="726"/>
      <c r="V73" s="726"/>
      <c r="W73" s="726"/>
      <c r="X73" s="726"/>
      <c r="Y73" s="726"/>
      <c r="Z73" s="726"/>
      <c r="AA73" s="726"/>
      <c r="AB73" s="726"/>
      <c r="AC73" s="726"/>
      <c r="AD73" s="726"/>
      <c r="AE73" s="726"/>
      <c r="AF73" s="726"/>
      <c r="AG73" s="726"/>
      <c r="AH73" s="726"/>
      <c r="AI73" s="726"/>
      <c r="AJ73" s="726"/>
      <c r="AK73" s="726"/>
      <c r="AL73" s="726"/>
      <c r="AM73" s="726"/>
      <c r="AN73" s="726"/>
      <c r="AO73" s="726"/>
      <c r="AP73" s="726"/>
      <c r="AQ73" s="726"/>
      <c r="AR73" s="726"/>
      <c r="AS73" s="726"/>
      <c r="AT73" s="726"/>
      <c r="AU73" s="726"/>
      <c r="AV73" s="726"/>
      <c r="AW73" s="726"/>
      <c r="AX73" s="726"/>
      <c r="AY73" s="726"/>
      <c r="AZ73" s="726"/>
      <c r="BA73" s="726"/>
      <c r="BB73" s="726"/>
      <c r="BC73" s="726"/>
      <c r="BD73" s="726"/>
      <c r="BE73" s="726"/>
      <c r="BF73" s="726"/>
      <c r="BG73" s="726"/>
      <c r="BH73" s="726"/>
      <c r="BI73" s="726"/>
      <c r="BJ73" s="726"/>
      <c r="BK73" s="726"/>
      <c r="BL73" s="726"/>
      <c r="BM73" s="726"/>
      <c r="BN73" s="726"/>
      <c r="BO73" s="726"/>
      <c r="BP73" s="726"/>
      <c r="BQ73" s="726"/>
      <c r="BR73" s="726"/>
      <c r="BS73" s="726"/>
    </row>
    <row r="74" spans="1:71" s="563" customFormat="1">
      <c r="A74" s="614"/>
      <c r="E74" s="565"/>
      <c r="F74" s="565"/>
      <c r="Q74" s="726"/>
      <c r="R74" s="726"/>
      <c r="S74" s="726"/>
      <c r="T74" s="726"/>
      <c r="U74" s="726"/>
      <c r="V74" s="726"/>
      <c r="W74" s="726"/>
      <c r="X74" s="726"/>
      <c r="Y74" s="726"/>
      <c r="Z74" s="726"/>
      <c r="AA74" s="726"/>
      <c r="AB74" s="726"/>
      <c r="AC74" s="726"/>
      <c r="AD74" s="726"/>
      <c r="AE74" s="726"/>
      <c r="AF74" s="726"/>
      <c r="AG74" s="726"/>
      <c r="AH74" s="726"/>
      <c r="AI74" s="726"/>
      <c r="AJ74" s="726"/>
      <c r="AK74" s="726"/>
      <c r="AL74" s="726"/>
      <c r="AM74" s="726"/>
      <c r="AN74" s="726"/>
      <c r="AO74" s="726"/>
      <c r="AP74" s="726"/>
      <c r="AQ74" s="726"/>
      <c r="AR74" s="726"/>
      <c r="AS74" s="726"/>
      <c r="AT74" s="726"/>
      <c r="AU74" s="726"/>
      <c r="AV74" s="726"/>
      <c r="AW74" s="726"/>
      <c r="AX74" s="726"/>
      <c r="AY74" s="726"/>
      <c r="AZ74" s="726"/>
      <c r="BA74" s="726"/>
      <c r="BB74" s="726"/>
      <c r="BC74" s="726"/>
      <c r="BD74" s="726"/>
      <c r="BE74" s="726"/>
      <c r="BF74" s="726"/>
      <c r="BG74" s="726"/>
      <c r="BH74" s="726"/>
      <c r="BI74" s="726"/>
      <c r="BJ74" s="726"/>
      <c r="BK74" s="726"/>
      <c r="BL74" s="726"/>
      <c r="BM74" s="726"/>
      <c r="BN74" s="726"/>
      <c r="BO74" s="726"/>
      <c r="BP74" s="726"/>
      <c r="BQ74" s="726"/>
      <c r="BR74" s="726"/>
      <c r="BS74" s="726"/>
    </row>
    <row r="75" spans="1:71" s="563" customFormat="1">
      <c r="A75" s="614"/>
      <c r="E75" s="565"/>
      <c r="F75" s="565"/>
      <c r="Q75" s="726"/>
      <c r="R75" s="726"/>
      <c r="S75" s="726"/>
      <c r="T75" s="726"/>
      <c r="U75" s="726"/>
      <c r="V75" s="726"/>
      <c r="W75" s="726"/>
      <c r="X75" s="726"/>
      <c r="Y75" s="726"/>
      <c r="Z75" s="726"/>
      <c r="AA75" s="726"/>
      <c r="AB75" s="726"/>
      <c r="AC75" s="726"/>
      <c r="AD75" s="726"/>
      <c r="AE75" s="726"/>
      <c r="AF75" s="726"/>
      <c r="AG75" s="726"/>
      <c r="AH75" s="726"/>
      <c r="AI75" s="726"/>
      <c r="AJ75" s="726"/>
      <c r="AK75" s="726"/>
      <c r="AL75" s="726"/>
      <c r="AM75" s="726"/>
      <c r="AN75" s="726"/>
      <c r="AO75" s="726"/>
      <c r="AP75" s="726"/>
      <c r="AQ75" s="726"/>
      <c r="AR75" s="726"/>
      <c r="AS75" s="726"/>
      <c r="AT75" s="726"/>
      <c r="AU75" s="726"/>
      <c r="AV75" s="726"/>
      <c r="AW75" s="726"/>
      <c r="AX75" s="726"/>
      <c r="AY75" s="726"/>
      <c r="AZ75" s="726"/>
      <c r="BA75" s="726"/>
      <c r="BB75" s="726"/>
      <c r="BC75" s="726"/>
      <c r="BD75" s="726"/>
      <c r="BE75" s="726"/>
      <c r="BF75" s="726"/>
      <c r="BG75" s="726"/>
      <c r="BH75" s="726"/>
      <c r="BI75" s="726"/>
      <c r="BJ75" s="726"/>
      <c r="BK75" s="726"/>
      <c r="BL75" s="726"/>
      <c r="BM75" s="726"/>
      <c r="BN75" s="726"/>
      <c r="BO75" s="726"/>
      <c r="BP75" s="726"/>
      <c r="BQ75" s="726"/>
      <c r="BR75" s="726"/>
      <c r="BS75" s="726"/>
    </row>
    <row r="76" spans="1:71" s="563" customFormat="1">
      <c r="A76" s="614"/>
      <c r="E76" s="565"/>
      <c r="F76" s="565"/>
      <c r="Q76" s="726"/>
      <c r="R76" s="726"/>
      <c r="S76" s="726"/>
      <c r="T76" s="726"/>
      <c r="U76" s="726"/>
      <c r="V76" s="726"/>
      <c r="W76" s="726"/>
      <c r="X76" s="726"/>
      <c r="Y76" s="726"/>
      <c r="Z76" s="726"/>
      <c r="AA76" s="726"/>
      <c r="AB76" s="726"/>
      <c r="AC76" s="726"/>
      <c r="AD76" s="726"/>
      <c r="AE76" s="726"/>
      <c r="AF76" s="726"/>
      <c r="AG76" s="726"/>
      <c r="AH76" s="726"/>
      <c r="AI76" s="726"/>
      <c r="AJ76" s="726"/>
      <c r="AK76" s="726"/>
      <c r="AL76" s="726"/>
      <c r="AM76" s="726"/>
      <c r="AN76" s="726"/>
      <c r="AO76" s="726"/>
      <c r="AP76" s="726"/>
      <c r="AQ76" s="726"/>
      <c r="AR76" s="726"/>
      <c r="AS76" s="726"/>
      <c r="AT76" s="726"/>
      <c r="AU76" s="726"/>
      <c r="AV76" s="726"/>
      <c r="AW76" s="726"/>
      <c r="AX76" s="726"/>
      <c r="AY76" s="726"/>
      <c r="AZ76" s="726"/>
      <c r="BA76" s="726"/>
      <c r="BB76" s="726"/>
      <c r="BC76" s="726"/>
      <c r="BD76" s="726"/>
      <c r="BE76" s="726"/>
      <c r="BF76" s="726"/>
      <c r="BG76" s="726"/>
      <c r="BH76" s="726"/>
      <c r="BI76" s="726"/>
      <c r="BJ76" s="726"/>
      <c r="BK76" s="726"/>
      <c r="BL76" s="726"/>
      <c r="BM76" s="726"/>
      <c r="BN76" s="726"/>
      <c r="BO76" s="726"/>
      <c r="BP76" s="726"/>
      <c r="BQ76" s="726"/>
      <c r="BR76" s="726"/>
      <c r="BS76" s="726"/>
    </row>
    <row r="77" spans="1:71" s="563" customFormat="1">
      <c r="A77" s="614"/>
      <c r="E77" s="565"/>
      <c r="F77" s="565"/>
      <c r="Q77" s="726"/>
      <c r="R77" s="726"/>
      <c r="S77" s="726"/>
      <c r="T77" s="726"/>
      <c r="U77" s="726"/>
      <c r="V77" s="726"/>
      <c r="W77" s="726"/>
      <c r="X77" s="726"/>
      <c r="Y77" s="726"/>
      <c r="Z77" s="726"/>
      <c r="AA77" s="726"/>
      <c r="AB77" s="726"/>
      <c r="AC77" s="726"/>
      <c r="AD77" s="726"/>
      <c r="AE77" s="726"/>
      <c r="AF77" s="726"/>
      <c r="AG77" s="726"/>
      <c r="AH77" s="726"/>
      <c r="AI77" s="726"/>
      <c r="AJ77" s="726"/>
      <c r="AK77" s="726"/>
      <c r="AL77" s="726"/>
      <c r="AM77" s="726"/>
      <c r="AN77" s="726"/>
      <c r="AO77" s="726"/>
      <c r="AP77" s="726"/>
      <c r="AQ77" s="726"/>
      <c r="AR77" s="726"/>
      <c r="AS77" s="726"/>
      <c r="AT77" s="726"/>
      <c r="AU77" s="726"/>
      <c r="AV77" s="726"/>
      <c r="AW77" s="726"/>
      <c r="AX77" s="726"/>
      <c r="AY77" s="726"/>
      <c r="AZ77" s="726"/>
      <c r="BA77" s="726"/>
      <c r="BB77" s="726"/>
      <c r="BC77" s="726"/>
      <c r="BD77" s="726"/>
      <c r="BE77" s="726"/>
      <c r="BF77" s="726"/>
      <c r="BG77" s="726"/>
      <c r="BH77" s="726"/>
      <c r="BI77" s="726"/>
      <c r="BJ77" s="726"/>
      <c r="BK77" s="726"/>
      <c r="BL77" s="726"/>
      <c r="BM77" s="726"/>
      <c r="BN77" s="726"/>
      <c r="BO77" s="726"/>
      <c r="BP77" s="726"/>
      <c r="BQ77" s="726"/>
      <c r="BR77" s="726"/>
      <c r="BS77" s="726"/>
    </row>
    <row r="78" spans="1:71" s="563" customFormat="1">
      <c r="A78" s="614"/>
      <c r="E78" s="565"/>
      <c r="F78" s="565"/>
      <c r="Q78" s="726"/>
      <c r="R78" s="726"/>
      <c r="S78" s="726"/>
      <c r="T78" s="726"/>
      <c r="U78" s="726"/>
      <c r="V78" s="726"/>
      <c r="W78" s="726"/>
      <c r="X78" s="726"/>
      <c r="Y78" s="726"/>
      <c r="Z78" s="726"/>
      <c r="AA78" s="726"/>
      <c r="AB78" s="726"/>
      <c r="AC78" s="726"/>
      <c r="AD78" s="726"/>
      <c r="AE78" s="726"/>
      <c r="AF78" s="726"/>
      <c r="AG78" s="726"/>
      <c r="AH78" s="726"/>
      <c r="AI78" s="726"/>
      <c r="AJ78" s="726"/>
      <c r="AK78" s="726"/>
      <c r="AL78" s="726"/>
      <c r="AM78" s="726"/>
      <c r="AN78" s="726"/>
      <c r="AO78" s="726"/>
      <c r="AP78" s="726"/>
      <c r="AQ78" s="726"/>
      <c r="AR78" s="726"/>
      <c r="AS78" s="726"/>
      <c r="AT78" s="726"/>
      <c r="AU78" s="726"/>
      <c r="AV78" s="726"/>
      <c r="AW78" s="726"/>
      <c r="AX78" s="726"/>
      <c r="AY78" s="726"/>
      <c r="AZ78" s="726"/>
      <c r="BA78" s="726"/>
      <c r="BB78" s="726"/>
      <c r="BC78" s="726"/>
      <c r="BD78" s="726"/>
      <c r="BE78" s="726"/>
      <c r="BF78" s="726"/>
      <c r="BG78" s="726"/>
      <c r="BH78" s="726"/>
      <c r="BI78" s="726"/>
      <c r="BJ78" s="726"/>
      <c r="BK78" s="726"/>
      <c r="BL78" s="726"/>
      <c r="BM78" s="726"/>
      <c r="BN78" s="726"/>
      <c r="BO78" s="726"/>
      <c r="BP78" s="726"/>
      <c r="BQ78" s="726"/>
      <c r="BR78" s="726"/>
      <c r="BS78" s="726"/>
    </row>
    <row r="79" spans="1:71" s="563" customFormat="1">
      <c r="A79" s="614"/>
      <c r="E79" s="565"/>
      <c r="F79" s="565"/>
      <c r="Q79" s="726"/>
      <c r="R79" s="726"/>
      <c r="S79" s="726"/>
      <c r="T79" s="726"/>
      <c r="U79" s="726"/>
      <c r="V79" s="726"/>
      <c r="W79" s="726"/>
      <c r="X79" s="726"/>
      <c r="Y79" s="726"/>
      <c r="Z79" s="726"/>
      <c r="AA79" s="726"/>
      <c r="AB79" s="726"/>
      <c r="AC79" s="726"/>
      <c r="AD79" s="726"/>
      <c r="AE79" s="726"/>
      <c r="AF79" s="726"/>
      <c r="AG79" s="726"/>
      <c r="AH79" s="726"/>
      <c r="AI79" s="726"/>
      <c r="AJ79" s="726"/>
      <c r="AK79" s="726"/>
      <c r="AL79" s="726"/>
      <c r="AM79" s="726"/>
      <c r="AN79" s="726"/>
      <c r="AO79" s="726"/>
      <c r="AP79" s="726"/>
      <c r="AQ79" s="726"/>
      <c r="AR79" s="726"/>
      <c r="AS79" s="726"/>
      <c r="AT79" s="726"/>
      <c r="AU79" s="726"/>
      <c r="AV79" s="726"/>
      <c r="AW79" s="726"/>
      <c r="AX79" s="726"/>
      <c r="AY79" s="726"/>
      <c r="AZ79" s="726"/>
      <c r="BA79" s="726"/>
      <c r="BB79" s="726"/>
      <c r="BC79" s="726"/>
      <c r="BD79" s="726"/>
      <c r="BE79" s="726"/>
      <c r="BF79" s="726"/>
      <c r="BG79" s="726"/>
      <c r="BH79" s="726"/>
      <c r="BI79" s="726"/>
      <c r="BJ79" s="726"/>
      <c r="BK79" s="726"/>
      <c r="BL79" s="726"/>
      <c r="BM79" s="726"/>
      <c r="BN79" s="726"/>
      <c r="BO79" s="726"/>
      <c r="BP79" s="726"/>
      <c r="BQ79" s="726"/>
      <c r="BR79" s="726"/>
      <c r="BS79" s="726"/>
    </row>
    <row r="80" spans="1:71" s="563" customFormat="1">
      <c r="A80" s="614"/>
      <c r="E80" s="565"/>
      <c r="F80" s="565"/>
      <c r="Q80" s="726"/>
      <c r="R80" s="726"/>
      <c r="S80" s="726"/>
      <c r="T80" s="726"/>
      <c r="U80" s="726"/>
      <c r="V80" s="726"/>
      <c r="W80" s="726"/>
      <c r="X80" s="726"/>
      <c r="Y80" s="726"/>
      <c r="Z80" s="726"/>
      <c r="AA80" s="726"/>
      <c r="AB80" s="726"/>
      <c r="AC80" s="726"/>
      <c r="AD80" s="726"/>
      <c r="AE80" s="726"/>
      <c r="AF80" s="726"/>
      <c r="AG80" s="726"/>
      <c r="AH80" s="726"/>
      <c r="AI80" s="726"/>
      <c r="AJ80" s="726"/>
      <c r="AK80" s="726"/>
      <c r="AL80" s="726"/>
      <c r="AM80" s="726"/>
      <c r="AN80" s="726"/>
      <c r="AO80" s="726"/>
      <c r="AP80" s="726"/>
      <c r="AQ80" s="726"/>
      <c r="AR80" s="726"/>
      <c r="AS80" s="726"/>
      <c r="AT80" s="726"/>
      <c r="AU80" s="726"/>
      <c r="AV80" s="726"/>
      <c r="AW80" s="726"/>
      <c r="AX80" s="726"/>
      <c r="AY80" s="726"/>
      <c r="AZ80" s="726"/>
      <c r="BA80" s="726"/>
      <c r="BB80" s="726"/>
      <c r="BC80" s="726"/>
      <c r="BD80" s="726"/>
      <c r="BE80" s="726"/>
      <c r="BF80" s="726"/>
      <c r="BG80" s="726"/>
      <c r="BH80" s="726"/>
      <c r="BI80" s="726"/>
      <c r="BJ80" s="726"/>
      <c r="BK80" s="726"/>
      <c r="BL80" s="726"/>
      <c r="BM80" s="726"/>
      <c r="BN80" s="726"/>
      <c r="BO80" s="726"/>
      <c r="BP80" s="726"/>
      <c r="BQ80" s="726"/>
      <c r="BR80" s="726"/>
      <c r="BS80" s="726"/>
    </row>
    <row r="81" spans="1:71" s="563" customFormat="1">
      <c r="A81" s="614"/>
      <c r="E81" s="565"/>
      <c r="F81" s="565"/>
      <c r="Q81" s="726"/>
      <c r="R81" s="726"/>
      <c r="S81" s="726"/>
      <c r="T81" s="726"/>
      <c r="U81" s="726"/>
      <c r="V81" s="726"/>
      <c r="W81" s="726"/>
      <c r="X81" s="726"/>
      <c r="Y81" s="726"/>
      <c r="Z81" s="726"/>
      <c r="AA81" s="726"/>
      <c r="AB81" s="726"/>
      <c r="AC81" s="726"/>
      <c r="AD81" s="726"/>
      <c r="AE81" s="726"/>
      <c r="AF81" s="726"/>
      <c r="AG81" s="726"/>
      <c r="AH81" s="726"/>
      <c r="AI81" s="726"/>
      <c r="AJ81" s="726"/>
      <c r="AK81" s="726"/>
      <c r="AL81" s="726"/>
      <c r="AM81" s="726"/>
      <c r="AN81" s="726"/>
      <c r="AO81" s="726"/>
      <c r="AP81" s="726"/>
      <c r="AQ81" s="726"/>
      <c r="AR81" s="726"/>
      <c r="AS81" s="726"/>
      <c r="AT81" s="726"/>
      <c r="AU81" s="726"/>
      <c r="AV81" s="726"/>
      <c r="AW81" s="726"/>
      <c r="AX81" s="726"/>
      <c r="AY81" s="726"/>
      <c r="AZ81" s="726"/>
      <c r="BA81" s="726"/>
      <c r="BB81" s="726"/>
      <c r="BC81" s="726"/>
      <c r="BD81" s="726"/>
      <c r="BE81" s="726"/>
      <c r="BF81" s="726"/>
      <c r="BG81" s="726"/>
      <c r="BH81" s="726"/>
      <c r="BI81" s="726"/>
      <c r="BJ81" s="726"/>
      <c r="BK81" s="726"/>
      <c r="BL81" s="726"/>
      <c r="BM81" s="726"/>
      <c r="BN81" s="726"/>
      <c r="BO81" s="726"/>
      <c r="BP81" s="726"/>
      <c r="BQ81" s="726"/>
      <c r="BR81" s="726"/>
      <c r="BS81" s="726"/>
    </row>
    <row r="82" spans="1:71" s="563" customFormat="1">
      <c r="A82" s="614"/>
      <c r="E82" s="565"/>
      <c r="F82" s="565"/>
      <c r="Q82" s="726"/>
      <c r="R82" s="726"/>
      <c r="S82" s="726"/>
      <c r="T82" s="726"/>
      <c r="U82" s="726"/>
      <c r="V82" s="726"/>
      <c r="W82" s="726"/>
      <c r="X82" s="726"/>
      <c r="Y82" s="726"/>
      <c r="Z82" s="726"/>
      <c r="AA82" s="726"/>
      <c r="AB82" s="726"/>
      <c r="AC82" s="726"/>
      <c r="AD82" s="726"/>
      <c r="AE82" s="726"/>
      <c r="AF82" s="726"/>
      <c r="AG82" s="726"/>
      <c r="AH82" s="726"/>
      <c r="AI82" s="726"/>
      <c r="AJ82" s="726"/>
      <c r="AK82" s="726"/>
      <c r="AL82" s="726"/>
      <c r="AM82" s="726"/>
      <c r="AN82" s="726"/>
      <c r="AO82" s="726"/>
      <c r="AP82" s="726"/>
      <c r="AQ82" s="726"/>
      <c r="AR82" s="726"/>
      <c r="AS82" s="726"/>
      <c r="AT82" s="726"/>
      <c r="AU82" s="726"/>
      <c r="AV82" s="726"/>
      <c r="AW82" s="726"/>
      <c r="AX82" s="726"/>
      <c r="AY82" s="726"/>
      <c r="AZ82" s="726"/>
      <c r="BA82" s="726"/>
      <c r="BB82" s="726"/>
      <c r="BC82" s="726"/>
      <c r="BD82" s="726"/>
      <c r="BE82" s="726"/>
      <c r="BF82" s="726"/>
      <c r="BG82" s="726"/>
      <c r="BH82" s="726"/>
      <c r="BI82" s="726"/>
      <c r="BJ82" s="726"/>
      <c r="BK82" s="726"/>
      <c r="BL82" s="726"/>
      <c r="BM82" s="726"/>
      <c r="BN82" s="726"/>
      <c r="BO82" s="726"/>
      <c r="BP82" s="726"/>
      <c r="BQ82" s="726"/>
      <c r="BR82" s="726"/>
      <c r="BS82" s="726"/>
    </row>
    <row r="83" spans="1:71" s="563" customFormat="1">
      <c r="A83" s="614"/>
      <c r="E83" s="565"/>
      <c r="F83" s="565"/>
      <c r="Q83" s="726"/>
      <c r="R83" s="726"/>
      <c r="S83" s="726"/>
      <c r="T83" s="726"/>
      <c r="U83" s="726"/>
      <c r="V83" s="726"/>
      <c r="W83" s="726"/>
      <c r="X83" s="726"/>
      <c r="Y83" s="726"/>
      <c r="Z83" s="726"/>
      <c r="AA83" s="726"/>
      <c r="AB83" s="726"/>
      <c r="AC83" s="726"/>
      <c r="AD83" s="726"/>
      <c r="AE83" s="726"/>
      <c r="AF83" s="726"/>
      <c r="AG83" s="726"/>
      <c r="AH83" s="726"/>
      <c r="AI83" s="726"/>
      <c r="AJ83" s="726"/>
      <c r="AK83" s="726"/>
      <c r="AL83" s="726"/>
      <c r="AM83" s="726"/>
      <c r="AN83" s="726"/>
      <c r="AO83" s="726"/>
      <c r="AP83" s="726"/>
      <c r="AQ83" s="726"/>
      <c r="AR83" s="726"/>
      <c r="AS83" s="726"/>
      <c r="AT83" s="726"/>
      <c r="AU83" s="726"/>
      <c r="AV83" s="726"/>
      <c r="AW83" s="726"/>
      <c r="AX83" s="726"/>
      <c r="AY83" s="726"/>
      <c r="AZ83" s="726"/>
      <c r="BA83" s="726"/>
      <c r="BB83" s="726"/>
      <c r="BC83" s="726"/>
      <c r="BD83" s="726"/>
      <c r="BE83" s="726"/>
      <c r="BF83" s="726"/>
      <c r="BG83" s="726"/>
      <c r="BH83" s="726"/>
      <c r="BI83" s="726"/>
      <c r="BJ83" s="726"/>
      <c r="BK83" s="726"/>
      <c r="BL83" s="726"/>
      <c r="BM83" s="726"/>
      <c r="BN83" s="726"/>
      <c r="BO83" s="726"/>
      <c r="BP83" s="726"/>
      <c r="BQ83" s="726"/>
      <c r="BR83" s="726"/>
      <c r="BS83" s="726"/>
    </row>
    <row r="84" spans="1:71" s="563" customFormat="1">
      <c r="A84" s="614"/>
      <c r="E84" s="565"/>
      <c r="F84" s="565"/>
      <c r="Q84" s="726"/>
      <c r="R84" s="726"/>
      <c r="S84" s="726"/>
      <c r="T84" s="726"/>
      <c r="U84" s="726"/>
      <c r="V84" s="726"/>
      <c r="W84" s="726"/>
      <c r="X84" s="726"/>
      <c r="Y84" s="726"/>
      <c r="Z84" s="726"/>
      <c r="AA84" s="726"/>
      <c r="AB84" s="726"/>
      <c r="AC84" s="726"/>
      <c r="AD84" s="726"/>
      <c r="AE84" s="726"/>
      <c r="AF84" s="726"/>
      <c r="AG84" s="726"/>
      <c r="AH84" s="726"/>
      <c r="AI84" s="726"/>
      <c r="AJ84" s="726"/>
      <c r="AK84" s="726"/>
      <c r="AL84" s="726"/>
      <c r="AM84" s="726"/>
      <c r="AN84" s="726"/>
      <c r="AO84" s="726"/>
      <c r="AP84" s="726"/>
      <c r="AQ84" s="726"/>
      <c r="AR84" s="726"/>
      <c r="AS84" s="726"/>
      <c r="AT84" s="726"/>
      <c r="AU84" s="726"/>
      <c r="AV84" s="726"/>
      <c r="AW84" s="726"/>
      <c r="AX84" s="726"/>
      <c r="AY84" s="726"/>
      <c r="AZ84" s="726"/>
      <c r="BA84" s="726"/>
      <c r="BB84" s="726"/>
      <c r="BC84" s="726"/>
      <c r="BD84" s="726"/>
      <c r="BE84" s="726"/>
      <c r="BF84" s="726"/>
      <c r="BG84" s="726"/>
      <c r="BH84" s="726"/>
      <c r="BI84" s="726"/>
      <c r="BJ84" s="726"/>
      <c r="BK84" s="726"/>
      <c r="BL84" s="726"/>
      <c r="BM84" s="726"/>
      <c r="BN84" s="726"/>
      <c r="BO84" s="726"/>
      <c r="BP84" s="726"/>
      <c r="BQ84" s="726"/>
      <c r="BR84" s="726"/>
      <c r="BS84" s="726"/>
    </row>
    <row r="85" spans="1:71" s="563" customFormat="1">
      <c r="A85" s="614"/>
      <c r="E85" s="565"/>
      <c r="F85" s="565"/>
      <c r="Q85" s="726"/>
      <c r="R85" s="726"/>
      <c r="S85" s="726"/>
      <c r="T85" s="726"/>
      <c r="U85" s="726"/>
      <c r="V85" s="726"/>
      <c r="W85" s="726"/>
      <c r="X85" s="726"/>
      <c r="Y85" s="726"/>
      <c r="Z85" s="726"/>
      <c r="AA85" s="726"/>
      <c r="AB85" s="726"/>
      <c r="AC85" s="726"/>
      <c r="AD85" s="726"/>
      <c r="AE85" s="726"/>
      <c r="AF85" s="726"/>
      <c r="AG85" s="726"/>
      <c r="AH85" s="726"/>
      <c r="AI85" s="726"/>
      <c r="AJ85" s="726"/>
      <c r="AK85" s="726"/>
      <c r="AL85" s="726"/>
      <c r="AM85" s="726"/>
      <c r="AN85" s="726"/>
      <c r="AO85" s="726"/>
      <c r="AP85" s="726"/>
      <c r="AQ85" s="726"/>
      <c r="AR85" s="726"/>
      <c r="AS85" s="726"/>
      <c r="AT85" s="726"/>
      <c r="AU85" s="726"/>
      <c r="AV85" s="726"/>
      <c r="AW85" s="726"/>
      <c r="AX85" s="726"/>
      <c r="AY85" s="726"/>
      <c r="AZ85" s="726"/>
      <c r="BA85" s="726"/>
      <c r="BB85" s="726"/>
      <c r="BC85" s="726"/>
      <c r="BD85" s="726"/>
      <c r="BE85" s="726"/>
      <c r="BF85" s="726"/>
      <c r="BG85" s="726"/>
      <c r="BH85" s="726"/>
      <c r="BI85" s="726"/>
      <c r="BJ85" s="726"/>
      <c r="BK85" s="726"/>
      <c r="BL85" s="726"/>
      <c r="BM85" s="726"/>
      <c r="BN85" s="726"/>
      <c r="BO85" s="726"/>
      <c r="BP85" s="726"/>
      <c r="BQ85" s="726"/>
      <c r="BR85" s="726"/>
      <c r="BS85" s="726"/>
    </row>
    <row r="86" spans="1:71" s="563" customFormat="1">
      <c r="A86" s="614"/>
      <c r="E86" s="565"/>
      <c r="F86" s="565"/>
      <c r="Q86" s="726"/>
      <c r="R86" s="726"/>
      <c r="S86" s="726"/>
      <c r="T86" s="726"/>
      <c r="U86" s="726"/>
      <c r="V86" s="726"/>
      <c r="W86" s="726"/>
      <c r="X86" s="726"/>
      <c r="Y86" s="726"/>
      <c r="Z86" s="726"/>
      <c r="AA86" s="726"/>
      <c r="AB86" s="726"/>
      <c r="AC86" s="726"/>
      <c r="AD86" s="726"/>
      <c r="AE86" s="726"/>
      <c r="AF86" s="726"/>
      <c r="AG86" s="726"/>
      <c r="AH86" s="726"/>
      <c r="AI86" s="726"/>
      <c r="AJ86" s="726"/>
      <c r="AK86" s="726"/>
      <c r="AL86" s="726"/>
      <c r="AM86" s="726"/>
      <c r="AN86" s="726"/>
      <c r="AO86" s="726"/>
      <c r="AP86" s="726"/>
      <c r="AQ86" s="726"/>
      <c r="AR86" s="726"/>
      <c r="AS86" s="726"/>
      <c r="AT86" s="726"/>
      <c r="AU86" s="726"/>
      <c r="AV86" s="726"/>
      <c r="AW86" s="726"/>
      <c r="AX86" s="726"/>
      <c r="AY86" s="726"/>
      <c r="AZ86" s="726"/>
      <c r="BA86" s="726"/>
      <c r="BB86" s="726"/>
      <c r="BC86" s="726"/>
      <c r="BD86" s="726"/>
      <c r="BE86" s="726"/>
      <c r="BF86" s="726"/>
      <c r="BG86" s="726"/>
      <c r="BH86" s="726"/>
      <c r="BI86" s="726"/>
      <c r="BJ86" s="726"/>
      <c r="BK86" s="726"/>
      <c r="BL86" s="726"/>
      <c r="BM86" s="726"/>
      <c r="BN86" s="726"/>
      <c r="BO86" s="726"/>
      <c r="BP86" s="726"/>
      <c r="BQ86" s="726"/>
      <c r="BR86" s="726"/>
      <c r="BS86" s="726"/>
    </row>
    <row r="87" spans="1:71" s="563" customFormat="1">
      <c r="A87" s="614"/>
      <c r="E87" s="565"/>
      <c r="F87" s="565"/>
      <c r="Q87" s="726"/>
      <c r="R87" s="726"/>
      <c r="S87" s="726"/>
      <c r="T87" s="726"/>
      <c r="U87" s="726"/>
      <c r="V87" s="726"/>
      <c r="W87" s="726"/>
      <c r="X87" s="726"/>
      <c r="Y87" s="726"/>
      <c r="Z87" s="726"/>
      <c r="AA87" s="726"/>
      <c r="AB87" s="726"/>
      <c r="AC87" s="726"/>
      <c r="AD87" s="726"/>
      <c r="AE87" s="726"/>
      <c r="AF87" s="726"/>
      <c r="AG87" s="726"/>
      <c r="AH87" s="726"/>
      <c r="AI87" s="726"/>
      <c r="AJ87" s="726"/>
      <c r="AK87" s="726"/>
      <c r="AL87" s="726"/>
      <c r="AM87" s="726"/>
      <c r="AN87" s="726"/>
      <c r="AO87" s="726"/>
      <c r="AP87" s="726"/>
      <c r="AQ87" s="726"/>
      <c r="AR87" s="726"/>
      <c r="AS87" s="726"/>
      <c r="AT87" s="726"/>
      <c r="AU87" s="726"/>
      <c r="AV87" s="726"/>
      <c r="AW87" s="726"/>
      <c r="AX87" s="726"/>
      <c r="AY87" s="726"/>
      <c r="AZ87" s="726"/>
      <c r="BA87" s="726"/>
      <c r="BB87" s="726"/>
      <c r="BC87" s="726"/>
      <c r="BD87" s="726"/>
      <c r="BE87" s="726"/>
      <c r="BF87" s="726"/>
      <c r="BG87" s="726"/>
      <c r="BH87" s="726"/>
      <c r="BI87" s="726"/>
      <c r="BJ87" s="726"/>
      <c r="BK87" s="726"/>
      <c r="BL87" s="726"/>
      <c r="BM87" s="726"/>
      <c r="BN87" s="726"/>
      <c r="BO87" s="726"/>
      <c r="BP87" s="726"/>
      <c r="BQ87" s="726"/>
      <c r="BR87" s="726"/>
      <c r="BS87" s="726"/>
    </row>
    <row r="88" spans="1:71" s="563" customFormat="1">
      <c r="A88" s="614"/>
      <c r="E88" s="565"/>
      <c r="F88" s="565"/>
      <c r="Q88" s="726"/>
      <c r="R88" s="726"/>
      <c r="S88" s="726"/>
      <c r="T88" s="726"/>
      <c r="U88" s="726"/>
      <c r="V88" s="726"/>
      <c r="W88" s="726"/>
      <c r="X88" s="726"/>
      <c r="Y88" s="726"/>
      <c r="Z88" s="726"/>
      <c r="AA88" s="726"/>
      <c r="AB88" s="726"/>
      <c r="AC88" s="726"/>
      <c r="AD88" s="726"/>
      <c r="AE88" s="726"/>
      <c r="AF88" s="726"/>
      <c r="AG88" s="726"/>
      <c r="AH88" s="726"/>
      <c r="AI88" s="726"/>
      <c r="AJ88" s="726"/>
      <c r="AK88" s="726"/>
      <c r="AL88" s="726"/>
      <c r="AM88" s="726"/>
      <c r="AN88" s="726"/>
      <c r="AO88" s="726"/>
      <c r="AP88" s="726"/>
      <c r="AQ88" s="726"/>
      <c r="AR88" s="726"/>
      <c r="AS88" s="726"/>
      <c r="AT88" s="726"/>
      <c r="AU88" s="726"/>
      <c r="AV88" s="726"/>
      <c r="AW88" s="726"/>
      <c r="AX88" s="726"/>
      <c r="AY88" s="726"/>
      <c r="AZ88" s="726"/>
      <c r="BA88" s="726"/>
      <c r="BB88" s="726"/>
      <c r="BC88" s="726"/>
      <c r="BD88" s="726"/>
      <c r="BE88" s="726"/>
      <c r="BF88" s="726"/>
      <c r="BG88" s="726"/>
      <c r="BH88" s="726"/>
      <c r="BI88" s="726"/>
      <c r="BJ88" s="726"/>
      <c r="BK88" s="726"/>
      <c r="BL88" s="726"/>
      <c r="BM88" s="726"/>
      <c r="BN88" s="726"/>
      <c r="BO88" s="726"/>
      <c r="BP88" s="726"/>
      <c r="BQ88" s="726"/>
      <c r="BR88" s="726"/>
      <c r="BS88" s="726"/>
    </row>
    <row r="89" spans="1:71" s="563" customFormat="1">
      <c r="A89" s="614"/>
      <c r="E89" s="565"/>
      <c r="F89" s="565"/>
      <c r="Q89" s="726"/>
      <c r="R89" s="726"/>
      <c r="S89" s="726"/>
      <c r="T89" s="726"/>
      <c r="U89" s="726"/>
      <c r="V89" s="726"/>
      <c r="W89" s="726"/>
      <c r="X89" s="726"/>
      <c r="Y89" s="726"/>
      <c r="Z89" s="726"/>
      <c r="AA89" s="726"/>
      <c r="AB89" s="726"/>
      <c r="AC89" s="726"/>
      <c r="AD89" s="726"/>
      <c r="AE89" s="726"/>
      <c r="AF89" s="726"/>
      <c r="AG89" s="726"/>
      <c r="AH89" s="726"/>
      <c r="AI89" s="726"/>
      <c r="AJ89" s="726"/>
      <c r="AK89" s="726"/>
      <c r="AL89" s="726"/>
      <c r="AM89" s="726"/>
      <c r="AN89" s="726"/>
      <c r="AO89" s="726"/>
      <c r="AP89" s="726"/>
      <c r="AQ89" s="726"/>
      <c r="AR89" s="726"/>
      <c r="AS89" s="726"/>
      <c r="AT89" s="726"/>
      <c r="AU89" s="726"/>
      <c r="AV89" s="726"/>
      <c r="AW89" s="726"/>
      <c r="AX89" s="726"/>
      <c r="AY89" s="726"/>
      <c r="AZ89" s="726"/>
      <c r="BA89" s="726"/>
      <c r="BB89" s="726"/>
      <c r="BC89" s="726"/>
      <c r="BD89" s="726"/>
      <c r="BE89" s="726"/>
      <c r="BF89" s="726"/>
      <c r="BG89" s="726"/>
      <c r="BH89" s="726"/>
      <c r="BI89" s="726"/>
      <c r="BJ89" s="726"/>
      <c r="BK89" s="726"/>
      <c r="BL89" s="726"/>
      <c r="BM89" s="726"/>
      <c r="BN89" s="726"/>
      <c r="BO89" s="726"/>
      <c r="BP89" s="726"/>
      <c r="BQ89" s="726"/>
      <c r="BR89" s="726"/>
      <c r="BS89" s="726"/>
    </row>
    <row r="90" spans="1:71" s="563" customFormat="1">
      <c r="A90" s="614"/>
      <c r="E90" s="565"/>
      <c r="F90" s="565"/>
      <c r="Q90" s="726"/>
      <c r="R90" s="726"/>
      <c r="S90" s="726"/>
      <c r="T90" s="726"/>
      <c r="U90" s="726"/>
      <c r="V90" s="726"/>
      <c r="W90" s="726"/>
      <c r="X90" s="726"/>
      <c r="Y90" s="726"/>
      <c r="Z90" s="726"/>
      <c r="AA90" s="726"/>
      <c r="AB90" s="726"/>
      <c r="AC90" s="726"/>
      <c r="AD90" s="726"/>
      <c r="AE90" s="726"/>
      <c r="AF90" s="726"/>
      <c r="AG90" s="726"/>
      <c r="AH90" s="726"/>
      <c r="AI90" s="726"/>
      <c r="AJ90" s="726"/>
      <c r="AK90" s="726"/>
      <c r="AL90" s="726"/>
      <c r="AM90" s="726"/>
      <c r="AN90" s="726"/>
      <c r="AO90" s="726"/>
      <c r="AP90" s="726"/>
      <c r="AQ90" s="726"/>
      <c r="AR90" s="726"/>
      <c r="AS90" s="726"/>
      <c r="AT90" s="726"/>
      <c r="AU90" s="726"/>
      <c r="AV90" s="726"/>
      <c r="AW90" s="726"/>
      <c r="AX90" s="726"/>
      <c r="AY90" s="726"/>
      <c r="AZ90" s="726"/>
      <c r="BA90" s="726"/>
      <c r="BB90" s="726"/>
      <c r="BC90" s="726"/>
      <c r="BD90" s="726"/>
      <c r="BE90" s="726"/>
      <c r="BF90" s="726"/>
      <c r="BG90" s="726"/>
      <c r="BH90" s="726"/>
      <c r="BI90" s="726"/>
      <c r="BJ90" s="726"/>
      <c r="BK90" s="726"/>
      <c r="BL90" s="726"/>
      <c r="BM90" s="726"/>
      <c r="BN90" s="726"/>
      <c r="BO90" s="726"/>
      <c r="BP90" s="726"/>
      <c r="BQ90" s="726"/>
      <c r="BR90" s="726"/>
      <c r="BS90" s="726"/>
    </row>
    <row r="91" spans="1:71" s="563" customFormat="1">
      <c r="A91" s="614"/>
      <c r="E91" s="565"/>
      <c r="F91" s="565"/>
      <c r="Q91" s="726"/>
      <c r="R91" s="726"/>
      <c r="S91" s="726"/>
      <c r="T91" s="726"/>
      <c r="U91" s="726"/>
      <c r="V91" s="726"/>
      <c r="W91" s="726"/>
      <c r="X91" s="726"/>
      <c r="Y91" s="726"/>
      <c r="Z91" s="726"/>
      <c r="AA91" s="726"/>
      <c r="AB91" s="726"/>
      <c r="AC91" s="726"/>
      <c r="AD91" s="726"/>
      <c r="AE91" s="726"/>
      <c r="AF91" s="726"/>
      <c r="AG91" s="726"/>
      <c r="AH91" s="726"/>
      <c r="AI91" s="726"/>
      <c r="AJ91" s="726"/>
      <c r="AK91" s="726"/>
      <c r="AL91" s="726"/>
      <c r="AM91" s="726"/>
      <c r="AN91" s="726"/>
      <c r="AO91" s="726"/>
      <c r="AP91" s="726"/>
      <c r="AQ91" s="726"/>
      <c r="AR91" s="726"/>
      <c r="AS91" s="726"/>
      <c r="AT91" s="726"/>
      <c r="AU91" s="726"/>
      <c r="AV91" s="726"/>
      <c r="AW91" s="726"/>
      <c r="AX91" s="726"/>
      <c r="AY91" s="726"/>
      <c r="AZ91" s="726"/>
      <c r="BA91" s="726"/>
      <c r="BB91" s="726"/>
      <c r="BC91" s="726"/>
      <c r="BD91" s="726"/>
      <c r="BE91" s="726"/>
      <c r="BF91" s="726"/>
      <c r="BG91" s="726"/>
      <c r="BH91" s="726"/>
      <c r="BI91" s="726"/>
      <c r="BJ91" s="726"/>
      <c r="BK91" s="726"/>
      <c r="BL91" s="726"/>
      <c r="BM91" s="726"/>
      <c r="BN91" s="726"/>
      <c r="BO91" s="726"/>
      <c r="BP91" s="726"/>
      <c r="BQ91" s="726"/>
      <c r="BR91" s="726"/>
      <c r="BS91" s="726"/>
    </row>
    <row r="92" spans="1:71" s="563" customFormat="1">
      <c r="A92" s="614"/>
      <c r="E92" s="565"/>
      <c r="F92" s="565"/>
      <c r="Q92" s="726"/>
      <c r="R92" s="726"/>
      <c r="S92" s="726"/>
      <c r="T92" s="726"/>
      <c r="U92" s="726"/>
      <c r="V92" s="726"/>
      <c r="W92" s="726"/>
      <c r="X92" s="726"/>
      <c r="Y92" s="726"/>
      <c r="Z92" s="726"/>
      <c r="AA92" s="726"/>
      <c r="AB92" s="726"/>
      <c r="AC92" s="726"/>
      <c r="AD92" s="726"/>
      <c r="AE92" s="726"/>
      <c r="AF92" s="726"/>
      <c r="AG92" s="726"/>
      <c r="AH92" s="726"/>
      <c r="AI92" s="726"/>
      <c r="AJ92" s="726"/>
      <c r="AK92" s="726"/>
      <c r="AL92" s="726"/>
      <c r="AM92" s="726"/>
      <c r="AN92" s="726"/>
      <c r="AO92" s="726"/>
      <c r="AP92" s="726"/>
      <c r="AQ92" s="726"/>
      <c r="AR92" s="726"/>
      <c r="AS92" s="726"/>
      <c r="AT92" s="726"/>
      <c r="AU92" s="726"/>
      <c r="AV92" s="726"/>
      <c r="AW92" s="726"/>
      <c r="AX92" s="726"/>
      <c r="AY92" s="726"/>
      <c r="AZ92" s="726"/>
      <c r="BA92" s="726"/>
      <c r="BB92" s="726"/>
      <c r="BC92" s="726"/>
      <c r="BD92" s="726"/>
      <c r="BE92" s="726"/>
      <c r="BF92" s="726"/>
      <c r="BG92" s="726"/>
      <c r="BH92" s="726"/>
      <c r="BI92" s="726"/>
      <c r="BJ92" s="726"/>
      <c r="BK92" s="726"/>
      <c r="BL92" s="726"/>
      <c r="BM92" s="726"/>
      <c r="BN92" s="726"/>
      <c r="BO92" s="726"/>
      <c r="BP92" s="726"/>
      <c r="BQ92" s="726"/>
      <c r="BR92" s="726"/>
      <c r="BS92" s="726"/>
    </row>
    <row r="93" spans="1:71" s="563" customFormat="1">
      <c r="A93" s="614"/>
      <c r="E93" s="565"/>
      <c r="F93" s="565"/>
      <c r="Q93" s="726"/>
      <c r="R93" s="726"/>
      <c r="S93" s="726"/>
      <c r="T93" s="726"/>
      <c r="U93" s="726"/>
      <c r="V93" s="726"/>
      <c r="W93" s="726"/>
      <c r="X93" s="726"/>
      <c r="Y93" s="726"/>
      <c r="Z93" s="726"/>
      <c r="AA93" s="726"/>
      <c r="AB93" s="726"/>
      <c r="AC93" s="726"/>
      <c r="AD93" s="726"/>
      <c r="AE93" s="726"/>
      <c r="AF93" s="726"/>
      <c r="AG93" s="726"/>
      <c r="AH93" s="726"/>
      <c r="AI93" s="726"/>
      <c r="AJ93" s="726"/>
      <c r="AK93" s="726"/>
      <c r="AL93" s="726"/>
      <c r="AM93" s="726"/>
      <c r="AN93" s="726"/>
      <c r="AO93" s="726"/>
      <c r="AP93" s="726"/>
      <c r="AQ93" s="726"/>
      <c r="AR93" s="726"/>
      <c r="AS93" s="726"/>
      <c r="AT93" s="726"/>
      <c r="AU93" s="726"/>
      <c r="AV93" s="726"/>
      <c r="AW93" s="726"/>
      <c r="AX93" s="726"/>
      <c r="AY93" s="726"/>
      <c r="AZ93" s="726"/>
      <c r="BA93" s="726"/>
      <c r="BB93" s="726"/>
      <c r="BC93" s="726"/>
      <c r="BD93" s="726"/>
      <c r="BE93" s="726"/>
      <c r="BF93" s="726"/>
      <c r="BG93" s="726"/>
      <c r="BH93" s="726"/>
      <c r="BI93" s="726"/>
      <c r="BJ93" s="726"/>
      <c r="BK93" s="726"/>
      <c r="BL93" s="726"/>
      <c r="BM93" s="726"/>
      <c r="BN93" s="726"/>
      <c r="BO93" s="726"/>
      <c r="BP93" s="726"/>
      <c r="BQ93" s="726"/>
      <c r="BR93" s="726"/>
      <c r="BS93" s="726"/>
    </row>
    <row r="94" spans="1:71" s="563" customFormat="1">
      <c r="A94" s="614"/>
      <c r="E94" s="565"/>
      <c r="F94" s="565"/>
      <c r="Q94" s="726"/>
      <c r="R94" s="726"/>
      <c r="S94" s="726"/>
      <c r="T94" s="726"/>
      <c r="U94" s="726"/>
      <c r="V94" s="726"/>
      <c r="W94" s="726"/>
      <c r="X94" s="726"/>
      <c r="Y94" s="726"/>
      <c r="Z94" s="726"/>
      <c r="AA94" s="726"/>
      <c r="AB94" s="726"/>
      <c r="AC94" s="726"/>
      <c r="AD94" s="726"/>
      <c r="AE94" s="726"/>
      <c r="AF94" s="726"/>
      <c r="AG94" s="726"/>
      <c r="AH94" s="726"/>
      <c r="AI94" s="726"/>
      <c r="AJ94" s="726"/>
      <c r="AK94" s="726"/>
      <c r="AL94" s="726"/>
      <c r="AM94" s="726"/>
      <c r="AN94" s="726"/>
      <c r="AO94" s="726"/>
      <c r="AP94" s="726"/>
      <c r="AQ94" s="726"/>
      <c r="AR94" s="726"/>
      <c r="AS94" s="726"/>
      <c r="AT94" s="726"/>
      <c r="AU94" s="726"/>
      <c r="AV94" s="726"/>
      <c r="AW94" s="726"/>
      <c r="AX94" s="726"/>
      <c r="AY94" s="726"/>
      <c r="AZ94" s="726"/>
      <c r="BA94" s="726"/>
      <c r="BB94" s="726"/>
      <c r="BC94" s="726"/>
      <c r="BD94" s="726"/>
      <c r="BE94" s="726"/>
      <c r="BF94" s="726"/>
      <c r="BG94" s="726"/>
      <c r="BH94" s="726"/>
      <c r="BI94" s="726"/>
      <c r="BJ94" s="726"/>
      <c r="BK94" s="726"/>
      <c r="BL94" s="726"/>
      <c r="BM94" s="726"/>
      <c r="BN94" s="726"/>
      <c r="BO94" s="726"/>
      <c r="BP94" s="726"/>
      <c r="BQ94" s="726"/>
      <c r="BR94" s="726"/>
      <c r="BS94" s="726"/>
    </row>
    <row r="95" spans="1:71" s="563" customFormat="1">
      <c r="A95" s="614"/>
      <c r="E95" s="565"/>
      <c r="F95" s="565"/>
      <c r="Q95" s="726"/>
      <c r="R95" s="726"/>
      <c r="S95" s="726"/>
      <c r="T95" s="726"/>
      <c r="U95" s="726"/>
      <c r="V95" s="726"/>
      <c r="W95" s="726"/>
      <c r="X95" s="726"/>
      <c r="Y95" s="726"/>
      <c r="Z95" s="726"/>
      <c r="AA95" s="726"/>
      <c r="AB95" s="726"/>
      <c r="AC95" s="726"/>
      <c r="AD95" s="726"/>
      <c r="AE95" s="726"/>
      <c r="AF95" s="726"/>
      <c r="AG95" s="726"/>
      <c r="AH95" s="726"/>
      <c r="AI95" s="726"/>
      <c r="AJ95" s="726"/>
      <c r="AK95" s="726"/>
      <c r="AL95" s="726"/>
      <c r="AM95" s="726"/>
      <c r="AN95" s="726"/>
      <c r="AO95" s="726"/>
      <c r="AP95" s="726"/>
      <c r="AQ95" s="726"/>
      <c r="AR95" s="726"/>
      <c r="AS95" s="726"/>
      <c r="AT95" s="726"/>
      <c r="AU95" s="726"/>
      <c r="AV95" s="726"/>
      <c r="AW95" s="726"/>
      <c r="AX95" s="726"/>
      <c r="AY95" s="726"/>
      <c r="AZ95" s="726"/>
      <c r="BA95" s="726"/>
      <c r="BB95" s="726"/>
      <c r="BC95" s="726"/>
      <c r="BD95" s="726"/>
      <c r="BE95" s="726"/>
      <c r="BF95" s="726"/>
      <c r="BG95" s="726"/>
      <c r="BH95" s="726"/>
      <c r="BI95" s="726"/>
      <c r="BJ95" s="726"/>
      <c r="BK95" s="726"/>
      <c r="BL95" s="726"/>
      <c r="BM95" s="726"/>
      <c r="BN95" s="726"/>
      <c r="BO95" s="726"/>
      <c r="BP95" s="726"/>
      <c r="BQ95" s="726"/>
      <c r="BR95" s="726"/>
      <c r="BS95" s="726"/>
    </row>
    <row r="96" spans="1:71" s="563" customFormat="1">
      <c r="A96" s="614"/>
      <c r="E96" s="565"/>
      <c r="F96" s="565"/>
      <c r="Q96" s="726"/>
      <c r="R96" s="726"/>
      <c r="S96" s="726"/>
      <c r="T96" s="726"/>
      <c r="U96" s="726"/>
      <c r="V96" s="726"/>
      <c r="W96" s="726"/>
      <c r="X96" s="726"/>
      <c r="Y96" s="726"/>
      <c r="Z96" s="726"/>
      <c r="AA96" s="726"/>
      <c r="AB96" s="726"/>
      <c r="AC96" s="726"/>
      <c r="AD96" s="726"/>
      <c r="AE96" s="726"/>
      <c r="AF96" s="726"/>
      <c r="AG96" s="726"/>
      <c r="AH96" s="726"/>
      <c r="AI96" s="726"/>
      <c r="AJ96" s="726"/>
      <c r="AK96" s="726"/>
      <c r="AL96" s="726"/>
      <c r="AM96" s="726"/>
      <c r="AN96" s="726"/>
      <c r="AO96" s="726"/>
      <c r="AP96" s="726"/>
      <c r="AQ96" s="726"/>
      <c r="AR96" s="726"/>
      <c r="AS96" s="726"/>
      <c r="AT96" s="726"/>
      <c r="AU96" s="726"/>
      <c r="AV96" s="726"/>
      <c r="AW96" s="726"/>
      <c r="AX96" s="726"/>
      <c r="AY96" s="726"/>
      <c r="AZ96" s="726"/>
      <c r="BA96" s="726"/>
      <c r="BB96" s="726"/>
      <c r="BC96" s="726"/>
      <c r="BD96" s="726"/>
      <c r="BE96" s="726"/>
      <c r="BF96" s="726"/>
      <c r="BG96" s="726"/>
      <c r="BH96" s="726"/>
      <c r="BI96" s="726"/>
      <c r="BJ96" s="726"/>
      <c r="BK96" s="726"/>
      <c r="BL96" s="726"/>
      <c r="BM96" s="726"/>
      <c r="BN96" s="726"/>
      <c r="BO96" s="726"/>
      <c r="BP96" s="726"/>
      <c r="BQ96" s="726"/>
      <c r="BR96" s="726"/>
      <c r="BS96" s="726"/>
    </row>
    <row r="97" spans="1:71" s="563" customFormat="1">
      <c r="A97" s="614"/>
      <c r="E97" s="565"/>
      <c r="F97" s="565"/>
      <c r="Q97" s="726"/>
      <c r="R97" s="726"/>
      <c r="S97" s="726"/>
      <c r="T97" s="726"/>
      <c r="U97" s="726"/>
      <c r="V97" s="726"/>
      <c r="W97" s="726"/>
      <c r="X97" s="726"/>
      <c r="Y97" s="726"/>
      <c r="Z97" s="726"/>
      <c r="AA97" s="726"/>
      <c r="AB97" s="726"/>
      <c r="AC97" s="726"/>
      <c r="AD97" s="726"/>
      <c r="AE97" s="726"/>
      <c r="AF97" s="726"/>
      <c r="AG97" s="726"/>
      <c r="AH97" s="726"/>
      <c r="AI97" s="726"/>
      <c r="AJ97" s="726"/>
      <c r="AK97" s="726"/>
      <c r="AL97" s="726"/>
      <c r="AM97" s="726"/>
      <c r="AN97" s="726"/>
      <c r="AO97" s="726"/>
      <c r="AP97" s="726"/>
      <c r="AQ97" s="726"/>
      <c r="AR97" s="726"/>
      <c r="AS97" s="726"/>
      <c r="AT97" s="726"/>
      <c r="AU97" s="726"/>
      <c r="AV97" s="726"/>
      <c r="AW97" s="726"/>
      <c r="AX97" s="726"/>
      <c r="AY97" s="726"/>
      <c r="AZ97" s="726"/>
      <c r="BA97" s="726"/>
      <c r="BB97" s="726"/>
      <c r="BC97" s="726"/>
      <c r="BD97" s="726"/>
      <c r="BE97" s="726"/>
      <c r="BF97" s="726"/>
      <c r="BG97" s="726"/>
      <c r="BH97" s="726"/>
      <c r="BI97" s="726"/>
      <c r="BJ97" s="726"/>
      <c r="BK97" s="726"/>
      <c r="BL97" s="726"/>
      <c r="BM97" s="726"/>
      <c r="BN97" s="726"/>
      <c r="BO97" s="726"/>
      <c r="BP97" s="726"/>
      <c r="BQ97" s="726"/>
      <c r="BR97" s="726"/>
      <c r="BS97" s="726"/>
    </row>
    <row r="98" spans="1:71" s="563" customFormat="1">
      <c r="A98" s="614"/>
      <c r="E98" s="565"/>
      <c r="F98" s="565"/>
      <c r="Q98" s="726"/>
      <c r="R98" s="726"/>
      <c r="S98" s="726"/>
      <c r="T98" s="726"/>
      <c r="U98" s="726"/>
      <c r="V98" s="726"/>
      <c r="W98" s="726"/>
      <c r="X98" s="726"/>
      <c r="Y98" s="726"/>
      <c r="Z98" s="726"/>
      <c r="AA98" s="726"/>
      <c r="AB98" s="726"/>
      <c r="AC98" s="726"/>
      <c r="AD98" s="726"/>
      <c r="AE98" s="726"/>
      <c r="AF98" s="726"/>
      <c r="AG98" s="726"/>
      <c r="AH98" s="726"/>
      <c r="AI98" s="726"/>
      <c r="AJ98" s="726"/>
      <c r="AK98" s="726"/>
      <c r="AL98" s="726"/>
      <c r="AM98" s="726"/>
      <c r="AN98" s="726"/>
      <c r="AO98" s="726"/>
      <c r="AP98" s="726"/>
      <c r="AQ98" s="726"/>
      <c r="AR98" s="726"/>
      <c r="AS98" s="726"/>
      <c r="AT98" s="726"/>
      <c r="AU98" s="726"/>
      <c r="AV98" s="726"/>
      <c r="AW98" s="726"/>
      <c r="AX98" s="726"/>
      <c r="AY98" s="726"/>
      <c r="AZ98" s="726"/>
      <c r="BA98" s="726"/>
      <c r="BB98" s="726"/>
      <c r="BC98" s="726"/>
      <c r="BD98" s="726"/>
      <c r="BE98" s="726"/>
      <c r="BF98" s="726"/>
      <c r="BG98" s="726"/>
      <c r="BH98" s="726"/>
      <c r="BI98" s="726"/>
      <c r="BJ98" s="726"/>
      <c r="BK98" s="726"/>
      <c r="BL98" s="726"/>
      <c r="BM98" s="726"/>
      <c r="BN98" s="726"/>
      <c r="BO98" s="726"/>
      <c r="BP98" s="726"/>
      <c r="BQ98" s="726"/>
      <c r="BR98" s="726"/>
      <c r="BS98" s="726"/>
    </row>
    <row r="99" spans="1:71" s="563" customFormat="1">
      <c r="A99" s="614"/>
      <c r="E99" s="565"/>
      <c r="F99" s="565"/>
      <c r="Q99" s="726"/>
      <c r="R99" s="726"/>
      <c r="S99" s="726"/>
      <c r="T99" s="726"/>
      <c r="U99" s="726"/>
      <c r="V99" s="726"/>
      <c r="W99" s="726"/>
      <c r="X99" s="726"/>
      <c r="Y99" s="726"/>
      <c r="Z99" s="726"/>
      <c r="AA99" s="726"/>
      <c r="AB99" s="726"/>
      <c r="AC99" s="726"/>
      <c r="AD99" s="726"/>
      <c r="AE99" s="726"/>
      <c r="AF99" s="726"/>
      <c r="AG99" s="726"/>
      <c r="AH99" s="726"/>
      <c r="AI99" s="726"/>
      <c r="AJ99" s="726"/>
      <c r="AK99" s="726"/>
      <c r="AL99" s="726"/>
      <c r="AM99" s="726"/>
      <c r="AN99" s="726"/>
      <c r="AO99" s="726"/>
      <c r="AP99" s="726"/>
      <c r="AQ99" s="726"/>
      <c r="AR99" s="726"/>
      <c r="AS99" s="726"/>
      <c r="AT99" s="726"/>
      <c r="AU99" s="726"/>
      <c r="AV99" s="726"/>
      <c r="AW99" s="726"/>
      <c r="AX99" s="726"/>
      <c r="AY99" s="726"/>
      <c r="AZ99" s="726"/>
      <c r="BA99" s="726"/>
      <c r="BB99" s="726"/>
      <c r="BC99" s="726"/>
      <c r="BD99" s="726"/>
      <c r="BE99" s="726"/>
      <c r="BF99" s="726"/>
      <c r="BG99" s="726"/>
      <c r="BH99" s="726"/>
      <c r="BI99" s="726"/>
      <c r="BJ99" s="726"/>
      <c r="BK99" s="726"/>
      <c r="BL99" s="726"/>
      <c r="BM99" s="726"/>
      <c r="BN99" s="726"/>
      <c r="BO99" s="726"/>
      <c r="BP99" s="726"/>
      <c r="BQ99" s="726"/>
      <c r="BR99" s="726"/>
      <c r="BS99" s="726"/>
    </row>
    <row r="100" spans="1:71" s="563" customFormat="1">
      <c r="A100" s="614"/>
      <c r="E100" s="565"/>
      <c r="F100" s="565"/>
      <c r="Q100" s="726"/>
      <c r="R100" s="726"/>
      <c r="S100" s="726"/>
      <c r="T100" s="726"/>
      <c r="U100" s="726"/>
      <c r="V100" s="726"/>
      <c r="W100" s="726"/>
      <c r="X100" s="726"/>
      <c r="Y100" s="726"/>
      <c r="Z100" s="726"/>
      <c r="AA100" s="726"/>
      <c r="AB100" s="726"/>
      <c r="AC100" s="726"/>
      <c r="AD100" s="726"/>
      <c r="AE100" s="726"/>
      <c r="AF100" s="726"/>
      <c r="AG100" s="726"/>
      <c r="AH100" s="726"/>
      <c r="AI100" s="726"/>
      <c r="AJ100" s="726"/>
      <c r="AK100" s="726"/>
      <c r="AL100" s="726"/>
      <c r="AM100" s="726"/>
      <c r="AN100" s="726"/>
      <c r="AO100" s="726"/>
      <c r="AP100" s="726"/>
      <c r="AQ100" s="726"/>
      <c r="AR100" s="726"/>
      <c r="AS100" s="726"/>
      <c r="AT100" s="726"/>
      <c r="AU100" s="726"/>
      <c r="AV100" s="726"/>
      <c r="AW100" s="726"/>
      <c r="AX100" s="726"/>
      <c r="AY100" s="726"/>
      <c r="AZ100" s="726"/>
      <c r="BA100" s="726"/>
      <c r="BB100" s="726"/>
      <c r="BC100" s="726"/>
      <c r="BD100" s="726"/>
      <c r="BE100" s="726"/>
      <c r="BF100" s="726"/>
      <c r="BG100" s="726"/>
      <c r="BH100" s="726"/>
      <c r="BI100" s="726"/>
      <c r="BJ100" s="726"/>
      <c r="BK100" s="726"/>
      <c r="BL100" s="726"/>
      <c r="BM100" s="726"/>
      <c r="BN100" s="726"/>
      <c r="BO100" s="726"/>
      <c r="BP100" s="726"/>
      <c r="BQ100" s="726"/>
      <c r="BR100" s="726"/>
      <c r="BS100" s="726"/>
    </row>
    <row r="101" spans="1:71" s="563" customFormat="1">
      <c r="A101" s="614"/>
      <c r="E101" s="565"/>
      <c r="F101" s="565"/>
      <c r="Q101" s="726"/>
      <c r="R101" s="726"/>
      <c r="S101" s="726"/>
      <c r="T101" s="726"/>
      <c r="U101" s="726"/>
      <c r="V101" s="726"/>
      <c r="W101" s="726"/>
      <c r="X101" s="726"/>
      <c r="Y101" s="726"/>
      <c r="Z101" s="726"/>
      <c r="AA101" s="726"/>
      <c r="AB101" s="726"/>
      <c r="AC101" s="726"/>
      <c r="AD101" s="726"/>
      <c r="AE101" s="726"/>
      <c r="AF101" s="726"/>
      <c r="AG101" s="726"/>
      <c r="AH101" s="726"/>
      <c r="AI101" s="726"/>
      <c r="AJ101" s="726"/>
      <c r="AK101" s="726"/>
      <c r="AL101" s="726"/>
      <c r="AM101" s="726"/>
      <c r="AN101" s="726"/>
      <c r="AO101" s="726"/>
      <c r="AP101" s="726"/>
      <c r="AQ101" s="726"/>
      <c r="AR101" s="726"/>
      <c r="AS101" s="726"/>
      <c r="AT101" s="726"/>
      <c r="AU101" s="726"/>
      <c r="AV101" s="726"/>
      <c r="AW101" s="726"/>
      <c r="AX101" s="726"/>
      <c r="AY101" s="726"/>
      <c r="AZ101" s="726"/>
      <c r="BA101" s="726"/>
      <c r="BB101" s="726"/>
      <c r="BC101" s="726"/>
      <c r="BD101" s="726"/>
      <c r="BE101" s="726"/>
      <c r="BF101" s="726"/>
      <c r="BG101" s="726"/>
      <c r="BH101" s="726"/>
      <c r="BI101" s="726"/>
      <c r="BJ101" s="726"/>
      <c r="BK101" s="726"/>
      <c r="BL101" s="726"/>
      <c r="BM101" s="726"/>
      <c r="BN101" s="726"/>
      <c r="BO101" s="726"/>
      <c r="BP101" s="726"/>
      <c r="BQ101" s="726"/>
      <c r="BR101" s="726"/>
      <c r="BS101" s="726"/>
    </row>
    <row r="102" spans="1:71" s="563" customFormat="1">
      <c r="A102" s="614"/>
      <c r="E102" s="565"/>
      <c r="F102" s="565"/>
      <c r="Q102" s="726"/>
      <c r="R102" s="726"/>
      <c r="S102" s="726"/>
      <c r="T102" s="726"/>
      <c r="U102" s="726"/>
      <c r="V102" s="726"/>
      <c r="W102" s="726"/>
      <c r="X102" s="726"/>
      <c r="Y102" s="726"/>
      <c r="Z102" s="726"/>
      <c r="AA102" s="726"/>
      <c r="AB102" s="726"/>
      <c r="AC102" s="726"/>
      <c r="AD102" s="726"/>
      <c r="AE102" s="726"/>
      <c r="AF102" s="726"/>
      <c r="AG102" s="726"/>
      <c r="AH102" s="726"/>
      <c r="AI102" s="726"/>
      <c r="AJ102" s="726"/>
      <c r="AK102" s="726"/>
      <c r="AL102" s="726"/>
      <c r="AM102" s="726"/>
      <c r="AN102" s="726"/>
      <c r="AO102" s="726"/>
      <c r="AP102" s="726"/>
      <c r="AQ102" s="726"/>
      <c r="AR102" s="726"/>
      <c r="AS102" s="726"/>
      <c r="AT102" s="726"/>
      <c r="AU102" s="726"/>
      <c r="AV102" s="726"/>
      <c r="AW102" s="726"/>
      <c r="AX102" s="726"/>
      <c r="AY102" s="726"/>
      <c r="AZ102" s="726"/>
      <c r="BA102" s="726"/>
      <c r="BB102" s="726"/>
      <c r="BC102" s="726"/>
      <c r="BD102" s="726"/>
      <c r="BE102" s="726"/>
      <c r="BF102" s="726"/>
      <c r="BG102" s="726"/>
      <c r="BH102" s="726"/>
      <c r="BI102" s="726"/>
      <c r="BJ102" s="726"/>
      <c r="BK102" s="726"/>
      <c r="BL102" s="726"/>
      <c r="BM102" s="726"/>
      <c r="BN102" s="726"/>
      <c r="BO102" s="726"/>
      <c r="BP102" s="726"/>
      <c r="BQ102" s="726"/>
      <c r="BR102" s="726"/>
      <c r="BS102" s="726"/>
    </row>
    <row r="103" spans="1:71" s="563" customFormat="1">
      <c r="A103" s="614"/>
      <c r="E103" s="565"/>
      <c r="F103" s="565"/>
      <c r="Q103" s="726"/>
      <c r="R103" s="726"/>
      <c r="S103" s="726"/>
      <c r="T103" s="726"/>
      <c r="U103" s="726"/>
      <c r="V103" s="726"/>
      <c r="W103" s="726"/>
      <c r="X103" s="726"/>
      <c r="Y103" s="726"/>
      <c r="Z103" s="726"/>
      <c r="AA103" s="726"/>
      <c r="AB103" s="726"/>
      <c r="AC103" s="726"/>
      <c r="AD103" s="726"/>
      <c r="AE103" s="726"/>
      <c r="AF103" s="726"/>
      <c r="AG103" s="726"/>
      <c r="AH103" s="726"/>
      <c r="AI103" s="726"/>
      <c r="AJ103" s="726"/>
      <c r="AK103" s="726"/>
      <c r="AL103" s="726"/>
      <c r="AM103" s="726"/>
      <c r="AN103" s="726"/>
      <c r="AO103" s="726"/>
      <c r="AP103" s="726"/>
      <c r="AQ103" s="726"/>
      <c r="AR103" s="726"/>
      <c r="AS103" s="726"/>
      <c r="AT103" s="726"/>
      <c r="AU103" s="726"/>
      <c r="AV103" s="726"/>
      <c r="AW103" s="726"/>
      <c r="AX103" s="726"/>
      <c r="AY103" s="726"/>
      <c r="AZ103" s="726"/>
      <c r="BA103" s="726"/>
      <c r="BB103" s="726"/>
      <c r="BC103" s="726"/>
      <c r="BD103" s="726"/>
      <c r="BE103" s="726"/>
      <c r="BF103" s="726"/>
      <c r="BG103" s="726"/>
      <c r="BH103" s="726"/>
      <c r="BI103" s="726"/>
      <c r="BJ103" s="726"/>
      <c r="BK103" s="726"/>
      <c r="BL103" s="726"/>
      <c r="BM103" s="726"/>
      <c r="BN103" s="726"/>
      <c r="BO103" s="726"/>
      <c r="BP103" s="726"/>
      <c r="BQ103" s="726"/>
      <c r="BR103" s="726"/>
      <c r="BS103" s="726"/>
    </row>
    <row r="104" spans="1:71" s="563" customFormat="1">
      <c r="A104" s="614"/>
      <c r="E104" s="565"/>
      <c r="F104" s="565"/>
      <c r="Q104" s="726"/>
      <c r="R104" s="726"/>
      <c r="S104" s="726"/>
      <c r="T104" s="726"/>
      <c r="U104" s="726"/>
      <c r="V104" s="726"/>
      <c r="W104" s="726"/>
      <c r="X104" s="726"/>
      <c r="Y104" s="726"/>
      <c r="Z104" s="726"/>
      <c r="AA104" s="726"/>
      <c r="AB104" s="726"/>
      <c r="AC104" s="726"/>
      <c r="AD104" s="726"/>
      <c r="AE104" s="726"/>
      <c r="AF104" s="726"/>
      <c r="AG104" s="726"/>
      <c r="AH104" s="726"/>
      <c r="AI104" s="726"/>
      <c r="AJ104" s="726"/>
      <c r="AK104" s="726"/>
      <c r="AL104" s="726"/>
      <c r="AM104" s="726"/>
      <c r="AN104" s="726"/>
      <c r="AO104" s="726"/>
      <c r="AP104" s="726"/>
      <c r="AQ104" s="726"/>
      <c r="AR104" s="726"/>
      <c r="AS104" s="726"/>
      <c r="AT104" s="726"/>
      <c r="AU104" s="726"/>
      <c r="AV104" s="726"/>
      <c r="AW104" s="726"/>
      <c r="AX104" s="726"/>
      <c r="AY104" s="726"/>
      <c r="AZ104" s="726"/>
      <c r="BA104" s="726"/>
      <c r="BB104" s="726"/>
      <c r="BC104" s="726"/>
      <c r="BD104" s="726"/>
      <c r="BE104" s="726"/>
      <c r="BF104" s="726"/>
      <c r="BG104" s="726"/>
      <c r="BH104" s="726"/>
      <c r="BI104" s="726"/>
      <c r="BJ104" s="726"/>
      <c r="BK104" s="726"/>
      <c r="BL104" s="726"/>
      <c r="BM104" s="726"/>
      <c r="BN104" s="726"/>
      <c r="BO104" s="726"/>
      <c r="BP104" s="726"/>
      <c r="BQ104" s="726"/>
      <c r="BR104" s="726"/>
      <c r="BS104" s="726"/>
    </row>
    <row r="105" spans="1:71" s="563" customFormat="1">
      <c r="A105" s="614"/>
      <c r="E105" s="565"/>
      <c r="F105" s="565"/>
      <c r="Q105" s="726"/>
      <c r="R105" s="726"/>
      <c r="S105" s="726"/>
      <c r="T105" s="726"/>
      <c r="U105" s="726"/>
      <c r="V105" s="726"/>
      <c r="W105" s="726"/>
      <c r="X105" s="726"/>
      <c r="Y105" s="726"/>
      <c r="Z105" s="726"/>
      <c r="AA105" s="726"/>
      <c r="AB105" s="726"/>
      <c r="AC105" s="726"/>
      <c r="AD105" s="726"/>
      <c r="AE105" s="726"/>
      <c r="AF105" s="726"/>
      <c r="AG105" s="726"/>
      <c r="AH105" s="726"/>
      <c r="AI105" s="726"/>
      <c r="AJ105" s="726"/>
      <c r="AK105" s="726"/>
      <c r="AL105" s="726"/>
      <c r="AM105" s="726"/>
      <c r="AN105" s="726"/>
      <c r="AO105" s="726"/>
      <c r="AP105" s="726"/>
      <c r="AQ105" s="726"/>
      <c r="AR105" s="726"/>
      <c r="AS105" s="726"/>
      <c r="AT105" s="726"/>
      <c r="AU105" s="726"/>
      <c r="AV105" s="726"/>
      <c r="AW105" s="726"/>
      <c r="AX105" s="726"/>
      <c r="AY105" s="726"/>
      <c r="AZ105" s="726"/>
      <c r="BA105" s="726"/>
      <c r="BB105" s="726"/>
      <c r="BC105" s="726"/>
      <c r="BD105" s="726"/>
      <c r="BE105" s="726"/>
      <c r="BF105" s="726"/>
      <c r="BG105" s="726"/>
      <c r="BH105" s="726"/>
      <c r="BI105" s="726"/>
      <c r="BJ105" s="726"/>
      <c r="BK105" s="726"/>
      <c r="BL105" s="726"/>
      <c r="BM105" s="726"/>
      <c r="BN105" s="726"/>
      <c r="BO105" s="726"/>
      <c r="BP105" s="726"/>
      <c r="BQ105" s="726"/>
      <c r="BR105" s="726"/>
      <c r="BS105" s="726"/>
    </row>
    <row r="106" spans="1:71" s="563" customFormat="1">
      <c r="A106" s="614"/>
      <c r="E106" s="565"/>
      <c r="F106" s="565"/>
      <c r="Q106" s="726"/>
      <c r="R106" s="726"/>
      <c r="S106" s="726"/>
      <c r="T106" s="726"/>
      <c r="U106" s="726"/>
      <c r="V106" s="726"/>
      <c r="W106" s="726"/>
      <c r="X106" s="726"/>
      <c r="Y106" s="726"/>
      <c r="Z106" s="726"/>
      <c r="AA106" s="726"/>
      <c r="AB106" s="726"/>
      <c r="AC106" s="726"/>
      <c r="AD106" s="726"/>
      <c r="AE106" s="726"/>
      <c r="AF106" s="726"/>
      <c r="AG106" s="726"/>
      <c r="AH106" s="726"/>
      <c r="AI106" s="726"/>
      <c r="AJ106" s="726"/>
      <c r="AK106" s="726"/>
      <c r="AL106" s="726"/>
      <c r="AM106" s="726"/>
      <c r="AN106" s="726"/>
      <c r="AO106" s="726"/>
      <c r="AP106" s="726"/>
      <c r="AQ106" s="726"/>
      <c r="AR106" s="726"/>
      <c r="AS106" s="726"/>
      <c r="AT106" s="726"/>
      <c r="AU106" s="726"/>
      <c r="AV106" s="726"/>
      <c r="AW106" s="726"/>
      <c r="AX106" s="726"/>
      <c r="AY106" s="726"/>
      <c r="AZ106" s="726"/>
      <c r="BA106" s="726"/>
      <c r="BB106" s="726"/>
      <c r="BC106" s="726"/>
      <c r="BD106" s="726"/>
      <c r="BE106" s="726"/>
      <c r="BF106" s="726"/>
      <c r="BG106" s="726"/>
      <c r="BH106" s="726"/>
      <c r="BI106" s="726"/>
      <c r="BJ106" s="726"/>
      <c r="BK106" s="726"/>
      <c r="BL106" s="726"/>
      <c r="BM106" s="726"/>
      <c r="BN106" s="726"/>
      <c r="BO106" s="726"/>
      <c r="BP106" s="726"/>
      <c r="BQ106" s="726"/>
      <c r="BR106" s="726"/>
      <c r="BS106" s="726"/>
    </row>
    <row r="107" spans="1:71" s="563" customFormat="1">
      <c r="A107" s="614"/>
      <c r="E107" s="565"/>
      <c r="F107" s="565"/>
      <c r="Q107" s="726"/>
      <c r="R107" s="726"/>
      <c r="S107" s="726"/>
      <c r="T107" s="726"/>
      <c r="U107" s="726"/>
      <c r="V107" s="726"/>
      <c r="W107" s="726"/>
      <c r="X107" s="726"/>
      <c r="Y107" s="726"/>
      <c r="Z107" s="726"/>
      <c r="AA107" s="726"/>
      <c r="AB107" s="726"/>
      <c r="AC107" s="726"/>
      <c r="AD107" s="726"/>
      <c r="AE107" s="726"/>
      <c r="AF107" s="726"/>
      <c r="AG107" s="726"/>
      <c r="AH107" s="726"/>
      <c r="AI107" s="726"/>
      <c r="AJ107" s="726"/>
      <c r="AK107" s="726"/>
      <c r="AL107" s="726"/>
      <c r="AM107" s="726"/>
      <c r="AN107" s="726"/>
      <c r="AO107" s="726"/>
      <c r="AP107" s="726"/>
      <c r="AQ107" s="726"/>
      <c r="AR107" s="726"/>
      <c r="AS107" s="726"/>
      <c r="AT107" s="726"/>
      <c r="AU107" s="726"/>
      <c r="AV107" s="726"/>
      <c r="AW107" s="726"/>
      <c r="AX107" s="726"/>
      <c r="AY107" s="726"/>
      <c r="AZ107" s="726"/>
      <c r="BA107" s="726"/>
      <c r="BB107" s="726"/>
      <c r="BC107" s="726"/>
      <c r="BD107" s="726"/>
      <c r="BE107" s="726"/>
      <c r="BF107" s="726"/>
      <c r="BG107" s="726"/>
      <c r="BH107" s="726"/>
      <c r="BI107" s="726"/>
      <c r="BJ107" s="726"/>
      <c r="BK107" s="726"/>
      <c r="BL107" s="726"/>
      <c r="BM107" s="726"/>
      <c r="BN107" s="726"/>
      <c r="BO107" s="726"/>
      <c r="BP107" s="726"/>
      <c r="BQ107" s="726"/>
      <c r="BR107" s="726"/>
      <c r="BS107" s="726"/>
    </row>
    <row r="108" spans="1:71" s="563" customFormat="1">
      <c r="A108" s="614"/>
      <c r="E108" s="565"/>
      <c r="F108" s="565"/>
      <c r="Q108" s="726"/>
      <c r="R108" s="726"/>
      <c r="S108" s="726"/>
      <c r="T108" s="726"/>
      <c r="U108" s="726"/>
      <c r="V108" s="726"/>
      <c r="W108" s="726"/>
      <c r="X108" s="726"/>
      <c r="Y108" s="726"/>
      <c r="Z108" s="726"/>
      <c r="AA108" s="726"/>
      <c r="AB108" s="726"/>
      <c r="AC108" s="726"/>
      <c r="AD108" s="726"/>
      <c r="AE108" s="726"/>
      <c r="AF108" s="726"/>
      <c r="AG108" s="726"/>
      <c r="AH108" s="726"/>
      <c r="AI108" s="726"/>
      <c r="AJ108" s="726"/>
      <c r="AK108" s="726"/>
      <c r="AL108" s="726"/>
      <c r="AM108" s="726"/>
      <c r="AN108" s="726"/>
      <c r="AO108" s="726"/>
      <c r="AP108" s="726"/>
      <c r="AQ108" s="726"/>
      <c r="AR108" s="726"/>
      <c r="AS108" s="726"/>
      <c r="AT108" s="726"/>
      <c r="AU108" s="726"/>
      <c r="AV108" s="726"/>
      <c r="AW108" s="726"/>
      <c r="AX108" s="726"/>
      <c r="AY108" s="726"/>
      <c r="AZ108" s="726"/>
      <c r="BA108" s="726"/>
      <c r="BB108" s="726"/>
      <c r="BC108" s="726"/>
      <c r="BD108" s="726"/>
      <c r="BE108" s="726"/>
      <c r="BF108" s="726"/>
      <c r="BG108" s="726"/>
      <c r="BH108" s="726"/>
      <c r="BI108" s="726"/>
      <c r="BJ108" s="726"/>
      <c r="BK108" s="726"/>
      <c r="BL108" s="726"/>
      <c r="BM108" s="726"/>
      <c r="BN108" s="726"/>
      <c r="BO108" s="726"/>
      <c r="BP108" s="726"/>
      <c r="BQ108" s="726"/>
      <c r="BR108" s="726"/>
      <c r="BS108" s="726"/>
    </row>
    <row r="109" spans="1:71" s="563" customFormat="1">
      <c r="A109" s="614"/>
      <c r="E109" s="565"/>
      <c r="F109" s="565"/>
      <c r="Q109" s="726"/>
      <c r="R109" s="726"/>
      <c r="S109" s="726"/>
      <c r="T109" s="726"/>
      <c r="U109" s="726"/>
      <c r="V109" s="726"/>
      <c r="W109" s="726"/>
      <c r="X109" s="726"/>
      <c r="Y109" s="726"/>
      <c r="Z109" s="726"/>
      <c r="AA109" s="726"/>
      <c r="AB109" s="726"/>
      <c r="AC109" s="726"/>
      <c r="AD109" s="726"/>
      <c r="AE109" s="726"/>
      <c r="AF109" s="726"/>
      <c r="AG109" s="726"/>
      <c r="AH109" s="726"/>
      <c r="AI109" s="726"/>
      <c r="AJ109" s="726"/>
      <c r="AK109" s="726"/>
      <c r="AL109" s="726"/>
      <c r="AM109" s="726"/>
      <c r="AN109" s="726"/>
      <c r="AO109" s="726"/>
      <c r="AP109" s="726"/>
      <c r="AQ109" s="726"/>
      <c r="AR109" s="726"/>
      <c r="AS109" s="726"/>
      <c r="AT109" s="726"/>
      <c r="AU109" s="726"/>
      <c r="AV109" s="726"/>
      <c r="AW109" s="726"/>
      <c r="AX109" s="726"/>
      <c r="AY109" s="726"/>
      <c r="AZ109" s="726"/>
      <c r="BA109" s="726"/>
      <c r="BB109" s="726"/>
      <c r="BC109" s="726"/>
      <c r="BD109" s="726"/>
      <c r="BE109" s="726"/>
      <c r="BF109" s="726"/>
      <c r="BG109" s="726"/>
      <c r="BH109" s="726"/>
      <c r="BI109" s="726"/>
      <c r="BJ109" s="726"/>
      <c r="BK109" s="726"/>
      <c r="BL109" s="726"/>
      <c r="BM109" s="726"/>
      <c r="BN109" s="726"/>
      <c r="BO109" s="726"/>
      <c r="BP109" s="726"/>
      <c r="BQ109" s="726"/>
      <c r="BR109" s="726"/>
      <c r="BS109" s="726"/>
    </row>
    <row r="110" spans="1:71" s="563" customFormat="1">
      <c r="A110" s="614"/>
      <c r="E110" s="565"/>
      <c r="F110" s="565"/>
      <c r="Q110" s="726"/>
      <c r="R110" s="726"/>
      <c r="S110" s="726"/>
      <c r="T110" s="726"/>
      <c r="U110" s="726"/>
      <c r="V110" s="726"/>
      <c r="W110" s="726"/>
      <c r="X110" s="726"/>
      <c r="Y110" s="726"/>
      <c r="Z110" s="726"/>
      <c r="AA110" s="726"/>
      <c r="AB110" s="726"/>
      <c r="AC110" s="726"/>
      <c r="AD110" s="726"/>
      <c r="AE110" s="726"/>
      <c r="AF110" s="726"/>
      <c r="AG110" s="726"/>
      <c r="AH110" s="726"/>
      <c r="AI110" s="726"/>
      <c r="AJ110" s="726"/>
      <c r="AK110" s="726"/>
      <c r="AL110" s="726"/>
      <c r="AM110" s="726"/>
      <c r="AN110" s="726"/>
      <c r="AO110" s="726"/>
      <c r="AP110" s="726"/>
      <c r="AQ110" s="726"/>
      <c r="AR110" s="726"/>
      <c r="AS110" s="726"/>
      <c r="AT110" s="726"/>
      <c r="AU110" s="726"/>
      <c r="AV110" s="726"/>
      <c r="AW110" s="726"/>
      <c r="AX110" s="726"/>
      <c r="AY110" s="726"/>
      <c r="AZ110" s="726"/>
      <c r="BA110" s="726"/>
      <c r="BB110" s="726"/>
      <c r="BC110" s="726"/>
      <c r="BD110" s="726"/>
      <c r="BE110" s="726"/>
      <c r="BF110" s="726"/>
      <c r="BG110" s="726"/>
      <c r="BH110" s="726"/>
      <c r="BI110" s="726"/>
      <c r="BJ110" s="726"/>
      <c r="BK110" s="726"/>
      <c r="BL110" s="726"/>
      <c r="BM110" s="726"/>
      <c r="BN110" s="726"/>
      <c r="BO110" s="726"/>
      <c r="BP110" s="726"/>
      <c r="BQ110" s="726"/>
      <c r="BR110" s="726"/>
      <c r="BS110" s="726"/>
    </row>
    <row r="111" spans="1:71" s="563" customFormat="1">
      <c r="A111" s="614"/>
      <c r="E111" s="565"/>
      <c r="F111" s="565"/>
      <c r="Q111" s="726"/>
      <c r="R111" s="726"/>
      <c r="S111" s="726"/>
      <c r="T111" s="726"/>
      <c r="U111" s="726"/>
      <c r="V111" s="726"/>
      <c r="W111" s="726"/>
      <c r="X111" s="726"/>
      <c r="Y111" s="726"/>
      <c r="Z111" s="726"/>
      <c r="AA111" s="726"/>
      <c r="AB111" s="726"/>
      <c r="AC111" s="726"/>
      <c r="AD111" s="726"/>
      <c r="AE111" s="726"/>
      <c r="AF111" s="726"/>
      <c r="AG111" s="726"/>
      <c r="AH111" s="726"/>
      <c r="AI111" s="726"/>
      <c r="AJ111" s="726"/>
      <c r="AK111" s="726"/>
      <c r="AL111" s="726"/>
      <c r="AM111" s="726"/>
      <c r="AN111" s="726"/>
      <c r="AO111" s="726"/>
      <c r="AP111" s="726"/>
      <c r="AQ111" s="726"/>
      <c r="AR111" s="726"/>
      <c r="AS111" s="726"/>
      <c r="AT111" s="726"/>
      <c r="AU111" s="726"/>
      <c r="AV111" s="726"/>
      <c r="AW111" s="726"/>
      <c r="AX111" s="726"/>
      <c r="AY111" s="726"/>
      <c r="AZ111" s="726"/>
      <c r="BA111" s="726"/>
      <c r="BB111" s="726"/>
      <c r="BC111" s="726"/>
      <c r="BD111" s="726"/>
      <c r="BE111" s="726"/>
      <c r="BF111" s="726"/>
      <c r="BG111" s="726"/>
      <c r="BH111" s="726"/>
      <c r="BI111" s="726"/>
      <c r="BJ111" s="726"/>
      <c r="BK111" s="726"/>
      <c r="BL111" s="726"/>
      <c r="BM111" s="726"/>
      <c r="BN111" s="726"/>
      <c r="BO111" s="726"/>
      <c r="BP111" s="726"/>
      <c r="BQ111" s="726"/>
      <c r="BR111" s="726"/>
      <c r="BS111" s="726"/>
    </row>
    <row r="112" spans="1:71" s="563" customFormat="1">
      <c r="A112" s="614"/>
      <c r="E112" s="565"/>
      <c r="F112" s="565"/>
      <c r="Q112" s="726"/>
      <c r="R112" s="726"/>
      <c r="S112" s="726"/>
      <c r="T112" s="726"/>
      <c r="U112" s="726"/>
      <c r="V112" s="726"/>
      <c r="W112" s="726"/>
      <c r="X112" s="726"/>
      <c r="Y112" s="726"/>
      <c r="Z112" s="726"/>
      <c r="AA112" s="726"/>
      <c r="AB112" s="726"/>
      <c r="AC112" s="726"/>
      <c r="AD112" s="726"/>
      <c r="AE112" s="726"/>
      <c r="AF112" s="726"/>
      <c r="AG112" s="726"/>
      <c r="AH112" s="726"/>
      <c r="AI112" s="726"/>
      <c r="AJ112" s="726"/>
      <c r="AK112" s="726"/>
      <c r="AL112" s="726"/>
      <c r="AM112" s="726"/>
      <c r="AN112" s="726"/>
      <c r="AO112" s="726"/>
      <c r="AP112" s="726"/>
      <c r="AQ112" s="726"/>
      <c r="AR112" s="726"/>
      <c r="AS112" s="726"/>
      <c r="AT112" s="726"/>
      <c r="AU112" s="726"/>
      <c r="AV112" s="726"/>
      <c r="AW112" s="726"/>
      <c r="AX112" s="726"/>
      <c r="AY112" s="726"/>
      <c r="AZ112" s="726"/>
      <c r="BA112" s="726"/>
      <c r="BB112" s="726"/>
      <c r="BC112" s="726"/>
      <c r="BD112" s="726"/>
      <c r="BE112" s="726"/>
      <c r="BF112" s="726"/>
      <c r="BG112" s="726"/>
      <c r="BH112" s="726"/>
      <c r="BI112" s="726"/>
      <c r="BJ112" s="726"/>
      <c r="BK112" s="726"/>
      <c r="BL112" s="726"/>
      <c r="BM112" s="726"/>
      <c r="BN112" s="726"/>
      <c r="BO112" s="726"/>
      <c r="BP112" s="726"/>
      <c r="BQ112" s="726"/>
      <c r="BR112" s="726"/>
      <c r="BS112" s="726"/>
    </row>
    <row r="113" spans="1:71" s="563" customFormat="1">
      <c r="A113" s="614"/>
      <c r="E113" s="565"/>
      <c r="F113" s="565"/>
      <c r="Q113" s="726"/>
      <c r="R113" s="726"/>
      <c r="S113" s="726"/>
      <c r="T113" s="726"/>
      <c r="U113" s="726"/>
      <c r="V113" s="726"/>
      <c r="W113" s="726"/>
      <c r="X113" s="726"/>
      <c r="Y113" s="726"/>
      <c r="Z113" s="726"/>
      <c r="AA113" s="726"/>
      <c r="AB113" s="726"/>
      <c r="AC113" s="726"/>
      <c r="AD113" s="726"/>
      <c r="AE113" s="726"/>
      <c r="AF113" s="726"/>
      <c r="AG113" s="726"/>
      <c r="AH113" s="726"/>
      <c r="AI113" s="726"/>
      <c r="AJ113" s="726"/>
      <c r="AK113" s="726"/>
      <c r="AL113" s="726"/>
      <c r="AM113" s="726"/>
      <c r="AN113" s="726"/>
      <c r="AO113" s="726"/>
      <c r="AP113" s="726"/>
      <c r="AQ113" s="726"/>
      <c r="AR113" s="726"/>
      <c r="AS113" s="726"/>
      <c r="AT113" s="726"/>
      <c r="AU113" s="726"/>
      <c r="AV113" s="726"/>
      <c r="AW113" s="726"/>
      <c r="AX113" s="726"/>
      <c r="AY113" s="726"/>
      <c r="AZ113" s="726"/>
      <c r="BA113" s="726"/>
      <c r="BB113" s="726"/>
      <c r="BC113" s="726"/>
      <c r="BD113" s="726"/>
      <c r="BE113" s="726"/>
      <c r="BF113" s="726"/>
      <c r="BG113" s="726"/>
      <c r="BH113" s="726"/>
      <c r="BI113" s="726"/>
      <c r="BJ113" s="726"/>
      <c r="BK113" s="726"/>
      <c r="BL113" s="726"/>
      <c r="BM113" s="726"/>
      <c r="BN113" s="726"/>
      <c r="BO113" s="726"/>
      <c r="BP113" s="726"/>
      <c r="BQ113" s="726"/>
      <c r="BR113" s="726"/>
      <c r="BS113" s="726"/>
    </row>
    <row r="114" spans="1:71" s="563" customFormat="1">
      <c r="A114" s="614"/>
      <c r="E114" s="565"/>
      <c r="F114" s="565"/>
      <c r="Q114" s="726"/>
      <c r="R114" s="726"/>
      <c r="S114" s="726"/>
      <c r="T114" s="726"/>
      <c r="U114" s="726"/>
      <c r="V114" s="726"/>
      <c r="W114" s="726"/>
      <c r="X114" s="726"/>
      <c r="Y114" s="726"/>
      <c r="Z114" s="726"/>
      <c r="AA114" s="726"/>
      <c r="AB114" s="726"/>
      <c r="AC114" s="726"/>
      <c r="AD114" s="726"/>
      <c r="AE114" s="726"/>
      <c r="AF114" s="726"/>
      <c r="AG114" s="726"/>
      <c r="AH114" s="726"/>
      <c r="AI114" s="726"/>
      <c r="AJ114" s="726"/>
      <c r="AK114" s="726"/>
      <c r="AL114" s="726"/>
      <c r="AM114" s="726"/>
      <c r="AN114" s="726"/>
      <c r="AO114" s="726"/>
      <c r="AP114" s="726"/>
      <c r="AQ114" s="726"/>
      <c r="AR114" s="726"/>
      <c r="AS114" s="726"/>
      <c r="AT114" s="726"/>
      <c r="AU114" s="726"/>
      <c r="AV114" s="726"/>
      <c r="AW114" s="726"/>
      <c r="AX114" s="726"/>
      <c r="AY114" s="726"/>
      <c r="AZ114" s="726"/>
      <c r="BA114" s="726"/>
      <c r="BB114" s="726"/>
      <c r="BC114" s="726"/>
      <c r="BD114" s="726"/>
      <c r="BE114" s="726"/>
      <c r="BF114" s="726"/>
      <c r="BG114" s="726"/>
      <c r="BH114" s="726"/>
      <c r="BI114" s="726"/>
      <c r="BJ114" s="726"/>
      <c r="BK114" s="726"/>
      <c r="BL114" s="726"/>
      <c r="BM114" s="726"/>
      <c r="BN114" s="726"/>
      <c r="BO114" s="726"/>
      <c r="BP114" s="726"/>
      <c r="BQ114" s="726"/>
      <c r="BR114" s="726"/>
      <c r="BS114" s="726"/>
    </row>
    <row r="115" spans="1:71" s="563" customFormat="1">
      <c r="A115" s="614"/>
      <c r="E115" s="565"/>
      <c r="F115" s="565"/>
      <c r="Q115" s="726"/>
      <c r="R115" s="726"/>
      <c r="S115" s="726"/>
      <c r="T115" s="726"/>
      <c r="U115" s="726"/>
      <c r="V115" s="726"/>
      <c r="W115" s="726"/>
      <c r="X115" s="726"/>
      <c r="Y115" s="726"/>
      <c r="Z115" s="726"/>
      <c r="AA115" s="726"/>
      <c r="AB115" s="726"/>
      <c r="AC115" s="726"/>
      <c r="AD115" s="726"/>
      <c r="AE115" s="726"/>
      <c r="AF115" s="726"/>
      <c r="AG115" s="726"/>
      <c r="AH115" s="726"/>
      <c r="AI115" s="726"/>
      <c r="AJ115" s="726"/>
      <c r="AK115" s="726"/>
      <c r="AL115" s="726"/>
      <c r="AM115" s="726"/>
      <c r="AN115" s="726"/>
      <c r="AO115" s="726"/>
      <c r="AP115" s="726"/>
      <c r="AQ115" s="726"/>
      <c r="AR115" s="726"/>
      <c r="AS115" s="726"/>
      <c r="AT115" s="726"/>
      <c r="AU115" s="726"/>
      <c r="AV115" s="726"/>
      <c r="AW115" s="726"/>
      <c r="AX115" s="726"/>
      <c r="AY115" s="726"/>
      <c r="AZ115" s="726"/>
      <c r="BA115" s="726"/>
      <c r="BB115" s="726"/>
      <c r="BC115" s="726"/>
      <c r="BD115" s="726"/>
      <c r="BE115" s="726"/>
      <c r="BF115" s="726"/>
      <c r="BG115" s="726"/>
      <c r="BH115" s="726"/>
      <c r="BI115" s="726"/>
      <c r="BJ115" s="726"/>
      <c r="BK115" s="726"/>
      <c r="BL115" s="726"/>
      <c r="BM115" s="726"/>
      <c r="BN115" s="726"/>
      <c r="BO115" s="726"/>
      <c r="BP115" s="726"/>
      <c r="BQ115" s="726"/>
      <c r="BR115" s="726"/>
      <c r="BS115" s="726"/>
    </row>
    <row r="116" spans="1:71" s="563" customFormat="1">
      <c r="A116" s="614"/>
      <c r="E116" s="565"/>
      <c r="F116" s="565"/>
      <c r="Q116" s="726"/>
      <c r="R116" s="726"/>
      <c r="S116" s="726"/>
      <c r="T116" s="726"/>
      <c r="U116" s="726"/>
      <c r="V116" s="726"/>
      <c r="W116" s="726"/>
      <c r="X116" s="726"/>
      <c r="Y116" s="726"/>
      <c r="Z116" s="726"/>
      <c r="AA116" s="726"/>
      <c r="AB116" s="726"/>
      <c r="AC116" s="726"/>
      <c r="AD116" s="726"/>
      <c r="AE116" s="726"/>
      <c r="AF116" s="726"/>
      <c r="AG116" s="726"/>
      <c r="AH116" s="726"/>
      <c r="AI116" s="726"/>
      <c r="AJ116" s="726"/>
      <c r="AK116" s="726"/>
      <c r="AL116" s="726"/>
      <c r="AM116" s="726"/>
      <c r="AN116" s="726"/>
      <c r="AO116" s="726"/>
      <c r="AP116" s="726"/>
      <c r="AQ116" s="726"/>
      <c r="AR116" s="726"/>
      <c r="AS116" s="726"/>
      <c r="AT116" s="726"/>
      <c r="AU116" s="726"/>
      <c r="AV116" s="726"/>
      <c r="AW116" s="726"/>
      <c r="AX116" s="726"/>
      <c r="AY116" s="726"/>
      <c r="AZ116" s="726"/>
      <c r="BA116" s="726"/>
      <c r="BB116" s="726"/>
      <c r="BC116" s="726"/>
      <c r="BD116" s="726"/>
      <c r="BE116" s="726"/>
      <c r="BF116" s="726"/>
      <c r="BG116" s="726"/>
      <c r="BH116" s="726"/>
      <c r="BI116" s="726"/>
      <c r="BJ116" s="726"/>
      <c r="BK116" s="726"/>
      <c r="BL116" s="726"/>
      <c r="BM116" s="726"/>
      <c r="BN116" s="726"/>
      <c r="BO116" s="726"/>
      <c r="BP116" s="726"/>
      <c r="BQ116" s="726"/>
      <c r="BR116" s="726"/>
      <c r="BS116" s="726"/>
    </row>
    <row r="117" spans="1:71" s="563" customFormat="1">
      <c r="A117" s="614"/>
      <c r="E117" s="565"/>
      <c r="F117" s="565"/>
      <c r="Q117" s="726"/>
      <c r="R117" s="726"/>
      <c r="S117" s="726"/>
      <c r="T117" s="726"/>
      <c r="U117" s="726"/>
      <c r="V117" s="726"/>
      <c r="W117" s="726"/>
      <c r="X117" s="726"/>
      <c r="Y117" s="726"/>
      <c r="Z117" s="726"/>
      <c r="AA117" s="726"/>
      <c r="AB117" s="726"/>
      <c r="AC117" s="726"/>
      <c r="AD117" s="726"/>
      <c r="AE117" s="726"/>
      <c r="AF117" s="726"/>
      <c r="AG117" s="726"/>
      <c r="AH117" s="726"/>
      <c r="AI117" s="726"/>
      <c r="AJ117" s="726"/>
      <c r="AK117" s="726"/>
      <c r="AL117" s="726"/>
      <c r="AM117" s="726"/>
      <c r="AN117" s="726"/>
      <c r="AO117" s="726"/>
      <c r="AP117" s="726"/>
      <c r="AQ117" s="726"/>
      <c r="AR117" s="726"/>
      <c r="AS117" s="726"/>
      <c r="AT117" s="726"/>
      <c r="AU117" s="726"/>
      <c r="AV117" s="726"/>
      <c r="AW117" s="726"/>
      <c r="AX117" s="726"/>
      <c r="AY117" s="726"/>
      <c r="AZ117" s="726"/>
      <c r="BA117" s="726"/>
      <c r="BB117" s="726"/>
      <c r="BC117" s="726"/>
      <c r="BD117" s="726"/>
      <c r="BE117" s="726"/>
      <c r="BF117" s="726"/>
      <c r="BG117" s="726"/>
      <c r="BH117" s="726"/>
      <c r="BI117" s="726"/>
      <c r="BJ117" s="726"/>
      <c r="BK117" s="726"/>
      <c r="BL117" s="726"/>
      <c r="BM117" s="726"/>
      <c r="BN117" s="726"/>
      <c r="BO117" s="726"/>
      <c r="BP117" s="726"/>
      <c r="BQ117" s="726"/>
      <c r="BR117" s="726"/>
      <c r="BS117" s="726"/>
    </row>
    <row r="118" spans="1:71" s="563" customFormat="1">
      <c r="A118" s="614"/>
      <c r="E118" s="565"/>
      <c r="F118" s="565"/>
      <c r="Q118" s="726"/>
      <c r="R118" s="726"/>
      <c r="S118" s="726"/>
      <c r="T118" s="726"/>
      <c r="U118" s="726"/>
      <c r="V118" s="726"/>
      <c r="W118" s="726"/>
      <c r="X118" s="726"/>
      <c r="Y118" s="726"/>
      <c r="Z118" s="726"/>
      <c r="AA118" s="726"/>
      <c r="AB118" s="726"/>
      <c r="AC118" s="726"/>
      <c r="AD118" s="726"/>
      <c r="AE118" s="726"/>
      <c r="AF118" s="726"/>
      <c r="AG118" s="726"/>
      <c r="AH118" s="726"/>
      <c r="AI118" s="726"/>
      <c r="AJ118" s="726"/>
      <c r="AK118" s="726"/>
      <c r="AL118" s="726"/>
      <c r="AM118" s="726"/>
      <c r="AN118" s="726"/>
      <c r="AO118" s="726"/>
      <c r="AP118" s="726"/>
      <c r="AQ118" s="726"/>
      <c r="AR118" s="726"/>
      <c r="AS118" s="726"/>
      <c r="AT118" s="726"/>
      <c r="AU118" s="726"/>
      <c r="AV118" s="726"/>
      <c r="AW118" s="726"/>
      <c r="AX118" s="726"/>
      <c r="AY118" s="726"/>
      <c r="AZ118" s="726"/>
      <c r="BA118" s="726"/>
      <c r="BB118" s="726"/>
      <c r="BC118" s="726"/>
      <c r="BD118" s="726"/>
      <c r="BE118" s="726"/>
      <c r="BF118" s="726"/>
      <c r="BG118" s="726"/>
      <c r="BH118" s="726"/>
      <c r="BI118" s="726"/>
      <c r="BJ118" s="726"/>
      <c r="BK118" s="726"/>
      <c r="BL118" s="726"/>
      <c r="BM118" s="726"/>
      <c r="BN118" s="726"/>
      <c r="BO118" s="726"/>
      <c r="BP118" s="726"/>
      <c r="BQ118" s="726"/>
      <c r="BR118" s="726"/>
      <c r="BS118" s="726"/>
    </row>
    <row r="119" spans="1:71" s="563" customFormat="1">
      <c r="A119" s="614"/>
      <c r="E119" s="565"/>
      <c r="F119" s="565"/>
      <c r="Q119" s="726"/>
      <c r="R119" s="726"/>
      <c r="S119" s="726"/>
      <c r="T119" s="726"/>
      <c r="U119" s="726"/>
      <c r="V119" s="726"/>
      <c r="W119" s="726"/>
      <c r="X119" s="726"/>
      <c r="Y119" s="726"/>
      <c r="Z119" s="726"/>
      <c r="AA119" s="726"/>
      <c r="AB119" s="726"/>
      <c r="AC119" s="726"/>
      <c r="AD119" s="726"/>
      <c r="AE119" s="726"/>
      <c r="AF119" s="726"/>
      <c r="AG119" s="726"/>
      <c r="AH119" s="726"/>
      <c r="AI119" s="726"/>
      <c r="AJ119" s="726"/>
      <c r="AK119" s="726"/>
      <c r="AL119" s="726"/>
      <c r="AM119" s="726"/>
      <c r="AN119" s="726"/>
      <c r="AO119" s="726"/>
      <c r="AP119" s="726"/>
      <c r="AQ119" s="726"/>
      <c r="AR119" s="726"/>
      <c r="AS119" s="726"/>
      <c r="AT119" s="726"/>
      <c r="AU119" s="726"/>
      <c r="AV119" s="726"/>
      <c r="AW119" s="726"/>
      <c r="AX119" s="726"/>
      <c r="AY119" s="726"/>
      <c r="AZ119" s="726"/>
      <c r="BA119" s="726"/>
      <c r="BB119" s="726"/>
      <c r="BC119" s="726"/>
      <c r="BD119" s="726"/>
      <c r="BE119" s="726"/>
      <c r="BF119" s="726"/>
      <c r="BG119" s="726"/>
      <c r="BH119" s="726"/>
      <c r="BI119" s="726"/>
      <c r="BJ119" s="726"/>
      <c r="BK119" s="726"/>
      <c r="BL119" s="726"/>
      <c r="BM119" s="726"/>
      <c r="BN119" s="726"/>
      <c r="BO119" s="726"/>
      <c r="BP119" s="726"/>
      <c r="BQ119" s="726"/>
      <c r="BR119" s="726"/>
      <c r="BS119" s="726"/>
    </row>
    <row r="120" spans="1:71" s="563" customFormat="1">
      <c r="A120" s="614"/>
      <c r="E120" s="565"/>
      <c r="F120" s="565"/>
      <c r="Q120" s="726"/>
      <c r="R120" s="726"/>
      <c r="S120" s="726"/>
      <c r="T120" s="726"/>
      <c r="U120" s="726"/>
      <c r="V120" s="726"/>
      <c r="W120" s="726"/>
      <c r="X120" s="726"/>
      <c r="Y120" s="726"/>
      <c r="Z120" s="726"/>
      <c r="AA120" s="726"/>
      <c r="AB120" s="726"/>
      <c r="AC120" s="726"/>
      <c r="AD120" s="726"/>
      <c r="AE120" s="726"/>
      <c r="AF120" s="726"/>
      <c r="AG120" s="726"/>
      <c r="AH120" s="726"/>
      <c r="AI120" s="726"/>
      <c r="AJ120" s="726"/>
      <c r="AK120" s="726"/>
      <c r="AL120" s="726"/>
      <c r="AM120" s="726"/>
      <c r="AN120" s="726"/>
      <c r="AO120" s="726"/>
      <c r="AP120" s="726"/>
      <c r="AQ120" s="726"/>
      <c r="AR120" s="726"/>
      <c r="AS120" s="726"/>
      <c r="AT120" s="726"/>
      <c r="AU120" s="726"/>
      <c r="AV120" s="726"/>
      <c r="AW120" s="726"/>
      <c r="AX120" s="726"/>
      <c r="AY120" s="726"/>
      <c r="AZ120" s="726"/>
      <c r="BA120" s="726"/>
      <c r="BB120" s="726"/>
      <c r="BC120" s="726"/>
      <c r="BD120" s="726"/>
      <c r="BE120" s="726"/>
      <c r="BF120" s="726"/>
      <c r="BG120" s="726"/>
      <c r="BH120" s="726"/>
      <c r="BI120" s="726"/>
      <c r="BJ120" s="726"/>
      <c r="BK120" s="726"/>
      <c r="BL120" s="726"/>
      <c r="BM120" s="726"/>
      <c r="BN120" s="726"/>
      <c r="BO120" s="726"/>
      <c r="BP120" s="726"/>
      <c r="BQ120" s="726"/>
      <c r="BR120" s="726"/>
      <c r="BS120" s="726"/>
    </row>
    <row r="121" spans="1:71" s="563" customFormat="1">
      <c r="A121" s="614"/>
      <c r="E121" s="565"/>
      <c r="F121" s="565"/>
      <c r="Q121" s="726"/>
      <c r="R121" s="726"/>
      <c r="S121" s="726"/>
      <c r="T121" s="726"/>
      <c r="U121" s="726"/>
      <c r="V121" s="726"/>
      <c r="W121" s="726"/>
      <c r="X121" s="726"/>
      <c r="Y121" s="726"/>
      <c r="Z121" s="726"/>
      <c r="AA121" s="726"/>
      <c r="AB121" s="726"/>
      <c r="AC121" s="726"/>
      <c r="AD121" s="726"/>
      <c r="AE121" s="726"/>
      <c r="AF121" s="726"/>
      <c r="AG121" s="726"/>
      <c r="AH121" s="726"/>
      <c r="AI121" s="726"/>
      <c r="AJ121" s="726"/>
      <c r="AK121" s="726"/>
      <c r="AL121" s="726"/>
      <c r="AM121" s="726"/>
      <c r="AN121" s="726"/>
      <c r="AO121" s="726"/>
      <c r="AP121" s="726"/>
      <c r="AQ121" s="726"/>
      <c r="AR121" s="726"/>
      <c r="AS121" s="726"/>
      <c r="AT121" s="726"/>
      <c r="AU121" s="726"/>
      <c r="AV121" s="726"/>
      <c r="AW121" s="726"/>
      <c r="AX121" s="726"/>
      <c r="AY121" s="726"/>
      <c r="AZ121" s="726"/>
      <c r="BA121" s="726"/>
      <c r="BB121" s="726"/>
      <c r="BC121" s="726"/>
      <c r="BD121" s="726"/>
      <c r="BE121" s="726"/>
      <c r="BF121" s="726"/>
      <c r="BG121" s="726"/>
      <c r="BH121" s="726"/>
      <c r="BI121" s="726"/>
      <c r="BJ121" s="726"/>
      <c r="BK121" s="726"/>
      <c r="BL121" s="726"/>
      <c r="BM121" s="726"/>
      <c r="BN121" s="726"/>
      <c r="BO121" s="726"/>
      <c r="BP121" s="726"/>
      <c r="BQ121" s="726"/>
      <c r="BR121" s="726"/>
      <c r="BS121" s="726"/>
    </row>
    <row r="122" spans="1:71" s="563" customFormat="1">
      <c r="A122" s="614"/>
      <c r="E122" s="565"/>
      <c r="F122" s="565"/>
      <c r="Q122" s="726"/>
      <c r="R122" s="726"/>
      <c r="S122" s="726"/>
      <c r="T122" s="726"/>
      <c r="U122" s="726"/>
      <c r="V122" s="726"/>
      <c r="W122" s="726"/>
      <c r="X122" s="726"/>
      <c r="Y122" s="726"/>
      <c r="Z122" s="726"/>
      <c r="AA122" s="726"/>
      <c r="AB122" s="726"/>
      <c r="AC122" s="726"/>
      <c r="AD122" s="726"/>
      <c r="AE122" s="726"/>
      <c r="AF122" s="726"/>
      <c r="AG122" s="726"/>
      <c r="AH122" s="726"/>
      <c r="AI122" s="726"/>
      <c r="AJ122" s="726"/>
      <c r="AK122" s="726"/>
      <c r="AL122" s="726"/>
      <c r="AM122" s="726"/>
      <c r="AN122" s="726"/>
      <c r="AO122" s="726"/>
      <c r="AP122" s="726"/>
      <c r="AQ122" s="726"/>
      <c r="AR122" s="726"/>
      <c r="AS122" s="726"/>
      <c r="AT122" s="726"/>
      <c r="AU122" s="726"/>
      <c r="AV122" s="726"/>
      <c r="AW122" s="726"/>
      <c r="AX122" s="726"/>
      <c r="AY122" s="726"/>
      <c r="AZ122" s="726"/>
      <c r="BA122" s="726"/>
      <c r="BB122" s="726"/>
      <c r="BC122" s="726"/>
      <c r="BD122" s="726"/>
      <c r="BE122" s="726"/>
      <c r="BF122" s="726"/>
      <c r="BG122" s="726"/>
      <c r="BH122" s="726"/>
      <c r="BI122" s="726"/>
      <c r="BJ122" s="726"/>
      <c r="BK122" s="726"/>
      <c r="BL122" s="726"/>
      <c r="BM122" s="726"/>
      <c r="BN122" s="726"/>
      <c r="BO122" s="726"/>
      <c r="BP122" s="726"/>
      <c r="BQ122" s="726"/>
      <c r="BR122" s="726"/>
      <c r="BS122" s="726"/>
    </row>
    <row r="123" spans="1:71" s="563" customFormat="1">
      <c r="A123" s="614"/>
      <c r="E123" s="565"/>
      <c r="F123" s="565"/>
      <c r="Q123" s="726"/>
      <c r="R123" s="726"/>
      <c r="S123" s="726"/>
      <c r="T123" s="726"/>
      <c r="U123" s="726"/>
      <c r="V123" s="726"/>
      <c r="W123" s="726"/>
      <c r="X123" s="726"/>
      <c r="Y123" s="726"/>
      <c r="Z123" s="726"/>
      <c r="AA123" s="726"/>
      <c r="AB123" s="726"/>
      <c r="AC123" s="726"/>
      <c r="AD123" s="726"/>
      <c r="AE123" s="726"/>
      <c r="AF123" s="726"/>
      <c r="AG123" s="726"/>
      <c r="AH123" s="726"/>
      <c r="AI123" s="726"/>
      <c r="AJ123" s="726"/>
      <c r="AK123" s="726"/>
      <c r="AL123" s="726"/>
      <c r="AM123" s="726"/>
      <c r="AN123" s="726"/>
      <c r="AO123" s="726"/>
      <c r="AP123" s="726"/>
      <c r="AQ123" s="726"/>
      <c r="AR123" s="726"/>
      <c r="AS123" s="726"/>
      <c r="AT123" s="726"/>
      <c r="AU123" s="726"/>
      <c r="AV123" s="726"/>
      <c r="AW123" s="726"/>
      <c r="AX123" s="726"/>
      <c r="AY123" s="726"/>
      <c r="AZ123" s="726"/>
      <c r="BA123" s="726"/>
      <c r="BB123" s="726"/>
      <c r="BC123" s="726"/>
      <c r="BD123" s="726"/>
      <c r="BE123" s="726"/>
      <c r="BF123" s="726"/>
      <c r="BG123" s="726"/>
      <c r="BH123" s="726"/>
      <c r="BI123" s="726"/>
      <c r="BJ123" s="726"/>
      <c r="BK123" s="726"/>
      <c r="BL123" s="726"/>
      <c r="BM123" s="726"/>
      <c r="BN123" s="726"/>
      <c r="BO123" s="726"/>
      <c r="BP123" s="726"/>
      <c r="BQ123" s="726"/>
      <c r="BR123" s="726"/>
      <c r="BS123" s="726"/>
    </row>
    <row r="124" spans="1:71" s="563" customFormat="1">
      <c r="A124" s="614"/>
      <c r="E124" s="565"/>
      <c r="F124" s="565"/>
      <c r="Q124" s="726"/>
      <c r="R124" s="726"/>
      <c r="S124" s="726"/>
      <c r="T124" s="726"/>
      <c r="U124" s="726"/>
      <c r="V124" s="726"/>
      <c r="W124" s="726"/>
      <c r="X124" s="726"/>
      <c r="Y124" s="726"/>
      <c r="Z124" s="726"/>
      <c r="AA124" s="726"/>
      <c r="AB124" s="726"/>
      <c r="AC124" s="726"/>
      <c r="AD124" s="726"/>
      <c r="AE124" s="726"/>
      <c r="AF124" s="726"/>
      <c r="AG124" s="726"/>
      <c r="AH124" s="726"/>
      <c r="AI124" s="726"/>
      <c r="AJ124" s="726"/>
      <c r="AK124" s="726"/>
      <c r="AL124" s="726"/>
      <c r="AM124" s="726"/>
      <c r="AN124" s="726"/>
      <c r="AO124" s="726"/>
      <c r="AP124" s="726"/>
      <c r="AQ124" s="726"/>
      <c r="AR124" s="726"/>
      <c r="AS124" s="726"/>
      <c r="AT124" s="726"/>
      <c r="AU124" s="726"/>
      <c r="AV124" s="726"/>
      <c r="AW124" s="726"/>
      <c r="AX124" s="726"/>
      <c r="AY124" s="726"/>
      <c r="AZ124" s="726"/>
      <c r="BA124" s="726"/>
      <c r="BB124" s="726"/>
      <c r="BC124" s="726"/>
      <c r="BD124" s="726"/>
      <c r="BE124" s="726"/>
      <c r="BF124" s="726"/>
      <c r="BG124" s="726"/>
      <c r="BH124" s="726"/>
      <c r="BI124" s="726"/>
      <c r="BJ124" s="726"/>
      <c r="BK124" s="726"/>
      <c r="BL124" s="726"/>
      <c r="BM124" s="726"/>
      <c r="BN124" s="726"/>
      <c r="BO124" s="726"/>
      <c r="BP124" s="726"/>
      <c r="BQ124" s="726"/>
      <c r="BR124" s="726"/>
      <c r="BS124" s="726"/>
    </row>
    <row r="125" spans="1:71" s="563" customFormat="1">
      <c r="A125" s="614"/>
      <c r="E125" s="565"/>
      <c r="F125" s="565"/>
      <c r="Q125" s="726"/>
      <c r="R125" s="726"/>
      <c r="S125" s="726"/>
      <c r="T125" s="726"/>
      <c r="U125" s="726"/>
      <c r="V125" s="726"/>
      <c r="W125" s="726"/>
      <c r="X125" s="726"/>
      <c r="Y125" s="726"/>
      <c r="Z125" s="726"/>
      <c r="AA125" s="726"/>
      <c r="AB125" s="726"/>
      <c r="AC125" s="726"/>
      <c r="AD125" s="726"/>
      <c r="AE125" s="726"/>
      <c r="AF125" s="726"/>
      <c r="AG125" s="726"/>
      <c r="AH125" s="726"/>
      <c r="AI125" s="726"/>
      <c r="AJ125" s="726"/>
      <c r="AK125" s="726"/>
      <c r="AL125" s="726"/>
      <c r="AM125" s="726"/>
      <c r="AN125" s="726"/>
      <c r="AO125" s="726"/>
      <c r="AP125" s="726"/>
      <c r="AQ125" s="726"/>
      <c r="AR125" s="726"/>
      <c r="AS125" s="726"/>
      <c r="AT125" s="726"/>
      <c r="AU125" s="726"/>
      <c r="AV125" s="726"/>
      <c r="AW125" s="726"/>
      <c r="AX125" s="726"/>
      <c r="AY125" s="726"/>
      <c r="AZ125" s="726"/>
      <c r="BA125" s="726"/>
      <c r="BB125" s="726"/>
      <c r="BC125" s="726"/>
      <c r="BD125" s="726"/>
      <c r="BE125" s="726"/>
      <c r="BF125" s="726"/>
      <c r="BG125" s="726"/>
      <c r="BH125" s="726"/>
      <c r="BI125" s="726"/>
      <c r="BJ125" s="726"/>
      <c r="BK125" s="726"/>
      <c r="BL125" s="726"/>
      <c r="BM125" s="726"/>
      <c r="BN125" s="726"/>
      <c r="BO125" s="726"/>
      <c r="BP125" s="726"/>
      <c r="BQ125" s="726"/>
      <c r="BR125" s="726"/>
      <c r="BS125" s="726"/>
    </row>
    <row r="126" spans="1:71" s="563" customFormat="1">
      <c r="A126" s="614"/>
      <c r="E126" s="565"/>
      <c r="F126" s="565"/>
      <c r="Q126" s="726"/>
      <c r="R126" s="726"/>
      <c r="S126" s="726"/>
      <c r="T126" s="726"/>
      <c r="U126" s="726"/>
      <c r="V126" s="726"/>
      <c r="W126" s="726"/>
      <c r="X126" s="726"/>
      <c r="Y126" s="726"/>
      <c r="Z126" s="726"/>
      <c r="AA126" s="726"/>
      <c r="AB126" s="726"/>
      <c r="AC126" s="726"/>
      <c r="AD126" s="726"/>
      <c r="AE126" s="726"/>
      <c r="AF126" s="726"/>
      <c r="AG126" s="726"/>
      <c r="AH126" s="726"/>
      <c r="AI126" s="726"/>
      <c r="AJ126" s="726"/>
      <c r="AK126" s="726"/>
      <c r="AL126" s="726"/>
      <c r="AM126" s="726"/>
      <c r="AN126" s="726"/>
      <c r="AO126" s="726"/>
      <c r="AP126" s="726"/>
      <c r="AQ126" s="726"/>
      <c r="AR126" s="726"/>
      <c r="AS126" s="726"/>
      <c r="AT126" s="726"/>
      <c r="AU126" s="726"/>
      <c r="AV126" s="726"/>
      <c r="AW126" s="726"/>
      <c r="AX126" s="726"/>
      <c r="AY126" s="726"/>
      <c r="AZ126" s="726"/>
      <c r="BA126" s="726"/>
      <c r="BB126" s="726"/>
      <c r="BC126" s="726"/>
      <c r="BD126" s="726"/>
      <c r="BE126" s="726"/>
      <c r="BF126" s="726"/>
      <c r="BG126" s="726"/>
      <c r="BH126" s="726"/>
      <c r="BI126" s="726"/>
      <c r="BJ126" s="726"/>
      <c r="BK126" s="726"/>
      <c r="BL126" s="726"/>
      <c r="BM126" s="726"/>
      <c r="BN126" s="726"/>
      <c r="BO126" s="726"/>
      <c r="BP126" s="726"/>
      <c r="BQ126" s="726"/>
      <c r="BR126" s="726"/>
      <c r="BS126" s="726"/>
    </row>
    <row r="127" spans="1:71" s="563" customFormat="1">
      <c r="A127" s="614"/>
      <c r="E127" s="565"/>
      <c r="F127" s="565"/>
      <c r="Q127" s="726"/>
      <c r="R127" s="726"/>
      <c r="S127" s="726"/>
      <c r="T127" s="726"/>
      <c r="U127" s="726"/>
      <c r="V127" s="726"/>
      <c r="W127" s="726"/>
      <c r="X127" s="726"/>
      <c r="Y127" s="726"/>
      <c r="Z127" s="726"/>
      <c r="AA127" s="726"/>
      <c r="AB127" s="726"/>
      <c r="AC127" s="726"/>
      <c r="AD127" s="726"/>
      <c r="AE127" s="726"/>
      <c r="AF127" s="726"/>
      <c r="AG127" s="726"/>
      <c r="AH127" s="726"/>
      <c r="AI127" s="726"/>
      <c r="AJ127" s="726"/>
      <c r="AK127" s="726"/>
      <c r="AL127" s="726"/>
      <c r="AM127" s="726"/>
      <c r="AN127" s="726"/>
      <c r="AO127" s="726"/>
      <c r="AP127" s="726"/>
      <c r="AQ127" s="726"/>
      <c r="AR127" s="726"/>
      <c r="AS127" s="726"/>
      <c r="AT127" s="726"/>
      <c r="AU127" s="726"/>
      <c r="AV127" s="726"/>
      <c r="AW127" s="726"/>
      <c r="AX127" s="726"/>
      <c r="AY127" s="726"/>
      <c r="AZ127" s="726"/>
      <c r="BA127" s="726"/>
      <c r="BB127" s="726"/>
      <c r="BC127" s="726"/>
      <c r="BD127" s="726"/>
      <c r="BE127" s="726"/>
      <c r="BF127" s="726"/>
      <c r="BG127" s="726"/>
      <c r="BH127" s="726"/>
      <c r="BI127" s="726"/>
      <c r="BJ127" s="726"/>
      <c r="BK127" s="726"/>
      <c r="BL127" s="726"/>
      <c r="BM127" s="726"/>
      <c r="BN127" s="726"/>
      <c r="BO127" s="726"/>
      <c r="BP127" s="726"/>
      <c r="BQ127" s="726"/>
      <c r="BR127" s="726"/>
      <c r="BS127" s="726"/>
    </row>
    <row r="128" spans="1:71" s="563" customFormat="1">
      <c r="A128" s="614"/>
      <c r="E128" s="565"/>
      <c r="F128" s="565"/>
      <c r="Q128" s="726"/>
      <c r="R128" s="726"/>
      <c r="S128" s="726"/>
      <c r="T128" s="726"/>
      <c r="U128" s="726"/>
      <c r="V128" s="726"/>
      <c r="W128" s="726"/>
      <c r="X128" s="726"/>
      <c r="Y128" s="726"/>
      <c r="Z128" s="726"/>
      <c r="AA128" s="726"/>
      <c r="AB128" s="726"/>
      <c r="AC128" s="726"/>
      <c r="AD128" s="726"/>
      <c r="AE128" s="726"/>
      <c r="AF128" s="726"/>
      <c r="AG128" s="726"/>
      <c r="AH128" s="726"/>
      <c r="AI128" s="726"/>
      <c r="AJ128" s="726"/>
      <c r="AK128" s="726"/>
      <c r="AL128" s="726"/>
      <c r="AM128" s="726"/>
      <c r="AN128" s="726"/>
      <c r="AO128" s="726"/>
      <c r="AP128" s="726"/>
      <c r="AQ128" s="726"/>
      <c r="AR128" s="726"/>
      <c r="AS128" s="726"/>
      <c r="AT128" s="726"/>
      <c r="AU128" s="726"/>
      <c r="AV128" s="726"/>
      <c r="AW128" s="726"/>
      <c r="AX128" s="726"/>
      <c r="AY128" s="726"/>
      <c r="AZ128" s="726"/>
      <c r="BA128" s="726"/>
      <c r="BB128" s="726"/>
      <c r="BC128" s="726"/>
      <c r="BD128" s="726"/>
      <c r="BE128" s="726"/>
      <c r="BF128" s="726"/>
      <c r="BG128" s="726"/>
      <c r="BH128" s="726"/>
      <c r="BI128" s="726"/>
      <c r="BJ128" s="726"/>
      <c r="BK128" s="726"/>
      <c r="BL128" s="726"/>
      <c r="BM128" s="726"/>
      <c r="BN128" s="726"/>
      <c r="BO128" s="726"/>
      <c r="BP128" s="726"/>
      <c r="BQ128" s="726"/>
      <c r="BR128" s="726"/>
      <c r="BS128" s="726"/>
    </row>
    <row r="129" spans="1:71" s="563" customFormat="1">
      <c r="A129" s="614"/>
      <c r="E129" s="565"/>
      <c r="F129" s="565"/>
      <c r="Q129" s="726"/>
      <c r="R129" s="726"/>
      <c r="S129" s="726"/>
      <c r="T129" s="726"/>
      <c r="U129" s="726"/>
      <c r="V129" s="726"/>
      <c r="W129" s="726"/>
      <c r="X129" s="726"/>
      <c r="Y129" s="726"/>
      <c r="Z129" s="726"/>
      <c r="AA129" s="726"/>
      <c r="AB129" s="726"/>
      <c r="AC129" s="726"/>
      <c r="AD129" s="726"/>
      <c r="AE129" s="726"/>
      <c r="AF129" s="726"/>
      <c r="AG129" s="726"/>
      <c r="AH129" s="726"/>
      <c r="AI129" s="726"/>
      <c r="AJ129" s="726"/>
      <c r="AK129" s="726"/>
      <c r="AL129" s="726"/>
      <c r="AM129" s="726"/>
      <c r="AN129" s="726"/>
      <c r="AO129" s="726"/>
      <c r="AP129" s="726"/>
      <c r="AQ129" s="726"/>
      <c r="AR129" s="726"/>
      <c r="AS129" s="726"/>
      <c r="AT129" s="726"/>
      <c r="AU129" s="726"/>
      <c r="AV129" s="726"/>
      <c r="AW129" s="726"/>
      <c r="AX129" s="726"/>
      <c r="AY129" s="726"/>
      <c r="AZ129" s="726"/>
      <c r="BA129" s="726"/>
      <c r="BB129" s="726"/>
      <c r="BC129" s="726"/>
      <c r="BD129" s="726"/>
      <c r="BE129" s="726"/>
      <c r="BF129" s="726"/>
      <c r="BG129" s="726"/>
      <c r="BH129" s="726"/>
      <c r="BI129" s="726"/>
      <c r="BJ129" s="726"/>
      <c r="BK129" s="726"/>
      <c r="BL129" s="726"/>
      <c r="BM129" s="726"/>
      <c r="BN129" s="726"/>
      <c r="BO129" s="726"/>
      <c r="BP129" s="726"/>
      <c r="BQ129" s="726"/>
      <c r="BR129" s="726"/>
      <c r="BS129" s="726"/>
    </row>
    <row r="130" spans="1:71" s="563" customFormat="1">
      <c r="A130" s="614"/>
      <c r="E130" s="565"/>
      <c r="F130" s="565"/>
      <c r="Q130" s="726"/>
      <c r="R130" s="726"/>
      <c r="S130" s="726"/>
      <c r="T130" s="726"/>
      <c r="U130" s="726"/>
      <c r="V130" s="726"/>
      <c r="W130" s="726"/>
      <c r="X130" s="726"/>
      <c r="Y130" s="726"/>
      <c r="Z130" s="726"/>
      <c r="AA130" s="726"/>
      <c r="AB130" s="726"/>
      <c r="AC130" s="726"/>
      <c r="AD130" s="726"/>
      <c r="AE130" s="726"/>
      <c r="AF130" s="726"/>
      <c r="AG130" s="726"/>
      <c r="AH130" s="726"/>
      <c r="AI130" s="726"/>
      <c r="AJ130" s="726"/>
      <c r="AK130" s="726"/>
      <c r="AL130" s="726"/>
      <c r="AM130" s="726"/>
      <c r="AN130" s="726"/>
      <c r="AO130" s="726"/>
      <c r="AP130" s="726"/>
      <c r="AQ130" s="726"/>
      <c r="AR130" s="726"/>
      <c r="AS130" s="726"/>
      <c r="AT130" s="726"/>
      <c r="AU130" s="726"/>
      <c r="AV130" s="726"/>
      <c r="AW130" s="726"/>
      <c r="AX130" s="726"/>
      <c r="AY130" s="726"/>
      <c r="AZ130" s="726"/>
      <c r="BA130" s="726"/>
      <c r="BB130" s="726"/>
      <c r="BC130" s="726"/>
      <c r="BD130" s="726"/>
      <c r="BE130" s="726"/>
      <c r="BF130" s="726"/>
      <c r="BG130" s="726"/>
      <c r="BH130" s="726"/>
      <c r="BI130" s="726"/>
      <c r="BJ130" s="726"/>
      <c r="BK130" s="726"/>
      <c r="BL130" s="726"/>
      <c r="BM130" s="726"/>
      <c r="BN130" s="726"/>
      <c r="BO130" s="726"/>
      <c r="BP130" s="726"/>
      <c r="BQ130" s="726"/>
      <c r="BR130" s="726"/>
      <c r="BS130" s="726"/>
    </row>
    <row r="131" spans="1:71" s="563" customFormat="1">
      <c r="A131" s="614"/>
      <c r="E131" s="565"/>
      <c r="F131" s="565"/>
      <c r="Q131" s="726"/>
      <c r="R131" s="726"/>
      <c r="S131" s="726"/>
      <c r="T131" s="726"/>
      <c r="U131" s="726"/>
      <c r="V131" s="726"/>
      <c r="W131" s="726"/>
      <c r="X131" s="726"/>
      <c r="Y131" s="726"/>
      <c r="Z131" s="726"/>
      <c r="AA131" s="726"/>
      <c r="AB131" s="726"/>
      <c r="AC131" s="726"/>
      <c r="AD131" s="726"/>
      <c r="AE131" s="726"/>
      <c r="AF131" s="726"/>
      <c r="AG131" s="726"/>
      <c r="AH131" s="726"/>
      <c r="AI131" s="726"/>
      <c r="AJ131" s="726"/>
      <c r="AK131" s="726"/>
      <c r="AL131" s="726"/>
      <c r="AM131" s="726"/>
      <c r="AN131" s="726"/>
      <c r="AO131" s="726"/>
      <c r="AP131" s="726"/>
      <c r="AQ131" s="726"/>
      <c r="AR131" s="726"/>
      <c r="AS131" s="726"/>
      <c r="AT131" s="726"/>
      <c r="AU131" s="726"/>
      <c r="AV131" s="726"/>
      <c r="AW131" s="726"/>
      <c r="AX131" s="726"/>
      <c r="AY131" s="726"/>
      <c r="AZ131" s="726"/>
      <c r="BA131" s="726"/>
      <c r="BB131" s="726"/>
      <c r="BC131" s="726"/>
      <c r="BD131" s="726"/>
      <c r="BE131" s="726"/>
      <c r="BF131" s="726"/>
      <c r="BG131" s="726"/>
      <c r="BH131" s="726"/>
      <c r="BI131" s="726"/>
      <c r="BJ131" s="726"/>
      <c r="BK131" s="726"/>
      <c r="BL131" s="726"/>
      <c r="BM131" s="726"/>
      <c r="BN131" s="726"/>
      <c r="BO131" s="726"/>
      <c r="BP131" s="726"/>
      <c r="BQ131" s="726"/>
      <c r="BR131" s="726"/>
      <c r="BS131" s="726"/>
    </row>
    <row r="132" spans="1:71" s="563" customFormat="1">
      <c r="A132" s="614"/>
      <c r="E132" s="565"/>
      <c r="F132" s="565"/>
      <c r="Q132" s="726"/>
      <c r="R132" s="726"/>
      <c r="S132" s="726"/>
      <c r="T132" s="726"/>
      <c r="U132" s="726"/>
      <c r="V132" s="726"/>
      <c r="W132" s="726"/>
      <c r="X132" s="726"/>
      <c r="Y132" s="726"/>
      <c r="Z132" s="726"/>
      <c r="AA132" s="726"/>
      <c r="AB132" s="726"/>
      <c r="AC132" s="726"/>
      <c r="AD132" s="726"/>
      <c r="AE132" s="726"/>
      <c r="AF132" s="726"/>
      <c r="AG132" s="726"/>
      <c r="AH132" s="726"/>
      <c r="AI132" s="726"/>
      <c r="AJ132" s="726"/>
      <c r="AK132" s="726"/>
      <c r="AL132" s="726"/>
      <c r="AM132" s="726"/>
      <c r="AN132" s="726"/>
      <c r="AO132" s="726"/>
      <c r="AP132" s="726"/>
      <c r="AQ132" s="726"/>
      <c r="AR132" s="726"/>
      <c r="AS132" s="726"/>
      <c r="AT132" s="726"/>
      <c r="AU132" s="726"/>
      <c r="AV132" s="726"/>
      <c r="AW132" s="726"/>
      <c r="AX132" s="726"/>
      <c r="AY132" s="726"/>
      <c r="AZ132" s="726"/>
      <c r="BA132" s="726"/>
      <c r="BB132" s="726"/>
      <c r="BC132" s="726"/>
      <c r="BD132" s="726"/>
      <c r="BE132" s="726"/>
      <c r="BF132" s="726"/>
      <c r="BG132" s="726"/>
      <c r="BH132" s="726"/>
      <c r="BI132" s="726"/>
      <c r="BJ132" s="726"/>
      <c r="BK132" s="726"/>
      <c r="BL132" s="726"/>
      <c r="BM132" s="726"/>
      <c r="BN132" s="726"/>
      <c r="BO132" s="726"/>
      <c r="BP132" s="726"/>
      <c r="BQ132" s="726"/>
      <c r="BR132" s="726"/>
      <c r="BS132" s="726"/>
    </row>
    <row r="133" spans="1:71" s="563" customFormat="1">
      <c r="A133" s="614"/>
      <c r="E133" s="565"/>
      <c r="F133" s="565"/>
      <c r="Q133" s="726"/>
      <c r="R133" s="726"/>
      <c r="S133" s="726"/>
      <c r="T133" s="726"/>
      <c r="U133" s="726"/>
      <c r="V133" s="726"/>
      <c r="W133" s="726"/>
      <c r="X133" s="726"/>
      <c r="Y133" s="726"/>
      <c r="Z133" s="726"/>
      <c r="AA133" s="726"/>
      <c r="AB133" s="726"/>
      <c r="AC133" s="726"/>
      <c r="AD133" s="726"/>
      <c r="AE133" s="726"/>
      <c r="AF133" s="726"/>
      <c r="AG133" s="726"/>
      <c r="AH133" s="726"/>
      <c r="AI133" s="726"/>
      <c r="AJ133" s="726"/>
      <c r="AK133" s="726"/>
      <c r="AL133" s="726"/>
      <c r="AM133" s="726"/>
      <c r="AN133" s="726"/>
      <c r="AO133" s="726"/>
      <c r="AP133" s="726"/>
      <c r="AQ133" s="726"/>
      <c r="AR133" s="726"/>
      <c r="AS133" s="726"/>
      <c r="AT133" s="726"/>
      <c r="AU133" s="726"/>
      <c r="AV133" s="726"/>
      <c r="AW133" s="726"/>
      <c r="AX133" s="726"/>
      <c r="AY133" s="726"/>
      <c r="AZ133" s="726"/>
      <c r="BA133" s="726"/>
      <c r="BB133" s="726"/>
      <c r="BC133" s="726"/>
      <c r="BD133" s="726"/>
      <c r="BE133" s="726"/>
      <c r="BF133" s="726"/>
      <c r="BG133" s="726"/>
      <c r="BH133" s="726"/>
      <c r="BI133" s="726"/>
      <c r="BJ133" s="726"/>
      <c r="BK133" s="726"/>
      <c r="BL133" s="726"/>
      <c r="BM133" s="726"/>
      <c r="BN133" s="726"/>
      <c r="BO133" s="726"/>
      <c r="BP133" s="726"/>
      <c r="BQ133" s="726"/>
      <c r="BR133" s="726"/>
      <c r="BS133" s="726"/>
    </row>
    <row r="134" spans="1:71" s="563" customFormat="1">
      <c r="A134" s="614"/>
      <c r="E134" s="565"/>
      <c r="F134" s="565"/>
      <c r="Q134" s="726"/>
      <c r="R134" s="726"/>
      <c r="S134" s="726"/>
      <c r="T134" s="726"/>
      <c r="U134" s="726"/>
      <c r="V134" s="726"/>
      <c r="W134" s="726"/>
      <c r="X134" s="726"/>
      <c r="Y134" s="726"/>
      <c r="Z134" s="726"/>
      <c r="AA134" s="726"/>
      <c r="AB134" s="726"/>
      <c r="AC134" s="726"/>
      <c r="AD134" s="726"/>
      <c r="AE134" s="726"/>
      <c r="AF134" s="726"/>
      <c r="AG134" s="726"/>
      <c r="AH134" s="726"/>
      <c r="AI134" s="726"/>
      <c r="AJ134" s="726"/>
      <c r="AK134" s="726"/>
      <c r="AL134" s="726"/>
      <c r="AM134" s="726"/>
      <c r="AN134" s="726"/>
      <c r="AO134" s="726"/>
      <c r="AP134" s="726"/>
      <c r="AQ134" s="726"/>
      <c r="AR134" s="726"/>
      <c r="AS134" s="726"/>
      <c r="AT134" s="726"/>
      <c r="AU134" s="726"/>
      <c r="AV134" s="726"/>
      <c r="AW134" s="726"/>
      <c r="AX134" s="726"/>
      <c r="AY134" s="726"/>
      <c r="AZ134" s="726"/>
      <c r="BA134" s="726"/>
      <c r="BB134" s="726"/>
      <c r="BC134" s="726"/>
      <c r="BD134" s="726"/>
      <c r="BE134" s="726"/>
      <c r="BF134" s="726"/>
      <c r="BG134" s="726"/>
      <c r="BH134" s="726"/>
      <c r="BI134" s="726"/>
      <c r="BJ134" s="726"/>
      <c r="BK134" s="726"/>
      <c r="BL134" s="726"/>
      <c r="BM134" s="726"/>
      <c r="BN134" s="726"/>
      <c r="BO134" s="726"/>
      <c r="BP134" s="726"/>
      <c r="BQ134" s="726"/>
      <c r="BR134" s="726"/>
      <c r="BS134" s="726"/>
    </row>
    <row r="135" spans="1:71" s="563" customFormat="1">
      <c r="A135" s="614"/>
      <c r="E135" s="565"/>
      <c r="F135" s="565"/>
      <c r="Q135" s="726"/>
      <c r="R135" s="726"/>
      <c r="S135" s="726"/>
      <c r="T135" s="726"/>
      <c r="U135" s="726"/>
      <c r="V135" s="726"/>
      <c r="W135" s="726"/>
      <c r="X135" s="726"/>
      <c r="Y135" s="726"/>
      <c r="Z135" s="726"/>
      <c r="AA135" s="726"/>
      <c r="AB135" s="726"/>
      <c r="AC135" s="726"/>
      <c r="AD135" s="726"/>
      <c r="AE135" s="726"/>
      <c r="AF135" s="726"/>
      <c r="AG135" s="726"/>
      <c r="AH135" s="726"/>
      <c r="AI135" s="726"/>
      <c r="AJ135" s="726"/>
      <c r="AK135" s="726"/>
      <c r="AL135" s="726"/>
      <c r="AM135" s="726"/>
      <c r="AN135" s="726"/>
      <c r="AO135" s="726"/>
      <c r="AP135" s="726"/>
      <c r="AQ135" s="726"/>
      <c r="AR135" s="726"/>
      <c r="AS135" s="726"/>
      <c r="AT135" s="726"/>
      <c r="AU135" s="726"/>
      <c r="AV135" s="726"/>
      <c r="AW135" s="726"/>
      <c r="AX135" s="726"/>
      <c r="AY135" s="726"/>
      <c r="AZ135" s="726"/>
      <c r="BA135" s="726"/>
      <c r="BB135" s="726"/>
      <c r="BC135" s="726"/>
      <c r="BD135" s="726"/>
      <c r="BE135" s="726"/>
      <c r="BF135" s="726"/>
      <c r="BG135" s="726"/>
      <c r="BH135" s="726"/>
      <c r="BI135" s="726"/>
      <c r="BJ135" s="726"/>
      <c r="BK135" s="726"/>
      <c r="BL135" s="726"/>
      <c r="BM135" s="726"/>
      <c r="BN135" s="726"/>
      <c r="BO135" s="726"/>
      <c r="BP135" s="726"/>
      <c r="BQ135" s="726"/>
      <c r="BR135" s="726"/>
      <c r="BS135" s="726"/>
    </row>
    <row r="136" spans="1:71" s="563" customFormat="1">
      <c r="A136" s="614"/>
      <c r="E136" s="565"/>
      <c r="F136" s="565"/>
      <c r="Q136" s="726"/>
      <c r="R136" s="726"/>
      <c r="S136" s="726"/>
      <c r="T136" s="726"/>
      <c r="U136" s="726"/>
      <c r="V136" s="726"/>
      <c r="W136" s="726"/>
      <c r="X136" s="726"/>
      <c r="Y136" s="726"/>
      <c r="Z136" s="726"/>
      <c r="AA136" s="726"/>
      <c r="AB136" s="726"/>
      <c r="AC136" s="726"/>
      <c r="AD136" s="726"/>
      <c r="AE136" s="726"/>
      <c r="AF136" s="726"/>
      <c r="AG136" s="726"/>
      <c r="AH136" s="726"/>
      <c r="AI136" s="726"/>
      <c r="AJ136" s="726"/>
      <c r="AK136" s="726"/>
      <c r="AL136" s="726"/>
      <c r="AM136" s="726"/>
      <c r="AN136" s="726"/>
      <c r="AO136" s="726"/>
      <c r="AP136" s="726"/>
      <c r="AQ136" s="726"/>
      <c r="AR136" s="726"/>
      <c r="AS136" s="726"/>
      <c r="AT136" s="726"/>
      <c r="AU136" s="726"/>
      <c r="AV136" s="726"/>
      <c r="AW136" s="726"/>
      <c r="AX136" s="726"/>
      <c r="AY136" s="726"/>
      <c r="AZ136" s="726"/>
      <c r="BA136" s="726"/>
      <c r="BB136" s="726"/>
      <c r="BC136" s="726"/>
      <c r="BD136" s="726"/>
      <c r="BE136" s="726"/>
      <c r="BF136" s="726"/>
      <c r="BG136" s="726"/>
      <c r="BH136" s="726"/>
      <c r="BI136" s="726"/>
      <c r="BJ136" s="726"/>
      <c r="BK136" s="726"/>
      <c r="BL136" s="726"/>
      <c r="BM136" s="726"/>
      <c r="BN136" s="726"/>
      <c r="BO136" s="726"/>
      <c r="BP136" s="726"/>
      <c r="BQ136" s="726"/>
      <c r="BR136" s="726"/>
      <c r="BS136" s="726"/>
    </row>
    <row r="137" spans="1:71" s="563" customFormat="1">
      <c r="A137" s="614"/>
      <c r="E137" s="565"/>
      <c r="F137" s="565"/>
      <c r="Q137" s="726"/>
      <c r="R137" s="726"/>
      <c r="S137" s="726"/>
      <c r="T137" s="726"/>
      <c r="U137" s="726"/>
      <c r="V137" s="726"/>
      <c r="W137" s="726"/>
      <c r="X137" s="726"/>
      <c r="Y137" s="726"/>
      <c r="Z137" s="726"/>
      <c r="AA137" s="726"/>
      <c r="AB137" s="726"/>
      <c r="AC137" s="726"/>
      <c r="AD137" s="726"/>
      <c r="AE137" s="726"/>
      <c r="AF137" s="726"/>
      <c r="AG137" s="726"/>
      <c r="AH137" s="726"/>
      <c r="AI137" s="726"/>
      <c r="AJ137" s="726"/>
      <c r="AK137" s="726"/>
      <c r="AL137" s="726"/>
      <c r="AM137" s="726"/>
      <c r="AN137" s="726"/>
      <c r="AO137" s="726"/>
      <c r="AP137" s="726"/>
      <c r="AQ137" s="726"/>
      <c r="AR137" s="726"/>
      <c r="AS137" s="726"/>
      <c r="AT137" s="726"/>
      <c r="AU137" s="726"/>
      <c r="AV137" s="726"/>
      <c r="AW137" s="726"/>
      <c r="AX137" s="726"/>
      <c r="AY137" s="726"/>
      <c r="AZ137" s="726"/>
      <c r="BA137" s="726"/>
      <c r="BB137" s="726"/>
      <c r="BC137" s="726"/>
      <c r="BD137" s="726"/>
      <c r="BE137" s="726"/>
      <c r="BF137" s="726"/>
      <c r="BG137" s="726"/>
      <c r="BH137" s="726"/>
      <c r="BI137" s="726"/>
      <c r="BJ137" s="726"/>
      <c r="BK137" s="726"/>
      <c r="BL137" s="726"/>
      <c r="BM137" s="726"/>
      <c r="BN137" s="726"/>
      <c r="BO137" s="726"/>
      <c r="BP137" s="726"/>
      <c r="BQ137" s="726"/>
      <c r="BR137" s="726"/>
      <c r="BS137" s="726"/>
    </row>
    <row r="138" spans="1:71" s="563" customFormat="1">
      <c r="A138" s="614"/>
      <c r="E138" s="565"/>
      <c r="F138" s="565"/>
      <c r="Q138" s="726"/>
      <c r="R138" s="726"/>
      <c r="S138" s="726"/>
      <c r="T138" s="726"/>
      <c r="U138" s="726"/>
      <c r="V138" s="726"/>
      <c r="W138" s="726"/>
      <c r="X138" s="726"/>
      <c r="Y138" s="726"/>
      <c r="Z138" s="726"/>
      <c r="AA138" s="726"/>
      <c r="AB138" s="726"/>
      <c r="AC138" s="726"/>
      <c r="AD138" s="726"/>
      <c r="AE138" s="726"/>
      <c r="AF138" s="726"/>
      <c r="AG138" s="726"/>
      <c r="AH138" s="726"/>
      <c r="AI138" s="726"/>
      <c r="AJ138" s="726"/>
      <c r="AK138" s="726"/>
      <c r="AL138" s="726"/>
      <c r="AM138" s="726"/>
      <c r="AN138" s="726"/>
      <c r="AO138" s="726"/>
      <c r="AP138" s="726"/>
      <c r="AQ138" s="726"/>
      <c r="AR138" s="726"/>
      <c r="AS138" s="726"/>
      <c r="AT138" s="726"/>
      <c r="AU138" s="726"/>
      <c r="AV138" s="726"/>
      <c r="AW138" s="726"/>
      <c r="AX138" s="726"/>
      <c r="AY138" s="726"/>
      <c r="AZ138" s="726"/>
      <c r="BA138" s="726"/>
      <c r="BB138" s="726"/>
      <c r="BC138" s="726"/>
      <c r="BD138" s="726"/>
      <c r="BE138" s="726"/>
      <c r="BF138" s="726"/>
      <c r="BG138" s="726"/>
      <c r="BH138" s="726"/>
      <c r="BI138" s="726"/>
      <c r="BJ138" s="726"/>
      <c r="BK138" s="726"/>
      <c r="BL138" s="726"/>
      <c r="BM138" s="726"/>
      <c r="BN138" s="726"/>
      <c r="BO138" s="726"/>
      <c r="BP138" s="726"/>
      <c r="BQ138" s="726"/>
      <c r="BR138" s="726"/>
      <c r="BS138" s="726"/>
    </row>
    <row r="139" spans="1:71" s="563" customFormat="1">
      <c r="A139" s="614"/>
      <c r="E139" s="565"/>
      <c r="F139" s="565"/>
      <c r="Q139" s="726"/>
      <c r="R139" s="726"/>
      <c r="S139" s="726"/>
      <c r="T139" s="726"/>
      <c r="U139" s="726"/>
      <c r="V139" s="726"/>
      <c r="W139" s="726"/>
      <c r="X139" s="726"/>
      <c r="Y139" s="726"/>
      <c r="Z139" s="726"/>
      <c r="AA139" s="726"/>
      <c r="AB139" s="726"/>
      <c r="AC139" s="726"/>
      <c r="AD139" s="726"/>
      <c r="AE139" s="726"/>
      <c r="AF139" s="726"/>
      <c r="AG139" s="726"/>
      <c r="AH139" s="726"/>
      <c r="AI139" s="726"/>
      <c r="AJ139" s="726"/>
      <c r="AK139" s="726"/>
      <c r="AL139" s="726"/>
      <c r="AM139" s="726"/>
      <c r="AN139" s="726"/>
      <c r="AO139" s="726"/>
      <c r="AP139" s="726"/>
      <c r="AQ139" s="726"/>
      <c r="AR139" s="726"/>
      <c r="AS139" s="726"/>
      <c r="AT139" s="726"/>
      <c r="AU139" s="726"/>
      <c r="AV139" s="726"/>
      <c r="AW139" s="726"/>
      <c r="AX139" s="726"/>
      <c r="AY139" s="726"/>
      <c r="AZ139" s="726"/>
      <c r="BA139" s="726"/>
      <c r="BB139" s="726"/>
      <c r="BC139" s="726"/>
      <c r="BD139" s="726"/>
      <c r="BE139" s="726"/>
      <c r="BF139" s="726"/>
      <c r="BG139" s="726"/>
      <c r="BH139" s="726"/>
      <c r="BI139" s="726"/>
      <c r="BJ139" s="726"/>
      <c r="BK139" s="726"/>
      <c r="BL139" s="726"/>
      <c r="BM139" s="726"/>
      <c r="BN139" s="726"/>
      <c r="BO139" s="726"/>
      <c r="BP139" s="726"/>
      <c r="BQ139" s="726"/>
      <c r="BR139" s="726"/>
      <c r="BS139" s="726"/>
    </row>
    <row r="140" spans="1:71" s="563" customFormat="1">
      <c r="A140" s="614"/>
      <c r="E140" s="565"/>
      <c r="F140" s="565"/>
      <c r="Q140" s="726"/>
      <c r="R140" s="726"/>
      <c r="S140" s="726"/>
      <c r="T140" s="726"/>
      <c r="U140" s="726"/>
      <c r="V140" s="726"/>
      <c r="W140" s="726"/>
      <c r="X140" s="726"/>
      <c r="Y140" s="726"/>
      <c r="Z140" s="726"/>
      <c r="AA140" s="726"/>
      <c r="AB140" s="726"/>
      <c r="AC140" s="726"/>
      <c r="AD140" s="726"/>
      <c r="AE140" s="726"/>
      <c r="AF140" s="726"/>
      <c r="AG140" s="726"/>
      <c r="AH140" s="726"/>
      <c r="AI140" s="726"/>
      <c r="AJ140" s="726"/>
      <c r="AK140" s="726"/>
      <c r="AL140" s="726"/>
      <c r="AM140" s="726"/>
      <c r="AN140" s="726"/>
      <c r="AO140" s="726"/>
      <c r="AP140" s="726"/>
      <c r="AQ140" s="726"/>
      <c r="AR140" s="726"/>
      <c r="AS140" s="726"/>
      <c r="AT140" s="726"/>
      <c r="AU140" s="726"/>
      <c r="AV140" s="726"/>
      <c r="AW140" s="726"/>
      <c r="AX140" s="726"/>
      <c r="AY140" s="726"/>
      <c r="AZ140" s="726"/>
      <c r="BA140" s="726"/>
      <c r="BB140" s="726"/>
      <c r="BC140" s="726"/>
      <c r="BD140" s="726"/>
      <c r="BE140" s="726"/>
      <c r="BF140" s="726"/>
      <c r="BG140" s="726"/>
      <c r="BH140" s="726"/>
      <c r="BI140" s="726"/>
      <c r="BJ140" s="726"/>
      <c r="BK140" s="726"/>
      <c r="BL140" s="726"/>
      <c r="BM140" s="726"/>
      <c r="BN140" s="726"/>
      <c r="BO140" s="726"/>
      <c r="BP140" s="726"/>
      <c r="BQ140" s="726"/>
      <c r="BR140" s="726"/>
      <c r="BS140" s="726"/>
    </row>
    <row r="141" spans="1:71" s="563" customFormat="1">
      <c r="A141" s="614"/>
      <c r="E141" s="565"/>
      <c r="F141" s="565"/>
      <c r="Q141" s="726"/>
      <c r="R141" s="726"/>
      <c r="S141" s="726"/>
      <c r="T141" s="726"/>
      <c r="U141" s="726"/>
      <c r="V141" s="726"/>
      <c r="W141" s="726"/>
      <c r="X141" s="726"/>
      <c r="Y141" s="726"/>
      <c r="Z141" s="726"/>
      <c r="AA141" s="726"/>
      <c r="AB141" s="726"/>
      <c r="AC141" s="726"/>
      <c r="AD141" s="726"/>
      <c r="AE141" s="726"/>
      <c r="AF141" s="726"/>
      <c r="AG141" s="726"/>
      <c r="AH141" s="726"/>
      <c r="AI141" s="726"/>
      <c r="AJ141" s="726"/>
      <c r="AK141" s="726"/>
      <c r="AL141" s="726"/>
      <c r="AM141" s="726"/>
      <c r="AN141" s="726"/>
      <c r="AO141" s="726"/>
      <c r="AP141" s="726"/>
      <c r="AQ141" s="726"/>
      <c r="AR141" s="726"/>
      <c r="AS141" s="726"/>
      <c r="AT141" s="726"/>
      <c r="AU141" s="726"/>
      <c r="AV141" s="726"/>
      <c r="AW141" s="726"/>
      <c r="AX141" s="726"/>
      <c r="AY141" s="726"/>
      <c r="AZ141" s="726"/>
      <c r="BA141" s="726"/>
      <c r="BB141" s="726"/>
      <c r="BC141" s="726"/>
      <c r="BD141" s="726"/>
      <c r="BE141" s="726"/>
      <c r="BF141" s="726"/>
      <c r="BG141" s="726"/>
      <c r="BH141" s="726"/>
      <c r="BI141" s="726"/>
      <c r="BJ141" s="726"/>
      <c r="BK141" s="726"/>
      <c r="BL141" s="726"/>
      <c r="BM141" s="726"/>
      <c r="BN141" s="726"/>
      <c r="BO141" s="726"/>
      <c r="BP141" s="726"/>
      <c r="BQ141" s="726"/>
      <c r="BR141" s="726"/>
      <c r="BS141" s="726"/>
    </row>
    <row r="142" spans="1:71" s="563" customFormat="1">
      <c r="A142" s="614"/>
      <c r="E142" s="565"/>
      <c r="F142" s="565"/>
      <c r="Q142" s="726"/>
      <c r="R142" s="726"/>
      <c r="S142" s="726"/>
      <c r="T142" s="726"/>
      <c r="U142" s="726"/>
      <c r="V142" s="726"/>
      <c r="W142" s="726"/>
      <c r="X142" s="726"/>
      <c r="Y142" s="726"/>
      <c r="Z142" s="726"/>
      <c r="AA142" s="726"/>
      <c r="AB142" s="726"/>
      <c r="AC142" s="726"/>
      <c r="AD142" s="726"/>
      <c r="AE142" s="726"/>
      <c r="AF142" s="726"/>
      <c r="AG142" s="726"/>
      <c r="AH142" s="726"/>
      <c r="AI142" s="726"/>
      <c r="AJ142" s="726"/>
      <c r="AK142" s="726"/>
      <c r="AL142" s="726"/>
      <c r="AM142" s="726"/>
      <c r="AN142" s="726"/>
      <c r="AO142" s="726"/>
      <c r="AP142" s="726"/>
      <c r="AQ142" s="726"/>
      <c r="AR142" s="726"/>
      <c r="AS142" s="726"/>
      <c r="AT142" s="726"/>
      <c r="AU142" s="726"/>
      <c r="AV142" s="726"/>
      <c r="AW142" s="726"/>
      <c r="AX142" s="726"/>
      <c r="AY142" s="726"/>
      <c r="AZ142" s="726"/>
      <c r="BA142" s="726"/>
      <c r="BB142" s="726"/>
      <c r="BC142" s="726"/>
      <c r="BD142" s="726"/>
      <c r="BE142" s="726"/>
      <c r="BF142" s="726"/>
      <c r="BG142" s="726"/>
      <c r="BH142" s="726"/>
      <c r="BI142" s="726"/>
      <c r="BJ142" s="726"/>
      <c r="BK142" s="726"/>
      <c r="BL142" s="726"/>
      <c r="BM142" s="726"/>
      <c r="BN142" s="726"/>
      <c r="BO142" s="726"/>
      <c r="BP142" s="726"/>
      <c r="BQ142" s="726"/>
      <c r="BR142" s="726"/>
      <c r="BS142" s="726"/>
    </row>
    <row r="143" spans="1:71" s="563" customFormat="1">
      <c r="A143" s="614"/>
      <c r="E143" s="565"/>
      <c r="F143" s="565"/>
      <c r="Q143" s="726"/>
      <c r="R143" s="726"/>
      <c r="S143" s="726"/>
      <c r="T143" s="726"/>
      <c r="U143" s="726"/>
      <c r="V143" s="726"/>
      <c r="W143" s="726"/>
      <c r="X143" s="726"/>
      <c r="Y143" s="726"/>
      <c r="Z143" s="726"/>
      <c r="AA143" s="726"/>
      <c r="AB143" s="726"/>
      <c r="AC143" s="726"/>
      <c r="AD143" s="726"/>
      <c r="AE143" s="726"/>
      <c r="AF143" s="726"/>
      <c r="AG143" s="726"/>
      <c r="AH143" s="726"/>
      <c r="AI143" s="726"/>
      <c r="AJ143" s="726"/>
      <c r="AK143" s="726"/>
      <c r="AL143" s="726"/>
      <c r="AM143" s="726"/>
      <c r="AN143" s="726"/>
      <c r="AO143" s="726"/>
      <c r="AP143" s="726"/>
      <c r="AQ143" s="726"/>
      <c r="AR143" s="726"/>
      <c r="AS143" s="726"/>
      <c r="AT143" s="726"/>
      <c r="AU143" s="726"/>
      <c r="AV143" s="726"/>
      <c r="AW143" s="726"/>
      <c r="AX143" s="726"/>
      <c r="AY143" s="726"/>
      <c r="AZ143" s="726"/>
      <c r="BA143" s="726"/>
      <c r="BB143" s="726"/>
      <c r="BC143" s="726"/>
      <c r="BD143" s="726"/>
      <c r="BE143" s="726"/>
      <c r="BF143" s="726"/>
      <c r="BG143" s="726"/>
      <c r="BH143" s="726"/>
      <c r="BI143" s="726"/>
      <c r="BJ143" s="726"/>
      <c r="BK143" s="726"/>
      <c r="BL143" s="726"/>
      <c r="BM143" s="726"/>
      <c r="BN143" s="726"/>
      <c r="BO143" s="726"/>
      <c r="BP143" s="726"/>
      <c r="BQ143" s="726"/>
      <c r="BR143" s="726"/>
      <c r="BS143" s="726"/>
    </row>
    <row r="144" spans="1:71" s="563" customFormat="1">
      <c r="A144" s="614"/>
      <c r="E144" s="565"/>
      <c r="F144" s="565"/>
      <c r="Q144" s="726"/>
      <c r="R144" s="726"/>
      <c r="S144" s="726"/>
      <c r="T144" s="726"/>
      <c r="U144" s="726"/>
      <c r="V144" s="726"/>
      <c r="W144" s="726"/>
      <c r="X144" s="726"/>
      <c r="Y144" s="726"/>
      <c r="Z144" s="726"/>
      <c r="AA144" s="726"/>
      <c r="AB144" s="726"/>
      <c r="AC144" s="726"/>
      <c r="AD144" s="726"/>
      <c r="AE144" s="726"/>
      <c r="AF144" s="726"/>
      <c r="AG144" s="726"/>
      <c r="AH144" s="726"/>
      <c r="AI144" s="726"/>
      <c r="AJ144" s="726"/>
      <c r="AK144" s="726"/>
      <c r="AL144" s="726"/>
      <c r="AM144" s="726"/>
      <c r="AN144" s="726"/>
      <c r="AO144" s="726"/>
      <c r="AP144" s="726"/>
      <c r="AQ144" s="726"/>
      <c r="AR144" s="726"/>
      <c r="AS144" s="726"/>
      <c r="AT144" s="726"/>
      <c r="AU144" s="726"/>
      <c r="AV144" s="726"/>
      <c r="AW144" s="726"/>
      <c r="AX144" s="726"/>
      <c r="AY144" s="726"/>
      <c r="AZ144" s="726"/>
      <c r="BA144" s="726"/>
      <c r="BB144" s="726"/>
      <c r="BC144" s="726"/>
      <c r="BD144" s="726"/>
      <c r="BE144" s="726"/>
      <c r="BF144" s="726"/>
      <c r="BG144" s="726"/>
      <c r="BH144" s="726"/>
      <c r="BI144" s="726"/>
      <c r="BJ144" s="726"/>
      <c r="BK144" s="726"/>
      <c r="BL144" s="726"/>
      <c r="BM144" s="726"/>
      <c r="BN144" s="726"/>
      <c r="BO144" s="726"/>
      <c r="BP144" s="726"/>
      <c r="BQ144" s="726"/>
      <c r="BR144" s="726"/>
      <c r="BS144" s="726"/>
    </row>
    <row r="145" spans="1:71" s="563" customFormat="1">
      <c r="A145" s="614"/>
      <c r="E145" s="565"/>
      <c r="F145" s="565"/>
      <c r="Q145" s="726"/>
      <c r="R145" s="726"/>
      <c r="S145" s="726"/>
      <c r="T145" s="726"/>
      <c r="U145" s="726"/>
      <c r="V145" s="726"/>
      <c r="W145" s="726"/>
      <c r="X145" s="726"/>
      <c r="Y145" s="726"/>
      <c r="Z145" s="726"/>
      <c r="AA145" s="726"/>
      <c r="AB145" s="726"/>
      <c r="AC145" s="726"/>
      <c r="AD145" s="726"/>
      <c r="AE145" s="726"/>
      <c r="AF145" s="726"/>
      <c r="AG145" s="726"/>
      <c r="AH145" s="726"/>
      <c r="AI145" s="726"/>
      <c r="AJ145" s="726"/>
      <c r="AK145" s="726"/>
      <c r="AL145" s="726"/>
      <c r="AM145" s="726"/>
      <c r="AN145" s="726"/>
      <c r="AO145" s="726"/>
      <c r="AP145" s="726"/>
      <c r="AQ145" s="726"/>
      <c r="AR145" s="726"/>
      <c r="AS145" s="726"/>
      <c r="AT145" s="726"/>
      <c r="AU145" s="726"/>
      <c r="AV145" s="726"/>
      <c r="AW145" s="726"/>
      <c r="AX145" s="726"/>
      <c r="AY145" s="726"/>
      <c r="AZ145" s="726"/>
      <c r="BA145" s="726"/>
      <c r="BB145" s="726"/>
      <c r="BC145" s="726"/>
      <c r="BD145" s="726"/>
      <c r="BE145" s="726"/>
      <c r="BF145" s="726"/>
      <c r="BG145" s="726"/>
      <c r="BH145" s="726"/>
      <c r="BI145" s="726"/>
      <c r="BJ145" s="726"/>
      <c r="BK145" s="726"/>
      <c r="BL145" s="726"/>
      <c r="BM145" s="726"/>
      <c r="BN145" s="726"/>
      <c r="BO145" s="726"/>
      <c r="BP145" s="726"/>
      <c r="BQ145" s="726"/>
      <c r="BR145" s="726"/>
      <c r="BS145" s="726"/>
    </row>
    <row r="146" spans="1:71" s="563" customFormat="1">
      <c r="A146" s="614"/>
      <c r="E146" s="565"/>
      <c r="F146" s="565"/>
      <c r="Q146" s="726"/>
      <c r="R146" s="726"/>
      <c r="S146" s="726"/>
      <c r="T146" s="726"/>
      <c r="U146" s="726"/>
      <c r="V146" s="726"/>
      <c r="W146" s="726"/>
      <c r="X146" s="726"/>
      <c r="Y146" s="726"/>
      <c r="Z146" s="726"/>
      <c r="AA146" s="726"/>
      <c r="AB146" s="726"/>
      <c r="AC146" s="726"/>
      <c r="AD146" s="726"/>
      <c r="AE146" s="726"/>
      <c r="AF146" s="726"/>
      <c r="AG146" s="726"/>
      <c r="AH146" s="726"/>
      <c r="AI146" s="726"/>
      <c r="AJ146" s="726"/>
      <c r="AK146" s="726"/>
      <c r="AL146" s="726"/>
      <c r="AM146" s="726"/>
      <c r="AN146" s="726"/>
      <c r="AO146" s="726"/>
      <c r="AP146" s="726"/>
      <c r="AQ146" s="726"/>
      <c r="AR146" s="726"/>
      <c r="AS146" s="726"/>
      <c r="AT146" s="726"/>
      <c r="AU146" s="726"/>
      <c r="AV146" s="726"/>
      <c r="AW146" s="726"/>
      <c r="AX146" s="726"/>
      <c r="AY146" s="726"/>
      <c r="AZ146" s="726"/>
      <c r="BA146" s="726"/>
      <c r="BB146" s="726"/>
      <c r="BC146" s="726"/>
      <c r="BD146" s="726"/>
      <c r="BE146" s="726"/>
      <c r="BF146" s="726"/>
      <c r="BG146" s="726"/>
      <c r="BH146" s="726"/>
      <c r="BI146" s="726"/>
      <c r="BJ146" s="726"/>
      <c r="BK146" s="726"/>
      <c r="BL146" s="726"/>
      <c r="BM146" s="726"/>
      <c r="BN146" s="726"/>
      <c r="BO146" s="726"/>
      <c r="BP146" s="726"/>
      <c r="BQ146" s="726"/>
      <c r="BR146" s="726"/>
      <c r="BS146" s="726"/>
    </row>
    <row r="147" spans="1:71" s="563" customFormat="1">
      <c r="A147" s="614"/>
      <c r="E147" s="565"/>
      <c r="F147" s="565"/>
      <c r="Q147" s="726"/>
      <c r="R147" s="726"/>
      <c r="S147" s="726"/>
      <c r="T147" s="726"/>
      <c r="U147" s="726"/>
      <c r="V147" s="726"/>
      <c r="W147" s="726"/>
      <c r="X147" s="726"/>
      <c r="Y147" s="726"/>
      <c r="Z147" s="726"/>
      <c r="AA147" s="726"/>
      <c r="AB147" s="726"/>
      <c r="AC147" s="726"/>
      <c r="AD147" s="726"/>
      <c r="AE147" s="726"/>
      <c r="AF147" s="726"/>
      <c r="AG147" s="726"/>
      <c r="AH147" s="726"/>
      <c r="AI147" s="726"/>
      <c r="AJ147" s="726"/>
      <c r="AK147" s="726"/>
      <c r="AL147" s="726"/>
      <c r="AM147" s="726"/>
      <c r="AN147" s="726"/>
      <c r="AO147" s="726"/>
      <c r="AP147" s="726"/>
      <c r="AQ147" s="726"/>
      <c r="AR147" s="726"/>
      <c r="AS147" s="726"/>
      <c r="AT147" s="726"/>
      <c r="AU147" s="726"/>
      <c r="AV147" s="726"/>
      <c r="AW147" s="726"/>
      <c r="AX147" s="726"/>
      <c r="AY147" s="726"/>
      <c r="AZ147" s="726"/>
      <c r="BA147" s="726"/>
      <c r="BB147" s="726"/>
      <c r="BC147" s="726"/>
      <c r="BD147" s="726"/>
      <c r="BE147" s="726"/>
      <c r="BF147" s="726"/>
      <c r="BG147" s="726"/>
      <c r="BH147" s="726"/>
      <c r="BI147" s="726"/>
      <c r="BJ147" s="726"/>
      <c r="BK147" s="726"/>
      <c r="BL147" s="726"/>
      <c r="BM147" s="726"/>
      <c r="BN147" s="726"/>
      <c r="BO147" s="726"/>
      <c r="BP147" s="726"/>
      <c r="BQ147" s="726"/>
      <c r="BR147" s="726"/>
      <c r="BS147" s="726"/>
    </row>
    <row r="148" spans="1:71" s="563" customFormat="1">
      <c r="A148" s="614"/>
      <c r="E148" s="565"/>
      <c r="F148" s="565"/>
      <c r="Q148" s="726"/>
      <c r="R148" s="726"/>
      <c r="S148" s="726"/>
      <c r="T148" s="726"/>
      <c r="U148" s="726"/>
      <c r="V148" s="726"/>
      <c r="W148" s="726"/>
      <c r="X148" s="726"/>
      <c r="Y148" s="726"/>
      <c r="Z148" s="726"/>
      <c r="AA148" s="726"/>
      <c r="AB148" s="726"/>
      <c r="AC148" s="726"/>
      <c r="AD148" s="726"/>
      <c r="AE148" s="726"/>
      <c r="AF148" s="726"/>
      <c r="AG148" s="726"/>
      <c r="AH148" s="726"/>
      <c r="AI148" s="726"/>
      <c r="AJ148" s="726"/>
      <c r="AK148" s="726"/>
      <c r="AL148" s="726"/>
      <c r="AM148" s="726"/>
      <c r="AN148" s="726"/>
      <c r="AO148" s="726"/>
      <c r="AP148" s="726"/>
      <c r="AQ148" s="726"/>
      <c r="AR148" s="726"/>
      <c r="AS148" s="726"/>
      <c r="AT148" s="726"/>
      <c r="AU148" s="726"/>
      <c r="AV148" s="726"/>
      <c r="AW148" s="726"/>
      <c r="AX148" s="726"/>
      <c r="AY148" s="726"/>
      <c r="AZ148" s="726"/>
      <c r="BA148" s="726"/>
      <c r="BB148" s="726"/>
      <c r="BC148" s="726"/>
      <c r="BD148" s="726"/>
      <c r="BE148" s="726"/>
      <c r="BF148" s="726"/>
      <c r="BG148" s="726"/>
      <c r="BH148" s="726"/>
      <c r="BI148" s="726"/>
      <c r="BJ148" s="726"/>
      <c r="BK148" s="726"/>
      <c r="BL148" s="726"/>
      <c r="BM148" s="726"/>
      <c r="BN148" s="726"/>
      <c r="BO148" s="726"/>
      <c r="BP148" s="726"/>
      <c r="BQ148" s="726"/>
      <c r="BR148" s="726"/>
      <c r="BS148" s="726"/>
    </row>
    <row r="149" spans="1:71" s="563" customFormat="1">
      <c r="A149" s="614"/>
      <c r="E149" s="565"/>
      <c r="F149" s="565"/>
      <c r="Q149" s="726"/>
      <c r="R149" s="726"/>
      <c r="S149" s="726"/>
      <c r="T149" s="726"/>
      <c r="U149" s="726"/>
      <c r="V149" s="726"/>
      <c r="W149" s="726"/>
      <c r="X149" s="726"/>
      <c r="Y149" s="726"/>
      <c r="Z149" s="726"/>
      <c r="AA149" s="726"/>
      <c r="AB149" s="726"/>
      <c r="AC149" s="726"/>
      <c r="AD149" s="726"/>
      <c r="AE149" s="726"/>
      <c r="AF149" s="726"/>
      <c r="AG149" s="726"/>
      <c r="AH149" s="726"/>
      <c r="AI149" s="726"/>
      <c r="AJ149" s="726"/>
      <c r="AK149" s="726"/>
      <c r="AL149" s="726"/>
      <c r="AM149" s="726"/>
      <c r="AN149" s="726"/>
      <c r="AO149" s="726"/>
      <c r="AP149" s="726"/>
      <c r="AQ149" s="726"/>
      <c r="AR149" s="726"/>
      <c r="AS149" s="726"/>
      <c r="AT149" s="726"/>
      <c r="AU149" s="726"/>
      <c r="AV149" s="726"/>
      <c r="AW149" s="726"/>
      <c r="AX149" s="726"/>
      <c r="AY149" s="726"/>
      <c r="AZ149" s="726"/>
      <c r="BA149" s="726"/>
      <c r="BB149" s="726"/>
      <c r="BC149" s="726"/>
      <c r="BD149" s="726"/>
      <c r="BE149" s="726"/>
      <c r="BF149" s="726"/>
      <c r="BG149" s="726"/>
      <c r="BH149" s="726"/>
      <c r="BI149" s="726"/>
      <c r="BJ149" s="726"/>
      <c r="BK149" s="726"/>
      <c r="BL149" s="726"/>
      <c r="BM149" s="726"/>
      <c r="BN149" s="726"/>
      <c r="BO149" s="726"/>
      <c r="BP149" s="726"/>
      <c r="BQ149" s="726"/>
      <c r="BR149" s="726"/>
      <c r="BS149" s="726"/>
    </row>
    <row r="150" spans="1:71" s="563" customFormat="1">
      <c r="A150" s="614"/>
      <c r="E150" s="565"/>
      <c r="F150" s="565"/>
      <c r="Q150" s="726"/>
      <c r="R150" s="726"/>
      <c r="S150" s="726"/>
      <c r="T150" s="726"/>
      <c r="U150" s="726"/>
      <c r="V150" s="726"/>
      <c r="W150" s="726"/>
      <c r="X150" s="726"/>
      <c r="Y150" s="726"/>
      <c r="Z150" s="726"/>
      <c r="AA150" s="726"/>
      <c r="AB150" s="726"/>
      <c r="AC150" s="726"/>
      <c r="AD150" s="726"/>
      <c r="AE150" s="726"/>
      <c r="AF150" s="726"/>
      <c r="AG150" s="726"/>
      <c r="AH150" s="726"/>
      <c r="AI150" s="726"/>
      <c r="AJ150" s="726"/>
      <c r="AK150" s="726"/>
      <c r="AL150" s="726"/>
      <c r="AM150" s="726"/>
      <c r="AN150" s="726"/>
      <c r="AO150" s="726"/>
      <c r="AP150" s="726"/>
      <c r="AQ150" s="726"/>
      <c r="AR150" s="726"/>
      <c r="AS150" s="726"/>
      <c r="AT150" s="726"/>
      <c r="AU150" s="726"/>
      <c r="AV150" s="726"/>
      <c r="AW150" s="726"/>
      <c r="AX150" s="726"/>
      <c r="AY150" s="726"/>
      <c r="AZ150" s="726"/>
      <c r="BA150" s="726"/>
      <c r="BB150" s="726"/>
      <c r="BC150" s="726"/>
      <c r="BD150" s="726"/>
      <c r="BE150" s="726"/>
      <c r="BF150" s="726"/>
      <c r="BG150" s="726"/>
      <c r="BH150" s="726"/>
      <c r="BI150" s="726"/>
      <c r="BJ150" s="726"/>
      <c r="BK150" s="726"/>
      <c r="BL150" s="726"/>
      <c r="BM150" s="726"/>
      <c r="BN150" s="726"/>
      <c r="BO150" s="726"/>
      <c r="BP150" s="726"/>
      <c r="BQ150" s="726"/>
      <c r="BR150" s="726"/>
      <c r="BS150" s="726"/>
    </row>
    <row r="151" spans="1:71" s="563" customFormat="1">
      <c r="A151" s="614"/>
      <c r="E151" s="565"/>
      <c r="F151" s="565"/>
      <c r="Q151" s="726"/>
      <c r="R151" s="726"/>
      <c r="S151" s="726"/>
      <c r="T151" s="726"/>
      <c r="U151" s="726"/>
      <c r="V151" s="726"/>
      <c r="W151" s="726"/>
      <c r="X151" s="726"/>
      <c r="Y151" s="726"/>
      <c r="Z151" s="726"/>
      <c r="AA151" s="726"/>
      <c r="AB151" s="726"/>
      <c r="AC151" s="726"/>
      <c r="AD151" s="726"/>
      <c r="AE151" s="726"/>
      <c r="AF151" s="726"/>
      <c r="AG151" s="726"/>
      <c r="AH151" s="726"/>
      <c r="AI151" s="726"/>
      <c r="AJ151" s="726"/>
      <c r="AK151" s="726"/>
      <c r="AL151" s="726"/>
      <c r="AM151" s="726"/>
      <c r="AN151" s="726"/>
      <c r="AO151" s="726"/>
      <c r="AP151" s="726"/>
      <c r="AQ151" s="726"/>
      <c r="AR151" s="726"/>
      <c r="AS151" s="726"/>
      <c r="AT151" s="726"/>
      <c r="AU151" s="726"/>
      <c r="AV151" s="726"/>
      <c r="AW151" s="726"/>
      <c r="AX151" s="726"/>
      <c r="AY151" s="726"/>
      <c r="AZ151" s="726"/>
      <c r="BA151" s="726"/>
      <c r="BB151" s="726"/>
      <c r="BC151" s="726"/>
      <c r="BD151" s="726"/>
      <c r="BE151" s="726"/>
      <c r="BF151" s="726"/>
      <c r="BG151" s="726"/>
      <c r="BH151" s="726"/>
      <c r="BI151" s="726"/>
      <c r="BJ151" s="726"/>
      <c r="BK151" s="726"/>
      <c r="BL151" s="726"/>
      <c r="BM151" s="726"/>
      <c r="BN151" s="726"/>
      <c r="BO151" s="726"/>
      <c r="BP151" s="726"/>
      <c r="BQ151" s="726"/>
      <c r="BR151" s="726"/>
      <c r="BS151" s="726"/>
    </row>
    <row r="152" spans="1:71" s="563" customFormat="1">
      <c r="A152" s="614"/>
      <c r="E152" s="565"/>
      <c r="F152" s="565"/>
      <c r="Q152" s="726"/>
      <c r="R152" s="726"/>
      <c r="S152" s="726"/>
      <c r="T152" s="726"/>
      <c r="U152" s="726"/>
      <c r="V152" s="726"/>
      <c r="W152" s="726"/>
      <c r="X152" s="726"/>
      <c r="Y152" s="726"/>
      <c r="Z152" s="726"/>
      <c r="AA152" s="726"/>
      <c r="AB152" s="726"/>
      <c r="AC152" s="726"/>
      <c r="AD152" s="726"/>
      <c r="AE152" s="726"/>
      <c r="AF152" s="726"/>
      <c r="AG152" s="726"/>
      <c r="AH152" s="726"/>
      <c r="AI152" s="726"/>
      <c r="AJ152" s="726"/>
      <c r="AK152" s="726"/>
      <c r="AL152" s="726"/>
      <c r="AM152" s="726"/>
      <c r="AN152" s="726"/>
      <c r="AO152" s="726"/>
      <c r="AP152" s="726"/>
      <c r="AQ152" s="726"/>
      <c r="AR152" s="726"/>
      <c r="AS152" s="726"/>
      <c r="AT152" s="726"/>
      <c r="AU152" s="726"/>
      <c r="AV152" s="726"/>
      <c r="AW152" s="726"/>
      <c r="AX152" s="726"/>
      <c r="AY152" s="726"/>
      <c r="AZ152" s="726"/>
      <c r="BA152" s="726"/>
      <c r="BB152" s="726"/>
      <c r="BC152" s="726"/>
      <c r="BD152" s="726"/>
      <c r="BE152" s="726"/>
      <c r="BF152" s="726"/>
      <c r="BG152" s="726"/>
      <c r="BH152" s="726"/>
      <c r="BI152" s="726"/>
      <c r="BJ152" s="726"/>
      <c r="BK152" s="726"/>
      <c r="BL152" s="726"/>
      <c r="BM152" s="726"/>
      <c r="BN152" s="726"/>
      <c r="BO152" s="726"/>
      <c r="BP152" s="726"/>
      <c r="BQ152" s="726"/>
      <c r="BR152" s="726"/>
      <c r="BS152" s="726"/>
    </row>
    <row r="153" spans="1:71" s="563" customFormat="1">
      <c r="A153" s="614"/>
      <c r="E153" s="565"/>
      <c r="F153" s="565"/>
      <c r="Q153" s="726"/>
      <c r="R153" s="726"/>
      <c r="S153" s="726"/>
      <c r="T153" s="726"/>
      <c r="U153" s="726"/>
      <c r="V153" s="726"/>
      <c r="W153" s="726"/>
      <c r="X153" s="726"/>
      <c r="Y153" s="726"/>
      <c r="Z153" s="726"/>
      <c r="AA153" s="726"/>
      <c r="AB153" s="726"/>
      <c r="AC153" s="726"/>
      <c r="AD153" s="726"/>
      <c r="AE153" s="726"/>
      <c r="AF153" s="726"/>
      <c r="AG153" s="726"/>
      <c r="AH153" s="726"/>
      <c r="AI153" s="726"/>
      <c r="AJ153" s="726"/>
      <c r="AK153" s="726"/>
      <c r="AL153" s="726"/>
      <c r="AM153" s="726"/>
      <c r="AN153" s="726"/>
      <c r="AO153" s="726"/>
      <c r="AP153" s="726"/>
      <c r="AQ153" s="726"/>
      <c r="AR153" s="726"/>
      <c r="AS153" s="726"/>
      <c r="AT153" s="726"/>
      <c r="AU153" s="726"/>
      <c r="AV153" s="726"/>
      <c r="AW153" s="726"/>
      <c r="AX153" s="726"/>
      <c r="AY153" s="726"/>
      <c r="AZ153" s="726"/>
      <c r="BA153" s="726"/>
      <c r="BB153" s="726"/>
      <c r="BC153" s="726"/>
      <c r="BD153" s="726"/>
      <c r="BE153" s="726"/>
      <c r="BF153" s="726"/>
      <c r="BG153" s="726"/>
      <c r="BH153" s="726"/>
      <c r="BI153" s="726"/>
      <c r="BJ153" s="726"/>
      <c r="BK153" s="726"/>
      <c r="BL153" s="726"/>
      <c r="BM153" s="726"/>
      <c r="BN153" s="726"/>
      <c r="BO153" s="726"/>
      <c r="BP153" s="726"/>
      <c r="BQ153" s="726"/>
      <c r="BR153" s="726"/>
      <c r="BS153" s="726"/>
    </row>
    <row r="154" spans="1:71" s="563" customFormat="1">
      <c r="A154" s="614"/>
      <c r="E154" s="565"/>
      <c r="F154" s="565"/>
      <c r="Q154" s="726"/>
      <c r="R154" s="726"/>
      <c r="S154" s="726"/>
      <c r="T154" s="726"/>
      <c r="U154" s="726"/>
      <c r="V154" s="726"/>
      <c r="W154" s="726"/>
      <c r="X154" s="726"/>
      <c r="Y154" s="726"/>
      <c r="Z154" s="726"/>
      <c r="AA154" s="726"/>
      <c r="AB154" s="726"/>
      <c r="AC154" s="726"/>
      <c r="AD154" s="726"/>
      <c r="AE154" s="726"/>
      <c r="AF154" s="726"/>
      <c r="AG154" s="726"/>
      <c r="AH154" s="726"/>
      <c r="AI154" s="726"/>
      <c r="AJ154" s="726"/>
      <c r="AK154" s="726"/>
      <c r="AL154" s="726"/>
      <c r="AM154" s="726"/>
      <c r="AN154" s="726"/>
      <c r="AO154" s="726"/>
      <c r="AP154" s="726"/>
      <c r="AQ154" s="726"/>
      <c r="AR154" s="726"/>
      <c r="AS154" s="726"/>
      <c r="AT154" s="726"/>
      <c r="AU154" s="726"/>
      <c r="AV154" s="726"/>
      <c r="AW154" s="726"/>
      <c r="AX154" s="726"/>
      <c r="AY154" s="726"/>
      <c r="AZ154" s="726"/>
      <c r="BA154" s="726"/>
      <c r="BB154" s="726"/>
      <c r="BC154" s="726"/>
      <c r="BD154" s="726"/>
      <c r="BE154" s="726"/>
      <c r="BF154" s="726"/>
      <c r="BG154" s="726"/>
      <c r="BH154" s="726"/>
      <c r="BI154" s="726"/>
      <c r="BJ154" s="726"/>
      <c r="BK154" s="726"/>
      <c r="BL154" s="726"/>
      <c r="BM154" s="726"/>
      <c r="BN154" s="726"/>
      <c r="BO154" s="726"/>
      <c r="BP154" s="726"/>
      <c r="BQ154" s="726"/>
      <c r="BR154" s="726"/>
      <c r="BS154" s="726"/>
    </row>
    <row r="155" spans="1:71" s="563" customFormat="1">
      <c r="A155" s="614"/>
      <c r="E155" s="565"/>
      <c r="F155" s="565"/>
      <c r="Q155" s="726"/>
      <c r="R155" s="726"/>
      <c r="S155" s="726"/>
      <c r="T155" s="726"/>
      <c r="U155" s="726"/>
      <c r="V155" s="726"/>
      <c r="W155" s="726"/>
      <c r="X155" s="726"/>
      <c r="Y155" s="726"/>
      <c r="Z155" s="726"/>
      <c r="AA155" s="726"/>
      <c r="AB155" s="726"/>
      <c r="AC155" s="726"/>
      <c r="AD155" s="726"/>
      <c r="AE155" s="726"/>
      <c r="AF155" s="726"/>
      <c r="AG155" s="726"/>
      <c r="AH155" s="726"/>
      <c r="AI155" s="726"/>
      <c r="AJ155" s="726"/>
      <c r="AK155" s="726"/>
      <c r="AL155" s="726"/>
      <c r="AM155" s="726"/>
      <c r="AN155" s="726"/>
      <c r="AO155" s="726"/>
      <c r="AP155" s="726"/>
      <c r="AQ155" s="726"/>
      <c r="AR155" s="726"/>
      <c r="AS155" s="726"/>
      <c r="AT155" s="726"/>
      <c r="AU155" s="726"/>
      <c r="AV155" s="726"/>
      <c r="AW155" s="726"/>
      <c r="AX155" s="726"/>
      <c r="AY155" s="726"/>
      <c r="AZ155" s="726"/>
      <c r="BA155" s="726"/>
      <c r="BB155" s="726"/>
      <c r="BC155" s="726"/>
      <c r="BD155" s="726"/>
      <c r="BE155" s="726"/>
      <c r="BF155" s="726"/>
      <c r="BG155" s="726"/>
      <c r="BH155" s="726"/>
      <c r="BI155" s="726"/>
      <c r="BJ155" s="726"/>
      <c r="BK155" s="726"/>
      <c r="BL155" s="726"/>
      <c r="BM155" s="726"/>
      <c r="BN155" s="726"/>
      <c r="BO155" s="726"/>
      <c r="BP155" s="726"/>
      <c r="BQ155" s="726"/>
      <c r="BR155" s="726"/>
      <c r="BS155" s="726"/>
    </row>
    <row r="156" spans="1:71" s="563" customFormat="1">
      <c r="A156" s="614"/>
      <c r="E156" s="565"/>
      <c r="F156" s="565"/>
      <c r="Q156" s="726"/>
      <c r="R156" s="726"/>
      <c r="S156" s="726"/>
      <c r="T156" s="726"/>
      <c r="U156" s="726"/>
      <c r="V156" s="726"/>
      <c r="W156" s="726"/>
      <c r="X156" s="726"/>
      <c r="Y156" s="726"/>
      <c r="Z156" s="726"/>
      <c r="AA156" s="726"/>
      <c r="AB156" s="726"/>
      <c r="AC156" s="726"/>
      <c r="AD156" s="726"/>
      <c r="AE156" s="726"/>
      <c r="AF156" s="726"/>
      <c r="AG156" s="726"/>
      <c r="AH156" s="726"/>
      <c r="AI156" s="726"/>
      <c r="AJ156" s="726"/>
      <c r="AK156" s="726"/>
      <c r="AL156" s="726"/>
      <c r="AM156" s="726"/>
      <c r="AN156" s="726"/>
      <c r="AO156" s="726"/>
      <c r="AP156" s="726"/>
      <c r="AQ156" s="726"/>
      <c r="AR156" s="726"/>
      <c r="AS156" s="726"/>
      <c r="AT156" s="726"/>
      <c r="AU156" s="726"/>
      <c r="AV156" s="726"/>
      <c r="AW156" s="726"/>
      <c r="AX156" s="726"/>
      <c r="AY156" s="726"/>
      <c r="AZ156" s="726"/>
      <c r="BA156" s="726"/>
      <c r="BB156" s="726"/>
      <c r="BC156" s="726"/>
      <c r="BD156" s="726"/>
      <c r="BE156" s="726"/>
      <c r="BF156" s="726"/>
      <c r="BG156" s="726"/>
      <c r="BH156" s="726"/>
      <c r="BI156" s="726"/>
      <c r="BJ156" s="726"/>
      <c r="BK156" s="726"/>
      <c r="BL156" s="726"/>
      <c r="BM156" s="726"/>
      <c r="BN156" s="726"/>
      <c r="BO156" s="726"/>
      <c r="BP156" s="726"/>
      <c r="BQ156" s="726"/>
      <c r="BR156" s="726"/>
      <c r="BS156" s="726"/>
    </row>
    <row r="157" spans="1:71" s="563" customFormat="1">
      <c r="A157" s="614"/>
      <c r="E157" s="565"/>
      <c r="F157" s="565"/>
      <c r="Q157" s="726"/>
      <c r="R157" s="726"/>
      <c r="S157" s="726"/>
      <c r="T157" s="726"/>
      <c r="U157" s="726"/>
      <c r="V157" s="726"/>
      <c r="W157" s="726"/>
      <c r="X157" s="726"/>
      <c r="Y157" s="726"/>
      <c r="Z157" s="726"/>
      <c r="AA157" s="726"/>
      <c r="AB157" s="726"/>
      <c r="AC157" s="726"/>
      <c r="AD157" s="726"/>
      <c r="AE157" s="726"/>
      <c r="AF157" s="726"/>
      <c r="AG157" s="726"/>
      <c r="AH157" s="726"/>
      <c r="AI157" s="726"/>
      <c r="AJ157" s="726"/>
      <c r="AK157" s="726"/>
      <c r="AL157" s="726"/>
      <c r="AM157" s="726"/>
      <c r="AN157" s="726"/>
      <c r="AO157" s="726"/>
      <c r="AP157" s="726"/>
      <c r="AQ157" s="726"/>
      <c r="AR157" s="726"/>
      <c r="AS157" s="726"/>
      <c r="AT157" s="726"/>
      <c r="AU157" s="726"/>
      <c r="AV157" s="726"/>
      <c r="AW157" s="726"/>
      <c r="AX157" s="726"/>
      <c r="AY157" s="726"/>
      <c r="AZ157" s="726"/>
      <c r="BA157" s="726"/>
      <c r="BB157" s="726"/>
      <c r="BC157" s="726"/>
      <c r="BD157" s="726"/>
      <c r="BE157" s="726"/>
      <c r="BF157" s="726"/>
      <c r="BG157" s="726"/>
      <c r="BH157" s="726"/>
      <c r="BI157" s="726"/>
      <c r="BJ157" s="726"/>
      <c r="BK157" s="726"/>
      <c r="BL157" s="726"/>
      <c r="BM157" s="726"/>
      <c r="BN157" s="726"/>
      <c r="BO157" s="726"/>
      <c r="BP157" s="726"/>
      <c r="BQ157" s="726"/>
      <c r="BR157" s="726"/>
      <c r="BS157" s="726"/>
    </row>
    <row r="158" spans="1:71" s="563" customFormat="1">
      <c r="A158" s="614"/>
      <c r="E158" s="565"/>
      <c r="F158" s="565"/>
      <c r="Q158" s="726"/>
      <c r="R158" s="726"/>
      <c r="S158" s="726"/>
      <c r="T158" s="726"/>
      <c r="U158" s="726"/>
      <c r="V158" s="726"/>
      <c r="W158" s="726"/>
      <c r="X158" s="726"/>
      <c r="Y158" s="726"/>
      <c r="Z158" s="726"/>
      <c r="AA158" s="726"/>
      <c r="AB158" s="726"/>
      <c r="AC158" s="726"/>
      <c r="AD158" s="726"/>
      <c r="AE158" s="726"/>
      <c r="AF158" s="726"/>
      <c r="AG158" s="726"/>
      <c r="AH158" s="726"/>
      <c r="AI158" s="726"/>
      <c r="AJ158" s="726"/>
      <c r="AK158" s="726"/>
      <c r="AL158" s="726"/>
      <c r="AM158" s="726"/>
      <c r="AN158" s="726"/>
      <c r="AO158" s="726"/>
      <c r="AP158" s="726"/>
      <c r="AQ158" s="726"/>
      <c r="AR158" s="726"/>
      <c r="AS158" s="726"/>
      <c r="AT158" s="726"/>
      <c r="AU158" s="726"/>
      <c r="AV158" s="726"/>
      <c r="AW158" s="726"/>
      <c r="AX158" s="726"/>
      <c r="AY158" s="726"/>
      <c r="AZ158" s="726"/>
      <c r="BA158" s="726"/>
      <c r="BB158" s="726"/>
      <c r="BC158" s="726"/>
      <c r="BD158" s="726"/>
      <c r="BE158" s="726"/>
      <c r="BF158" s="726"/>
      <c r="BG158" s="726"/>
      <c r="BH158" s="726"/>
      <c r="BI158" s="726"/>
      <c r="BJ158" s="726"/>
      <c r="BK158" s="726"/>
      <c r="BL158" s="726"/>
      <c r="BM158" s="726"/>
      <c r="BN158" s="726"/>
      <c r="BO158" s="726"/>
      <c r="BP158" s="726"/>
      <c r="BQ158" s="726"/>
      <c r="BR158" s="726"/>
      <c r="BS158" s="726"/>
    </row>
    <row r="159" spans="1:71" s="563" customFormat="1">
      <c r="A159" s="614"/>
      <c r="E159" s="565"/>
      <c r="F159" s="565"/>
      <c r="Q159" s="726"/>
      <c r="R159" s="726"/>
      <c r="S159" s="726"/>
      <c r="T159" s="726"/>
      <c r="U159" s="726"/>
      <c r="V159" s="726"/>
      <c r="W159" s="726"/>
      <c r="X159" s="726"/>
      <c r="Y159" s="726"/>
      <c r="Z159" s="726"/>
      <c r="AA159" s="726"/>
      <c r="AB159" s="726"/>
      <c r="AC159" s="726"/>
      <c r="AD159" s="726"/>
      <c r="AE159" s="726"/>
      <c r="AF159" s="726"/>
      <c r="AG159" s="726"/>
      <c r="AH159" s="726"/>
      <c r="AI159" s="726"/>
      <c r="AJ159" s="726"/>
      <c r="AK159" s="726"/>
      <c r="AL159" s="726"/>
      <c r="AM159" s="726"/>
      <c r="AN159" s="726"/>
      <c r="AO159" s="726"/>
      <c r="AP159" s="726"/>
      <c r="AQ159" s="726"/>
      <c r="AR159" s="726"/>
      <c r="AS159" s="726"/>
      <c r="AT159" s="726"/>
      <c r="AU159" s="726"/>
      <c r="AV159" s="726"/>
      <c r="AW159" s="726"/>
      <c r="AX159" s="726"/>
      <c r="AY159" s="726"/>
      <c r="AZ159" s="726"/>
      <c r="BA159" s="726"/>
      <c r="BB159" s="726"/>
      <c r="BC159" s="726"/>
      <c r="BD159" s="726"/>
      <c r="BE159" s="726"/>
      <c r="BF159" s="726"/>
      <c r="BG159" s="726"/>
      <c r="BH159" s="726"/>
      <c r="BI159" s="726"/>
      <c r="BJ159" s="726"/>
      <c r="BK159" s="726"/>
      <c r="BL159" s="726"/>
      <c r="BM159" s="726"/>
      <c r="BN159" s="726"/>
      <c r="BO159" s="726"/>
      <c r="BP159" s="726"/>
      <c r="BQ159" s="726"/>
      <c r="BR159" s="726"/>
      <c r="BS159" s="726"/>
    </row>
    <row r="160" spans="1:71" s="563" customFormat="1">
      <c r="A160" s="614"/>
      <c r="E160" s="565"/>
      <c r="F160" s="565"/>
      <c r="Q160" s="726"/>
      <c r="R160" s="726"/>
      <c r="S160" s="726"/>
      <c r="T160" s="726"/>
      <c r="U160" s="726"/>
      <c r="V160" s="726"/>
      <c r="W160" s="726"/>
      <c r="X160" s="726"/>
      <c r="Y160" s="726"/>
      <c r="Z160" s="726"/>
      <c r="AA160" s="726"/>
      <c r="AB160" s="726"/>
      <c r="AC160" s="726"/>
      <c r="AD160" s="726"/>
      <c r="AE160" s="726"/>
      <c r="AF160" s="726"/>
      <c r="AG160" s="726"/>
      <c r="AH160" s="726"/>
      <c r="AI160" s="726"/>
      <c r="AJ160" s="726"/>
      <c r="AK160" s="726"/>
      <c r="AL160" s="726"/>
      <c r="AM160" s="726"/>
      <c r="AN160" s="726"/>
      <c r="AO160" s="726"/>
      <c r="AP160" s="726"/>
      <c r="AQ160" s="726"/>
      <c r="AR160" s="726"/>
      <c r="AS160" s="726"/>
      <c r="AT160" s="726"/>
      <c r="AU160" s="726"/>
      <c r="AV160" s="726"/>
      <c r="AW160" s="726"/>
      <c r="AX160" s="726"/>
      <c r="AY160" s="726"/>
      <c r="AZ160" s="726"/>
      <c r="BA160" s="726"/>
      <c r="BB160" s="726"/>
      <c r="BC160" s="726"/>
      <c r="BD160" s="726"/>
      <c r="BE160" s="726"/>
      <c r="BF160" s="726"/>
      <c r="BG160" s="726"/>
      <c r="BH160" s="726"/>
      <c r="BI160" s="726"/>
      <c r="BJ160" s="726"/>
      <c r="BK160" s="726"/>
      <c r="BL160" s="726"/>
      <c r="BM160" s="726"/>
      <c r="BN160" s="726"/>
      <c r="BO160" s="726"/>
      <c r="BP160" s="726"/>
      <c r="BQ160" s="726"/>
      <c r="BR160" s="726"/>
      <c r="BS160" s="726"/>
    </row>
    <row r="161" spans="1:71" s="563" customFormat="1">
      <c r="A161" s="614"/>
      <c r="E161" s="565"/>
      <c r="F161" s="565"/>
      <c r="Q161" s="726"/>
      <c r="R161" s="726"/>
      <c r="S161" s="726"/>
      <c r="T161" s="726"/>
      <c r="U161" s="726"/>
      <c r="V161" s="726"/>
      <c r="W161" s="726"/>
      <c r="X161" s="726"/>
      <c r="Y161" s="726"/>
      <c r="Z161" s="726"/>
      <c r="AA161" s="726"/>
      <c r="AB161" s="726"/>
      <c r="AC161" s="726"/>
      <c r="AD161" s="726"/>
      <c r="AE161" s="726"/>
      <c r="AF161" s="726"/>
      <c r="AG161" s="726"/>
      <c r="AH161" s="726"/>
      <c r="AI161" s="726"/>
      <c r="AJ161" s="726"/>
      <c r="AK161" s="726"/>
      <c r="AL161" s="726"/>
      <c r="AM161" s="726"/>
      <c r="AN161" s="726"/>
      <c r="AO161" s="726"/>
      <c r="AP161" s="726"/>
      <c r="AQ161" s="726"/>
      <c r="AR161" s="726"/>
      <c r="AS161" s="726"/>
      <c r="AT161" s="726"/>
      <c r="AU161" s="726"/>
      <c r="AV161" s="726"/>
      <c r="AW161" s="726"/>
      <c r="AX161" s="726"/>
      <c r="AY161" s="726"/>
      <c r="AZ161" s="726"/>
      <c r="BA161" s="726"/>
      <c r="BB161" s="726"/>
      <c r="BC161" s="726"/>
      <c r="BD161" s="726"/>
      <c r="BE161" s="726"/>
      <c r="BF161" s="726"/>
      <c r="BG161" s="726"/>
      <c r="BH161" s="726"/>
      <c r="BI161" s="726"/>
      <c r="BJ161" s="726"/>
      <c r="BK161" s="726"/>
      <c r="BL161" s="726"/>
      <c r="BM161" s="726"/>
      <c r="BN161" s="726"/>
      <c r="BO161" s="726"/>
      <c r="BP161" s="726"/>
      <c r="BQ161" s="726"/>
      <c r="BR161" s="726"/>
      <c r="BS161" s="726"/>
    </row>
    <row r="162" spans="1:71" s="563" customFormat="1">
      <c r="A162" s="614"/>
      <c r="E162" s="565"/>
      <c r="F162" s="565"/>
      <c r="Q162" s="726"/>
      <c r="R162" s="726"/>
      <c r="S162" s="726"/>
      <c r="T162" s="726"/>
      <c r="U162" s="726"/>
      <c r="V162" s="726"/>
      <c r="W162" s="726"/>
      <c r="X162" s="726"/>
      <c r="Y162" s="726"/>
      <c r="Z162" s="726"/>
      <c r="AA162" s="726"/>
      <c r="AB162" s="726"/>
      <c r="AC162" s="726"/>
      <c r="AD162" s="726"/>
      <c r="AE162" s="726"/>
      <c r="AF162" s="726"/>
      <c r="AG162" s="726"/>
      <c r="AH162" s="726"/>
      <c r="AI162" s="726"/>
      <c r="AJ162" s="726"/>
      <c r="AK162" s="726"/>
      <c r="AL162" s="726"/>
      <c r="AM162" s="726"/>
      <c r="AN162" s="726"/>
      <c r="AO162" s="726"/>
      <c r="AP162" s="726"/>
      <c r="AQ162" s="726"/>
      <c r="AR162" s="726"/>
      <c r="AS162" s="726"/>
      <c r="AT162" s="726"/>
      <c r="AU162" s="726"/>
      <c r="AV162" s="726"/>
      <c r="AW162" s="726"/>
      <c r="AX162" s="726"/>
      <c r="AY162" s="726"/>
      <c r="AZ162" s="726"/>
      <c r="BA162" s="726"/>
      <c r="BB162" s="726"/>
      <c r="BC162" s="726"/>
      <c r="BD162" s="726"/>
      <c r="BE162" s="726"/>
      <c r="BF162" s="726"/>
      <c r="BG162" s="726"/>
      <c r="BH162" s="726"/>
      <c r="BI162" s="726"/>
      <c r="BJ162" s="726"/>
      <c r="BK162" s="726"/>
      <c r="BL162" s="726"/>
      <c r="BM162" s="726"/>
      <c r="BN162" s="726"/>
      <c r="BO162" s="726"/>
      <c r="BP162" s="726"/>
      <c r="BQ162" s="726"/>
      <c r="BR162" s="726"/>
      <c r="BS162" s="726"/>
    </row>
    <row r="163" spans="1:71" s="563" customFormat="1">
      <c r="A163" s="614"/>
      <c r="E163" s="565"/>
      <c r="F163" s="565"/>
      <c r="Q163" s="726"/>
      <c r="R163" s="726"/>
      <c r="S163" s="726"/>
      <c r="T163" s="726"/>
      <c r="U163" s="726"/>
      <c r="V163" s="726"/>
      <c r="W163" s="726"/>
      <c r="X163" s="726"/>
      <c r="Y163" s="726"/>
      <c r="Z163" s="726"/>
      <c r="AA163" s="726"/>
      <c r="AB163" s="726"/>
      <c r="AC163" s="726"/>
      <c r="AD163" s="726"/>
      <c r="AE163" s="726"/>
      <c r="AF163" s="726"/>
      <c r="AG163" s="726"/>
      <c r="AH163" s="726"/>
      <c r="AI163" s="726"/>
      <c r="AJ163" s="726"/>
      <c r="AK163" s="726"/>
      <c r="AL163" s="726"/>
      <c r="AM163" s="726"/>
      <c r="AN163" s="726"/>
      <c r="AO163" s="726"/>
      <c r="AP163" s="726"/>
      <c r="AQ163" s="726"/>
      <c r="AR163" s="726"/>
      <c r="AS163" s="726"/>
      <c r="AT163" s="726"/>
      <c r="AU163" s="726"/>
      <c r="AV163" s="726"/>
      <c r="AW163" s="726"/>
      <c r="AX163" s="726"/>
      <c r="AY163" s="726"/>
      <c r="AZ163" s="726"/>
      <c r="BA163" s="726"/>
      <c r="BB163" s="726"/>
      <c r="BC163" s="726"/>
      <c r="BD163" s="726"/>
      <c r="BE163" s="726"/>
      <c r="BF163" s="726"/>
      <c r="BG163" s="726"/>
      <c r="BH163" s="726"/>
      <c r="BI163" s="726"/>
      <c r="BJ163" s="726"/>
      <c r="BK163" s="726"/>
      <c r="BL163" s="726"/>
      <c r="BM163" s="726"/>
      <c r="BN163" s="726"/>
      <c r="BO163" s="726"/>
      <c r="BP163" s="726"/>
      <c r="BQ163" s="726"/>
      <c r="BR163" s="726"/>
      <c r="BS163" s="726"/>
    </row>
    <row r="164" spans="1:71" s="563" customFormat="1">
      <c r="A164" s="614"/>
      <c r="E164" s="565"/>
      <c r="F164" s="565"/>
      <c r="Q164" s="726"/>
      <c r="R164" s="726"/>
      <c r="S164" s="726"/>
      <c r="T164" s="726"/>
      <c r="U164" s="726"/>
      <c r="V164" s="726"/>
      <c r="W164" s="726"/>
      <c r="X164" s="726"/>
      <c r="Y164" s="726"/>
      <c r="Z164" s="726"/>
      <c r="AA164" s="726"/>
      <c r="AB164" s="726"/>
      <c r="AC164" s="726"/>
      <c r="AD164" s="726"/>
      <c r="AE164" s="726"/>
      <c r="AF164" s="726"/>
      <c r="AG164" s="726"/>
      <c r="AH164" s="726"/>
      <c r="AI164" s="726"/>
      <c r="AJ164" s="726"/>
      <c r="AK164" s="726"/>
      <c r="AL164" s="726"/>
      <c r="AM164" s="726"/>
      <c r="AN164" s="726"/>
      <c r="AO164" s="726"/>
      <c r="AP164" s="726"/>
      <c r="AQ164" s="726"/>
      <c r="AR164" s="726"/>
      <c r="AS164" s="726"/>
      <c r="AT164" s="726"/>
      <c r="AU164" s="726"/>
      <c r="AV164" s="726"/>
      <c r="AW164" s="726"/>
      <c r="AX164" s="726"/>
      <c r="AY164" s="726"/>
      <c r="AZ164" s="726"/>
      <c r="BA164" s="726"/>
      <c r="BB164" s="726"/>
      <c r="BC164" s="726"/>
      <c r="BD164" s="726"/>
      <c r="BE164" s="726"/>
      <c r="BF164" s="726"/>
      <c r="BG164" s="726"/>
      <c r="BH164" s="726"/>
      <c r="BI164" s="726"/>
      <c r="BJ164" s="726"/>
      <c r="BK164" s="726"/>
      <c r="BL164" s="726"/>
      <c r="BM164" s="726"/>
      <c r="BN164" s="726"/>
      <c r="BO164" s="726"/>
      <c r="BP164" s="726"/>
      <c r="BQ164" s="726"/>
      <c r="BR164" s="726"/>
      <c r="BS164" s="726"/>
    </row>
    <row r="165" spans="1:71" s="563" customFormat="1">
      <c r="A165" s="614"/>
      <c r="E165" s="565"/>
      <c r="F165" s="565"/>
      <c r="Q165" s="726"/>
      <c r="R165" s="726"/>
      <c r="S165" s="726"/>
      <c r="T165" s="726"/>
      <c r="U165" s="726"/>
      <c r="V165" s="726"/>
      <c r="W165" s="726"/>
      <c r="X165" s="726"/>
      <c r="Y165" s="726"/>
      <c r="Z165" s="726"/>
      <c r="AA165" s="726"/>
      <c r="AB165" s="726"/>
      <c r="AC165" s="726"/>
      <c r="AD165" s="726"/>
      <c r="AE165" s="726"/>
      <c r="AF165" s="726"/>
      <c r="AG165" s="726"/>
      <c r="AH165" s="726"/>
      <c r="AI165" s="726"/>
      <c r="AJ165" s="726"/>
      <c r="AK165" s="726"/>
      <c r="AL165" s="726"/>
      <c r="AM165" s="726"/>
      <c r="AN165" s="726"/>
      <c r="AO165" s="726"/>
      <c r="AP165" s="726"/>
      <c r="AQ165" s="726"/>
      <c r="AR165" s="726"/>
      <c r="AS165" s="726"/>
      <c r="AT165" s="726"/>
      <c r="AU165" s="726"/>
      <c r="AV165" s="726"/>
      <c r="AW165" s="726"/>
      <c r="AX165" s="726"/>
      <c r="AY165" s="726"/>
      <c r="AZ165" s="726"/>
      <c r="BA165" s="726"/>
      <c r="BB165" s="726"/>
      <c r="BC165" s="726"/>
      <c r="BD165" s="726"/>
      <c r="BE165" s="726"/>
      <c r="BF165" s="726"/>
      <c r="BG165" s="726"/>
      <c r="BH165" s="726"/>
      <c r="BI165" s="726"/>
      <c r="BJ165" s="726"/>
      <c r="BK165" s="726"/>
      <c r="BL165" s="726"/>
      <c r="BM165" s="726"/>
      <c r="BN165" s="726"/>
      <c r="BO165" s="726"/>
      <c r="BP165" s="726"/>
      <c r="BQ165" s="726"/>
      <c r="BR165" s="726"/>
      <c r="BS165" s="726"/>
    </row>
    <row r="166" spans="1:71" s="563" customFormat="1">
      <c r="A166" s="614"/>
      <c r="E166" s="565"/>
      <c r="F166" s="565"/>
      <c r="Q166" s="726"/>
      <c r="R166" s="726"/>
      <c r="S166" s="726"/>
      <c r="T166" s="726"/>
      <c r="U166" s="726"/>
      <c r="V166" s="726"/>
      <c r="W166" s="726"/>
      <c r="X166" s="726"/>
      <c r="Y166" s="726"/>
      <c r="Z166" s="726"/>
      <c r="AA166" s="726"/>
      <c r="AB166" s="726"/>
      <c r="AC166" s="726"/>
      <c r="AD166" s="726"/>
      <c r="AE166" s="726"/>
      <c r="AF166" s="726"/>
      <c r="AG166" s="726"/>
      <c r="AH166" s="726"/>
      <c r="AI166" s="726"/>
      <c r="AJ166" s="726"/>
      <c r="AK166" s="726"/>
      <c r="AL166" s="726"/>
      <c r="AM166" s="726"/>
      <c r="AN166" s="726"/>
      <c r="AO166" s="726"/>
      <c r="AP166" s="726"/>
      <c r="AQ166" s="726"/>
      <c r="AR166" s="726"/>
      <c r="AS166" s="726"/>
      <c r="AT166" s="726"/>
      <c r="AU166" s="726"/>
      <c r="AV166" s="726"/>
      <c r="AW166" s="726"/>
      <c r="AX166" s="726"/>
      <c r="AY166" s="726"/>
      <c r="AZ166" s="726"/>
      <c r="BA166" s="726"/>
      <c r="BB166" s="726"/>
      <c r="BC166" s="726"/>
      <c r="BD166" s="726"/>
      <c r="BE166" s="726"/>
      <c r="BF166" s="726"/>
      <c r="BG166" s="726"/>
      <c r="BH166" s="726"/>
      <c r="BI166" s="726"/>
      <c r="BJ166" s="726"/>
      <c r="BK166" s="726"/>
      <c r="BL166" s="726"/>
      <c r="BM166" s="726"/>
      <c r="BN166" s="726"/>
      <c r="BO166" s="726"/>
      <c r="BP166" s="726"/>
      <c r="BQ166" s="726"/>
      <c r="BR166" s="726"/>
      <c r="BS166" s="726"/>
    </row>
    <row r="167" spans="1:71" s="563" customFormat="1">
      <c r="A167" s="614"/>
      <c r="E167" s="565"/>
      <c r="F167" s="565"/>
      <c r="Q167" s="726"/>
      <c r="R167" s="726"/>
      <c r="S167" s="726"/>
      <c r="T167" s="726"/>
      <c r="U167" s="726"/>
      <c r="V167" s="726"/>
      <c r="W167" s="726"/>
      <c r="X167" s="726"/>
      <c r="Y167" s="726"/>
      <c r="Z167" s="726"/>
      <c r="AA167" s="726"/>
      <c r="AB167" s="726"/>
      <c r="AC167" s="726"/>
      <c r="AD167" s="726"/>
      <c r="AE167" s="726"/>
      <c r="AF167" s="726"/>
      <c r="AG167" s="726"/>
      <c r="AH167" s="726"/>
      <c r="AI167" s="726"/>
      <c r="AJ167" s="726"/>
      <c r="AK167" s="726"/>
      <c r="AL167" s="726"/>
      <c r="AM167" s="726"/>
      <c r="AN167" s="726"/>
      <c r="AO167" s="726"/>
      <c r="AP167" s="726"/>
      <c r="AQ167" s="726"/>
      <c r="AR167" s="726"/>
      <c r="AS167" s="726"/>
      <c r="AT167" s="726"/>
      <c r="AU167" s="726"/>
      <c r="AV167" s="726"/>
      <c r="AW167" s="726"/>
      <c r="AX167" s="726"/>
      <c r="AY167" s="726"/>
      <c r="AZ167" s="726"/>
      <c r="BA167" s="726"/>
      <c r="BB167" s="726"/>
      <c r="BC167" s="726"/>
      <c r="BD167" s="726"/>
      <c r="BE167" s="726"/>
      <c r="BF167" s="726"/>
      <c r="BG167" s="726"/>
      <c r="BH167" s="726"/>
      <c r="BI167" s="726"/>
      <c r="BJ167" s="726"/>
      <c r="BK167" s="726"/>
      <c r="BL167" s="726"/>
      <c r="BM167" s="726"/>
      <c r="BN167" s="726"/>
      <c r="BO167" s="726"/>
      <c r="BP167" s="726"/>
      <c r="BQ167" s="726"/>
      <c r="BR167" s="726"/>
      <c r="BS167" s="726"/>
    </row>
    <row r="168" spans="1:71" s="563" customFormat="1">
      <c r="A168" s="614"/>
      <c r="E168" s="565"/>
      <c r="F168" s="565"/>
      <c r="Q168" s="726"/>
      <c r="R168" s="726"/>
      <c r="S168" s="726"/>
      <c r="T168" s="726"/>
      <c r="U168" s="726"/>
      <c r="V168" s="726"/>
      <c r="W168" s="726"/>
      <c r="X168" s="726"/>
      <c r="Y168" s="726"/>
      <c r="Z168" s="726"/>
      <c r="AA168" s="726"/>
      <c r="AB168" s="726"/>
      <c r="AC168" s="726"/>
      <c r="AD168" s="726"/>
      <c r="AE168" s="726"/>
      <c r="AF168" s="726"/>
      <c r="AG168" s="726"/>
      <c r="AH168" s="726"/>
      <c r="AI168" s="726"/>
      <c r="AJ168" s="726"/>
      <c r="AK168" s="726"/>
      <c r="AL168" s="726"/>
      <c r="AM168" s="726"/>
      <c r="AN168" s="726"/>
      <c r="AO168" s="726"/>
      <c r="AP168" s="726"/>
      <c r="AQ168" s="726"/>
      <c r="AR168" s="726"/>
      <c r="AS168" s="726"/>
      <c r="AT168" s="726"/>
      <c r="AU168" s="726"/>
      <c r="AV168" s="726"/>
      <c r="AW168" s="726"/>
      <c r="AX168" s="726"/>
      <c r="AY168" s="726"/>
      <c r="AZ168" s="726"/>
      <c r="BA168" s="726"/>
      <c r="BB168" s="726"/>
      <c r="BC168" s="726"/>
      <c r="BD168" s="726"/>
      <c r="BE168" s="726"/>
      <c r="BF168" s="726"/>
      <c r="BG168" s="726"/>
      <c r="BH168" s="726"/>
      <c r="BI168" s="726"/>
      <c r="BJ168" s="726"/>
      <c r="BK168" s="726"/>
      <c r="BL168" s="726"/>
      <c r="BM168" s="726"/>
      <c r="BN168" s="726"/>
      <c r="BO168" s="726"/>
      <c r="BP168" s="726"/>
      <c r="BQ168" s="726"/>
      <c r="BR168" s="726"/>
      <c r="BS168" s="726"/>
    </row>
    <row r="169" spans="1:71" s="563" customFormat="1">
      <c r="A169" s="614"/>
      <c r="E169" s="565"/>
      <c r="F169" s="565"/>
      <c r="Q169" s="726"/>
      <c r="R169" s="726"/>
      <c r="S169" s="726"/>
      <c r="T169" s="726"/>
      <c r="U169" s="726"/>
      <c r="V169" s="726"/>
      <c r="W169" s="726"/>
      <c r="X169" s="726"/>
      <c r="Y169" s="726"/>
      <c r="Z169" s="726"/>
      <c r="AA169" s="726"/>
      <c r="AB169" s="726"/>
      <c r="AC169" s="726"/>
      <c r="AD169" s="726"/>
      <c r="AE169" s="726"/>
      <c r="AF169" s="726"/>
      <c r="AG169" s="726"/>
      <c r="AH169" s="726"/>
      <c r="AI169" s="726"/>
      <c r="AJ169" s="726"/>
      <c r="AK169" s="726"/>
      <c r="AL169" s="726"/>
      <c r="AM169" s="726"/>
      <c r="AN169" s="726"/>
      <c r="AO169" s="726"/>
      <c r="AP169" s="726"/>
      <c r="AQ169" s="726"/>
      <c r="AR169" s="726"/>
      <c r="AS169" s="726"/>
      <c r="AT169" s="726"/>
      <c r="AU169" s="726"/>
      <c r="AV169" s="726"/>
      <c r="AW169" s="726"/>
      <c r="AX169" s="726"/>
      <c r="AY169" s="726"/>
      <c r="AZ169" s="726"/>
      <c r="BA169" s="726"/>
      <c r="BB169" s="726"/>
      <c r="BC169" s="726"/>
      <c r="BD169" s="726"/>
      <c r="BE169" s="726"/>
      <c r="BF169" s="726"/>
      <c r="BG169" s="726"/>
      <c r="BH169" s="726"/>
      <c r="BI169" s="726"/>
      <c r="BJ169" s="726"/>
      <c r="BK169" s="726"/>
      <c r="BL169" s="726"/>
      <c r="BM169" s="726"/>
      <c r="BN169" s="726"/>
      <c r="BO169" s="726"/>
      <c r="BP169" s="726"/>
      <c r="BQ169" s="726"/>
      <c r="BR169" s="726"/>
      <c r="BS169" s="726"/>
    </row>
    <row r="170" spans="1:71" s="563" customFormat="1">
      <c r="A170" s="614"/>
      <c r="E170" s="565"/>
      <c r="F170" s="565"/>
      <c r="Q170" s="726"/>
      <c r="R170" s="726"/>
      <c r="S170" s="726"/>
      <c r="T170" s="726"/>
      <c r="U170" s="726"/>
      <c r="V170" s="726"/>
      <c r="W170" s="726"/>
      <c r="X170" s="726"/>
      <c r="Y170" s="726"/>
      <c r="Z170" s="726"/>
      <c r="AA170" s="726"/>
      <c r="AB170" s="726"/>
      <c r="AC170" s="726"/>
      <c r="AD170" s="726"/>
      <c r="AE170" s="726"/>
      <c r="AF170" s="726"/>
      <c r="AG170" s="726"/>
      <c r="AH170" s="726"/>
      <c r="AI170" s="726"/>
      <c r="AJ170" s="726"/>
      <c r="AK170" s="726"/>
      <c r="AL170" s="726"/>
      <c r="AM170" s="726"/>
      <c r="AN170" s="726"/>
      <c r="AO170" s="726"/>
      <c r="AP170" s="726"/>
      <c r="AQ170" s="726"/>
      <c r="AR170" s="726"/>
      <c r="AS170" s="726"/>
      <c r="AT170" s="726"/>
      <c r="AU170" s="726"/>
      <c r="AV170" s="726"/>
      <c r="AW170" s="726"/>
      <c r="AX170" s="726"/>
      <c r="AY170" s="726"/>
      <c r="AZ170" s="726"/>
      <c r="BA170" s="726"/>
      <c r="BB170" s="726"/>
      <c r="BC170" s="726"/>
      <c r="BD170" s="726"/>
      <c r="BE170" s="726"/>
      <c r="BF170" s="726"/>
      <c r="BG170" s="726"/>
      <c r="BH170" s="726"/>
      <c r="BI170" s="726"/>
      <c r="BJ170" s="726"/>
      <c r="BK170" s="726"/>
      <c r="BL170" s="726"/>
      <c r="BM170" s="726"/>
      <c r="BN170" s="726"/>
      <c r="BO170" s="726"/>
      <c r="BP170" s="726"/>
      <c r="BQ170" s="726"/>
      <c r="BR170" s="726"/>
      <c r="BS170" s="726"/>
    </row>
    <row r="171" spans="1:71" s="563" customFormat="1">
      <c r="A171" s="614"/>
      <c r="E171" s="565"/>
      <c r="F171" s="565"/>
      <c r="Q171" s="726"/>
      <c r="R171" s="726"/>
      <c r="S171" s="726"/>
      <c r="T171" s="726"/>
      <c r="U171" s="726"/>
      <c r="V171" s="726"/>
      <c r="W171" s="726"/>
      <c r="X171" s="726"/>
      <c r="Y171" s="726"/>
      <c r="Z171" s="726"/>
      <c r="AA171" s="726"/>
      <c r="AB171" s="726"/>
      <c r="AC171" s="726"/>
      <c r="AD171" s="726"/>
      <c r="AE171" s="726"/>
      <c r="AF171" s="726"/>
      <c r="AG171" s="726"/>
      <c r="AH171" s="726"/>
      <c r="AI171" s="726"/>
      <c r="AJ171" s="726"/>
      <c r="AK171" s="726"/>
      <c r="AL171" s="726"/>
      <c r="AM171" s="726"/>
      <c r="AN171" s="726"/>
      <c r="AO171" s="726"/>
      <c r="AP171" s="726"/>
      <c r="AQ171" s="726"/>
      <c r="AR171" s="726"/>
      <c r="AS171" s="726"/>
      <c r="AT171" s="726"/>
      <c r="AU171" s="726"/>
      <c r="AV171" s="726"/>
      <c r="AW171" s="726"/>
      <c r="AX171" s="726"/>
      <c r="AY171" s="726"/>
      <c r="AZ171" s="726"/>
      <c r="BA171" s="726"/>
      <c r="BB171" s="726"/>
      <c r="BC171" s="726"/>
      <c r="BD171" s="726"/>
      <c r="BE171" s="726"/>
      <c r="BF171" s="726"/>
      <c r="BG171" s="726"/>
      <c r="BH171" s="726"/>
      <c r="BI171" s="726"/>
      <c r="BJ171" s="726"/>
      <c r="BK171" s="726"/>
      <c r="BL171" s="726"/>
      <c r="BM171" s="726"/>
      <c r="BN171" s="726"/>
      <c r="BO171" s="726"/>
      <c r="BP171" s="726"/>
      <c r="BQ171" s="726"/>
      <c r="BR171" s="726"/>
      <c r="BS171" s="726"/>
    </row>
    <row r="172" spans="1:71" s="563" customFormat="1">
      <c r="A172" s="614"/>
      <c r="E172" s="565"/>
      <c r="F172" s="565"/>
      <c r="Q172" s="726"/>
      <c r="R172" s="726"/>
      <c r="S172" s="726"/>
      <c r="T172" s="726"/>
      <c r="U172" s="726"/>
      <c r="V172" s="726"/>
      <c r="W172" s="726"/>
      <c r="X172" s="726"/>
      <c r="Y172" s="726"/>
      <c r="Z172" s="726"/>
      <c r="AA172" s="726"/>
      <c r="AB172" s="726"/>
      <c r="AC172" s="726"/>
      <c r="AD172" s="726"/>
      <c r="AE172" s="726"/>
      <c r="AF172" s="726"/>
      <c r="AG172" s="726"/>
      <c r="AH172" s="726"/>
      <c r="AI172" s="726"/>
      <c r="AJ172" s="726"/>
      <c r="AK172" s="726"/>
      <c r="AL172" s="726"/>
      <c r="AM172" s="726"/>
      <c r="AN172" s="726"/>
      <c r="AO172" s="726"/>
      <c r="AP172" s="726"/>
      <c r="AQ172" s="726"/>
      <c r="AR172" s="726"/>
      <c r="AS172" s="726"/>
      <c r="AT172" s="726"/>
      <c r="AU172" s="726"/>
      <c r="AV172" s="726"/>
      <c r="AW172" s="726"/>
      <c r="AX172" s="726"/>
      <c r="AY172" s="726"/>
      <c r="AZ172" s="726"/>
      <c r="BA172" s="726"/>
      <c r="BB172" s="726"/>
      <c r="BC172" s="726"/>
      <c r="BD172" s="726"/>
      <c r="BE172" s="726"/>
      <c r="BF172" s="726"/>
      <c r="BG172" s="726"/>
      <c r="BH172" s="726"/>
      <c r="BI172" s="726"/>
      <c r="BJ172" s="726"/>
      <c r="BK172" s="726"/>
      <c r="BL172" s="726"/>
      <c r="BM172" s="726"/>
      <c r="BN172" s="726"/>
      <c r="BO172" s="726"/>
      <c r="BP172" s="726"/>
      <c r="BQ172" s="726"/>
      <c r="BR172" s="726"/>
      <c r="BS172" s="726"/>
    </row>
    <row r="173" spans="1:71" s="563" customFormat="1">
      <c r="A173" s="614"/>
      <c r="E173" s="565"/>
      <c r="F173" s="565"/>
      <c r="Q173" s="726"/>
      <c r="R173" s="726"/>
      <c r="S173" s="726"/>
      <c r="T173" s="726"/>
      <c r="U173" s="726"/>
      <c r="V173" s="726"/>
      <c r="W173" s="726"/>
      <c r="X173" s="726"/>
      <c r="Y173" s="726"/>
      <c r="Z173" s="726"/>
      <c r="AA173" s="726"/>
      <c r="AB173" s="726"/>
      <c r="AC173" s="726"/>
      <c r="AD173" s="726"/>
      <c r="AE173" s="726"/>
      <c r="AF173" s="726"/>
      <c r="AG173" s="726"/>
      <c r="AH173" s="726"/>
      <c r="AI173" s="726"/>
      <c r="AJ173" s="726"/>
      <c r="AK173" s="726"/>
      <c r="AL173" s="726"/>
      <c r="AM173" s="726"/>
      <c r="AN173" s="726"/>
      <c r="AO173" s="726"/>
      <c r="AP173" s="726"/>
      <c r="AQ173" s="726"/>
      <c r="AR173" s="726"/>
      <c r="AS173" s="726"/>
      <c r="AT173" s="726"/>
      <c r="AU173" s="726"/>
      <c r="AV173" s="726"/>
      <c r="AW173" s="726"/>
      <c r="AX173" s="726"/>
      <c r="AY173" s="726"/>
      <c r="AZ173" s="726"/>
      <c r="BA173" s="726"/>
      <c r="BB173" s="726"/>
      <c r="BC173" s="726"/>
      <c r="BD173" s="726"/>
      <c r="BE173" s="726"/>
      <c r="BF173" s="726"/>
      <c r="BG173" s="726"/>
      <c r="BH173" s="726"/>
      <c r="BI173" s="726"/>
      <c r="BJ173" s="726"/>
      <c r="BK173" s="726"/>
      <c r="BL173" s="726"/>
      <c r="BM173" s="726"/>
      <c r="BN173" s="726"/>
      <c r="BO173" s="726"/>
      <c r="BP173" s="726"/>
      <c r="BQ173" s="726"/>
      <c r="BR173" s="726"/>
      <c r="BS173" s="726"/>
    </row>
    <row r="174" spans="1:71" s="563" customFormat="1">
      <c r="A174" s="614"/>
      <c r="E174" s="565"/>
      <c r="F174" s="565"/>
      <c r="Q174" s="726"/>
      <c r="R174" s="726"/>
      <c r="S174" s="726"/>
      <c r="T174" s="726"/>
      <c r="U174" s="726"/>
      <c r="V174" s="726"/>
      <c r="W174" s="726"/>
      <c r="X174" s="726"/>
      <c r="Y174" s="726"/>
      <c r="Z174" s="726"/>
      <c r="AA174" s="726"/>
      <c r="AB174" s="726"/>
      <c r="AC174" s="726"/>
      <c r="AD174" s="726"/>
      <c r="AE174" s="726"/>
      <c r="AF174" s="726"/>
      <c r="AG174" s="726"/>
      <c r="AH174" s="726"/>
      <c r="AI174" s="726"/>
      <c r="AJ174" s="726"/>
      <c r="AK174" s="726"/>
      <c r="AL174" s="726"/>
      <c r="AM174" s="726"/>
      <c r="AN174" s="726"/>
      <c r="AO174" s="726"/>
      <c r="AP174" s="726"/>
      <c r="AQ174" s="726"/>
      <c r="AR174" s="726"/>
      <c r="AS174" s="726"/>
      <c r="AT174" s="726"/>
      <c r="AU174" s="726"/>
      <c r="AV174" s="726"/>
      <c r="AW174" s="726"/>
      <c r="AX174" s="726"/>
      <c r="AY174" s="726"/>
      <c r="AZ174" s="726"/>
      <c r="BA174" s="726"/>
      <c r="BB174" s="726"/>
      <c r="BC174" s="726"/>
      <c r="BD174" s="726"/>
      <c r="BE174" s="726"/>
      <c r="BF174" s="726"/>
      <c r="BG174" s="726"/>
      <c r="BH174" s="726"/>
      <c r="BI174" s="726"/>
      <c r="BJ174" s="726"/>
      <c r="BK174" s="726"/>
      <c r="BL174" s="726"/>
      <c r="BM174" s="726"/>
      <c r="BN174" s="726"/>
      <c r="BO174" s="726"/>
      <c r="BP174" s="726"/>
      <c r="BQ174" s="726"/>
      <c r="BR174" s="726"/>
      <c r="BS174" s="726"/>
    </row>
    <row r="175" spans="1:71" s="563" customFormat="1">
      <c r="A175" s="614"/>
      <c r="E175" s="565"/>
      <c r="F175" s="565"/>
      <c r="Q175" s="726"/>
      <c r="R175" s="726"/>
      <c r="S175" s="726"/>
      <c r="T175" s="726"/>
      <c r="U175" s="726"/>
      <c r="V175" s="726"/>
      <c r="W175" s="726"/>
      <c r="X175" s="726"/>
      <c r="Y175" s="726"/>
      <c r="Z175" s="726"/>
      <c r="AA175" s="726"/>
      <c r="AB175" s="726"/>
      <c r="AC175" s="726"/>
      <c r="AD175" s="726"/>
      <c r="AE175" s="726"/>
      <c r="AF175" s="726"/>
      <c r="AG175" s="726"/>
      <c r="AH175" s="726"/>
      <c r="AI175" s="726"/>
      <c r="AJ175" s="726"/>
      <c r="AK175" s="726"/>
      <c r="AL175" s="726"/>
      <c r="AM175" s="726"/>
      <c r="AN175" s="726"/>
      <c r="AO175" s="726"/>
      <c r="AP175" s="726"/>
      <c r="AQ175" s="726"/>
      <c r="AR175" s="726"/>
      <c r="AS175" s="726"/>
      <c r="AT175" s="726"/>
      <c r="AU175" s="726"/>
      <c r="AV175" s="726"/>
      <c r="AW175" s="726"/>
      <c r="AX175" s="726"/>
      <c r="AY175" s="726"/>
      <c r="AZ175" s="726"/>
      <c r="BA175" s="726"/>
      <c r="BB175" s="726"/>
      <c r="BC175" s="726"/>
      <c r="BD175" s="726"/>
      <c r="BE175" s="726"/>
      <c r="BF175" s="726"/>
      <c r="BG175" s="726"/>
      <c r="BH175" s="726"/>
      <c r="BI175" s="726"/>
      <c r="BJ175" s="726"/>
      <c r="BK175" s="726"/>
      <c r="BL175" s="726"/>
      <c r="BM175" s="726"/>
      <c r="BN175" s="726"/>
      <c r="BO175" s="726"/>
      <c r="BP175" s="726"/>
      <c r="BQ175" s="726"/>
      <c r="BR175" s="726"/>
      <c r="BS175" s="726"/>
    </row>
    <row r="176" spans="1:71" s="563" customFormat="1">
      <c r="A176" s="614"/>
      <c r="E176" s="565"/>
      <c r="F176" s="565"/>
      <c r="Q176" s="726"/>
      <c r="R176" s="726"/>
      <c r="S176" s="726"/>
      <c r="T176" s="726"/>
      <c r="U176" s="726"/>
      <c r="V176" s="726"/>
      <c r="W176" s="726"/>
      <c r="X176" s="726"/>
      <c r="Y176" s="726"/>
      <c r="Z176" s="726"/>
      <c r="AA176" s="726"/>
      <c r="AB176" s="726"/>
      <c r="AC176" s="726"/>
      <c r="AD176" s="726"/>
      <c r="AE176" s="726"/>
      <c r="AF176" s="726"/>
      <c r="AG176" s="726"/>
      <c r="AH176" s="726"/>
      <c r="AI176" s="726"/>
      <c r="AJ176" s="726"/>
      <c r="AK176" s="726"/>
      <c r="AL176" s="726"/>
      <c r="AM176" s="726"/>
      <c r="AN176" s="726"/>
      <c r="AO176" s="726"/>
      <c r="AP176" s="726"/>
      <c r="AQ176" s="726"/>
      <c r="AR176" s="726"/>
      <c r="AS176" s="726"/>
      <c r="AT176" s="726"/>
      <c r="AU176" s="726"/>
      <c r="AV176" s="726"/>
      <c r="AW176" s="726"/>
      <c r="AX176" s="726"/>
      <c r="AY176" s="726"/>
      <c r="AZ176" s="726"/>
      <c r="BA176" s="726"/>
      <c r="BB176" s="726"/>
      <c r="BC176" s="726"/>
      <c r="BD176" s="726"/>
      <c r="BE176" s="726"/>
      <c r="BF176" s="726"/>
      <c r="BG176" s="726"/>
      <c r="BH176" s="726"/>
      <c r="BI176" s="726"/>
      <c r="BJ176" s="726"/>
      <c r="BK176" s="726"/>
      <c r="BL176" s="726"/>
      <c r="BM176" s="726"/>
      <c r="BN176" s="726"/>
      <c r="BO176" s="726"/>
      <c r="BP176" s="726"/>
      <c r="BQ176" s="726"/>
      <c r="BR176" s="726"/>
      <c r="BS176" s="726"/>
    </row>
    <row r="177" spans="1:71" s="563" customFormat="1">
      <c r="A177" s="614"/>
      <c r="E177" s="565"/>
      <c r="F177" s="565"/>
      <c r="Q177" s="726"/>
      <c r="R177" s="726"/>
      <c r="S177" s="726"/>
      <c r="T177" s="726"/>
      <c r="U177" s="726"/>
      <c r="V177" s="726"/>
      <c r="W177" s="726"/>
      <c r="X177" s="726"/>
      <c r="Y177" s="726"/>
      <c r="Z177" s="726"/>
      <c r="AA177" s="726"/>
      <c r="AB177" s="726"/>
      <c r="AC177" s="726"/>
      <c r="AD177" s="726"/>
      <c r="AE177" s="726"/>
      <c r="AF177" s="726"/>
      <c r="AG177" s="726"/>
      <c r="AH177" s="726"/>
      <c r="AI177" s="726"/>
      <c r="AJ177" s="726"/>
      <c r="AK177" s="726"/>
      <c r="AL177" s="726"/>
      <c r="AM177" s="726"/>
      <c r="AN177" s="726"/>
      <c r="AO177" s="726"/>
      <c r="AP177" s="726"/>
      <c r="AQ177" s="726"/>
      <c r="AR177" s="726"/>
      <c r="AS177" s="726"/>
      <c r="AT177" s="726"/>
      <c r="AU177" s="726"/>
      <c r="AV177" s="726"/>
      <c r="AW177" s="726"/>
      <c r="AX177" s="726"/>
      <c r="AY177" s="726"/>
      <c r="AZ177" s="726"/>
      <c r="BA177" s="726"/>
      <c r="BB177" s="726"/>
      <c r="BC177" s="726"/>
      <c r="BD177" s="726"/>
      <c r="BE177" s="726"/>
      <c r="BF177" s="726"/>
      <c r="BG177" s="726"/>
      <c r="BH177" s="726"/>
      <c r="BI177" s="726"/>
      <c r="BJ177" s="726"/>
      <c r="BK177" s="726"/>
      <c r="BL177" s="726"/>
      <c r="BM177" s="726"/>
      <c r="BN177" s="726"/>
      <c r="BO177" s="726"/>
      <c r="BP177" s="726"/>
      <c r="BQ177" s="726"/>
      <c r="BR177" s="726"/>
      <c r="BS177" s="726"/>
    </row>
    <row r="178" spans="1:71" s="563" customFormat="1">
      <c r="A178" s="614"/>
      <c r="E178" s="565"/>
      <c r="F178" s="565"/>
      <c r="Q178" s="726"/>
      <c r="R178" s="726"/>
      <c r="S178" s="726"/>
      <c r="T178" s="726"/>
      <c r="U178" s="726"/>
      <c r="V178" s="726"/>
      <c r="W178" s="726"/>
      <c r="X178" s="726"/>
      <c r="Y178" s="726"/>
      <c r="Z178" s="726"/>
      <c r="AA178" s="726"/>
      <c r="AB178" s="726"/>
      <c r="AC178" s="726"/>
      <c r="AD178" s="726"/>
      <c r="AE178" s="726"/>
      <c r="AF178" s="726"/>
      <c r="AG178" s="726"/>
      <c r="AH178" s="726"/>
      <c r="AI178" s="726"/>
      <c r="AJ178" s="726"/>
      <c r="AK178" s="726"/>
      <c r="AL178" s="726"/>
      <c r="AM178" s="726"/>
      <c r="AN178" s="726"/>
      <c r="AO178" s="726"/>
      <c r="AP178" s="726"/>
      <c r="AQ178" s="726"/>
      <c r="AR178" s="726"/>
      <c r="AS178" s="726"/>
      <c r="AT178" s="726"/>
      <c r="AU178" s="726"/>
      <c r="AV178" s="726"/>
      <c r="AW178" s="726"/>
      <c r="AX178" s="726"/>
      <c r="AY178" s="726"/>
      <c r="AZ178" s="726"/>
      <c r="BA178" s="726"/>
      <c r="BB178" s="726"/>
      <c r="BC178" s="726"/>
      <c r="BD178" s="726"/>
      <c r="BE178" s="726"/>
      <c r="BF178" s="726"/>
      <c r="BG178" s="726"/>
      <c r="BH178" s="726"/>
      <c r="BI178" s="726"/>
      <c r="BJ178" s="726"/>
      <c r="BK178" s="726"/>
      <c r="BL178" s="726"/>
      <c r="BM178" s="726"/>
      <c r="BN178" s="726"/>
      <c r="BO178" s="726"/>
      <c r="BP178" s="726"/>
      <c r="BQ178" s="726"/>
      <c r="BR178" s="726"/>
      <c r="BS178" s="726"/>
    </row>
    <row r="179" spans="1:71" s="563" customFormat="1">
      <c r="A179" s="614"/>
      <c r="E179" s="565"/>
      <c r="F179" s="565"/>
      <c r="Q179" s="726"/>
      <c r="R179" s="726"/>
      <c r="S179" s="726"/>
      <c r="T179" s="726"/>
      <c r="U179" s="726"/>
      <c r="V179" s="726"/>
      <c r="W179" s="726"/>
      <c r="X179" s="726"/>
      <c r="Y179" s="726"/>
      <c r="Z179" s="726"/>
      <c r="AA179" s="726"/>
      <c r="AB179" s="726"/>
      <c r="AC179" s="726"/>
      <c r="AD179" s="726"/>
      <c r="AE179" s="726"/>
      <c r="AF179" s="726"/>
      <c r="AG179" s="726"/>
      <c r="AH179" s="726"/>
      <c r="AI179" s="726"/>
      <c r="AJ179" s="726"/>
      <c r="AK179" s="726"/>
      <c r="AL179" s="726"/>
      <c r="AM179" s="726"/>
      <c r="AN179" s="726"/>
      <c r="AO179" s="726"/>
      <c r="AP179" s="726"/>
      <c r="AQ179" s="726"/>
      <c r="AR179" s="726"/>
      <c r="AS179" s="726"/>
      <c r="AT179" s="726"/>
      <c r="AU179" s="726"/>
      <c r="AV179" s="726"/>
      <c r="AW179" s="726"/>
      <c r="AX179" s="726"/>
      <c r="AY179" s="726"/>
      <c r="AZ179" s="726"/>
      <c r="BA179" s="726"/>
      <c r="BB179" s="726"/>
      <c r="BC179" s="726"/>
      <c r="BD179" s="726"/>
      <c r="BE179" s="726"/>
      <c r="BF179" s="726"/>
      <c r="BG179" s="726"/>
      <c r="BH179" s="726"/>
      <c r="BI179" s="726"/>
      <c r="BJ179" s="726"/>
      <c r="BK179" s="726"/>
      <c r="BL179" s="726"/>
      <c r="BM179" s="726"/>
      <c r="BN179" s="726"/>
      <c r="BO179" s="726"/>
      <c r="BP179" s="726"/>
      <c r="BQ179" s="726"/>
      <c r="BR179" s="726"/>
      <c r="BS179" s="726"/>
    </row>
    <row r="180" spans="1:71" s="563" customFormat="1">
      <c r="A180" s="614"/>
      <c r="E180" s="565"/>
      <c r="F180" s="565"/>
      <c r="Q180" s="726"/>
      <c r="R180" s="726"/>
      <c r="S180" s="726"/>
      <c r="T180" s="726"/>
      <c r="U180" s="726"/>
      <c r="V180" s="726"/>
      <c r="W180" s="726"/>
      <c r="X180" s="726"/>
      <c r="Y180" s="726"/>
      <c r="Z180" s="726"/>
      <c r="AA180" s="726"/>
      <c r="AB180" s="726"/>
      <c r="AC180" s="726"/>
      <c r="AD180" s="726"/>
      <c r="AE180" s="726"/>
      <c r="AF180" s="726"/>
      <c r="AG180" s="726"/>
      <c r="AH180" s="726"/>
      <c r="AI180" s="726"/>
      <c r="AJ180" s="726"/>
      <c r="AK180" s="726"/>
      <c r="AL180" s="726"/>
      <c r="AM180" s="726"/>
      <c r="AN180" s="726"/>
      <c r="AO180" s="726"/>
      <c r="AP180" s="726"/>
      <c r="AQ180" s="726"/>
      <c r="AR180" s="726"/>
      <c r="AS180" s="726"/>
      <c r="AT180" s="726"/>
      <c r="AU180" s="726"/>
      <c r="AV180" s="726"/>
      <c r="AW180" s="726"/>
      <c r="AX180" s="726"/>
      <c r="AY180" s="726"/>
      <c r="AZ180" s="726"/>
      <c r="BA180" s="726"/>
      <c r="BB180" s="726"/>
      <c r="BC180" s="726"/>
      <c r="BD180" s="726"/>
      <c r="BE180" s="726"/>
      <c r="BF180" s="726"/>
      <c r="BG180" s="726"/>
      <c r="BH180" s="726"/>
      <c r="BI180" s="726"/>
      <c r="BJ180" s="726"/>
      <c r="BK180" s="726"/>
      <c r="BL180" s="726"/>
      <c r="BM180" s="726"/>
      <c r="BN180" s="726"/>
      <c r="BO180" s="726"/>
      <c r="BP180" s="726"/>
      <c r="BQ180" s="726"/>
      <c r="BR180" s="726"/>
      <c r="BS180" s="726"/>
    </row>
    <row r="181" spans="1:71" s="563" customFormat="1">
      <c r="A181" s="614"/>
      <c r="E181" s="565"/>
      <c r="F181" s="565"/>
      <c r="Q181" s="726"/>
      <c r="R181" s="726"/>
      <c r="S181" s="726"/>
      <c r="T181" s="726"/>
      <c r="U181" s="726"/>
      <c r="V181" s="726"/>
      <c r="W181" s="726"/>
      <c r="X181" s="726"/>
      <c r="Y181" s="726"/>
      <c r="Z181" s="726"/>
      <c r="AA181" s="726"/>
      <c r="AB181" s="726"/>
      <c r="AC181" s="726"/>
      <c r="AD181" s="726"/>
      <c r="AE181" s="726"/>
      <c r="AF181" s="726"/>
      <c r="AG181" s="726"/>
      <c r="AH181" s="726"/>
      <c r="AI181" s="726"/>
      <c r="AJ181" s="726"/>
      <c r="AK181" s="726"/>
      <c r="AL181" s="726"/>
      <c r="AM181" s="726"/>
      <c r="AN181" s="726"/>
      <c r="AO181" s="726"/>
      <c r="AP181" s="726"/>
      <c r="AQ181" s="726"/>
      <c r="AR181" s="726"/>
      <c r="AS181" s="726"/>
      <c r="AT181" s="726"/>
      <c r="AU181" s="726"/>
      <c r="AV181" s="726"/>
      <c r="AW181" s="726"/>
      <c r="AX181" s="726"/>
      <c r="AY181" s="726"/>
      <c r="AZ181" s="726"/>
      <c r="BA181" s="726"/>
      <c r="BB181" s="726"/>
      <c r="BC181" s="726"/>
      <c r="BD181" s="726"/>
      <c r="BE181" s="726"/>
      <c r="BF181" s="726"/>
      <c r="BG181" s="726"/>
      <c r="BH181" s="726"/>
      <c r="BI181" s="726"/>
      <c r="BJ181" s="726"/>
      <c r="BK181" s="726"/>
      <c r="BL181" s="726"/>
      <c r="BM181" s="726"/>
      <c r="BN181" s="726"/>
      <c r="BO181" s="726"/>
      <c r="BP181" s="726"/>
      <c r="BQ181" s="726"/>
      <c r="BR181" s="726"/>
      <c r="BS181" s="726"/>
    </row>
    <row r="182" spans="1:71" s="563" customFormat="1">
      <c r="A182" s="614"/>
      <c r="E182" s="565"/>
      <c r="F182" s="565"/>
      <c r="Q182" s="726"/>
      <c r="R182" s="726"/>
      <c r="S182" s="726"/>
      <c r="T182" s="726"/>
      <c r="U182" s="726"/>
      <c r="V182" s="726"/>
      <c r="W182" s="726"/>
      <c r="X182" s="726"/>
      <c r="Y182" s="726"/>
      <c r="Z182" s="726"/>
      <c r="AA182" s="726"/>
      <c r="AB182" s="726"/>
      <c r="AC182" s="726"/>
      <c r="AD182" s="726"/>
      <c r="AE182" s="726"/>
      <c r="AF182" s="726"/>
      <c r="AG182" s="726"/>
      <c r="AH182" s="726"/>
      <c r="AI182" s="726"/>
      <c r="AJ182" s="726"/>
      <c r="AK182" s="726"/>
      <c r="AL182" s="726"/>
      <c r="AM182" s="726"/>
      <c r="AN182" s="726"/>
      <c r="AO182" s="726"/>
      <c r="AP182" s="726"/>
      <c r="AQ182" s="726"/>
      <c r="AR182" s="726"/>
      <c r="AS182" s="726"/>
      <c r="AT182" s="726"/>
      <c r="AU182" s="726"/>
      <c r="AV182" s="726"/>
      <c r="AW182" s="726"/>
      <c r="AX182" s="726"/>
      <c r="AY182" s="726"/>
      <c r="AZ182" s="726"/>
      <c r="BA182" s="726"/>
      <c r="BB182" s="726"/>
      <c r="BC182" s="726"/>
      <c r="BD182" s="726"/>
      <c r="BE182" s="726"/>
      <c r="BF182" s="726"/>
      <c r="BG182" s="726"/>
      <c r="BH182" s="726"/>
      <c r="BI182" s="726"/>
      <c r="BJ182" s="726"/>
      <c r="BK182" s="726"/>
      <c r="BL182" s="726"/>
      <c r="BM182" s="726"/>
      <c r="BN182" s="726"/>
      <c r="BO182" s="726"/>
      <c r="BP182" s="726"/>
      <c r="BQ182" s="726"/>
      <c r="BR182" s="726"/>
      <c r="BS182" s="726"/>
    </row>
    <row r="183" spans="1:71" s="563" customFormat="1">
      <c r="A183" s="614"/>
      <c r="E183" s="565"/>
      <c r="F183" s="565"/>
      <c r="Q183" s="726"/>
      <c r="R183" s="726"/>
      <c r="S183" s="726"/>
      <c r="T183" s="726"/>
      <c r="U183" s="726"/>
      <c r="V183" s="726"/>
      <c r="W183" s="726"/>
      <c r="X183" s="726"/>
      <c r="Y183" s="726"/>
      <c r="Z183" s="726"/>
      <c r="AA183" s="726"/>
      <c r="AB183" s="726"/>
      <c r="AC183" s="726"/>
      <c r="AD183" s="726"/>
      <c r="AE183" s="726"/>
      <c r="AF183" s="726"/>
      <c r="AG183" s="726"/>
      <c r="AH183" s="726"/>
      <c r="AI183" s="726"/>
      <c r="AJ183" s="726"/>
      <c r="AK183" s="726"/>
      <c r="AL183" s="726"/>
      <c r="AM183" s="726"/>
      <c r="AN183" s="726"/>
      <c r="AO183" s="726"/>
      <c r="AP183" s="726"/>
      <c r="AQ183" s="726"/>
      <c r="AR183" s="726"/>
      <c r="AS183" s="726"/>
      <c r="AT183" s="726"/>
      <c r="AU183" s="726"/>
      <c r="AV183" s="726"/>
      <c r="AW183" s="726"/>
      <c r="AX183" s="726"/>
      <c r="AY183" s="726"/>
      <c r="AZ183" s="726"/>
      <c r="BA183" s="726"/>
      <c r="BB183" s="726"/>
      <c r="BC183" s="726"/>
      <c r="BD183" s="726"/>
      <c r="BE183" s="726"/>
      <c r="BF183" s="726"/>
      <c r="BG183" s="726"/>
      <c r="BH183" s="726"/>
      <c r="BI183" s="726"/>
      <c r="BJ183" s="726"/>
      <c r="BK183" s="726"/>
      <c r="BL183" s="726"/>
      <c r="BM183" s="726"/>
      <c r="BN183" s="726"/>
      <c r="BO183" s="726"/>
      <c r="BP183" s="726"/>
      <c r="BQ183" s="726"/>
      <c r="BR183" s="726"/>
      <c r="BS183" s="726"/>
    </row>
    <row r="184" spans="1:71" s="563" customFormat="1">
      <c r="A184" s="614"/>
      <c r="E184" s="565"/>
      <c r="F184" s="565"/>
      <c r="Q184" s="726"/>
      <c r="R184" s="726"/>
      <c r="S184" s="726"/>
      <c r="T184" s="726"/>
      <c r="U184" s="726"/>
      <c r="V184" s="726"/>
      <c r="W184" s="726"/>
      <c r="X184" s="726"/>
      <c r="Y184" s="726"/>
      <c r="Z184" s="726"/>
      <c r="AA184" s="726"/>
      <c r="AB184" s="726"/>
      <c r="AC184" s="726"/>
      <c r="AD184" s="726"/>
      <c r="AE184" s="726"/>
      <c r="AF184" s="726"/>
      <c r="AG184" s="726"/>
      <c r="AH184" s="726"/>
      <c r="AI184" s="726"/>
      <c r="AJ184" s="726"/>
      <c r="AK184" s="726"/>
      <c r="AL184" s="726"/>
      <c r="AM184" s="726"/>
      <c r="AN184" s="726"/>
      <c r="AO184" s="726"/>
      <c r="AP184" s="726"/>
      <c r="AQ184" s="726"/>
      <c r="AR184" s="726"/>
      <c r="AS184" s="726"/>
      <c r="AT184" s="726"/>
      <c r="AU184" s="726"/>
      <c r="AV184" s="726"/>
      <c r="AW184" s="726"/>
      <c r="AX184" s="726"/>
      <c r="AY184" s="726"/>
      <c r="AZ184" s="726"/>
      <c r="BA184" s="726"/>
      <c r="BB184" s="726"/>
      <c r="BC184" s="726"/>
      <c r="BD184" s="726"/>
      <c r="BE184" s="726"/>
      <c r="BF184" s="726"/>
      <c r="BG184" s="726"/>
      <c r="BH184" s="726"/>
      <c r="BI184" s="726"/>
      <c r="BJ184" s="726"/>
      <c r="BK184" s="726"/>
      <c r="BL184" s="726"/>
      <c r="BM184" s="726"/>
      <c r="BN184" s="726"/>
      <c r="BO184" s="726"/>
      <c r="BP184" s="726"/>
      <c r="BQ184" s="726"/>
      <c r="BR184" s="726"/>
      <c r="BS184" s="726"/>
    </row>
    <row r="185" spans="1:71" s="563" customFormat="1">
      <c r="A185" s="614"/>
      <c r="E185" s="565"/>
      <c r="F185" s="565"/>
      <c r="Q185" s="726"/>
      <c r="R185" s="726"/>
      <c r="S185" s="726"/>
      <c r="T185" s="726"/>
      <c r="U185" s="726"/>
      <c r="V185" s="726"/>
      <c r="W185" s="726"/>
      <c r="X185" s="726"/>
      <c r="Y185" s="726"/>
      <c r="Z185" s="726"/>
      <c r="AA185" s="726"/>
      <c r="AB185" s="726"/>
      <c r="AC185" s="726"/>
      <c r="AD185" s="726"/>
      <c r="AE185" s="726"/>
      <c r="AF185" s="726"/>
      <c r="AG185" s="726"/>
      <c r="AH185" s="726"/>
      <c r="AI185" s="726"/>
      <c r="AJ185" s="726"/>
      <c r="AK185" s="726"/>
      <c r="AL185" s="726"/>
      <c r="AM185" s="726"/>
      <c r="AN185" s="726"/>
      <c r="AO185" s="726"/>
      <c r="AP185" s="726"/>
      <c r="AQ185" s="726"/>
      <c r="AR185" s="726"/>
      <c r="AS185" s="726"/>
      <c r="AT185" s="726"/>
      <c r="AU185" s="726"/>
      <c r="AV185" s="726"/>
      <c r="AW185" s="726"/>
      <c r="AX185" s="726"/>
      <c r="AY185" s="726"/>
      <c r="AZ185" s="726"/>
      <c r="BA185" s="726"/>
      <c r="BB185" s="726"/>
      <c r="BC185" s="726"/>
      <c r="BD185" s="726"/>
      <c r="BE185" s="726"/>
      <c r="BF185" s="726"/>
      <c r="BG185" s="726"/>
      <c r="BH185" s="726"/>
      <c r="BI185" s="726"/>
      <c r="BJ185" s="726"/>
      <c r="BK185" s="726"/>
      <c r="BL185" s="726"/>
      <c r="BM185" s="726"/>
      <c r="BN185" s="726"/>
      <c r="BO185" s="726"/>
      <c r="BP185" s="726"/>
      <c r="BQ185" s="726"/>
      <c r="BR185" s="726"/>
      <c r="BS185" s="726"/>
    </row>
    <row r="186" spans="1:71" s="563" customFormat="1">
      <c r="A186" s="614"/>
      <c r="E186" s="565"/>
      <c r="F186" s="565"/>
      <c r="Q186" s="726"/>
      <c r="R186" s="726"/>
      <c r="S186" s="726"/>
      <c r="T186" s="726"/>
      <c r="U186" s="726"/>
      <c r="V186" s="726"/>
      <c r="W186" s="726"/>
      <c r="X186" s="726"/>
      <c r="Y186" s="726"/>
      <c r="Z186" s="726"/>
      <c r="AA186" s="726"/>
      <c r="AB186" s="726"/>
      <c r="AC186" s="726"/>
      <c r="AD186" s="726"/>
      <c r="AE186" s="726"/>
      <c r="AF186" s="726"/>
      <c r="AG186" s="726"/>
      <c r="AH186" s="726"/>
      <c r="AI186" s="726"/>
      <c r="AJ186" s="726"/>
      <c r="AK186" s="726"/>
      <c r="AL186" s="726"/>
      <c r="AM186" s="726"/>
      <c r="AN186" s="726"/>
      <c r="AO186" s="726"/>
      <c r="AP186" s="726"/>
      <c r="AQ186" s="726"/>
      <c r="AR186" s="726"/>
      <c r="AS186" s="726"/>
      <c r="AT186" s="726"/>
      <c r="AU186" s="726"/>
      <c r="AV186" s="726"/>
      <c r="AW186" s="726"/>
      <c r="AX186" s="726"/>
      <c r="AY186" s="726"/>
      <c r="AZ186" s="726"/>
      <c r="BA186" s="726"/>
      <c r="BB186" s="726"/>
      <c r="BC186" s="726"/>
      <c r="BD186" s="726"/>
      <c r="BE186" s="726"/>
      <c r="BF186" s="726"/>
      <c r="BG186" s="726"/>
      <c r="BH186" s="726"/>
      <c r="BI186" s="726"/>
      <c r="BJ186" s="726"/>
      <c r="BK186" s="726"/>
      <c r="BL186" s="726"/>
      <c r="BM186" s="726"/>
      <c r="BN186" s="726"/>
      <c r="BO186" s="726"/>
      <c r="BP186" s="726"/>
      <c r="BQ186" s="726"/>
      <c r="BR186" s="726"/>
      <c r="BS186" s="726"/>
    </row>
    <row r="187" spans="1:71" s="563" customFormat="1">
      <c r="A187" s="614"/>
      <c r="E187" s="565"/>
      <c r="F187" s="565"/>
      <c r="Q187" s="726"/>
      <c r="R187" s="726"/>
      <c r="S187" s="726"/>
      <c r="T187" s="726"/>
      <c r="U187" s="726"/>
      <c r="V187" s="726"/>
      <c r="W187" s="726"/>
      <c r="X187" s="726"/>
      <c r="Y187" s="726"/>
      <c r="Z187" s="726"/>
      <c r="AA187" s="726"/>
      <c r="AB187" s="726"/>
      <c r="AC187" s="726"/>
      <c r="AD187" s="726"/>
      <c r="AE187" s="726"/>
      <c r="AF187" s="726"/>
      <c r="AG187" s="726"/>
      <c r="AH187" s="726"/>
      <c r="AI187" s="726"/>
      <c r="AJ187" s="726"/>
      <c r="AK187" s="726"/>
      <c r="AL187" s="726"/>
      <c r="AM187" s="726"/>
      <c r="AN187" s="726"/>
      <c r="AO187" s="726"/>
      <c r="AP187" s="726"/>
      <c r="AQ187" s="726"/>
      <c r="AR187" s="726"/>
      <c r="AS187" s="726"/>
      <c r="AT187" s="726"/>
      <c r="AU187" s="726"/>
      <c r="AV187" s="726"/>
      <c r="AW187" s="726"/>
      <c r="AX187" s="726"/>
      <c r="AY187" s="726"/>
      <c r="AZ187" s="726"/>
      <c r="BA187" s="726"/>
      <c r="BB187" s="726"/>
      <c r="BC187" s="726"/>
      <c r="BD187" s="726"/>
      <c r="BE187" s="726"/>
      <c r="BF187" s="726"/>
      <c r="BG187" s="726"/>
      <c r="BH187" s="726"/>
      <c r="BI187" s="726"/>
      <c r="BJ187" s="726"/>
      <c r="BK187" s="726"/>
      <c r="BL187" s="726"/>
      <c r="BM187" s="726"/>
      <c r="BN187" s="726"/>
      <c r="BO187" s="726"/>
      <c r="BP187" s="726"/>
      <c r="BQ187" s="726"/>
      <c r="BR187" s="726"/>
      <c r="BS187" s="726"/>
    </row>
    <row r="188" spans="1:71" s="563" customFormat="1">
      <c r="A188" s="614"/>
      <c r="E188" s="565"/>
      <c r="F188" s="565"/>
      <c r="Q188" s="726"/>
      <c r="R188" s="726"/>
      <c r="S188" s="726"/>
      <c r="T188" s="726"/>
      <c r="U188" s="726"/>
      <c r="V188" s="726"/>
      <c r="W188" s="726"/>
      <c r="X188" s="726"/>
      <c r="Y188" s="726"/>
      <c r="Z188" s="726"/>
      <c r="AA188" s="726"/>
      <c r="AB188" s="726"/>
      <c r="AC188" s="726"/>
      <c r="AD188" s="726"/>
      <c r="AE188" s="726"/>
      <c r="AF188" s="726"/>
      <c r="AG188" s="726"/>
      <c r="AH188" s="726"/>
      <c r="AI188" s="726"/>
      <c r="AJ188" s="726"/>
      <c r="AK188" s="726"/>
      <c r="AL188" s="726"/>
      <c r="AM188" s="726"/>
      <c r="AN188" s="726"/>
      <c r="AO188" s="726"/>
      <c r="AP188" s="726"/>
      <c r="AQ188" s="726"/>
      <c r="AR188" s="726"/>
      <c r="AS188" s="726"/>
      <c r="AT188" s="726"/>
      <c r="AU188" s="726"/>
      <c r="AV188" s="726"/>
      <c r="AW188" s="726"/>
      <c r="AX188" s="726"/>
      <c r="AY188" s="726"/>
      <c r="AZ188" s="726"/>
      <c r="BA188" s="726"/>
      <c r="BB188" s="726"/>
      <c r="BC188" s="726"/>
      <c r="BD188" s="726"/>
      <c r="BE188" s="726"/>
      <c r="BF188" s="726"/>
      <c r="BG188" s="726"/>
      <c r="BH188" s="726"/>
      <c r="BI188" s="726"/>
      <c r="BJ188" s="726"/>
      <c r="BK188" s="726"/>
      <c r="BL188" s="726"/>
      <c r="BM188" s="726"/>
      <c r="BN188" s="726"/>
      <c r="BO188" s="726"/>
      <c r="BP188" s="726"/>
      <c r="BQ188" s="726"/>
      <c r="BR188" s="726"/>
      <c r="BS188" s="726"/>
    </row>
    <row r="189" spans="1:71" s="563" customFormat="1">
      <c r="A189" s="614"/>
      <c r="E189" s="565"/>
      <c r="F189" s="565"/>
      <c r="Q189" s="726"/>
      <c r="R189" s="726"/>
      <c r="S189" s="726"/>
      <c r="T189" s="726"/>
      <c r="U189" s="726"/>
      <c r="V189" s="726"/>
      <c r="W189" s="726"/>
      <c r="X189" s="726"/>
      <c r="Y189" s="726"/>
      <c r="Z189" s="726"/>
      <c r="AA189" s="726"/>
      <c r="AB189" s="726"/>
      <c r="AC189" s="726"/>
      <c r="AD189" s="726"/>
      <c r="AE189" s="726"/>
      <c r="AF189" s="726"/>
      <c r="AG189" s="726"/>
      <c r="AH189" s="726"/>
      <c r="AI189" s="726"/>
      <c r="AJ189" s="726"/>
      <c r="AK189" s="726"/>
      <c r="AL189" s="726"/>
      <c r="AM189" s="726"/>
      <c r="AN189" s="726"/>
      <c r="AO189" s="726"/>
      <c r="AP189" s="726"/>
      <c r="AQ189" s="726"/>
      <c r="AR189" s="726"/>
      <c r="AS189" s="726"/>
      <c r="AT189" s="726"/>
      <c r="AU189" s="726"/>
      <c r="AV189" s="726"/>
      <c r="AW189" s="726"/>
      <c r="AX189" s="726"/>
      <c r="AY189" s="726"/>
      <c r="AZ189" s="726"/>
      <c r="BA189" s="726"/>
      <c r="BB189" s="726"/>
      <c r="BC189" s="726"/>
      <c r="BD189" s="726"/>
      <c r="BE189" s="726"/>
      <c r="BF189" s="726"/>
      <c r="BG189" s="726"/>
      <c r="BH189" s="726"/>
      <c r="BI189" s="726"/>
      <c r="BJ189" s="726"/>
      <c r="BK189" s="726"/>
      <c r="BL189" s="726"/>
      <c r="BM189" s="726"/>
      <c r="BN189" s="726"/>
      <c r="BO189" s="726"/>
      <c r="BP189" s="726"/>
      <c r="BQ189" s="726"/>
      <c r="BR189" s="726"/>
      <c r="BS189" s="726"/>
    </row>
    <row r="190" spans="1:71" s="563" customFormat="1">
      <c r="A190" s="614"/>
      <c r="E190" s="565"/>
      <c r="F190" s="565"/>
      <c r="Q190" s="726"/>
      <c r="R190" s="726"/>
      <c r="S190" s="726"/>
      <c r="T190" s="726"/>
      <c r="U190" s="726"/>
      <c r="V190" s="726"/>
      <c r="W190" s="726"/>
      <c r="X190" s="726"/>
      <c r="Y190" s="726"/>
      <c r="Z190" s="726"/>
      <c r="AA190" s="726"/>
      <c r="AB190" s="726"/>
      <c r="AC190" s="726"/>
      <c r="AD190" s="726"/>
      <c r="AE190" s="726"/>
      <c r="AF190" s="726"/>
      <c r="AG190" s="726"/>
      <c r="AH190" s="726"/>
      <c r="AI190" s="726"/>
      <c r="AJ190" s="726"/>
      <c r="AK190" s="726"/>
      <c r="AL190" s="726"/>
      <c r="AM190" s="726"/>
      <c r="AN190" s="726"/>
      <c r="AO190" s="726"/>
      <c r="AP190" s="726"/>
      <c r="AQ190" s="726"/>
      <c r="AR190" s="726"/>
      <c r="AS190" s="726"/>
      <c r="AT190" s="726"/>
      <c r="AU190" s="726"/>
      <c r="AV190" s="726"/>
      <c r="AW190" s="726"/>
      <c r="AX190" s="726"/>
      <c r="AY190" s="726"/>
      <c r="AZ190" s="726"/>
      <c r="BA190" s="726"/>
      <c r="BB190" s="726"/>
      <c r="BC190" s="726"/>
      <c r="BD190" s="726"/>
      <c r="BE190" s="726"/>
      <c r="BF190" s="726"/>
      <c r="BG190" s="726"/>
      <c r="BH190" s="726"/>
      <c r="BI190" s="726"/>
      <c r="BJ190" s="726"/>
      <c r="BK190" s="726"/>
      <c r="BL190" s="726"/>
      <c r="BM190" s="726"/>
      <c r="BN190" s="726"/>
      <c r="BO190" s="726"/>
      <c r="BP190" s="726"/>
      <c r="BQ190" s="726"/>
      <c r="BR190" s="726"/>
      <c r="BS190" s="726"/>
    </row>
    <row r="191" spans="1:71" s="563" customFormat="1">
      <c r="A191" s="614"/>
      <c r="E191" s="565"/>
      <c r="F191" s="565"/>
      <c r="Q191" s="726"/>
      <c r="R191" s="726"/>
      <c r="S191" s="726"/>
      <c r="T191" s="726"/>
      <c r="U191" s="726"/>
      <c r="V191" s="726"/>
      <c r="W191" s="726"/>
      <c r="X191" s="726"/>
      <c r="Y191" s="726"/>
      <c r="Z191" s="726"/>
      <c r="AA191" s="726"/>
      <c r="AB191" s="726"/>
      <c r="AC191" s="726"/>
      <c r="AD191" s="726"/>
      <c r="AE191" s="726"/>
      <c r="AF191" s="726"/>
      <c r="AG191" s="726"/>
      <c r="AH191" s="726"/>
      <c r="AI191" s="726"/>
      <c r="AJ191" s="726"/>
      <c r="AK191" s="726"/>
      <c r="AL191" s="726"/>
      <c r="AM191" s="726"/>
      <c r="AN191" s="726"/>
      <c r="AO191" s="726"/>
      <c r="AP191" s="726"/>
      <c r="AQ191" s="726"/>
      <c r="AR191" s="726"/>
      <c r="AS191" s="726"/>
      <c r="AT191" s="726"/>
      <c r="AU191" s="726"/>
      <c r="AV191" s="726"/>
      <c r="AW191" s="726"/>
      <c r="AX191" s="726"/>
      <c r="AY191" s="726"/>
      <c r="AZ191" s="726"/>
      <c r="BA191" s="726"/>
      <c r="BB191" s="726"/>
      <c r="BC191" s="726"/>
      <c r="BD191" s="726"/>
      <c r="BE191" s="726"/>
      <c r="BF191" s="726"/>
      <c r="BG191" s="726"/>
      <c r="BH191" s="726"/>
      <c r="BI191" s="726"/>
      <c r="BJ191" s="726"/>
      <c r="BK191" s="726"/>
      <c r="BL191" s="726"/>
      <c r="BM191" s="726"/>
      <c r="BN191" s="726"/>
      <c r="BO191" s="726"/>
      <c r="BP191" s="726"/>
      <c r="BQ191" s="726"/>
      <c r="BR191" s="726"/>
      <c r="BS191" s="726"/>
    </row>
    <row r="192" spans="1:71" s="563" customFormat="1">
      <c r="A192" s="614"/>
      <c r="E192" s="565"/>
      <c r="F192" s="565"/>
      <c r="Q192" s="726"/>
      <c r="R192" s="726"/>
      <c r="S192" s="726"/>
      <c r="T192" s="726"/>
      <c r="U192" s="726"/>
      <c r="V192" s="726"/>
      <c r="W192" s="726"/>
      <c r="X192" s="726"/>
      <c r="Y192" s="726"/>
      <c r="Z192" s="726"/>
      <c r="AA192" s="726"/>
      <c r="AB192" s="726"/>
      <c r="AC192" s="726"/>
      <c r="AD192" s="726"/>
      <c r="AE192" s="726"/>
      <c r="AF192" s="726"/>
      <c r="AG192" s="726"/>
      <c r="AH192" s="726"/>
      <c r="AI192" s="726"/>
      <c r="AJ192" s="726"/>
      <c r="AK192" s="726"/>
      <c r="AL192" s="726"/>
      <c r="AM192" s="726"/>
      <c r="AN192" s="726"/>
      <c r="AO192" s="726"/>
      <c r="AP192" s="726"/>
      <c r="AQ192" s="726"/>
      <c r="AR192" s="726"/>
      <c r="AS192" s="726"/>
      <c r="AT192" s="726"/>
      <c r="AU192" s="726"/>
      <c r="AV192" s="726"/>
      <c r="AW192" s="726"/>
      <c r="AX192" s="726"/>
      <c r="AY192" s="726"/>
      <c r="AZ192" s="726"/>
      <c r="BA192" s="726"/>
      <c r="BB192" s="726"/>
      <c r="BC192" s="726"/>
      <c r="BD192" s="726"/>
      <c r="BE192" s="726"/>
      <c r="BF192" s="726"/>
      <c r="BG192" s="726"/>
      <c r="BH192" s="726"/>
      <c r="BI192" s="726"/>
      <c r="BJ192" s="726"/>
      <c r="BK192" s="726"/>
      <c r="BL192" s="726"/>
      <c r="BM192" s="726"/>
      <c r="BN192" s="726"/>
      <c r="BO192" s="726"/>
      <c r="BP192" s="726"/>
      <c r="BQ192" s="726"/>
      <c r="BR192" s="726"/>
      <c r="BS192" s="726"/>
    </row>
    <row r="193" spans="1:71" s="563" customFormat="1">
      <c r="A193" s="614"/>
      <c r="E193" s="565"/>
      <c r="F193" s="565"/>
      <c r="Q193" s="726"/>
      <c r="R193" s="726"/>
      <c r="S193" s="726"/>
      <c r="T193" s="726"/>
      <c r="U193" s="726"/>
      <c r="V193" s="726"/>
      <c r="W193" s="726"/>
      <c r="X193" s="726"/>
      <c r="Y193" s="726"/>
      <c r="Z193" s="726"/>
      <c r="AA193" s="726"/>
      <c r="AB193" s="726"/>
      <c r="AC193" s="726"/>
      <c r="AD193" s="726"/>
      <c r="AE193" s="726"/>
      <c r="AF193" s="726"/>
      <c r="AG193" s="726"/>
      <c r="AH193" s="726"/>
      <c r="AI193" s="726"/>
      <c r="AJ193" s="726"/>
      <c r="AK193" s="726"/>
      <c r="AL193" s="726"/>
      <c r="AM193" s="726"/>
      <c r="AN193" s="726"/>
      <c r="AO193" s="726"/>
      <c r="AP193" s="726"/>
      <c r="AQ193" s="726"/>
      <c r="AR193" s="726"/>
      <c r="AS193" s="726"/>
      <c r="AT193" s="726"/>
      <c r="AU193" s="726"/>
      <c r="AV193" s="726"/>
      <c r="AW193" s="726"/>
      <c r="AX193" s="726"/>
      <c r="AY193" s="726"/>
      <c r="AZ193" s="726"/>
      <c r="BA193" s="726"/>
      <c r="BB193" s="726"/>
      <c r="BC193" s="726"/>
      <c r="BD193" s="726"/>
      <c r="BE193" s="726"/>
      <c r="BF193" s="726"/>
      <c r="BG193" s="726"/>
      <c r="BH193" s="726"/>
      <c r="BI193" s="726"/>
      <c r="BJ193" s="726"/>
      <c r="BK193" s="726"/>
      <c r="BL193" s="726"/>
      <c r="BM193" s="726"/>
      <c r="BN193" s="726"/>
      <c r="BO193" s="726"/>
      <c r="BP193" s="726"/>
      <c r="BQ193" s="726"/>
      <c r="BR193" s="726"/>
      <c r="BS193" s="726"/>
    </row>
    <row r="194" spans="1:71" s="563" customFormat="1">
      <c r="A194" s="614"/>
      <c r="E194" s="565"/>
      <c r="F194" s="565"/>
      <c r="Q194" s="726"/>
      <c r="R194" s="726"/>
      <c r="S194" s="726"/>
      <c r="T194" s="726"/>
      <c r="U194" s="726"/>
      <c r="V194" s="726"/>
      <c r="W194" s="726"/>
      <c r="X194" s="726"/>
      <c r="Y194" s="726"/>
      <c r="Z194" s="726"/>
      <c r="AA194" s="726"/>
      <c r="AB194" s="726"/>
      <c r="AC194" s="726"/>
      <c r="AD194" s="726"/>
      <c r="AE194" s="726"/>
      <c r="AF194" s="726"/>
      <c r="AG194" s="726"/>
      <c r="AH194" s="726"/>
      <c r="AI194" s="726"/>
      <c r="AJ194" s="726"/>
      <c r="AK194" s="726"/>
      <c r="AL194" s="726"/>
      <c r="AM194" s="726"/>
      <c r="AN194" s="726"/>
      <c r="AO194" s="726"/>
      <c r="AP194" s="726"/>
      <c r="AQ194" s="726"/>
      <c r="AR194" s="726"/>
      <c r="AS194" s="726"/>
      <c r="AT194" s="726"/>
      <c r="AU194" s="726"/>
      <c r="AV194" s="726"/>
      <c r="AW194" s="726"/>
      <c r="AX194" s="726"/>
      <c r="AY194" s="726"/>
      <c r="AZ194" s="726"/>
      <c r="BA194" s="726"/>
      <c r="BB194" s="726"/>
      <c r="BC194" s="726"/>
      <c r="BD194" s="726"/>
      <c r="BE194" s="726"/>
      <c r="BF194" s="726"/>
      <c r="BG194" s="726"/>
      <c r="BH194" s="726"/>
      <c r="BI194" s="726"/>
      <c r="BJ194" s="726"/>
      <c r="BK194" s="726"/>
      <c r="BL194" s="726"/>
      <c r="BM194" s="726"/>
      <c r="BN194" s="726"/>
      <c r="BO194" s="726"/>
      <c r="BP194" s="726"/>
      <c r="BQ194" s="726"/>
      <c r="BR194" s="726"/>
      <c r="BS194" s="726"/>
    </row>
    <row r="195" spans="1:71" s="563" customFormat="1">
      <c r="A195" s="614"/>
      <c r="E195" s="565"/>
      <c r="F195" s="565"/>
      <c r="Q195" s="726"/>
      <c r="R195" s="726"/>
      <c r="S195" s="726"/>
      <c r="T195" s="726"/>
      <c r="U195" s="726"/>
      <c r="V195" s="726"/>
      <c r="W195" s="726"/>
      <c r="X195" s="726"/>
      <c r="Y195" s="726"/>
      <c r="Z195" s="726"/>
      <c r="AA195" s="726"/>
      <c r="AB195" s="726"/>
      <c r="AC195" s="726"/>
      <c r="AD195" s="726"/>
      <c r="AE195" s="726"/>
      <c r="AF195" s="726"/>
      <c r="AG195" s="726"/>
      <c r="AH195" s="726"/>
      <c r="AI195" s="726"/>
      <c r="AJ195" s="726"/>
      <c r="AK195" s="726"/>
      <c r="AL195" s="726"/>
      <c r="AM195" s="726"/>
      <c r="AN195" s="726"/>
      <c r="AO195" s="726"/>
      <c r="AP195" s="726"/>
      <c r="AQ195" s="726"/>
      <c r="AR195" s="726"/>
      <c r="AS195" s="726"/>
      <c r="AT195" s="726"/>
      <c r="AU195" s="726"/>
      <c r="AV195" s="726"/>
      <c r="AW195" s="726"/>
      <c r="AX195" s="726"/>
      <c r="AY195" s="726"/>
      <c r="AZ195" s="726"/>
      <c r="BA195" s="726"/>
      <c r="BB195" s="726"/>
      <c r="BC195" s="726"/>
      <c r="BD195" s="726"/>
      <c r="BE195" s="726"/>
      <c r="BF195" s="726"/>
      <c r="BG195" s="726"/>
      <c r="BH195" s="726"/>
      <c r="BI195" s="726"/>
      <c r="BJ195" s="726"/>
      <c r="BK195" s="726"/>
      <c r="BL195" s="726"/>
      <c r="BM195" s="726"/>
      <c r="BN195" s="726"/>
      <c r="BO195" s="726"/>
      <c r="BP195" s="726"/>
      <c r="BQ195" s="726"/>
      <c r="BR195" s="726"/>
      <c r="BS195" s="726"/>
    </row>
    <row r="196" spans="1:71" s="563" customFormat="1">
      <c r="A196" s="614"/>
      <c r="E196" s="565"/>
      <c r="F196" s="565"/>
      <c r="Q196" s="726"/>
      <c r="R196" s="726"/>
      <c r="S196" s="726"/>
      <c r="T196" s="726"/>
      <c r="U196" s="726"/>
      <c r="V196" s="726"/>
      <c r="W196" s="726"/>
      <c r="X196" s="726"/>
      <c r="Y196" s="726"/>
      <c r="Z196" s="726"/>
      <c r="AA196" s="726"/>
      <c r="AB196" s="726"/>
      <c r="AC196" s="726"/>
      <c r="AD196" s="726"/>
      <c r="AE196" s="726"/>
      <c r="AF196" s="726"/>
      <c r="AG196" s="726"/>
      <c r="AH196" s="726"/>
      <c r="AI196" s="726"/>
      <c r="AJ196" s="726"/>
      <c r="AK196" s="726"/>
      <c r="AL196" s="726"/>
      <c r="AM196" s="726"/>
      <c r="AN196" s="726"/>
      <c r="AO196" s="726"/>
      <c r="AP196" s="726"/>
      <c r="AQ196" s="726"/>
      <c r="AR196" s="726"/>
      <c r="AS196" s="726"/>
      <c r="AT196" s="726"/>
      <c r="AU196" s="726"/>
      <c r="AV196" s="726"/>
      <c r="AW196" s="726"/>
      <c r="AX196" s="726"/>
      <c r="AY196" s="726"/>
      <c r="AZ196" s="726"/>
      <c r="BA196" s="726"/>
      <c r="BB196" s="726"/>
      <c r="BC196" s="726"/>
      <c r="BD196" s="726"/>
      <c r="BE196" s="726"/>
      <c r="BF196" s="726"/>
      <c r="BG196" s="726"/>
      <c r="BH196" s="726"/>
      <c r="BI196" s="726"/>
      <c r="BJ196" s="726"/>
      <c r="BK196" s="726"/>
      <c r="BL196" s="726"/>
      <c r="BM196" s="726"/>
      <c r="BN196" s="726"/>
      <c r="BO196" s="726"/>
      <c r="BP196" s="726"/>
      <c r="BQ196" s="726"/>
      <c r="BR196" s="726"/>
      <c r="BS196" s="726"/>
    </row>
    <row r="197" spans="1:71" s="563" customFormat="1">
      <c r="A197" s="614"/>
      <c r="E197" s="565"/>
      <c r="F197" s="565"/>
      <c r="Q197" s="726"/>
      <c r="R197" s="726"/>
      <c r="S197" s="726"/>
      <c r="T197" s="726"/>
      <c r="U197" s="726"/>
      <c r="V197" s="726"/>
      <c r="W197" s="726"/>
      <c r="X197" s="726"/>
      <c r="Y197" s="726"/>
      <c r="Z197" s="726"/>
      <c r="AA197" s="726"/>
      <c r="AB197" s="726"/>
      <c r="AC197" s="726"/>
      <c r="AD197" s="726"/>
      <c r="AE197" s="726"/>
      <c r="AF197" s="726"/>
      <c r="AG197" s="726"/>
      <c r="AH197" s="726"/>
      <c r="AI197" s="726"/>
      <c r="AJ197" s="726"/>
      <c r="AK197" s="726"/>
      <c r="AL197" s="726"/>
      <c r="AM197" s="726"/>
      <c r="AN197" s="726"/>
      <c r="AO197" s="726"/>
      <c r="AP197" s="726"/>
      <c r="AQ197" s="726"/>
      <c r="AR197" s="726"/>
      <c r="AS197" s="726"/>
      <c r="AT197" s="726"/>
      <c r="AU197" s="726"/>
      <c r="AV197" s="726"/>
      <c r="AW197" s="726"/>
      <c r="AX197" s="726"/>
      <c r="AY197" s="726"/>
      <c r="AZ197" s="726"/>
      <c r="BA197" s="726"/>
      <c r="BB197" s="726"/>
      <c r="BC197" s="726"/>
      <c r="BD197" s="726"/>
      <c r="BE197" s="726"/>
      <c r="BF197" s="726"/>
      <c r="BG197" s="726"/>
      <c r="BH197" s="726"/>
      <c r="BI197" s="726"/>
      <c r="BJ197" s="726"/>
      <c r="BK197" s="726"/>
      <c r="BL197" s="726"/>
      <c r="BM197" s="726"/>
      <c r="BN197" s="726"/>
      <c r="BO197" s="726"/>
      <c r="BP197" s="726"/>
      <c r="BQ197" s="726"/>
      <c r="BR197" s="726"/>
      <c r="BS197" s="726"/>
    </row>
    <row r="198" spans="1:71" s="563" customFormat="1">
      <c r="A198" s="614"/>
      <c r="E198" s="565"/>
      <c r="F198" s="565"/>
      <c r="Q198" s="726"/>
      <c r="R198" s="726"/>
      <c r="S198" s="726"/>
      <c r="T198" s="726"/>
      <c r="U198" s="726"/>
      <c r="V198" s="726"/>
      <c r="W198" s="726"/>
      <c r="X198" s="726"/>
      <c r="Y198" s="726"/>
      <c r="Z198" s="726"/>
      <c r="AA198" s="726"/>
      <c r="AB198" s="726"/>
      <c r="AC198" s="726"/>
      <c r="AD198" s="726"/>
      <c r="AE198" s="726"/>
      <c r="AF198" s="726"/>
      <c r="AG198" s="726"/>
      <c r="AH198" s="726"/>
      <c r="AI198" s="726"/>
      <c r="AJ198" s="726"/>
      <c r="AK198" s="726"/>
      <c r="AL198" s="726"/>
      <c r="AM198" s="726"/>
      <c r="AN198" s="726"/>
      <c r="AO198" s="726"/>
      <c r="AP198" s="726"/>
      <c r="AQ198" s="726"/>
      <c r="AR198" s="726"/>
      <c r="AS198" s="726"/>
      <c r="AT198" s="726"/>
      <c r="AU198" s="726"/>
      <c r="AV198" s="726"/>
      <c r="AW198" s="726"/>
      <c r="AX198" s="726"/>
      <c r="AY198" s="726"/>
      <c r="AZ198" s="726"/>
      <c r="BA198" s="726"/>
      <c r="BB198" s="726"/>
      <c r="BC198" s="726"/>
      <c r="BD198" s="726"/>
      <c r="BE198" s="726"/>
      <c r="BF198" s="726"/>
      <c r="BG198" s="726"/>
      <c r="BH198" s="726"/>
      <c r="BI198" s="726"/>
      <c r="BJ198" s="726"/>
      <c r="BK198" s="726"/>
      <c r="BL198" s="726"/>
      <c r="BM198" s="726"/>
      <c r="BN198" s="726"/>
      <c r="BO198" s="726"/>
      <c r="BP198" s="726"/>
      <c r="BQ198" s="726"/>
      <c r="BR198" s="726"/>
      <c r="BS198" s="726"/>
    </row>
    <row r="199" spans="1:71" s="563" customFormat="1">
      <c r="A199" s="614"/>
      <c r="E199" s="565"/>
      <c r="F199" s="565"/>
      <c r="Q199" s="726"/>
      <c r="R199" s="726"/>
      <c r="S199" s="726"/>
      <c r="T199" s="726"/>
      <c r="U199" s="726"/>
      <c r="V199" s="726"/>
      <c r="W199" s="726"/>
      <c r="X199" s="726"/>
      <c r="Y199" s="726"/>
      <c r="Z199" s="726"/>
      <c r="AA199" s="726"/>
      <c r="AB199" s="726"/>
      <c r="AC199" s="726"/>
      <c r="AD199" s="726"/>
      <c r="AE199" s="726"/>
      <c r="AF199" s="726"/>
      <c r="AG199" s="726"/>
      <c r="AH199" s="726"/>
      <c r="AI199" s="726"/>
      <c r="AJ199" s="726"/>
      <c r="AK199" s="726"/>
      <c r="AL199" s="726"/>
      <c r="AM199" s="726"/>
      <c r="AN199" s="726"/>
      <c r="AO199" s="726"/>
      <c r="AP199" s="726"/>
      <c r="AQ199" s="726"/>
      <c r="AR199" s="726"/>
      <c r="AS199" s="726"/>
      <c r="AT199" s="726"/>
      <c r="AU199" s="726"/>
      <c r="AV199" s="726"/>
      <c r="AW199" s="726"/>
      <c r="AX199" s="726"/>
      <c r="AY199" s="726"/>
      <c r="AZ199" s="726"/>
      <c r="BA199" s="726"/>
      <c r="BB199" s="726"/>
      <c r="BC199" s="726"/>
      <c r="BD199" s="726"/>
      <c r="BE199" s="726"/>
      <c r="BF199" s="726"/>
      <c r="BG199" s="726"/>
      <c r="BH199" s="726"/>
      <c r="BI199" s="726"/>
      <c r="BJ199" s="726"/>
      <c r="BK199" s="726"/>
      <c r="BL199" s="726"/>
      <c r="BM199" s="726"/>
      <c r="BN199" s="726"/>
      <c r="BO199" s="726"/>
      <c r="BP199" s="726"/>
      <c r="BQ199" s="726"/>
      <c r="BR199" s="726"/>
      <c r="BS199" s="726"/>
    </row>
    <row r="200" spans="1:71" s="563" customFormat="1">
      <c r="A200" s="614"/>
      <c r="E200" s="565"/>
      <c r="F200" s="565"/>
      <c r="Q200" s="726"/>
      <c r="R200" s="726"/>
      <c r="S200" s="726"/>
      <c r="T200" s="726"/>
      <c r="U200" s="726"/>
      <c r="V200" s="726"/>
      <c r="W200" s="726"/>
      <c r="X200" s="726"/>
      <c r="Y200" s="726"/>
      <c r="Z200" s="726"/>
      <c r="AA200" s="726"/>
      <c r="AB200" s="726"/>
      <c r="AC200" s="726"/>
      <c r="AD200" s="726"/>
      <c r="AE200" s="726"/>
      <c r="AF200" s="726"/>
      <c r="AG200" s="726"/>
      <c r="AH200" s="726"/>
      <c r="AI200" s="726"/>
      <c r="AJ200" s="726"/>
      <c r="AK200" s="726"/>
      <c r="AL200" s="726"/>
      <c r="AM200" s="726"/>
      <c r="AN200" s="726"/>
      <c r="AO200" s="726"/>
      <c r="AP200" s="726"/>
      <c r="AQ200" s="726"/>
      <c r="AR200" s="726"/>
      <c r="AS200" s="726"/>
      <c r="AT200" s="726"/>
      <c r="AU200" s="726"/>
      <c r="AV200" s="726"/>
      <c r="AW200" s="726"/>
      <c r="AX200" s="726"/>
      <c r="AY200" s="726"/>
      <c r="AZ200" s="726"/>
      <c r="BA200" s="726"/>
      <c r="BB200" s="726"/>
      <c r="BC200" s="726"/>
      <c r="BD200" s="726"/>
      <c r="BE200" s="726"/>
      <c r="BF200" s="726"/>
      <c r="BG200" s="726"/>
      <c r="BH200" s="726"/>
      <c r="BI200" s="726"/>
      <c r="BJ200" s="726"/>
      <c r="BK200" s="726"/>
      <c r="BL200" s="726"/>
      <c r="BM200" s="726"/>
      <c r="BN200" s="726"/>
      <c r="BO200" s="726"/>
      <c r="BP200" s="726"/>
      <c r="BQ200" s="726"/>
      <c r="BR200" s="726"/>
      <c r="BS200" s="726"/>
    </row>
    <row r="201" spans="1:71" s="563" customFormat="1">
      <c r="A201" s="614"/>
      <c r="E201" s="565"/>
      <c r="F201" s="565"/>
      <c r="Q201" s="726"/>
      <c r="R201" s="726"/>
      <c r="S201" s="726"/>
      <c r="T201" s="726"/>
      <c r="U201" s="726"/>
      <c r="V201" s="726"/>
      <c r="W201" s="726"/>
      <c r="X201" s="726"/>
      <c r="Y201" s="726"/>
      <c r="Z201" s="726"/>
      <c r="AA201" s="726"/>
      <c r="AB201" s="726"/>
      <c r="AC201" s="726"/>
      <c r="AD201" s="726"/>
      <c r="AE201" s="726"/>
      <c r="AF201" s="726"/>
      <c r="AG201" s="726"/>
      <c r="AH201" s="726"/>
      <c r="AI201" s="726"/>
      <c r="AJ201" s="726"/>
      <c r="AK201" s="726"/>
      <c r="AL201" s="726"/>
      <c r="AM201" s="726"/>
      <c r="AN201" s="726"/>
      <c r="AO201" s="726"/>
      <c r="AP201" s="726"/>
      <c r="AQ201" s="726"/>
      <c r="AR201" s="726"/>
      <c r="AS201" s="726"/>
      <c r="AT201" s="726"/>
      <c r="AU201" s="726"/>
      <c r="AV201" s="726"/>
      <c r="AW201" s="726"/>
      <c r="AX201" s="726"/>
      <c r="AY201" s="726"/>
      <c r="AZ201" s="726"/>
      <c r="BA201" s="726"/>
      <c r="BB201" s="726"/>
      <c r="BC201" s="726"/>
      <c r="BD201" s="726"/>
      <c r="BE201" s="726"/>
      <c r="BF201" s="726"/>
      <c r="BG201" s="726"/>
      <c r="BH201" s="726"/>
      <c r="BI201" s="726"/>
      <c r="BJ201" s="726"/>
      <c r="BK201" s="726"/>
      <c r="BL201" s="726"/>
      <c r="BM201" s="726"/>
      <c r="BN201" s="726"/>
      <c r="BO201" s="726"/>
      <c r="BP201" s="726"/>
      <c r="BQ201" s="726"/>
      <c r="BR201" s="726"/>
      <c r="BS201" s="726"/>
    </row>
    <row r="202" spans="1:71" s="563" customFormat="1">
      <c r="A202" s="614"/>
      <c r="E202" s="565"/>
      <c r="F202" s="565"/>
      <c r="Q202" s="726"/>
      <c r="R202" s="726"/>
      <c r="S202" s="726"/>
      <c r="T202" s="726"/>
      <c r="U202" s="726"/>
      <c r="V202" s="726"/>
      <c r="W202" s="726"/>
      <c r="X202" s="726"/>
      <c r="Y202" s="726"/>
      <c r="Z202" s="726"/>
      <c r="AA202" s="726"/>
      <c r="AB202" s="726"/>
      <c r="AC202" s="726"/>
      <c r="AD202" s="726"/>
      <c r="AE202" s="726"/>
      <c r="AF202" s="726"/>
      <c r="AG202" s="726"/>
      <c r="AH202" s="726"/>
      <c r="AI202" s="726"/>
      <c r="AJ202" s="726"/>
      <c r="AK202" s="726"/>
      <c r="AL202" s="726"/>
      <c r="AM202" s="726"/>
      <c r="AN202" s="726"/>
      <c r="AO202" s="726"/>
      <c r="AP202" s="726"/>
      <c r="AQ202" s="726"/>
      <c r="AR202" s="726"/>
      <c r="AS202" s="726"/>
      <c r="AT202" s="726"/>
      <c r="AU202" s="726"/>
      <c r="AV202" s="726"/>
      <c r="AW202" s="726"/>
      <c r="AX202" s="726"/>
      <c r="AY202" s="726"/>
      <c r="AZ202" s="726"/>
      <c r="BA202" s="726"/>
      <c r="BB202" s="726"/>
      <c r="BC202" s="726"/>
      <c r="BD202" s="726"/>
      <c r="BE202" s="726"/>
      <c r="BF202" s="726"/>
      <c r="BG202" s="726"/>
      <c r="BH202" s="726"/>
      <c r="BI202" s="726"/>
      <c r="BJ202" s="726"/>
      <c r="BK202" s="726"/>
      <c r="BL202" s="726"/>
      <c r="BM202" s="726"/>
      <c r="BN202" s="726"/>
      <c r="BO202" s="726"/>
      <c r="BP202" s="726"/>
      <c r="BQ202" s="726"/>
      <c r="BR202" s="726"/>
      <c r="BS202" s="726"/>
    </row>
    <row r="203" spans="1:71" s="563" customFormat="1">
      <c r="A203" s="614"/>
      <c r="E203" s="565"/>
      <c r="F203" s="565"/>
      <c r="Q203" s="726"/>
      <c r="R203" s="726"/>
      <c r="S203" s="726"/>
      <c r="T203" s="726"/>
      <c r="U203" s="726"/>
      <c r="V203" s="726"/>
      <c r="W203" s="726"/>
      <c r="X203" s="726"/>
      <c r="Y203" s="726"/>
      <c r="Z203" s="726"/>
      <c r="AA203" s="726"/>
      <c r="AB203" s="726"/>
      <c r="AC203" s="726"/>
      <c r="AD203" s="726"/>
      <c r="AE203" s="726"/>
      <c r="AF203" s="726"/>
      <c r="AG203" s="726"/>
      <c r="AH203" s="726"/>
      <c r="AI203" s="726"/>
      <c r="AJ203" s="726"/>
      <c r="AK203" s="726"/>
      <c r="AL203" s="726"/>
      <c r="AM203" s="726"/>
      <c r="AN203" s="726"/>
      <c r="AO203" s="726"/>
      <c r="AP203" s="726"/>
      <c r="AQ203" s="726"/>
      <c r="AR203" s="726"/>
      <c r="AS203" s="726"/>
      <c r="AT203" s="726"/>
      <c r="AU203" s="726"/>
      <c r="AV203" s="726"/>
      <c r="AW203" s="726"/>
      <c r="AX203" s="726"/>
      <c r="AY203" s="726"/>
      <c r="AZ203" s="726"/>
      <c r="BA203" s="726"/>
      <c r="BB203" s="726"/>
      <c r="BC203" s="726"/>
      <c r="BD203" s="726"/>
      <c r="BE203" s="726"/>
      <c r="BF203" s="726"/>
      <c r="BG203" s="726"/>
      <c r="BH203" s="726"/>
      <c r="BI203" s="726"/>
      <c r="BJ203" s="726"/>
      <c r="BK203" s="726"/>
      <c r="BL203" s="726"/>
      <c r="BM203" s="726"/>
      <c r="BN203" s="726"/>
      <c r="BO203" s="726"/>
      <c r="BP203" s="726"/>
      <c r="BQ203" s="726"/>
      <c r="BR203" s="726"/>
      <c r="BS203" s="726"/>
    </row>
    <row r="204" spans="1:71" s="563" customFormat="1">
      <c r="A204" s="614"/>
      <c r="E204" s="565"/>
      <c r="F204" s="565"/>
      <c r="Q204" s="726"/>
      <c r="R204" s="726"/>
      <c r="S204" s="726"/>
      <c r="T204" s="726"/>
      <c r="U204" s="726"/>
      <c r="V204" s="726"/>
      <c r="W204" s="726"/>
      <c r="X204" s="726"/>
      <c r="Y204" s="726"/>
      <c r="Z204" s="726"/>
      <c r="AA204" s="726"/>
      <c r="AB204" s="726"/>
      <c r="AC204" s="726"/>
      <c r="AD204" s="726"/>
      <c r="AE204" s="726"/>
      <c r="AF204" s="726"/>
      <c r="AG204" s="726"/>
      <c r="AH204" s="726"/>
      <c r="AI204" s="726"/>
      <c r="AJ204" s="726"/>
      <c r="AK204" s="726"/>
      <c r="AL204" s="726"/>
      <c r="AM204" s="726"/>
      <c r="AN204" s="726"/>
      <c r="AO204" s="726"/>
      <c r="AP204" s="726"/>
      <c r="AQ204" s="726"/>
      <c r="AR204" s="726"/>
      <c r="AS204" s="726"/>
      <c r="AT204" s="726"/>
      <c r="AU204" s="726"/>
      <c r="AV204" s="726"/>
      <c r="AW204" s="726"/>
      <c r="AX204" s="726"/>
      <c r="AY204" s="726"/>
      <c r="AZ204" s="726"/>
      <c r="BA204" s="726"/>
      <c r="BB204" s="726"/>
      <c r="BC204" s="726"/>
      <c r="BD204" s="726"/>
      <c r="BE204" s="726"/>
      <c r="BF204" s="726"/>
      <c r="BG204" s="726"/>
      <c r="BH204" s="726"/>
      <c r="BI204" s="726"/>
      <c r="BJ204" s="726"/>
      <c r="BK204" s="726"/>
      <c r="BL204" s="726"/>
      <c r="BM204" s="726"/>
      <c r="BN204" s="726"/>
      <c r="BO204" s="726"/>
      <c r="BP204" s="726"/>
      <c r="BQ204" s="726"/>
      <c r="BR204" s="726"/>
      <c r="BS204" s="726"/>
    </row>
    <row r="205" spans="1:71" s="563" customFormat="1">
      <c r="A205" s="614"/>
      <c r="E205" s="565"/>
      <c r="F205" s="565"/>
      <c r="Q205" s="726"/>
      <c r="R205" s="726"/>
      <c r="S205" s="726"/>
      <c r="T205" s="726"/>
      <c r="U205" s="726"/>
      <c r="V205" s="726"/>
      <c r="W205" s="726"/>
      <c r="X205" s="726"/>
      <c r="Y205" s="726"/>
      <c r="Z205" s="726"/>
      <c r="AA205" s="726"/>
      <c r="AB205" s="726"/>
      <c r="AC205" s="726"/>
      <c r="AD205" s="726"/>
      <c r="AE205" s="726"/>
      <c r="AF205" s="726"/>
      <c r="AG205" s="726"/>
      <c r="AH205" s="726"/>
      <c r="AI205" s="726"/>
      <c r="AJ205" s="726"/>
      <c r="AK205" s="726"/>
      <c r="AL205" s="726"/>
      <c r="AM205" s="726"/>
      <c r="AN205" s="726"/>
      <c r="AO205" s="726"/>
      <c r="AP205" s="726"/>
      <c r="AQ205" s="726"/>
      <c r="AR205" s="726"/>
      <c r="AS205" s="726"/>
      <c r="AT205" s="726"/>
      <c r="AU205" s="726"/>
      <c r="AV205" s="726"/>
      <c r="AW205" s="726"/>
      <c r="AX205" s="726"/>
      <c r="AY205" s="726"/>
      <c r="AZ205" s="726"/>
      <c r="BA205" s="726"/>
      <c r="BB205" s="726"/>
      <c r="BC205" s="726"/>
      <c r="BD205" s="726"/>
      <c r="BE205" s="726"/>
      <c r="BF205" s="726"/>
      <c r="BG205" s="726"/>
      <c r="BH205" s="726"/>
      <c r="BI205" s="726"/>
      <c r="BJ205" s="726"/>
      <c r="BK205" s="726"/>
      <c r="BL205" s="726"/>
      <c r="BM205" s="726"/>
      <c r="BN205" s="726"/>
      <c r="BO205" s="726"/>
      <c r="BP205" s="726"/>
      <c r="BQ205" s="726"/>
      <c r="BR205" s="726"/>
      <c r="BS205" s="726"/>
    </row>
    <row r="206" spans="1:71" s="563" customFormat="1">
      <c r="A206" s="614"/>
      <c r="E206" s="565"/>
      <c r="F206" s="565"/>
      <c r="Q206" s="726"/>
      <c r="R206" s="726"/>
      <c r="S206" s="726"/>
      <c r="T206" s="726"/>
      <c r="U206" s="726"/>
      <c r="V206" s="726"/>
      <c r="W206" s="726"/>
      <c r="X206" s="726"/>
      <c r="Y206" s="726"/>
      <c r="Z206" s="726"/>
      <c r="AA206" s="726"/>
      <c r="AB206" s="726"/>
      <c r="AC206" s="726"/>
      <c r="AD206" s="726"/>
      <c r="AE206" s="726"/>
      <c r="AF206" s="726"/>
      <c r="AG206" s="726"/>
      <c r="AH206" s="726"/>
      <c r="AI206" s="726"/>
      <c r="AJ206" s="726"/>
      <c r="AK206" s="726"/>
      <c r="AL206" s="726"/>
      <c r="AM206" s="726"/>
      <c r="AN206" s="726"/>
      <c r="AO206" s="726"/>
      <c r="AP206" s="726"/>
      <c r="AQ206" s="726"/>
      <c r="AR206" s="726"/>
      <c r="AS206" s="726"/>
      <c r="AT206" s="726"/>
      <c r="AU206" s="726"/>
      <c r="AV206" s="726"/>
      <c r="AW206" s="726"/>
      <c r="AX206" s="726"/>
      <c r="AY206" s="726"/>
      <c r="AZ206" s="726"/>
      <c r="BA206" s="726"/>
      <c r="BB206" s="726"/>
      <c r="BC206" s="726"/>
      <c r="BD206" s="726"/>
      <c r="BE206" s="726"/>
      <c r="BF206" s="726"/>
      <c r="BG206" s="726"/>
      <c r="BH206" s="726"/>
      <c r="BI206" s="726"/>
      <c r="BJ206" s="726"/>
      <c r="BK206" s="726"/>
      <c r="BL206" s="726"/>
      <c r="BM206" s="726"/>
      <c r="BN206" s="726"/>
      <c r="BO206" s="726"/>
      <c r="BP206" s="726"/>
      <c r="BQ206" s="726"/>
      <c r="BR206" s="726"/>
      <c r="BS206" s="726"/>
    </row>
    <row r="207" spans="1:71" s="563" customFormat="1">
      <c r="A207" s="614"/>
      <c r="E207" s="565"/>
      <c r="F207" s="565"/>
      <c r="Q207" s="726"/>
      <c r="R207" s="726"/>
      <c r="S207" s="726"/>
      <c r="T207" s="726"/>
      <c r="U207" s="726"/>
      <c r="V207" s="726"/>
      <c r="W207" s="726"/>
      <c r="X207" s="726"/>
      <c r="Y207" s="726"/>
      <c r="Z207" s="726"/>
      <c r="AA207" s="726"/>
      <c r="AB207" s="726"/>
      <c r="AC207" s="726"/>
      <c r="AD207" s="726"/>
      <c r="AE207" s="726"/>
      <c r="AF207" s="726"/>
      <c r="AG207" s="726"/>
      <c r="AH207" s="726"/>
      <c r="AI207" s="726"/>
      <c r="AJ207" s="726"/>
      <c r="AK207" s="726"/>
      <c r="AL207" s="726"/>
      <c r="AM207" s="726"/>
      <c r="AN207" s="726"/>
      <c r="AO207" s="726"/>
      <c r="AP207" s="726"/>
      <c r="AQ207" s="726"/>
      <c r="AR207" s="726"/>
      <c r="AS207" s="726"/>
      <c r="AT207" s="726"/>
      <c r="AU207" s="726"/>
      <c r="AV207" s="726"/>
      <c r="AW207" s="726"/>
      <c r="AX207" s="726"/>
      <c r="AY207" s="726"/>
      <c r="AZ207" s="726"/>
      <c r="BA207" s="726"/>
      <c r="BB207" s="726"/>
      <c r="BC207" s="726"/>
      <c r="BD207" s="726"/>
      <c r="BE207" s="726"/>
      <c r="BF207" s="726"/>
      <c r="BG207" s="726"/>
      <c r="BH207" s="726"/>
      <c r="BI207" s="726"/>
      <c r="BJ207" s="726"/>
      <c r="BK207" s="726"/>
      <c r="BL207" s="726"/>
      <c r="BM207" s="726"/>
      <c r="BN207" s="726"/>
      <c r="BO207" s="726"/>
      <c r="BP207" s="726"/>
      <c r="BQ207" s="726"/>
      <c r="BR207" s="726"/>
      <c r="BS207" s="726"/>
    </row>
    <row r="208" spans="1:71" s="563" customFormat="1">
      <c r="A208" s="614"/>
      <c r="E208" s="565"/>
      <c r="F208" s="565"/>
      <c r="Q208" s="726"/>
      <c r="R208" s="726"/>
      <c r="S208" s="726"/>
      <c r="T208" s="726"/>
      <c r="U208" s="726"/>
      <c r="V208" s="726"/>
      <c r="W208" s="726"/>
      <c r="X208" s="726"/>
      <c r="Y208" s="726"/>
      <c r="Z208" s="726"/>
      <c r="AA208" s="726"/>
      <c r="AB208" s="726"/>
      <c r="AC208" s="726"/>
      <c r="AD208" s="726"/>
      <c r="AE208" s="726"/>
      <c r="AF208" s="726"/>
      <c r="AG208" s="726"/>
      <c r="AH208" s="726"/>
      <c r="AI208" s="726"/>
      <c r="AJ208" s="726"/>
      <c r="AK208" s="726"/>
      <c r="AL208" s="726"/>
      <c r="AM208" s="726"/>
      <c r="AN208" s="726"/>
      <c r="AO208" s="726"/>
      <c r="AP208" s="726"/>
      <c r="AQ208" s="726"/>
      <c r="AR208" s="726"/>
      <c r="AS208" s="726"/>
      <c r="AT208" s="726"/>
      <c r="AU208" s="726"/>
      <c r="AV208" s="726"/>
      <c r="AW208" s="726"/>
      <c r="AX208" s="726"/>
      <c r="AY208" s="726"/>
      <c r="AZ208" s="726"/>
      <c r="BA208" s="726"/>
      <c r="BB208" s="726"/>
      <c r="BC208" s="726"/>
      <c r="BD208" s="726"/>
      <c r="BE208" s="726"/>
      <c r="BF208" s="726"/>
      <c r="BG208" s="726"/>
      <c r="BH208" s="726"/>
      <c r="BI208" s="726"/>
      <c r="BJ208" s="726"/>
      <c r="BK208" s="726"/>
      <c r="BL208" s="726"/>
      <c r="BM208" s="726"/>
      <c r="BN208" s="726"/>
      <c r="BO208" s="726"/>
      <c r="BP208" s="726"/>
      <c r="BQ208" s="726"/>
      <c r="BR208" s="726"/>
      <c r="BS208" s="726"/>
    </row>
    <row r="209" spans="1:71" s="563" customFormat="1">
      <c r="A209" s="614"/>
      <c r="E209" s="565"/>
      <c r="F209" s="565"/>
      <c r="Q209" s="726"/>
      <c r="R209" s="726"/>
      <c r="S209" s="726"/>
      <c r="T209" s="726"/>
      <c r="U209" s="726"/>
      <c r="V209" s="726"/>
      <c r="W209" s="726"/>
      <c r="X209" s="726"/>
      <c r="Y209" s="726"/>
      <c r="Z209" s="726"/>
      <c r="AA209" s="726"/>
      <c r="AB209" s="726"/>
      <c r="AC209" s="726"/>
      <c r="AD209" s="726"/>
      <c r="AE209" s="726"/>
      <c r="AF209" s="726"/>
      <c r="AG209" s="726"/>
      <c r="AH209" s="726"/>
      <c r="AI209" s="726"/>
      <c r="AJ209" s="726"/>
      <c r="AK209" s="726"/>
      <c r="AL209" s="726"/>
      <c r="AM209" s="726"/>
      <c r="AN209" s="726"/>
      <c r="AO209" s="726"/>
      <c r="AP209" s="726"/>
      <c r="AQ209" s="726"/>
      <c r="AR209" s="726"/>
      <c r="AS209" s="726"/>
      <c r="AT209" s="726"/>
      <c r="AU209" s="726"/>
      <c r="AV209" s="726"/>
      <c r="AW209" s="726"/>
      <c r="AX209" s="726"/>
      <c r="AY209" s="726"/>
      <c r="AZ209" s="726"/>
      <c r="BA209" s="726"/>
      <c r="BB209" s="726"/>
      <c r="BC209" s="726"/>
      <c r="BD209" s="726"/>
      <c r="BE209" s="726"/>
      <c r="BF209" s="726"/>
      <c r="BG209" s="726"/>
      <c r="BH209" s="726"/>
      <c r="BI209" s="726"/>
      <c r="BJ209" s="726"/>
      <c r="BK209" s="726"/>
      <c r="BL209" s="726"/>
      <c r="BM209" s="726"/>
      <c r="BN209" s="726"/>
      <c r="BO209" s="726"/>
      <c r="BP209" s="726"/>
      <c r="BQ209" s="726"/>
      <c r="BR209" s="726"/>
      <c r="BS209" s="726"/>
    </row>
    <row r="210" spans="1:71" s="563" customFormat="1">
      <c r="A210" s="614"/>
      <c r="E210" s="565"/>
      <c r="F210" s="565"/>
      <c r="Q210" s="726"/>
      <c r="R210" s="726"/>
      <c r="S210" s="726"/>
      <c r="T210" s="726"/>
      <c r="U210" s="726"/>
      <c r="V210" s="726"/>
      <c r="W210" s="726"/>
      <c r="X210" s="726"/>
      <c r="Y210" s="726"/>
      <c r="Z210" s="726"/>
      <c r="AA210" s="726"/>
      <c r="AB210" s="726"/>
      <c r="AC210" s="726"/>
      <c r="AD210" s="726"/>
      <c r="AE210" s="726"/>
      <c r="AF210" s="726"/>
      <c r="AG210" s="726"/>
      <c r="AH210" s="726"/>
      <c r="AI210" s="726"/>
      <c r="AJ210" s="726"/>
      <c r="AK210" s="726"/>
      <c r="AL210" s="726"/>
      <c r="AM210" s="726"/>
      <c r="AN210" s="726"/>
      <c r="AO210" s="726"/>
      <c r="AP210" s="726"/>
      <c r="AQ210" s="726"/>
      <c r="AR210" s="726"/>
      <c r="AS210" s="726"/>
      <c r="AT210" s="726"/>
      <c r="AU210" s="726"/>
      <c r="AV210" s="726"/>
      <c r="AW210" s="726"/>
      <c r="AX210" s="726"/>
      <c r="AY210" s="726"/>
      <c r="AZ210" s="726"/>
      <c r="BA210" s="726"/>
      <c r="BB210" s="726"/>
      <c r="BC210" s="726"/>
      <c r="BD210" s="726"/>
      <c r="BE210" s="726"/>
      <c r="BF210" s="726"/>
      <c r="BG210" s="726"/>
      <c r="BH210" s="726"/>
      <c r="BI210" s="726"/>
      <c r="BJ210" s="726"/>
      <c r="BK210" s="726"/>
      <c r="BL210" s="726"/>
      <c r="BM210" s="726"/>
      <c r="BN210" s="726"/>
      <c r="BO210" s="726"/>
      <c r="BP210" s="726"/>
      <c r="BQ210" s="726"/>
      <c r="BR210" s="726"/>
      <c r="BS210" s="726"/>
    </row>
    <row r="211" spans="1:71" s="563" customFormat="1">
      <c r="A211" s="614"/>
      <c r="E211" s="565"/>
      <c r="F211" s="565"/>
      <c r="Q211" s="726"/>
      <c r="R211" s="726"/>
      <c r="S211" s="726"/>
      <c r="T211" s="726"/>
      <c r="U211" s="726"/>
      <c r="V211" s="726"/>
      <c r="W211" s="726"/>
      <c r="X211" s="726"/>
      <c r="Y211" s="726"/>
      <c r="Z211" s="726"/>
      <c r="AA211" s="726"/>
      <c r="AB211" s="726"/>
      <c r="AC211" s="726"/>
      <c r="AD211" s="726"/>
      <c r="AE211" s="726"/>
      <c r="AF211" s="726"/>
      <c r="AG211" s="726"/>
      <c r="AH211" s="726"/>
      <c r="AI211" s="726"/>
      <c r="AJ211" s="726"/>
      <c r="AK211" s="726"/>
      <c r="AL211" s="726"/>
      <c r="AM211" s="726"/>
      <c r="AN211" s="726"/>
      <c r="AO211" s="726"/>
      <c r="AP211" s="726"/>
      <c r="AQ211" s="726"/>
      <c r="AR211" s="726"/>
      <c r="AS211" s="726"/>
      <c r="AT211" s="726"/>
      <c r="AU211" s="726"/>
      <c r="AV211" s="726"/>
      <c r="AW211" s="726"/>
      <c r="AX211" s="726"/>
      <c r="AY211" s="726"/>
      <c r="AZ211" s="726"/>
      <c r="BA211" s="726"/>
      <c r="BB211" s="726"/>
      <c r="BC211" s="726"/>
      <c r="BD211" s="726"/>
      <c r="BE211" s="726"/>
      <c r="BF211" s="726"/>
      <c r="BG211" s="726"/>
      <c r="BH211" s="726"/>
      <c r="BI211" s="726"/>
      <c r="BJ211" s="726"/>
      <c r="BK211" s="726"/>
      <c r="BL211" s="726"/>
      <c r="BM211" s="726"/>
      <c r="BN211" s="726"/>
      <c r="BO211" s="726"/>
      <c r="BP211" s="726"/>
      <c r="BQ211" s="726"/>
      <c r="BR211" s="726"/>
      <c r="BS211" s="726"/>
    </row>
    <row r="212" spans="1:71" s="563" customFormat="1">
      <c r="A212" s="614"/>
      <c r="E212" s="565"/>
      <c r="F212" s="565"/>
      <c r="Q212" s="726"/>
      <c r="R212" s="726"/>
      <c r="S212" s="726"/>
      <c r="T212" s="726"/>
      <c r="U212" s="726"/>
      <c r="V212" s="726"/>
      <c r="W212" s="726"/>
      <c r="X212" s="726"/>
      <c r="Y212" s="726"/>
      <c r="Z212" s="726"/>
      <c r="AA212" s="726"/>
      <c r="AB212" s="726"/>
      <c r="AC212" s="726"/>
      <c r="AD212" s="726"/>
      <c r="AE212" s="726"/>
      <c r="AF212" s="726"/>
      <c r="AG212" s="726"/>
      <c r="AH212" s="726"/>
      <c r="AI212" s="726"/>
      <c r="AJ212" s="726"/>
      <c r="AK212" s="726"/>
      <c r="AL212" s="726"/>
      <c r="AM212" s="726"/>
      <c r="AN212" s="726"/>
      <c r="AO212" s="726"/>
      <c r="AP212" s="726"/>
      <c r="AQ212" s="726"/>
      <c r="AR212" s="726"/>
      <c r="AS212" s="726"/>
      <c r="AT212" s="726"/>
      <c r="AU212" s="726"/>
      <c r="AV212" s="726"/>
      <c r="AW212" s="726"/>
      <c r="AX212" s="726"/>
      <c r="AY212" s="726"/>
      <c r="AZ212" s="726"/>
      <c r="BA212" s="726"/>
      <c r="BB212" s="726"/>
      <c r="BC212" s="726"/>
      <c r="BD212" s="726"/>
      <c r="BE212" s="726"/>
      <c r="BF212" s="726"/>
      <c r="BG212" s="726"/>
      <c r="BH212" s="726"/>
      <c r="BI212" s="726"/>
      <c r="BJ212" s="726"/>
      <c r="BK212" s="726"/>
      <c r="BL212" s="726"/>
      <c r="BM212" s="726"/>
      <c r="BN212" s="726"/>
      <c r="BO212" s="726"/>
      <c r="BP212" s="726"/>
      <c r="BQ212" s="726"/>
      <c r="BR212" s="726"/>
      <c r="BS212" s="726"/>
    </row>
    <row r="213" spans="1:71" s="563" customFormat="1">
      <c r="A213" s="614"/>
      <c r="E213" s="565"/>
      <c r="F213" s="565"/>
      <c r="Q213" s="726"/>
      <c r="R213" s="726"/>
      <c r="S213" s="726"/>
      <c r="T213" s="726"/>
      <c r="U213" s="726"/>
      <c r="V213" s="726"/>
      <c r="W213" s="726"/>
      <c r="X213" s="726"/>
      <c r="Y213" s="726"/>
      <c r="Z213" s="726"/>
      <c r="AA213" s="726"/>
      <c r="AB213" s="726"/>
      <c r="AC213" s="726"/>
      <c r="AD213" s="726"/>
      <c r="AE213" s="726"/>
      <c r="AF213" s="726"/>
      <c r="AG213" s="726"/>
      <c r="AH213" s="726"/>
      <c r="AI213" s="726"/>
      <c r="AJ213" s="726"/>
      <c r="AK213" s="726"/>
      <c r="AL213" s="726"/>
      <c r="AM213" s="726"/>
      <c r="AN213" s="726"/>
      <c r="AO213" s="726"/>
      <c r="AP213" s="726"/>
      <c r="AQ213" s="726"/>
      <c r="AR213" s="726"/>
      <c r="AS213" s="726"/>
      <c r="AT213" s="726"/>
      <c r="AU213" s="726"/>
      <c r="AV213" s="726"/>
      <c r="AW213" s="726"/>
      <c r="AX213" s="726"/>
      <c r="AY213" s="726"/>
      <c r="AZ213" s="726"/>
      <c r="BA213" s="726"/>
      <c r="BB213" s="726"/>
      <c r="BC213" s="726"/>
      <c r="BD213" s="726"/>
      <c r="BE213" s="726"/>
      <c r="BF213" s="726"/>
      <c r="BG213" s="726"/>
      <c r="BH213" s="726"/>
      <c r="BI213" s="726"/>
      <c r="BJ213" s="726"/>
      <c r="BK213" s="726"/>
      <c r="BL213" s="726"/>
      <c r="BM213" s="726"/>
      <c r="BN213" s="726"/>
      <c r="BO213" s="726"/>
      <c r="BP213" s="726"/>
      <c r="BQ213" s="726"/>
      <c r="BR213" s="726"/>
      <c r="BS213" s="726"/>
    </row>
    <row r="214" spans="1:71" s="563" customFormat="1">
      <c r="A214" s="614"/>
      <c r="E214" s="565"/>
      <c r="F214" s="565"/>
      <c r="Q214" s="726"/>
      <c r="R214" s="726"/>
      <c r="S214" s="726"/>
      <c r="T214" s="726"/>
      <c r="U214" s="726"/>
      <c r="V214" s="726"/>
      <c r="W214" s="726"/>
      <c r="X214" s="726"/>
      <c r="Y214" s="726"/>
      <c r="Z214" s="726"/>
      <c r="AA214" s="726"/>
      <c r="AB214" s="726"/>
      <c r="AC214" s="726"/>
      <c r="AD214" s="726"/>
      <c r="AE214" s="726"/>
      <c r="AF214" s="726"/>
      <c r="AG214" s="726"/>
      <c r="AH214" s="726"/>
      <c r="AI214" s="726"/>
      <c r="AJ214" s="726"/>
      <c r="AK214" s="726"/>
      <c r="AL214" s="726"/>
      <c r="AM214" s="726"/>
      <c r="AN214" s="726"/>
      <c r="AO214" s="726"/>
      <c r="AP214" s="726"/>
      <c r="AQ214" s="726"/>
      <c r="AR214" s="726"/>
      <c r="AS214" s="726"/>
      <c r="AT214" s="726"/>
      <c r="AU214" s="726"/>
      <c r="AV214" s="726"/>
      <c r="AW214" s="726"/>
      <c r="AX214" s="726"/>
      <c r="AY214" s="726"/>
      <c r="AZ214" s="726"/>
      <c r="BA214" s="726"/>
      <c r="BB214" s="726"/>
      <c r="BC214" s="726"/>
      <c r="BD214" s="726"/>
      <c r="BE214" s="726"/>
      <c r="BF214" s="726"/>
      <c r="BG214" s="726"/>
      <c r="BH214" s="726"/>
      <c r="BI214" s="726"/>
      <c r="BJ214" s="726"/>
      <c r="BK214" s="726"/>
      <c r="BL214" s="726"/>
      <c r="BM214" s="726"/>
      <c r="BN214" s="726"/>
      <c r="BO214" s="726"/>
      <c r="BP214" s="726"/>
      <c r="BQ214" s="726"/>
      <c r="BR214" s="726"/>
      <c r="BS214" s="726"/>
    </row>
    <row r="215" spans="1:71" s="563" customFormat="1">
      <c r="A215" s="614"/>
      <c r="E215" s="565"/>
      <c r="F215" s="565"/>
      <c r="Q215" s="726"/>
      <c r="R215" s="726"/>
      <c r="S215" s="726"/>
      <c r="T215" s="726"/>
      <c r="U215" s="726"/>
      <c r="V215" s="726"/>
      <c r="W215" s="726"/>
      <c r="X215" s="726"/>
      <c r="Y215" s="726"/>
      <c r="Z215" s="726"/>
      <c r="AA215" s="726"/>
      <c r="AB215" s="726"/>
      <c r="AC215" s="726"/>
      <c r="AD215" s="726"/>
      <c r="AE215" s="726"/>
      <c r="AF215" s="726"/>
      <c r="AG215" s="726"/>
      <c r="AH215" s="726"/>
      <c r="AI215" s="726"/>
      <c r="AJ215" s="726"/>
      <c r="AK215" s="726"/>
      <c r="AL215" s="726"/>
      <c r="AM215" s="726"/>
      <c r="AN215" s="726"/>
      <c r="AO215" s="726"/>
      <c r="AP215" s="726"/>
      <c r="AQ215" s="726"/>
      <c r="AR215" s="726"/>
      <c r="AS215" s="726"/>
      <c r="AT215" s="726"/>
      <c r="AU215" s="726"/>
      <c r="AV215" s="726"/>
      <c r="AW215" s="726"/>
      <c r="AX215" s="726"/>
      <c r="AY215" s="726"/>
      <c r="AZ215" s="726"/>
      <c r="BA215" s="726"/>
      <c r="BB215" s="726"/>
      <c r="BC215" s="726"/>
      <c r="BD215" s="726"/>
      <c r="BE215" s="726"/>
      <c r="BF215" s="726"/>
      <c r="BG215" s="726"/>
      <c r="BH215" s="726"/>
      <c r="BI215" s="726"/>
      <c r="BJ215" s="726"/>
      <c r="BK215" s="726"/>
      <c r="BL215" s="726"/>
      <c r="BM215" s="726"/>
      <c r="BN215" s="726"/>
      <c r="BO215" s="726"/>
      <c r="BP215" s="726"/>
      <c r="BQ215" s="726"/>
      <c r="BR215" s="726"/>
      <c r="BS215" s="726"/>
    </row>
    <row r="216" spans="1:71" s="563" customFormat="1">
      <c r="A216" s="614"/>
      <c r="E216" s="565"/>
      <c r="F216" s="565"/>
      <c r="Q216" s="726"/>
      <c r="R216" s="726"/>
      <c r="S216" s="726"/>
      <c r="T216" s="726"/>
      <c r="U216" s="726"/>
      <c r="V216" s="726"/>
      <c r="W216" s="726"/>
      <c r="X216" s="726"/>
      <c r="Y216" s="726"/>
      <c r="Z216" s="726"/>
      <c r="AA216" s="726"/>
      <c r="AB216" s="726"/>
      <c r="AC216" s="726"/>
      <c r="AD216" s="726"/>
      <c r="AE216" s="726"/>
      <c r="AF216" s="726"/>
      <c r="AG216" s="726"/>
      <c r="AH216" s="726"/>
      <c r="AI216" s="726"/>
      <c r="AJ216" s="726"/>
      <c r="AK216" s="726"/>
      <c r="AL216" s="726"/>
      <c r="AM216" s="726"/>
      <c r="AN216" s="726"/>
      <c r="AO216" s="726"/>
      <c r="AP216" s="726"/>
      <c r="AQ216" s="726"/>
      <c r="AR216" s="726"/>
      <c r="AS216" s="726"/>
      <c r="AT216" s="726"/>
      <c r="AU216" s="726"/>
      <c r="AV216" s="726"/>
      <c r="AW216" s="726"/>
      <c r="AX216" s="726"/>
      <c r="AY216" s="726"/>
      <c r="AZ216" s="726"/>
      <c r="BA216" s="726"/>
      <c r="BB216" s="726"/>
      <c r="BC216" s="726"/>
      <c r="BD216" s="726"/>
      <c r="BE216" s="726"/>
      <c r="BF216" s="726"/>
      <c r="BG216" s="726"/>
      <c r="BH216" s="726"/>
      <c r="BI216" s="726"/>
      <c r="BJ216" s="726"/>
      <c r="BK216" s="726"/>
      <c r="BL216" s="726"/>
      <c r="BM216" s="726"/>
      <c r="BN216" s="726"/>
      <c r="BO216" s="726"/>
      <c r="BP216" s="726"/>
      <c r="BQ216" s="726"/>
      <c r="BR216" s="726"/>
      <c r="BS216" s="726"/>
    </row>
    <row r="217" spans="1:71" s="563" customFormat="1">
      <c r="A217" s="614"/>
      <c r="E217" s="565"/>
      <c r="F217" s="565"/>
      <c r="Q217" s="726"/>
      <c r="R217" s="726"/>
      <c r="S217" s="726"/>
      <c r="T217" s="726"/>
      <c r="U217" s="726"/>
      <c r="V217" s="726"/>
      <c r="W217" s="726"/>
      <c r="X217" s="726"/>
      <c r="Y217" s="726"/>
      <c r="Z217" s="726"/>
      <c r="AA217" s="726"/>
      <c r="AB217" s="726"/>
      <c r="AC217" s="726"/>
      <c r="AD217" s="726"/>
      <c r="AE217" s="726"/>
      <c r="AF217" s="726"/>
      <c r="AG217" s="726"/>
      <c r="AH217" s="726"/>
      <c r="AI217" s="726"/>
      <c r="AJ217" s="726"/>
      <c r="AK217" s="726"/>
      <c r="AL217" s="726"/>
      <c r="AM217" s="726"/>
      <c r="AN217" s="726"/>
      <c r="AO217" s="726"/>
      <c r="AP217" s="726"/>
      <c r="AQ217" s="726"/>
      <c r="AR217" s="726"/>
      <c r="AS217" s="726"/>
      <c r="AT217" s="726"/>
      <c r="AU217" s="726"/>
      <c r="AV217" s="726"/>
      <c r="AW217" s="726"/>
      <c r="AX217" s="726"/>
      <c r="AY217" s="726"/>
      <c r="AZ217" s="726"/>
      <c r="BA217" s="726"/>
      <c r="BB217" s="726"/>
      <c r="BC217" s="726"/>
      <c r="BD217" s="726"/>
      <c r="BE217" s="726"/>
      <c r="BF217" s="726"/>
      <c r="BG217" s="726"/>
      <c r="BH217" s="726"/>
      <c r="BI217" s="726"/>
      <c r="BJ217" s="726"/>
      <c r="BK217" s="726"/>
      <c r="BL217" s="726"/>
      <c r="BM217" s="726"/>
      <c r="BN217" s="726"/>
      <c r="BO217" s="726"/>
      <c r="BP217" s="726"/>
      <c r="BQ217" s="726"/>
      <c r="BR217" s="726"/>
      <c r="BS217" s="726"/>
    </row>
    <row r="218" spans="1:71" s="563" customFormat="1">
      <c r="A218" s="614"/>
      <c r="E218" s="565"/>
      <c r="F218" s="565"/>
      <c r="Q218" s="726"/>
      <c r="R218" s="726"/>
      <c r="S218" s="726"/>
      <c r="T218" s="726"/>
      <c r="U218" s="726"/>
      <c r="V218" s="726"/>
      <c r="W218" s="726"/>
      <c r="X218" s="726"/>
      <c r="Y218" s="726"/>
      <c r="Z218" s="726"/>
      <c r="AA218" s="726"/>
      <c r="AB218" s="726"/>
      <c r="AC218" s="726"/>
      <c r="AD218" s="726"/>
      <c r="AE218" s="726"/>
      <c r="AF218" s="726"/>
      <c r="AG218" s="726"/>
      <c r="AH218" s="726"/>
      <c r="AI218" s="726"/>
      <c r="AJ218" s="726"/>
      <c r="AK218" s="726"/>
      <c r="AL218" s="726"/>
      <c r="AM218" s="726"/>
      <c r="AN218" s="726"/>
      <c r="AO218" s="726"/>
      <c r="AP218" s="726"/>
      <c r="AQ218" s="726"/>
      <c r="AR218" s="726"/>
      <c r="AS218" s="726"/>
      <c r="AT218" s="726"/>
      <c r="AU218" s="726"/>
      <c r="AV218" s="726"/>
      <c r="AW218" s="726"/>
      <c r="AX218" s="726"/>
      <c r="AY218" s="726"/>
      <c r="AZ218" s="726"/>
      <c r="BA218" s="726"/>
      <c r="BB218" s="726"/>
      <c r="BC218" s="726"/>
      <c r="BD218" s="726"/>
      <c r="BE218" s="726"/>
      <c r="BF218" s="726"/>
      <c r="BG218" s="726"/>
      <c r="BH218" s="726"/>
      <c r="BI218" s="726"/>
      <c r="BJ218" s="726"/>
      <c r="BK218" s="726"/>
      <c r="BL218" s="726"/>
      <c r="BM218" s="726"/>
      <c r="BN218" s="726"/>
      <c r="BO218" s="726"/>
      <c r="BP218" s="726"/>
      <c r="BQ218" s="726"/>
      <c r="BR218" s="726"/>
      <c r="BS218" s="726"/>
    </row>
    <row r="219" spans="1:71" s="563" customFormat="1">
      <c r="A219" s="614"/>
      <c r="E219" s="565"/>
      <c r="F219" s="565"/>
      <c r="Q219" s="726"/>
      <c r="R219" s="726"/>
      <c r="S219" s="726"/>
      <c r="T219" s="726"/>
      <c r="U219" s="726"/>
      <c r="V219" s="726"/>
      <c r="W219" s="726"/>
      <c r="X219" s="726"/>
      <c r="Y219" s="726"/>
      <c r="Z219" s="726"/>
      <c r="AA219" s="726"/>
      <c r="AB219" s="726"/>
      <c r="AC219" s="726"/>
      <c r="AD219" s="726"/>
      <c r="AE219" s="726"/>
      <c r="AF219" s="726"/>
      <c r="AG219" s="726"/>
      <c r="AH219" s="726"/>
      <c r="AI219" s="726"/>
      <c r="AJ219" s="726"/>
      <c r="AK219" s="726"/>
      <c r="AL219" s="726"/>
      <c r="AM219" s="726"/>
      <c r="AN219" s="726"/>
      <c r="AO219" s="726"/>
      <c r="AP219" s="726"/>
      <c r="AQ219" s="726"/>
      <c r="AR219" s="726"/>
      <c r="AS219" s="726"/>
      <c r="AT219" s="726"/>
      <c r="AU219" s="726"/>
      <c r="AV219" s="726"/>
      <c r="AW219" s="726"/>
      <c r="AX219" s="726"/>
      <c r="AY219" s="726"/>
      <c r="AZ219" s="726"/>
      <c r="BA219" s="726"/>
      <c r="BB219" s="726"/>
      <c r="BC219" s="726"/>
      <c r="BD219" s="726"/>
      <c r="BE219" s="726"/>
      <c r="BF219" s="726"/>
      <c r="BG219" s="726"/>
      <c r="BH219" s="726"/>
      <c r="BI219" s="726"/>
      <c r="BJ219" s="726"/>
      <c r="BK219" s="726"/>
      <c r="BL219" s="726"/>
      <c r="BM219" s="726"/>
      <c r="BN219" s="726"/>
      <c r="BO219" s="726"/>
      <c r="BP219" s="726"/>
      <c r="BQ219" s="726"/>
      <c r="BR219" s="726"/>
      <c r="BS219" s="726"/>
    </row>
    <row r="220" spans="1:71" s="563" customFormat="1">
      <c r="A220" s="614"/>
      <c r="E220" s="565"/>
      <c r="F220" s="565"/>
      <c r="Q220" s="726"/>
      <c r="R220" s="726"/>
      <c r="S220" s="726"/>
      <c r="T220" s="726"/>
      <c r="U220" s="726"/>
      <c r="V220" s="726"/>
      <c r="W220" s="726"/>
      <c r="X220" s="726"/>
      <c r="Y220" s="726"/>
      <c r="Z220" s="726"/>
      <c r="AA220" s="726"/>
      <c r="AB220" s="726"/>
      <c r="AC220" s="726"/>
      <c r="AD220" s="726"/>
      <c r="AE220" s="726"/>
      <c r="AF220" s="726"/>
      <c r="AG220" s="726"/>
      <c r="AH220" s="726"/>
      <c r="AI220" s="726"/>
      <c r="AJ220" s="726"/>
      <c r="AK220" s="726"/>
      <c r="AL220" s="726"/>
      <c r="AM220" s="726"/>
      <c r="AN220" s="726"/>
      <c r="AO220" s="726"/>
      <c r="AP220" s="726"/>
      <c r="AQ220" s="726"/>
      <c r="AR220" s="726"/>
      <c r="AS220" s="726"/>
      <c r="AT220" s="726"/>
      <c r="AU220" s="726"/>
      <c r="AV220" s="726"/>
      <c r="AW220" s="726"/>
      <c r="AX220" s="726"/>
      <c r="AY220" s="726"/>
      <c r="AZ220" s="726"/>
      <c r="BA220" s="726"/>
      <c r="BB220" s="726"/>
      <c r="BC220" s="726"/>
      <c r="BD220" s="726"/>
      <c r="BE220" s="726"/>
      <c r="BF220" s="726"/>
      <c r="BG220" s="726"/>
      <c r="BH220" s="726"/>
      <c r="BI220" s="726"/>
      <c r="BJ220" s="726"/>
      <c r="BK220" s="726"/>
      <c r="BL220" s="726"/>
      <c r="BM220" s="726"/>
      <c r="BN220" s="726"/>
      <c r="BO220" s="726"/>
      <c r="BP220" s="726"/>
      <c r="BQ220" s="726"/>
      <c r="BR220" s="726"/>
      <c r="BS220" s="726"/>
    </row>
    <row r="221" spans="1:71" s="563" customFormat="1">
      <c r="A221" s="614"/>
      <c r="E221" s="565"/>
      <c r="F221" s="565"/>
      <c r="Q221" s="726"/>
      <c r="R221" s="726"/>
      <c r="S221" s="726"/>
      <c r="T221" s="726"/>
      <c r="U221" s="726"/>
      <c r="V221" s="726"/>
      <c r="W221" s="726"/>
      <c r="X221" s="726"/>
      <c r="Y221" s="726"/>
      <c r="Z221" s="726"/>
      <c r="AA221" s="726"/>
      <c r="AB221" s="726"/>
      <c r="AC221" s="726"/>
      <c r="AD221" s="726"/>
      <c r="AE221" s="726"/>
      <c r="AF221" s="726"/>
      <c r="AG221" s="726"/>
      <c r="AH221" s="726"/>
      <c r="AI221" s="726"/>
      <c r="AJ221" s="726"/>
      <c r="AK221" s="726"/>
      <c r="AL221" s="726"/>
      <c r="AM221" s="726"/>
      <c r="AN221" s="726"/>
      <c r="AO221" s="726"/>
      <c r="AP221" s="726"/>
      <c r="AQ221" s="726"/>
      <c r="AR221" s="726"/>
      <c r="AS221" s="726"/>
      <c r="AT221" s="726"/>
      <c r="AU221" s="726"/>
      <c r="AV221" s="726"/>
      <c r="AW221" s="726"/>
      <c r="AX221" s="726"/>
      <c r="AY221" s="726"/>
      <c r="AZ221" s="726"/>
      <c r="BA221" s="726"/>
      <c r="BB221" s="726"/>
      <c r="BC221" s="726"/>
      <c r="BD221" s="726"/>
      <c r="BE221" s="726"/>
      <c r="BF221" s="726"/>
      <c r="BG221" s="726"/>
      <c r="BH221" s="726"/>
      <c r="BI221" s="726"/>
      <c r="BJ221" s="726"/>
      <c r="BK221" s="726"/>
      <c r="BL221" s="726"/>
      <c r="BM221" s="726"/>
      <c r="BN221" s="726"/>
      <c r="BO221" s="726"/>
      <c r="BP221" s="726"/>
      <c r="BQ221" s="726"/>
      <c r="BR221" s="726"/>
      <c r="BS221" s="726"/>
    </row>
    <row r="222" spans="1:71" s="563" customFormat="1">
      <c r="A222" s="614"/>
      <c r="E222" s="565"/>
      <c r="F222" s="565"/>
      <c r="Q222" s="726"/>
      <c r="R222" s="726"/>
      <c r="S222" s="726"/>
      <c r="T222" s="726"/>
      <c r="U222" s="726"/>
      <c r="V222" s="726"/>
      <c r="W222" s="726"/>
      <c r="X222" s="726"/>
      <c r="Y222" s="726"/>
      <c r="Z222" s="726"/>
      <c r="AA222" s="726"/>
      <c r="AB222" s="726"/>
      <c r="AC222" s="726"/>
      <c r="AD222" s="726"/>
      <c r="AE222" s="726"/>
      <c r="AF222" s="726"/>
      <c r="AG222" s="726"/>
      <c r="AH222" s="726"/>
      <c r="AI222" s="726"/>
      <c r="AJ222" s="726"/>
      <c r="AK222" s="726"/>
      <c r="AL222" s="726"/>
      <c r="AM222" s="726"/>
      <c r="AN222" s="726"/>
      <c r="AO222" s="726"/>
      <c r="AP222" s="726"/>
      <c r="AQ222" s="726"/>
      <c r="AR222" s="726"/>
      <c r="AS222" s="726"/>
      <c r="AT222" s="726"/>
      <c r="AU222" s="726"/>
      <c r="AV222" s="726"/>
      <c r="AW222" s="726"/>
      <c r="AX222" s="726"/>
      <c r="AY222" s="726"/>
      <c r="AZ222" s="726"/>
      <c r="BA222" s="726"/>
      <c r="BB222" s="726"/>
      <c r="BC222" s="726"/>
      <c r="BD222" s="726"/>
      <c r="BE222" s="726"/>
      <c r="BF222" s="726"/>
      <c r="BG222" s="726"/>
      <c r="BH222" s="726"/>
      <c r="BI222" s="726"/>
      <c r="BJ222" s="726"/>
      <c r="BK222" s="726"/>
      <c r="BL222" s="726"/>
      <c r="BM222" s="726"/>
      <c r="BN222" s="726"/>
      <c r="BO222" s="726"/>
      <c r="BP222" s="726"/>
      <c r="BQ222" s="726"/>
      <c r="BR222" s="726"/>
      <c r="BS222" s="726"/>
    </row>
    <row r="223" spans="1:71" s="563" customFormat="1">
      <c r="A223" s="614"/>
      <c r="E223" s="565"/>
      <c r="F223" s="565"/>
      <c r="Q223" s="726"/>
      <c r="R223" s="726"/>
      <c r="S223" s="726"/>
      <c r="T223" s="726"/>
      <c r="U223" s="726"/>
      <c r="V223" s="726"/>
      <c r="W223" s="726"/>
      <c r="X223" s="726"/>
      <c r="Y223" s="726"/>
      <c r="Z223" s="726"/>
      <c r="AA223" s="726"/>
      <c r="AB223" s="726"/>
      <c r="AC223" s="726"/>
      <c r="AD223" s="726"/>
      <c r="AE223" s="726"/>
      <c r="AF223" s="726"/>
      <c r="AG223" s="726"/>
      <c r="AH223" s="726"/>
      <c r="AI223" s="726"/>
      <c r="AJ223" s="726"/>
      <c r="AK223" s="726"/>
      <c r="AL223" s="726"/>
      <c r="AM223" s="726"/>
      <c r="AN223" s="726"/>
      <c r="AO223" s="726"/>
      <c r="AP223" s="726"/>
      <c r="AQ223" s="726"/>
      <c r="AR223" s="726"/>
      <c r="AS223" s="726"/>
      <c r="AT223" s="726"/>
      <c r="AU223" s="726"/>
      <c r="AV223" s="726"/>
      <c r="AW223" s="726"/>
      <c r="AX223" s="726"/>
      <c r="AY223" s="726"/>
      <c r="AZ223" s="726"/>
      <c r="BA223" s="726"/>
      <c r="BB223" s="726"/>
      <c r="BC223" s="726"/>
      <c r="BD223" s="726"/>
      <c r="BE223" s="726"/>
      <c r="BF223" s="726"/>
      <c r="BG223" s="726"/>
      <c r="BH223" s="726"/>
      <c r="BI223" s="726"/>
      <c r="BJ223" s="726"/>
      <c r="BK223" s="726"/>
      <c r="BL223" s="726"/>
      <c r="BM223" s="726"/>
      <c r="BN223" s="726"/>
      <c r="BO223" s="726"/>
      <c r="BP223" s="726"/>
      <c r="BQ223" s="726"/>
      <c r="BR223" s="726"/>
      <c r="BS223" s="726"/>
    </row>
    <row r="224" spans="1:71" s="563" customFormat="1">
      <c r="A224" s="614"/>
      <c r="E224" s="565"/>
      <c r="F224" s="565"/>
      <c r="Q224" s="726"/>
      <c r="R224" s="726"/>
      <c r="S224" s="726"/>
      <c r="T224" s="726"/>
      <c r="U224" s="726"/>
      <c r="V224" s="726"/>
      <c r="W224" s="726"/>
      <c r="X224" s="726"/>
      <c r="Y224" s="726"/>
      <c r="Z224" s="726"/>
      <c r="AA224" s="726"/>
      <c r="AB224" s="726"/>
      <c r="AC224" s="726"/>
      <c r="AD224" s="726"/>
      <c r="AE224" s="726"/>
      <c r="AF224" s="726"/>
      <c r="AG224" s="726"/>
      <c r="AH224" s="726"/>
      <c r="AI224" s="726"/>
      <c r="AJ224" s="726"/>
      <c r="AK224" s="726"/>
      <c r="AL224" s="726"/>
      <c r="AM224" s="726"/>
      <c r="AN224" s="726"/>
      <c r="AO224" s="726"/>
      <c r="AP224" s="726"/>
      <c r="AQ224" s="726"/>
      <c r="AR224" s="726"/>
      <c r="AS224" s="726"/>
      <c r="AT224" s="726"/>
      <c r="AU224" s="726"/>
      <c r="AV224" s="726"/>
      <c r="AW224" s="726"/>
      <c r="AX224" s="726"/>
      <c r="AY224" s="726"/>
      <c r="AZ224" s="726"/>
      <c r="BA224" s="726"/>
      <c r="BB224" s="726"/>
      <c r="BC224" s="726"/>
      <c r="BD224" s="726"/>
      <c r="BE224" s="726"/>
      <c r="BF224" s="726"/>
      <c r="BG224" s="726"/>
      <c r="BH224" s="726"/>
      <c r="BI224" s="726"/>
      <c r="BJ224" s="726"/>
      <c r="BK224" s="726"/>
      <c r="BL224" s="726"/>
      <c r="BM224" s="726"/>
      <c r="BN224" s="726"/>
      <c r="BO224" s="726"/>
      <c r="BP224" s="726"/>
      <c r="BQ224" s="726"/>
      <c r="BR224" s="726"/>
      <c r="BS224" s="726"/>
    </row>
    <row r="225" spans="1:71" s="563" customFormat="1">
      <c r="A225" s="614"/>
      <c r="E225" s="565"/>
      <c r="F225" s="565"/>
      <c r="Q225" s="726"/>
      <c r="R225" s="726"/>
      <c r="S225" s="726"/>
      <c r="T225" s="726"/>
      <c r="U225" s="726"/>
      <c r="V225" s="726"/>
      <c r="W225" s="726"/>
      <c r="X225" s="726"/>
      <c r="Y225" s="726"/>
      <c r="Z225" s="726"/>
      <c r="AA225" s="726"/>
      <c r="AB225" s="726"/>
      <c r="AC225" s="726"/>
      <c r="AD225" s="726"/>
      <c r="AE225" s="726"/>
      <c r="AF225" s="726"/>
      <c r="AG225" s="726"/>
      <c r="AH225" s="726"/>
      <c r="AI225" s="726"/>
      <c r="AJ225" s="726"/>
      <c r="AK225" s="726"/>
      <c r="AL225" s="726"/>
      <c r="AM225" s="726"/>
      <c r="AN225" s="726"/>
      <c r="AO225" s="726"/>
      <c r="AP225" s="726"/>
      <c r="AQ225" s="726"/>
      <c r="AR225" s="726"/>
      <c r="AS225" s="726"/>
      <c r="AT225" s="726"/>
      <c r="AU225" s="726"/>
      <c r="AV225" s="726"/>
      <c r="AW225" s="726"/>
      <c r="AX225" s="726"/>
      <c r="AY225" s="726"/>
      <c r="AZ225" s="726"/>
      <c r="BA225" s="726"/>
      <c r="BB225" s="726"/>
      <c r="BC225" s="726"/>
      <c r="BD225" s="726"/>
      <c r="BE225" s="726"/>
      <c r="BF225" s="726"/>
      <c r="BG225" s="726"/>
      <c r="BH225" s="726"/>
      <c r="BI225" s="726"/>
      <c r="BJ225" s="726"/>
      <c r="BK225" s="726"/>
      <c r="BL225" s="726"/>
      <c r="BM225" s="726"/>
      <c r="BN225" s="726"/>
      <c r="BO225" s="726"/>
      <c r="BP225" s="726"/>
      <c r="BQ225" s="726"/>
      <c r="BR225" s="726"/>
      <c r="BS225" s="726"/>
    </row>
    <row r="226" spans="1:71" s="563" customFormat="1">
      <c r="A226" s="614"/>
      <c r="E226" s="565"/>
      <c r="F226" s="565"/>
      <c r="Q226" s="726"/>
      <c r="R226" s="726"/>
      <c r="S226" s="726"/>
      <c r="T226" s="726"/>
      <c r="U226" s="726"/>
      <c r="V226" s="726"/>
      <c r="W226" s="726"/>
      <c r="X226" s="726"/>
      <c r="Y226" s="726"/>
      <c r="Z226" s="726"/>
      <c r="AA226" s="726"/>
      <c r="AB226" s="726"/>
      <c r="AC226" s="726"/>
      <c r="AD226" s="726"/>
      <c r="AE226" s="726"/>
      <c r="AF226" s="726"/>
      <c r="AG226" s="726"/>
      <c r="AH226" s="726"/>
      <c r="AI226" s="726"/>
      <c r="AJ226" s="726"/>
      <c r="AK226" s="726"/>
      <c r="AL226" s="726"/>
      <c r="AM226" s="726"/>
      <c r="AN226" s="726"/>
      <c r="AO226" s="726"/>
      <c r="AP226" s="726"/>
      <c r="AQ226" s="726"/>
      <c r="AR226" s="726"/>
      <c r="AS226" s="726"/>
      <c r="AT226" s="726"/>
      <c r="AU226" s="726"/>
      <c r="AV226" s="726"/>
      <c r="AW226" s="726"/>
      <c r="AX226" s="726"/>
      <c r="AY226" s="726"/>
      <c r="AZ226" s="726"/>
      <c r="BA226" s="726"/>
      <c r="BB226" s="726"/>
      <c r="BC226" s="726"/>
      <c r="BD226" s="726"/>
      <c r="BE226" s="726"/>
      <c r="BF226" s="726"/>
      <c r="BG226" s="726"/>
      <c r="BH226" s="726"/>
      <c r="BI226" s="726"/>
      <c r="BJ226" s="726"/>
      <c r="BK226" s="726"/>
      <c r="BL226" s="726"/>
      <c r="BM226" s="726"/>
      <c r="BN226" s="726"/>
      <c r="BO226" s="726"/>
      <c r="BP226" s="726"/>
      <c r="BQ226" s="726"/>
      <c r="BR226" s="726"/>
      <c r="BS226" s="726"/>
    </row>
    <row r="227" spans="1:71" s="563" customFormat="1">
      <c r="A227" s="614"/>
      <c r="E227" s="565"/>
      <c r="F227" s="565"/>
      <c r="Q227" s="726"/>
      <c r="R227" s="726"/>
      <c r="S227" s="726"/>
      <c r="T227" s="726"/>
      <c r="U227" s="726"/>
      <c r="V227" s="726"/>
      <c r="W227" s="726"/>
      <c r="X227" s="726"/>
      <c r="Y227" s="726"/>
      <c r="Z227" s="726"/>
      <c r="AA227" s="726"/>
      <c r="AB227" s="726"/>
      <c r="AC227" s="726"/>
      <c r="AD227" s="726"/>
      <c r="AE227" s="726"/>
      <c r="AF227" s="726"/>
      <c r="AG227" s="726"/>
      <c r="AH227" s="726"/>
      <c r="AI227" s="726"/>
      <c r="AJ227" s="726"/>
      <c r="AK227" s="726"/>
      <c r="AL227" s="726"/>
      <c r="AM227" s="726"/>
      <c r="AN227" s="726"/>
      <c r="AO227" s="726"/>
      <c r="AP227" s="726"/>
      <c r="AQ227" s="726"/>
      <c r="AR227" s="726"/>
      <c r="AS227" s="726"/>
      <c r="AT227" s="726"/>
      <c r="AU227" s="726"/>
      <c r="AV227" s="726"/>
      <c r="AW227" s="726"/>
      <c r="AX227" s="726"/>
      <c r="AY227" s="726"/>
      <c r="AZ227" s="726"/>
      <c r="BA227" s="726"/>
      <c r="BB227" s="726"/>
      <c r="BC227" s="726"/>
      <c r="BD227" s="726"/>
      <c r="BE227" s="726"/>
      <c r="BF227" s="726"/>
      <c r="BG227" s="726"/>
      <c r="BH227" s="726"/>
      <c r="BI227" s="726"/>
      <c r="BJ227" s="726"/>
      <c r="BK227" s="726"/>
      <c r="BL227" s="726"/>
      <c r="BM227" s="726"/>
      <c r="BN227" s="726"/>
      <c r="BO227" s="726"/>
      <c r="BP227" s="726"/>
      <c r="BQ227" s="726"/>
      <c r="BR227" s="726"/>
      <c r="BS227" s="726"/>
    </row>
    <row r="228" spans="1:71" s="563" customFormat="1">
      <c r="A228" s="614"/>
      <c r="E228" s="565"/>
      <c r="F228" s="565"/>
      <c r="Q228" s="726"/>
      <c r="R228" s="726"/>
      <c r="S228" s="726"/>
      <c r="T228" s="726"/>
      <c r="U228" s="726"/>
      <c r="V228" s="726"/>
      <c r="W228" s="726"/>
      <c r="X228" s="726"/>
      <c r="Y228" s="726"/>
      <c r="Z228" s="726"/>
      <c r="AA228" s="726"/>
      <c r="AB228" s="726"/>
      <c r="AC228" s="726"/>
      <c r="AD228" s="726"/>
      <c r="AE228" s="726"/>
      <c r="AF228" s="726"/>
      <c r="AG228" s="726"/>
      <c r="AH228" s="726"/>
      <c r="AI228" s="726"/>
      <c r="AJ228" s="726"/>
      <c r="AK228" s="726"/>
      <c r="AL228" s="726"/>
      <c r="AM228" s="726"/>
      <c r="AN228" s="726"/>
      <c r="AO228" s="726"/>
      <c r="AP228" s="726"/>
      <c r="AQ228" s="726"/>
      <c r="AR228" s="726"/>
      <c r="AS228" s="726"/>
      <c r="AT228" s="726"/>
      <c r="AU228" s="726"/>
      <c r="AV228" s="726"/>
      <c r="AW228" s="726"/>
      <c r="AX228" s="726"/>
      <c r="AY228" s="726"/>
      <c r="AZ228" s="726"/>
      <c r="BA228" s="726"/>
      <c r="BB228" s="726"/>
      <c r="BC228" s="726"/>
      <c r="BD228" s="726"/>
      <c r="BE228" s="726"/>
      <c r="BF228" s="726"/>
      <c r="BG228" s="726"/>
      <c r="BH228" s="726"/>
      <c r="BI228" s="726"/>
      <c r="BJ228" s="726"/>
      <c r="BK228" s="726"/>
      <c r="BL228" s="726"/>
      <c r="BM228" s="726"/>
      <c r="BN228" s="726"/>
      <c r="BO228" s="726"/>
      <c r="BP228" s="726"/>
      <c r="BQ228" s="726"/>
      <c r="BR228" s="726"/>
      <c r="BS228" s="726"/>
    </row>
    <row r="229" spans="1:71" s="563" customFormat="1">
      <c r="A229" s="614"/>
      <c r="E229" s="565"/>
      <c r="F229" s="565"/>
      <c r="Q229" s="726"/>
      <c r="R229" s="726"/>
      <c r="S229" s="726"/>
      <c r="T229" s="726"/>
      <c r="U229" s="726"/>
      <c r="V229" s="726"/>
      <c r="W229" s="726"/>
      <c r="X229" s="726"/>
      <c r="Y229" s="726"/>
      <c r="Z229" s="726"/>
      <c r="AA229" s="726"/>
      <c r="AB229" s="726"/>
      <c r="AC229" s="726"/>
      <c r="AD229" s="726"/>
      <c r="AE229" s="726"/>
      <c r="AF229" s="726"/>
      <c r="AG229" s="726"/>
      <c r="AH229" s="726"/>
      <c r="AI229" s="726"/>
      <c r="AJ229" s="726"/>
      <c r="AK229" s="726"/>
      <c r="AL229" s="726"/>
      <c r="AM229" s="726"/>
      <c r="AN229" s="726"/>
      <c r="AO229" s="726"/>
      <c r="AP229" s="726"/>
      <c r="AQ229" s="726"/>
      <c r="AR229" s="726"/>
      <c r="AS229" s="726"/>
      <c r="AT229" s="726"/>
      <c r="AU229" s="726"/>
      <c r="AV229" s="726"/>
      <c r="AW229" s="726"/>
      <c r="AX229" s="726"/>
      <c r="AY229" s="726"/>
      <c r="AZ229" s="726"/>
      <c r="BA229" s="726"/>
      <c r="BB229" s="726"/>
      <c r="BC229" s="726"/>
      <c r="BD229" s="726"/>
      <c r="BE229" s="726"/>
      <c r="BF229" s="726"/>
      <c r="BG229" s="726"/>
      <c r="BH229" s="726"/>
      <c r="BI229" s="726"/>
      <c r="BJ229" s="726"/>
      <c r="BK229" s="726"/>
      <c r="BL229" s="726"/>
      <c r="BM229" s="726"/>
      <c r="BN229" s="726"/>
      <c r="BO229" s="726"/>
      <c r="BP229" s="726"/>
      <c r="BQ229" s="726"/>
      <c r="BR229" s="726"/>
      <c r="BS229" s="726"/>
    </row>
    <row r="230" spans="1:71" s="563" customFormat="1">
      <c r="A230" s="614"/>
      <c r="E230" s="565"/>
      <c r="F230" s="565"/>
      <c r="Q230" s="726"/>
      <c r="R230" s="726"/>
      <c r="S230" s="726"/>
      <c r="T230" s="726"/>
      <c r="U230" s="726"/>
      <c r="V230" s="726"/>
      <c r="W230" s="726"/>
      <c r="X230" s="726"/>
      <c r="Y230" s="726"/>
      <c r="Z230" s="726"/>
      <c r="AA230" s="726"/>
      <c r="AB230" s="726"/>
      <c r="AC230" s="726"/>
      <c r="AD230" s="726"/>
      <c r="AE230" s="726"/>
      <c r="AF230" s="726"/>
      <c r="AG230" s="726"/>
      <c r="AH230" s="726"/>
      <c r="AI230" s="726"/>
      <c r="AJ230" s="726"/>
      <c r="AK230" s="726"/>
      <c r="AL230" s="726"/>
      <c r="AM230" s="726"/>
      <c r="AN230" s="726"/>
      <c r="AO230" s="726"/>
      <c r="AP230" s="726"/>
      <c r="AQ230" s="726"/>
      <c r="AR230" s="726"/>
      <c r="AS230" s="726"/>
      <c r="AT230" s="726"/>
      <c r="AU230" s="726"/>
      <c r="AV230" s="726"/>
      <c r="AW230" s="726"/>
      <c r="AX230" s="726"/>
      <c r="AY230" s="726"/>
      <c r="AZ230" s="726"/>
      <c r="BA230" s="726"/>
      <c r="BB230" s="726"/>
      <c r="BC230" s="726"/>
      <c r="BD230" s="726"/>
      <c r="BE230" s="726"/>
      <c r="BF230" s="726"/>
      <c r="BG230" s="726"/>
      <c r="BH230" s="726"/>
      <c r="BI230" s="726"/>
      <c r="BJ230" s="726"/>
      <c r="BK230" s="726"/>
      <c r="BL230" s="726"/>
      <c r="BM230" s="726"/>
      <c r="BN230" s="726"/>
      <c r="BO230" s="726"/>
      <c r="BP230" s="726"/>
      <c r="BQ230" s="726"/>
      <c r="BR230" s="726"/>
      <c r="BS230" s="726"/>
    </row>
    <row r="231" spans="1:71" s="563" customFormat="1">
      <c r="A231" s="614"/>
      <c r="E231" s="565"/>
      <c r="F231" s="565"/>
      <c r="Q231" s="726"/>
      <c r="R231" s="726"/>
      <c r="S231" s="726"/>
      <c r="T231" s="726"/>
      <c r="U231" s="726"/>
      <c r="V231" s="726"/>
      <c r="W231" s="726"/>
      <c r="X231" s="726"/>
      <c r="Y231" s="726"/>
      <c r="Z231" s="726"/>
      <c r="AA231" s="726"/>
      <c r="AB231" s="726"/>
      <c r="AC231" s="726"/>
      <c r="AD231" s="726"/>
      <c r="AE231" s="726"/>
      <c r="AF231" s="726"/>
      <c r="AG231" s="726"/>
      <c r="AH231" s="726"/>
      <c r="AI231" s="726"/>
      <c r="AJ231" s="726"/>
      <c r="AK231" s="726"/>
      <c r="AL231" s="726"/>
      <c r="AM231" s="726"/>
      <c r="AN231" s="726"/>
      <c r="AO231" s="726"/>
      <c r="AP231" s="726"/>
      <c r="AQ231" s="726"/>
      <c r="AR231" s="726"/>
      <c r="AS231" s="726"/>
      <c r="AT231" s="726"/>
      <c r="AU231" s="726"/>
      <c r="AV231" s="726"/>
      <c r="AW231" s="726"/>
      <c r="AX231" s="726"/>
      <c r="AY231" s="726"/>
      <c r="AZ231" s="726"/>
      <c r="BA231" s="726"/>
      <c r="BB231" s="726"/>
      <c r="BC231" s="726"/>
      <c r="BD231" s="726"/>
      <c r="BE231" s="726"/>
      <c r="BF231" s="726"/>
      <c r="BG231" s="726"/>
      <c r="BH231" s="726"/>
      <c r="BI231" s="726"/>
      <c r="BJ231" s="726"/>
      <c r="BK231" s="726"/>
      <c r="BL231" s="726"/>
      <c r="BM231" s="726"/>
      <c r="BN231" s="726"/>
      <c r="BO231" s="726"/>
      <c r="BP231" s="726"/>
      <c r="BQ231" s="726"/>
      <c r="BR231" s="726"/>
      <c r="BS231" s="726"/>
    </row>
    <row r="232" spans="1:71" s="563" customFormat="1">
      <c r="A232" s="614"/>
      <c r="E232" s="565"/>
      <c r="F232" s="565"/>
      <c r="Q232" s="726"/>
      <c r="R232" s="726"/>
      <c r="S232" s="726"/>
      <c r="T232" s="726"/>
      <c r="U232" s="726"/>
      <c r="V232" s="726"/>
      <c r="W232" s="726"/>
      <c r="X232" s="726"/>
      <c r="Y232" s="726"/>
      <c r="Z232" s="726"/>
      <c r="AA232" s="726"/>
      <c r="AB232" s="726"/>
      <c r="AC232" s="726"/>
      <c r="AD232" s="726"/>
      <c r="AE232" s="726"/>
      <c r="AF232" s="726"/>
      <c r="AG232" s="726"/>
      <c r="AH232" s="726"/>
      <c r="AI232" s="726"/>
      <c r="AJ232" s="726"/>
      <c r="AK232" s="726"/>
      <c r="AL232" s="726"/>
      <c r="AM232" s="726"/>
      <c r="AN232" s="726"/>
      <c r="AO232" s="726"/>
      <c r="AP232" s="726"/>
      <c r="AQ232" s="726"/>
      <c r="AR232" s="726"/>
      <c r="AS232" s="726"/>
      <c r="AT232" s="726"/>
      <c r="AU232" s="726"/>
      <c r="AV232" s="726"/>
      <c r="AW232" s="726"/>
      <c r="AX232" s="726"/>
      <c r="AY232" s="726"/>
      <c r="AZ232" s="726"/>
      <c r="BA232" s="726"/>
      <c r="BB232" s="726"/>
      <c r="BC232" s="726"/>
      <c r="BD232" s="726"/>
      <c r="BE232" s="726"/>
      <c r="BF232" s="726"/>
      <c r="BG232" s="726"/>
      <c r="BH232" s="726"/>
      <c r="BI232" s="726"/>
      <c r="BJ232" s="726"/>
      <c r="BK232" s="726"/>
      <c r="BL232" s="726"/>
      <c r="BM232" s="726"/>
      <c r="BN232" s="726"/>
      <c r="BO232" s="726"/>
      <c r="BP232" s="726"/>
      <c r="BQ232" s="726"/>
      <c r="BR232" s="726"/>
      <c r="BS232" s="726"/>
    </row>
    <row r="233" spans="1:71" s="563" customFormat="1">
      <c r="A233" s="614"/>
      <c r="E233" s="565"/>
      <c r="F233" s="565"/>
      <c r="Q233" s="726"/>
      <c r="R233" s="726"/>
      <c r="S233" s="726"/>
      <c r="T233" s="726"/>
      <c r="U233" s="726"/>
      <c r="V233" s="726"/>
      <c r="W233" s="726"/>
      <c r="X233" s="726"/>
      <c r="Y233" s="726"/>
      <c r="Z233" s="726"/>
      <c r="AA233" s="726"/>
      <c r="AB233" s="726"/>
      <c r="AC233" s="726"/>
      <c r="AD233" s="726"/>
      <c r="AE233" s="726"/>
      <c r="AF233" s="726"/>
      <c r="AG233" s="726"/>
      <c r="AH233" s="726"/>
      <c r="AI233" s="726"/>
      <c r="AJ233" s="726"/>
      <c r="AK233" s="726"/>
      <c r="AL233" s="726"/>
      <c r="AM233" s="726"/>
      <c r="AN233" s="726"/>
      <c r="AO233" s="726"/>
      <c r="AP233" s="726"/>
      <c r="AQ233" s="726"/>
      <c r="AR233" s="726"/>
      <c r="AS233" s="726"/>
      <c r="AT233" s="726"/>
      <c r="AU233" s="726"/>
      <c r="AV233" s="726"/>
      <c r="AW233" s="726"/>
      <c r="AX233" s="726"/>
      <c r="AY233" s="726"/>
      <c r="AZ233" s="726"/>
      <c r="BA233" s="726"/>
      <c r="BB233" s="726"/>
      <c r="BC233" s="726"/>
      <c r="BD233" s="726"/>
      <c r="BE233" s="726"/>
      <c r="BF233" s="726"/>
      <c r="BG233" s="726"/>
      <c r="BH233" s="726"/>
      <c r="BI233" s="726"/>
      <c r="BJ233" s="726"/>
      <c r="BK233" s="726"/>
      <c r="BL233" s="726"/>
      <c r="BM233" s="726"/>
      <c r="BN233" s="726"/>
      <c r="BO233" s="726"/>
      <c r="BP233" s="726"/>
      <c r="BQ233" s="726"/>
      <c r="BR233" s="726"/>
      <c r="BS233" s="726"/>
    </row>
    <row r="234" spans="1:71" s="563" customFormat="1">
      <c r="A234" s="614"/>
      <c r="E234" s="565"/>
      <c r="F234" s="565"/>
      <c r="Q234" s="726"/>
      <c r="R234" s="726"/>
      <c r="S234" s="726"/>
      <c r="T234" s="726"/>
      <c r="U234" s="726"/>
      <c r="V234" s="726"/>
      <c r="W234" s="726"/>
      <c r="X234" s="726"/>
      <c r="Y234" s="726"/>
      <c r="Z234" s="726"/>
      <c r="AA234" s="726"/>
      <c r="AB234" s="726"/>
      <c r="AC234" s="726"/>
      <c r="AD234" s="726"/>
      <c r="AE234" s="726"/>
      <c r="AF234" s="726"/>
      <c r="AG234" s="726"/>
      <c r="AH234" s="726"/>
      <c r="AI234" s="726"/>
      <c r="AJ234" s="726"/>
      <c r="AK234" s="726"/>
      <c r="AL234" s="726"/>
      <c r="AM234" s="726"/>
      <c r="AN234" s="726"/>
      <c r="AO234" s="726"/>
      <c r="AP234" s="726"/>
      <c r="AQ234" s="726"/>
      <c r="AR234" s="726"/>
      <c r="AS234" s="726"/>
      <c r="AT234" s="726"/>
      <c r="AU234" s="726"/>
      <c r="AV234" s="726"/>
      <c r="AW234" s="726"/>
      <c r="AX234" s="726"/>
      <c r="AY234" s="726"/>
      <c r="AZ234" s="726"/>
      <c r="BA234" s="726"/>
      <c r="BB234" s="726"/>
      <c r="BC234" s="726"/>
      <c r="BD234" s="726"/>
      <c r="BE234" s="726"/>
      <c r="BF234" s="726"/>
      <c r="BG234" s="726"/>
      <c r="BH234" s="726"/>
      <c r="BI234" s="726"/>
      <c r="BJ234" s="726"/>
      <c r="BK234" s="726"/>
      <c r="BL234" s="726"/>
      <c r="BM234" s="726"/>
      <c r="BN234" s="726"/>
      <c r="BO234" s="726"/>
      <c r="BP234" s="726"/>
      <c r="BQ234" s="726"/>
      <c r="BR234" s="726"/>
      <c r="BS234" s="726"/>
    </row>
    <row r="235" spans="1:71" s="563" customFormat="1">
      <c r="A235" s="614"/>
      <c r="E235" s="565"/>
      <c r="F235" s="565"/>
      <c r="Q235" s="726"/>
      <c r="R235" s="726"/>
      <c r="S235" s="726"/>
      <c r="T235" s="726"/>
      <c r="U235" s="726"/>
      <c r="V235" s="726"/>
      <c r="W235" s="726"/>
      <c r="X235" s="726"/>
      <c r="Y235" s="726"/>
      <c r="Z235" s="726"/>
      <c r="AA235" s="726"/>
      <c r="AB235" s="726"/>
      <c r="AC235" s="726"/>
      <c r="AD235" s="726"/>
      <c r="AE235" s="726"/>
      <c r="AF235" s="726"/>
      <c r="AG235" s="726"/>
      <c r="AH235" s="726"/>
      <c r="AI235" s="726"/>
      <c r="AJ235" s="726"/>
      <c r="AK235" s="726"/>
      <c r="AL235" s="726"/>
      <c r="AM235" s="726"/>
      <c r="AN235" s="726"/>
      <c r="AO235" s="726"/>
      <c r="AP235" s="726"/>
      <c r="AQ235" s="726"/>
      <c r="AR235" s="726"/>
      <c r="AS235" s="726"/>
      <c r="AT235" s="726"/>
      <c r="AU235" s="726"/>
      <c r="AV235" s="726"/>
      <c r="AW235" s="726"/>
      <c r="AX235" s="726"/>
      <c r="AY235" s="726"/>
      <c r="AZ235" s="726"/>
      <c r="BA235" s="726"/>
      <c r="BB235" s="726"/>
      <c r="BC235" s="726"/>
      <c r="BD235" s="726"/>
      <c r="BE235" s="726"/>
      <c r="BF235" s="726"/>
      <c r="BG235" s="726"/>
      <c r="BH235" s="726"/>
      <c r="BI235" s="726"/>
      <c r="BJ235" s="726"/>
      <c r="BK235" s="726"/>
      <c r="BL235" s="726"/>
      <c r="BM235" s="726"/>
      <c r="BN235" s="726"/>
      <c r="BO235" s="726"/>
      <c r="BP235" s="726"/>
      <c r="BQ235" s="726"/>
      <c r="BR235" s="726"/>
      <c r="BS235" s="726"/>
    </row>
    <row r="236" spans="1:71" s="563" customFormat="1">
      <c r="A236" s="614"/>
      <c r="E236" s="565"/>
      <c r="F236" s="565"/>
      <c r="Q236" s="726"/>
      <c r="R236" s="726"/>
      <c r="S236" s="726"/>
      <c r="T236" s="726"/>
      <c r="U236" s="726"/>
      <c r="V236" s="726"/>
      <c r="W236" s="726"/>
      <c r="X236" s="726"/>
      <c r="Y236" s="726"/>
      <c r="Z236" s="726"/>
      <c r="AA236" s="726"/>
      <c r="AB236" s="726"/>
      <c r="AC236" s="726"/>
      <c r="AD236" s="726"/>
      <c r="AE236" s="726"/>
      <c r="AF236" s="726"/>
      <c r="AG236" s="726"/>
      <c r="AH236" s="726"/>
      <c r="AI236" s="726"/>
      <c r="AJ236" s="726"/>
      <c r="AK236" s="726"/>
      <c r="AL236" s="726"/>
      <c r="AM236" s="726"/>
      <c r="AN236" s="726"/>
      <c r="AO236" s="726"/>
      <c r="AP236" s="726"/>
      <c r="AQ236" s="726"/>
      <c r="AR236" s="726"/>
      <c r="AS236" s="726"/>
      <c r="AT236" s="726"/>
      <c r="AU236" s="726"/>
      <c r="AV236" s="726"/>
      <c r="AW236" s="726"/>
      <c r="AX236" s="726"/>
      <c r="AY236" s="726"/>
      <c r="AZ236" s="726"/>
      <c r="BA236" s="726"/>
      <c r="BB236" s="726"/>
      <c r="BC236" s="726"/>
      <c r="BD236" s="726"/>
      <c r="BE236" s="726"/>
      <c r="BF236" s="726"/>
      <c r="BG236" s="726"/>
      <c r="BH236" s="726"/>
      <c r="BI236" s="726"/>
      <c r="BJ236" s="726"/>
      <c r="BK236" s="726"/>
      <c r="BL236" s="726"/>
      <c r="BM236" s="726"/>
      <c r="BN236" s="726"/>
      <c r="BO236" s="726"/>
      <c r="BP236" s="726"/>
      <c r="BQ236" s="726"/>
      <c r="BR236" s="726"/>
      <c r="BS236" s="726"/>
    </row>
    <row r="237" spans="1:71" s="563" customFormat="1">
      <c r="A237" s="614"/>
      <c r="E237" s="565"/>
      <c r="F237" s="565"/>
      <c r="Q237" s="726"/>
      <c r="R237" s="726"/>
      <c r="S237" s="726"/>
      <c r="T237" s="726"/>
      <c r="U237" s="726"/>
      <c r="V237" s="726"/>
      <c r="W237" s="726"/>
      <c r="X237" s="726"/>
      <c r="Y237" s="726"/>
      <c r="Z237" s="726"/>
      <c r="AA237" s="726"/>
      <c r="AB237" s="726"/>
      <c r="AC237" s="726"/>
      <c r="AD237" s="726"/>
      <c r="AE237" s="726"/>
      <c r="AF237" s="726"/>
      <c r="AG237" s="726"/>
      <c r="AH237" s="726"/>
      <c r="AI237" s="726"/>
      <c r="AJ237" s="726"/>
      <c r="AK237" s="726"/>
      <c r="AL237" s="726"/>
      <c r="AM237" s="726"/>
      <c r="AN237" s="726"/>
      <c r="AO237" s="726"/>
      <c r="AP237" s="726"/>
      <c r="AQ237" s="726"/>
      <c r="AR237" s="726"/>
      <c r="AS237" s="726"/>
      <c r="AT237" s="726"/>
      <c r="AU237" s="726"/>
      <c r="AV237" s="726"/>
      <c r="AW237" s="726"/>
      <c r="AX237" s="726"/>
      <c r="AY237" s="726"/>
      <c r="AZ237" s="726"/>
      <c r="BA237" s="726"/>
      <c r="BB237" s="726"/>
      <c r="BC237" s="726"/>
      <c r="BD237" s="726"/>
      <c r="BE237" s="726"/>
      <c r="BF237" s="726"/>
      <c r="BG237" s="726"/>
      <c r="BH237" s="726"/>
      <c r="BI237" s="726"/>
      <c r="BJ237" s="726"/>
      <c r="BK237" s="726"/>
      <c r="BL237" s="726"/>
      <c r="BM237" s="726"/>
      <c r="BN237" s="726"/>
      <c r="BO237" s="726"/>
      <c r="BP237" s="726"/>
      <c r="BQ237" s="726"/>
      <c r="BR237" s="726"/>
      <c r="BS237" s="726"/>
    </row>
    <row r="238" spans="1:71" s="563" customFormat="1">
      <c r="A238" s="614"/>
      <c r="E238" s="565"/>
      <c r="F238" s="565"/>
      <c r="Q238" s="726"/>
      <c r="R238" s="726"/>
      <c r="S238" s="726"/>
      <c r="T238" s="726"/>
      <c r="U238" s="726"/>
      <c r="V238" s="726"/>
      <c r="W238" s="726"/>
      <c r="X238" s="726"/>
      <c r="Y238" s="726"/>
      <c r="Z238" s="726"/>
      <c r="AA238" s="726"/>
      <c r="AB238" s="726"/>
      <c r="AC238" s="726"/>
      <c r="AD238" s="726"/>
      <c r="AE238" s="726"/>
      <c r="AF238" s="726"/>
      <c r="AG238" s="726"/>
      <c r="AH238" s="726"/>
      <c r="AI238" s="726"/>
      <c r="AJ238" s="726"/>
      <c r="AK238" s="726"/>
      <c r="AL238" s="726"/>
      <c r="AM238" s="726"/>
      <c r="AN238" s="726"/>
      <c r="AO238" s="726"/>
      <c r="AP238" s="726"/>
      <c r="AQ238" s="726"/>
      <c r="AR238" s="726"/>
      <c r="AS238" s="726"/>
      <c r="AT238" s="726"/>
      <c r="AU238" s="726"/>
      <c r="AV238" s="726"/>
      <c r="AW238" s="726"/>
      <c r="AX238" s="726"/>
      <c r="AY238" s="726"/>
      <c r="AZ238" s="726"/>
      <c r="BA238" s="726"/>
      <c r="BB238" s="726"/>
      <c r="BC238" s="726"/>
      <c r="BD238" s="726"/>
      <c r="BE238" s="726"/>
      <c r="BF238" s="726"/>
      <c r="BG238" s="726"/>
      <c r="BH238" s="726"/>
      <c r="BI238" s="726"/>
      <c r="BJ238" s="726"/>
      <c r="BK238" s="726"/>
      <c r="BL238" s="726"/>
      <c r="BM238" s="726"/>
      <c r="BN238" s="726"/>
      <c r="BO238" s="726"/>
      <c r="BP238" s="726"/>
      <c r="BQ238" s="726"/>
      <c r="BR238" s="726"/>
      <c r="BS238" s="726"/>
    </row>
    <row r="239" spans="1:71" s="563" customFormat="1">
      <c r="A239" s="614"/>
      <c r="E239" s="565"/>
      <c r="F239" s="565"/>
      <c r="Q239" s="726"/>
      <c r="R239" s="726"/>
      <c r="S239" s="726"/>
      <c r="T239" s="726"/>
      <c r="U239" s="726"/>
      <c r="V239" s="726"/>
      <c r="W239" s="726"/>
      <c r="X239" s="726"/>
      <c r="Y239" s="726"/>
      <c r="Z239" s="726"/>
      <c r="AA239" s="726"/>
      <c r="AB239" s="726"/>
      <c r="AC239" s="726"/>
      <c r="AD239" s="726"/>
      <c r="AE239" s="726"/>
      <c r="AF239" s="726"/>
      <c r="AG239" s="726"/>
      <c r="AH239" s="726"/>
      <c r="AI239" s="726"/>
      <c r="AJ239" s="726"/>
      <c r="AK239" s="726"/>
      <c r="AL239" s="726"/>
      <c r="AM239" s="726"/>
      <c r="AN239" s="726"/>
      <c r="AO239" s="726"/>
      <c r="AP239" s="726"/>
      <c r="AQ239" s="726"/>
      <c r="AR239" s="726"/>
      <c r="AS239" s="726"/>
      <c r="AT239" s="726"/>
      <c r="AU239" s="726"/>
      <c r="AV239" s="726"/>
      <c r="AW239" s="726"/>
      <c r="AX239" s="726"/>
      <c r="AY239" s="726"/>
      <c r="AZ239" s="726"/>
      <c r="BA239" s="726"/>
      <c r="BB239" s="726"/>
      <c r="BC239" s="726"/>
      <c r="BD239" s="726"/>
      <c r="BE239" s="726"/>
      <c r="BF239" s="726"/>
      <c r="BG239" s="726"/>
      <c r="BH239" s="726"/>
      <c r="BI239" s="726"/>
      <c r="BJ239" s="726"/>
      <c r="BK239" s="726"/>
      <c r="BL239" s="726"/>
      <c r="BM239" s="726"/>
      <c r="BN239" s="726"/>
      <c r="BO239" s="726"/>
      <c r="BP239" s="726"/>
      <c r="BQ239" s="726"/>
      <c r="BR239" s="726"/>
      <c r="BS239" s="726"/>
    </row>
    <row r="240" spans="1:71" s="563" customFormat="1">
      <c r="A240" s="614"/>
      <c r="E240" s="565"/>
      <c r="F240" s="565"/>
      <c r="Q240" s="726"/>
      <c r="R240" s="726"/>
      <c r="S240" s="726"/>
      <c r="T240" s="726"/>
      <c r="U240" s="726"/>
      <c r="V240" s="726"/>
      <c r="W240" s="726"/>
      <c r="X240" s="726"/>
      <c r="Y240" s="726"/>
      <c r="Z240" s="726"/>
      <c r="AA240" s="726"/>
      <c r="AB240" s="726"/>
      <c r="AC240" s="726"/>
      <c r="AD240" s="726"/>
      <c r="AE240" s="726"/>
      <c r="AF240" s="726"/>
      <c r="AG240" s="726"/>
      <c r="AH240" s="726"/>
      <c r="AI240" s="726"/>
      <c r="AJ240" s="726"/>
      <c r="AK240" s="726"/>
      <c r="AL240" s="726"/>
      <c r="AM240" s="726"/>
      <c r="AN240" s="726"/>
      <c r="AO240" s="726"/>
      <c r="AP240" s="726"/>
      <c r="AQ240" s="726"/>
      <c r="AR240" s="726"/>
      <c r="AS240" s="726"/>
      <c r="AT240" s="726"/>
      <c r="AU240" s="726"/>
      <c r="AV240" s="726"/>
      <c r="AW240" s="726"/>
      <c r="AX240" s="726"/>
      <c r="AY240" s="726"/>
      <c r="AZ240" s="726"/>
      <c r="BA240" s="726"/>
      <c r="BB240" s="726"/>
      <c r="BC240" s="726"/>
      <c r="BD240" s="726"/>
      <c r="BE240" s="726"/>
      <c r="BF240" s="726"/>
      <c r="BG240" s="726"/>
      <c r="BH240" s="726"/>
      <c r="BI240" s="726"/>
      <c r="BJ240" s="726"/>
      <c r="BK240" s="726"/>
      <c r="BL240" s="726"/>
      <c r="BM240" s="726"/>
      <c r="BN240" s="726"/>
      <c r="BO240" s="726"/>
      <c r="BP240" s="726"/>
      <c r="BQ240" s="726"/>
      <c r="BR240" s="726"/>
      <c r="BS240" s="726"/>
    </row>
    <row r="241" spans="1:71" s="563" customFormat="1">
      <c r="A241" s="614"/>
      <c r="E241" s="565"/>
      <c r="F241" s="565"/>
      <c r="Q241" s="726"/>
      <c r="R241" s="726"/>
      <c r="S241" s="726"/>
      <c r="T241" s="726"/>
      <c r="U241" s="726"/>
      <c r="V241" s="726"/>
      <c r="W241" s="726"/>
      <c r="X241" s="726"/>
      <c r="Y241" s="726"/>
      <c r="Z241" s="726"/>
      <c r="AA241" s="726"/>
      <c r="AB241" s="726"/>
      <c r="AC241" s="726"/>
      <c r="AD241" s="726"/>
      <c r="AE241" s="726"/>
      <c r="AF241" s="726"/>
      <c r="AG241" s="726"/>
      <c r="AH241" s="726"/>
      <c r="AI241" s="726"/>
      <c r="AJ241" s="726"/>
      <c r="AK241" s="726"/>
      <c r="AL241" s="726"/>
      <c r="AM241" s="726"/>
      <c r="AN241" s="726"/>
      <c r="AO241" s="726"/>
      <c r="AP241" s="726"/>
      <c r="AQ241" s="726"/>
      <c r="AR241" s="726"/>
      <c r="AS241" s="726"/>
      <c r="AT241" s="726"/>
      <c r="AU241" s="726"/>
      <c r="AV241" s="726"/>
      <c r="AW241" s="726"/>
      <c r="AX241" s="726"/>
      <c r="AY241" s="726"/>
      <c r="AZ241" s="726"/>
      <c r="BA241" s="726"/>
      <c r="BB241" s="726"/>
      <c r="BC241" s="726"/>
      <c r="BD241" s="726"/>
      <c r="BE241" s="726"/>
      <c r="BF241" s="726"/>
      <c r="BG241" s="726"/>
      <c r="BH241" s="726"/>
      <c r="BI241" s="726"/>
      <c r="BJ241" s="726"/>
      <c r="BK241" s="726"/>
      <c r="BL241" s="726"/>
      <c r="BM241" s="726"/>
      <c r="BN241" s="726"/>
      <c r="BO241" s="726"/>
      <c r="BP241" s="726"/>
      <c r="BQ241" s="726"/>
      <c r="BR241" s="726"/>
      <c r="BS241" s="726"/>
    </row>
    <row r="242" spans="1:71" s="563" customFormat="1">
      <c r="A242" s="614"/>
      <c r="E242" s="565"/>
      <c r="F242" s="565"/>
      <c r="Q242" s="726"/>
      <c r="R242" s="726"/>
      <c r="S242" s="726"/>
      <c r="T242" s="726"/>
      <c r="U242" s="726"/>
      <c r="V242" s="726"/>
      <c r="W242" s="726"/>
      <c r="X242" s="726"/>
      <c r="Y242" s="726"/>
      <c r="Z242" s="726"/>
      <c r="AA242" s="726"/>
      <c r="AB242" s="726"/>
      <c r="AC242" s="726"/>
      <c r="AD242" s="726"/>
      <c r="AE242" s="726"/>
      <c r="AF242" s="726"/>
      <c r="AG242" s="726"/>
      <c r="AH242" s="726"/>
      <c r="AI242" s="726"/>
      <c r="AJ242" s="726"/>
      <c r="AK242" s="726"/>
      <c r="AL242" s="726"/>
      <c r="AM242" s="726"/>
      <c r="AN242" s="726"/>
      <c r="AO242" s="726"/>
      <c r="AP242" s="726"/>
      <c r="AQ242" s="726"/>
      <c r="AR242" s="726"/>
      <c r="AS242" s="726"/>
      <c r="AT242" s="726"/>
      <c r="AU242" s="726"/>
      <c r="AV242" s="726"/>
      <c r="AW242" s="726"/>
      <c r="AX242" s="726"/>
      <c r="AY242" s="726"/>
      <c r="AZ242" s="726"/>
      <c r="BA242" s="726"/>
      <c r="BB242" s="726"/>
      <c r="BC242" s="726"/>
      <c r="BD242" s="726"/>
      <c r="BE242" s="726"/>
      <c r="BF242" s="726"/>
      <c r="BG242" s="726"/>
      <c r="BH242" s="726"/>
      <c r="BI242" s="726"/>
      <c r="BJ242" s="726"/>
      <c r="BK242" s="726"/>
      <c r="BL242" s="726"/>
      <c r="BM242" s="726"/>
      <c r="BN242" s="726"/>
      <c r="BO242" s="726"/>
      <c r="BP242" s="726"/>
      <c r="BQ242" s="726"/>
      <c r="BR242" s="726"/>
      <c r="BS242" s="726"/>
    </row>
    <row r="243" spans="1:71" s="563" customFormat="1">
      <c r="A243" s="614"/>
      <c r="E243" s="565"/>
      <c r="F243" s="565"/>
      <c r="Q243" s="726"/>
      <c r="R243" s="726"/>
      <c r="S243" s="726"/>
      <c r="T243" s="726"/>
      <c r="U243" s="726"/>
      <c r="V243" s="726"/>
      <c r="W243" s="726"/>
      <c r="X243" s="726"/>
      <c r="Y243" s="726"/>
      <c r="Z243" s="726"/>
      <c r="AA243" s="726"/>
      <c r="AB243" s="726"/>
      <c r="AC243" s="726"/>
      <c r="AD243" s="726"/>
      <c r="AE243" s="726"/>
      <c r="AF243" s="726"/>
      <c r="AG243" s="726"/>
      <c r="AH243" s="726"/>
      <c r="AI243" s="726"/>
      <c r="AJ243" s="726"/>
      <c r="AK243" s="726"/>
      <c r="AL243" s="726"/>
      <c r="AM243" s="726"/>
      <c r="AN243" s="726"/>
      <c r="AO243" s="726"/>
      <c r="AP243" s="726"/>
      <c r="AQ243" s="726"/>
      <c r="AR243" s="726"/>
      <c r="AS243" s="726"/>
      <c r="AT243" s="726"/>
      <c r="AU243" s="726"/>
      <c r="AV243" s="726"/>
      <c r="AW243" s="726"/>
      <c r="AX243" s="726"/>
      <c r="AY243" s="726"/>
      <c r="AZ243" s="726"/>
      <c r="BA243" s="726"/>
      <c r="BB243" s="726"/>
      <c r="BC243" s="726"/>
      <c r="BD243" s="726"/>
      <c r="BE243" s="726"/>
      <c r="BF243" s="726"/>
      <c r="BG243" s="726"/>
      <c r="BH243" s="726"/>
      <c r="BI243" s="726"/>
      <c r="BJ243" s="726"/>
      <c r="BK243" s="726"/>
      <c r="BL243" s="726"/>
      <c r="BM243" s="726"/>
      <c r="BN243" s="726"/>
      <c r="BO243" s="726"/>
      <c r="BP243" s="726"/>
      <c r="BQ243" s="726"/>
      <c r="BR243" s="726"/>
      <c r="BS243" s="726"/>
    </row>
    <row r="244" spans="1:71" s="563" customFormat="1">
      <c r="A244" s="614"/>
      <c r="E244" s="565"/>
      <c r="F244" s="565"/>
      <c r="Q244" s="726"/>
      <c r="R244" s="726"/>
      <c r="S244" s="726"/>
      <c r="T244" s="726"/>
      <c r="U244" s="726"/>
      <c r="V244" s="726"/>
      <c r="W244" s="726"/>
      <c r="X244" s="726"/>
      <c r="Y244" s="726"/>
      <c r="Z244" s="726"/>
      <c r="AA244" s="726"/>
      <c r="AB244" s="726"/>
      <c r="AC244" s="726"/>
      <c r="AD244" s="726"/>
      <c r="AE244" s="726"/>
      <c r="AF244" s="726"/>
      <c r="AG244" s="726"/>
      <c r="AH244" s="726"/>
      <c r="AI244" s="726"/>
      <c r="AJ244" s="726"/>
      <c r="AK244" s="726"/>
      <c r="AL244" s="726"/>
      <c r="AM244" s="726"/>
      <c r="AN244" s="726"/>
      <c r="AO244" s="726"/>
      <c r="AP244" s="726"/>
      <c r="AQ244" s="726"/>
      <c r="AR244" s="726"/>
      <c r="AS244" s="726"/>
      <c r="AT244" s="726"/>
      <c r="AU244" s="726"/>
      <c r="AV244" s="726"/>
      <c r="AW244" s="726"/>
      <c r="AX244" s="726"/>
      <c r="AY244" s="726"/>
      <c r="AZ244" s="726"/>
      <c r="BA244" s="726"/>
      <c r="BB244" s="726"/>
      <c r="BC244" s="726"/>
      <c r="BD244" s="726"/>
      <c r="BE244" s="726"/>
      <c r="BF244" s="726"/>
      <c r="BG244" s="726"/>
      <c r="BH244" s="726"/>
      <c r="BI244" s="726"/>
      <c r="BJ244" s="726"/>
      <c r="BK244" s="726"/>
      <c r="BL244" s="726"/>
      <c r="BM244" s="726"/>
      <c r="BN244" s="726"/>
      <c r="BO244" s="726"/>
      <c r="BP244" s="726"/>
      <c r="BQ244" s="726"/>
      <c r="BR244" s="726"/>
      <c r="BS244" s="726"/>
    </row>
    <row r="245" spans="1:71" s="563" customFormat="1">
      <c r="A245" s="614"/>
      <c r="E245" s="565"/>
      <c r="F245" s="565"/>
      <c r="Q245" s="726"/>
      <c r="R245" s="726"/>
      <c r="S245" s="726"/>
      <c r="T245" s="726"/>
      <c r="U245" s="726"/>
      <c r="V245" s="726"/>
      <c r="W245" s="726"/>
      <c r="X245" s="726"/>
      <c r="Y245" s="726"/>
      <c r="Z245" s="726"/>
      <c r="AA245" s="726"/>
      <c r="AB245" s="726"/>
      <c r="AC245" s="726"/>
      <c r="AD245" s="726"/>
      <c r="AE245" s="726"/>
      <c r="AF245" s="726"/>
      <c r="AG245" s="726"/>
      <c r="AH245" s="726"/>
      <c r="AI245" s="726"/>
      <c r="AJ245" s="726"/>
      <c r="AK245" s="726"/>
      <c r="AL245" s="726"/>
      <c r="AM245" s="726"/>
      <c r="AN245" s="726"/>
      <c r="AO245" s="726"/>
      <c r="AP245" s="726"/>
      <c r="AQ245" s="726"/>
      <c r="AR245" s="726"/>
      <c r="AS245" s="726"/>
      <c r="AT245" s="726"/>
      <c r="AU245" s="726"/>
      <c r="AV245" s="726"/>
      <c r="AW245" s="726"/>
      <c r="AX245" s="726"/>
      <c r="AY245" s="726"/>
      <c r="AZ245" s="726"/>
      <c r="BA245" s="726"/>
      <c r="BB245" s="726"/>
      <c r="BC245" s="726"/>
      <c r="BD245" s="726"/>
      <c r="BE245" s="726"/>
      <c r="BF245" s="726"/>
      <c r="BG245" s="726"/>
      <c r="BH245" s="726"/>
      <c r="BI245" s="726"/>
      <c r="BJ245" s="726"/>
      <c r="BK245" s="726"/>
      <c r="BL245" s="726"/>
      <c r="BM245" s="726"/>
      <c r="BN245" s="726"/>
      <c r="BO245" s="726"/>
      <c r="BP245" s="726"/>
      <c r="BQ245" s="726"/>
      <c r="BR245" s="726"/>
      <c r="BS245" s="726"/>
    </row>
    <row r="246" spans="1:71" s="563" customFormat="1">
      <c r="A246" s="614"/>
      <c r="E246" s="565"/>
      <c r="F246" s="565"/>
      <c r="Q246" s="726"/>
      <c r="R246" s="726"/>
      <c r="S246" s="726"/>
      <c r="T246" s="726"/>
      <c r="U246" s="726"/>
      <c r="V246" s="726"/>
      <c r="W246" s="726"/>
      <c r="X246" s="726"/>
      <c r="Y246" s="726"/>
      <c r="Z246" s="726"/>
      <c r="AA246" s="726"/>
      <c r="AB246" s="726"/>
      <c r="AC246" s="726"/>
      <c r="AD246" s="726"/>
      <c r="AE246" s="726"/>
      <c r="AF246" s="726"/>
      <c r="AG246" s="726"/>
      <c r="AH246" s="726"/>
      <c r="AI246" s="726"/>
      <c r="AJ246" s="726"/>
      <c r="AK246" s="726"/>
      <c r="AL246" s="726"/>
      <c r="AM246" s="726"/>
      <c r="AN246" s="726"/>
      <c r="AO246" s="726"/>
      <c r="AP246" s="726"/>
      <c r="AQ246" s="726"/>
      <c r="AR246" s="726"/>
      <c r="AS246" s="726"/>
      <c r="AT246" s="726"/>
      <c r="AU246" s="726"/>
      <c r="AV246" s="726"/>
      <c r="AW246" s="726"/>
      <c r="AX246" s="726"/>
      <c r="AY246" s="726"/>
      <c r="AZ246" s="726"/>
      <c r="BA246" s="726"/>
      <c r="BB246" s="726"/>
      <c r="BC246" s="726"/>
      <c r="BD246" s="726"/>
      <c r="BE246" s="726"/>
      <c r="BF246" s="726"/>
      <c r="BG246" s="726"/>
      <c r="BH246" s="726"/>
      <c r="BI246" s="726"/>
      <c r="BJ246" s="726"/>
      <c r="BK246" s="726"/>
      <c r="BL246" s="726"/>
      <c r="BM246" s="726"/>
      <c r="BN246" s="726"/>
      <c r="BO246" s="726"/>
      <c r="BP246" s="726"/>
      <c r="BQ246" s="726"/>
      <c r="BR246" s="726"/>
      <c r="BS246" s="726"/>
    </row>
    <row r="247" spans="1:71" s="563" customFormat="1">
      <c r="A247" s="614"/>
      <c r="E247" s="565"/>
      <c r="F247" s="565"/>
      <c r="Q247" s="726"/>
      <c r="R247" s="726"/>
      <c r="S247" s="726"/>
      <c r="T247" s="726"/>
      <c r="U247" s="726"/>
      <c r="V247" s="726"/>
      <c r="W247" s="726"/>
      <c r="X247" s="726"/>
      <c r="Y247" s="726"/>
      <c r="Z247" s="726"/>
      <c r="AA247" s="726"/>
      <c r="AB247" s="726"/>
      <c r="AC247" s="726"/>
      <c r="AD247" s="726"/>
      <c r="AE247" s="726"/>
      <c r="AF247" s="726"/>
      <c r="AG247" s="726"/>
      <c r="AH247" s="726"/>
      <c r="AI247" s="726"/>
      <c r="AJ247" s="726"/>
      <c r="AK247" s="726"/>
      <c r="AL247" s="726"/>
      <c r="AM247" s="726"/>
      <c r="AN247" s="726"/>
      <c r="AO247" s="726"/>
      <c r="AP247" s="726"/>
      <c r="AQ247" s="726"/>
      <c r="AR247" s="726"/>
      <c r="AS247" s="726"/>
      <c r="AT247" s="726"/>
      <c r="AU247" s="726"/>
      <c r="AV247" s="726"/>
      <c r="AW247" s="726"/>
      <c r="AX247" s="726"/>
      <c r="AY247" s="726"/>
      <c r="AZ247" s="726"/>
      <c r="BA247" s="726"/>
      <c r="BB247" s="726"/>
      <c r="BC247" s="726"/>
      <c r="BD247" s="726"/>
      <c r="BE247" s="726"/>
      <c r="BF247" s="726"/>
      <c r="BG247" s="726"/>
      <c r="BH247" s="726"/>
      <c r="BI247" s="726"/>
      <c r="BJ247" s="726"/>
      <c r="BK247" s="726"/>
      <c r="BL247" s="726"/>
      <c r="BM247" s="726"/>
      <c r="BN247" s="726"/>
      <c r="BO247" s="726"/>
      <c r="BP247" s="726"/>
      <c r="BQ247" s="726"/>
      <c r="BR247" s="726"/>
      <c r="BS247" s="726"/>
    </row>
    <row r="248" spans="1:71" s="563" customFormat="1">
      <c r="A248" s="614"/>
      <c r="E248" s="565"/>
      <c r="F248" s="565"/>
      <c r="Q248" s="726"/>
      <c r="R248" s="726"/>
      <c r="S248" s="726"/>
      <c r="T248" s="726"/>
      <c r="U248" s="726"/>
      <c r="V248" s="726"/>
      <c r="W248" s="726"/>
      <c r="X248" s="726"/>
      <c r="Y248" s="726"/>
      <c r="Z248" s="726"/>
      <c r="AA248" s="726"/>
      <c r="AB248" s="726"/>
      <c r="AC248" s="726"/>
      <c r="AD248" s="726"/>
      <c r="AE248" s="726"/>
      <c r="AF248" s="726"/>
      <c r="AG248" s="726"/>
      <c r="AH248" s="726"/>
      <c r="AI248" s="726"/>
      <c r="AJ248" s="726"/>
      <c r="AK248" s="726"/>
      <c r="AL248" s="726"/>
      <c r="AM248" s="726"/>
      <c r="AN248" s="726"/>
      <c r="AO248" s="726"/>
      <c r="AP248" s="726"/>
      <c r="AQ248" s="726"/>
      <c r="AR248" s="726"/>
      <c r="AS248" s="726"/>
      <c r="AT248" s="726"/>
      <c r="AU248" s="726"/>
      <c r="AV248" s="726"/>
      <c r="AW248" s="726"/>
      <c r="AX248" s="726"/>
      <c r="AY248" s="726"/>
      <c r="AZ248" s="726"/>
      <c r="BA248" s="726"/>
      <c r="BB248" s="726"/>
      <c r="BC248" s="726"/>
      <c r="BD248" s="726"/>
      <c r="BE248" s="726"/>
      <c r="BF248" s="726"/>
      <c r="BG248" s="726"/>
      <c r="BH248" s="726"/>
      <c r="BI248" s="726"/>
      <c r="BJ248" s="726"/>
      <c r="BK248" s="726"/>
      <c r="BL248" s="726"/>
      <c r="BM248" s="726"/>
      <c r="BN248" s="726"/>
      <c r="BO248" s="726"/>
      <c r="BP248" s="726"/>
      <c r="BQ248" s="726"/>
      <c r="BR248" s="726"/>
      <c r="BS248" s="726"/>
    </row>
    <row r="249" spans="1:71" s="563" customFormat="1">
      <c r="A249" s="614"/>
      <c r="E249" s="565"/>
      <c r="F249" s="565"/>
      <c r="Q249" s="726"/>
      <c r="R249" s="726"/>
      <c r="S249" s="726"/>
      <c r="T249" s="726"/>
      <c r="U249" s="726"/>
      <c r="V249" s="726"/>
      <c r="W249" s="726"/>
      <c r="X249" s="726"/>
      <c r="Y249" s="726"/>
      <c r="Z249" s="726"/>
      <c r="AA249" s="726"/>
      <c r="AB249" s="726"/>
      <c r="AC249" s="726"/>
      <c r="AD249" s="726"/>
      <c r="AE249" s="726"/>
      <c r="AF249" s="726"/>
      <c r="AG249" s="726"/>
      <c r="AH249" s="726"/>
      <c r="AI249" s="726"/>
      <c r="AJ249" s="726"/>
      <c r="AK249" s="726"/>
      <c r="AL249" s="726"/>
      <c r="AM249" s="726"/>
      <c r="AN249" s="726"/>
      <c r="AO249" s="726"/>
      <c r="AP249" s="726"/>
      <c r="AQ249" s="726"/>
      <c r="AR249" s="726"/>
      <c r="AS249" s="726"/>
      <c r="AT249" s="726"/>
      <c r="AU249" s="726"/>
      <c r="AV249" s="726"/>
      <c r="AW249" s="726"/>
      <c r="AX249" s="726"/>
      <c r="AY249" s="726"/>
      <c r="AZ249" s="726"/>
      <c r="BA249" s="726"/>
      <c r="BB249" s="726"/>
      <c r="BC249" s="726"/>
      <c r="BD249" s="726"/>
      <c r="BE249" s="726"/>
      <c r="BF249" s="726"/>
      <c r="BG249" s="726"/>
      <c r="BH249" s="726"/>
      <c r="BI249" s="726"/>
      <c r="BJ249" s="726"/>
      <c r="BK249" s="726"/>
      <c r="BL249" s="726"/>
      <c r="BM249" s="726"/>
      <c r="BN249" s="726"/>
      <c r="BO249" s="726"/>
      <c r="BP249" s="726"/>
      <c r="BQ249" s="726"/>
      <c r="BR249" s="726"/>
      <c r="BS249" s="726"/>
    </row>
    <row r="250" spans="1:71" s="563" customFormat="1">
      <c r="A250" s="614"/>
      <c r="E250" s="565"/>
      <c r="F250" s="565"/>
      <c r="Q250" s="726"/>
      <c r="R250" s="726"/>
      <c r="S250" s="726"/>
      <c r="T250" s="726"/>
      <c r="U250" s="726"/>
      <c r="V250" s="726"/>
      <c r="W250" s="726"/>
      <c r="X250" s="726"/>
      <c r="Y250" s="726"/>
      <c r="Z250" s="726"/>
      <c r="AA250" s="726"/>
      <c r="AB250" s="726"/>
      <c r="AC250" s="726"/>
      <c r="AD250" s="726"/>
      <c r="AE250" s="726"/>
      <c r="AF250" s="726"/>
      <c r="AG250" s="726"/>
      <c r="AH250" s="726"/>
      <c r="AI250" s="726"/>
      <c r="AJ250" s="726"/>
      <c r="AK250" s="726"/>
      <c r="AL250" s="726"/>
      <c r="AM250" s="726"/>
      <c r="AN250" s="726"/>
      <c r="AO250" s="726"/>
      <c r="AP250" s="726"/>
      <c r="AQ250" s="726"/>
      <c r="AR250" s="726"/>
      <c r="AS250" s="726"/>
      <c r="AT250" s="726"/>
      <c r="AU250" s="726"/>
      <c r="AV250" s="726"/>
      <c r="AW250" s="726"/>
      <c r="AX250" s="726"/>
      <c r="AY250" s="726"/>
      <c r="AZ250" s="726"/>
      <c r="BA250" s="726"/>
      <c r="BB250" s="726"/>
      <c r="BC250" s="726"/>
      <c r="BD250" s="726"/>
      <c r="BE250" s="726"/>
      <c r="BF250" s="726"/>
      <c r="BG250" s="726"/>
      <c r="BH250" s="726"/>
      <c r="BI250" s="726"/>
      <c r="BJ250" s="726"/>
      <c r="BK250" s="726"/>
      <c r="BL250" s="726"/>
      <c r="BM250" s="726"/>
      <c r="BN250" s="726"/>
      <c r="BO250" s="726"/>
      <c r="BP250" s="726"/>
      <c r="BQ250" s="726"/>
      <c r="BR250" s="726"/>
      <c r="BS250" s="726"/>
    </row>
    <row r="251" spans="1:71" s="563" customFormat="1">
      <c r="A251" s="614"/>
      <c r="E251" s="565"/>
      <c r="F251" s="565"/>
      <c r="Q251" s="726"/>
      <c r="R251" s="726"/>
      <c r="S251" s="726"/>
      <c r="T251" s="726"/>
      <c r="U251" s="726"/>
      <c r="V251" s="726"/>
      <c r="W251" s="726"/>
      <c r="X251" s="726"/>
      <c r="Y251" s="726"/>
      <c r="Z251" s="726"/>
      <c r="AA251" s="726"/>
      <c r="AB251" s="726"/>
      <c r="AC251" s="726"/>
      <c r="AD251" s="726"/>
      <c r="AE251" s="726"/>
      <c r="AF251" s="726"/>
      <c r="AG251" s="726"/>
      <c r="AH251" s="726"/>
      <c r="AI251" s="726"/>
      <c r="AJ251" s="726"/>
      <c r="AK251" s="726"/>
      <c r="AL251" s="726"/>
      <c r="AM251" s="726"/>
      <c r="AN251" s="726"/>
      <c r="AO251" s="726"/>
      <c r="AP251" s="726"/>
      <c r="AQ251" s="726"/>
      <c r="AR251" s="726"/>
      <c r="AS251" s="726"/>
      <c r="AT251" s="726"/>
      <c r="AU251" s="726"/>
      <c r="AV251" s="726"/>
      <c r="AW251" s="726"/>
      <c r="AX251" s="726"/>
      <c r="AY251" s="726"/>
      <c r="AZ251" s="726"/>
      <c r="BA251" s="726"/>
      <c r="BB251" s="726"/>
      <c r="BC251" s="726"/>
      <c r="BD251" s="726"/>
      <c r="BE251" s="726"/>
      <c r="BF251" s="726"/>
      <c r="BG251" s="726"/>
      <c r="BH251" s="726"/>
      <c r="BI251" s="726"/>
      <c r="BJ251" s="726"/>
      <c r="BK251" s="726"/>
      <c r="BL251" s="726"/>
      <c r="BM251" s="726"/>
      <c r="BN251" s="726"/>
      <c r="BO251" s="726"/>
      <c r="BP251" s="726"/>
      <c r="BQ251" s="726"/>
      <c r="BR251" s="726"/>
      <c r="BS251" s="726"/>
    </row>
    <row r="252" spans="1:71" s="563" customFormat="1">
      <c r="A252" s="614"/>
      <c r="E252" s="565"/>
      <c r="F252" s="565"/>
      <c r="Q252" s="726"/>
      <c r="R252" s="726"/>
      <c r="S252" s="726"/>
      <c r="T252" s="726"/>
      <c r="U252" s="726"/>
      <c r="V252" s="726"/>
      <c r="W252" s="726"/>
      <c r="X252" s="726"/>
      <c r="Y252" s="726"/>
      <c r="Z252" s="726"/>
      <c r="AA252" s="726"/>
      <c r="AB252" s="726"/>
      <c r="AC252" s="726"/>
      <c r="AD252" s="726"/>
      <c r="AE252" s="726"/>
      <c r="AF252" s="726"/>
      <c r="AG252" s="726"/>
      <c r="AH252" s="726"/>
      <c r="AI252" s="726"/>
      <c r="AJ252" s="726"/>
      <c r="AK252" s="726"/>
      <c r="AL252" s="726"/>
      <c r="AM252" s="726"/>
      <c r="AN252" s="726"/>
      <c r="AO252" s="726"/>
      <c r="AP252" s="726"/>
      <c r="AQ252" s="726"/>
      <c r="AR252" s="726"/>
      <c r="AS252" s="726"/>
      <c r="AT252" s="726"/>
      <c r="AU252" s="726"/>
      <c r="AV252" s="726"/>
      <c r="AW252" s="726"/>
      <c r="AX252" s="726"/>
      <c r="AY252" s="726"/>
      <c r="AZ252" s="726"/>
      <c r="BA252" s="726"/>
      <c r="BB252" s="726"/>
      <c r="BC252" s="726"/>
      <c r="BD252" s="726"/>
      <c r="BE252" s="726"/>
      <c r="BF252" s="726"/>
      <c r="BG252" s="726"/>
      <c r="BH252" s="726"/>
      <c r="BI252" s="726"/>
      <c r="BJ252" s="726"/>
      <c r="BK252" s="726"/>
      <c r="BL252" s="726"/>
      <c r="BM252" s="726"/>
      <c r="BN252" s="726"/>
      <c r="BO252" s="726"/>
      <c r="BP252" s="726"/>
      <c r="BQ252" s="726"/>
      <c r="BR252" s="726"/>
      <c r="BS252" s="726"/>
    </row>
    <row r="253" spans="1:71" s="563" customFormat="1">
      <c r="A253" s="614"/>
      <c r="E253" s="565"/>
      <c r="F253" s="565"/>
      <c r="Q253" s="726"/>
      <c r="R253" s="726"/>
      <c r="S253" s="726"/>
      <c r="T253" s="726"/>
      <c r="U253" s="726"/>
      <c r="V253" s="726"/>
      <c r="W253" s="726"/>
      <c r="X253" s="726"/>
      <c r="Y253" s="726"/>
      <c r="Z253" s="726"/>
      <c r="AA253" s="726"/>
      <c r="AB253" s="726"/>
      <c r="AC253" s="726"/>
      <c r="AD253" s="726"/>
      <c r="AE253" s="726"/>
      <c r="AF253" s="726"/>
      <c r="AG253" s="726"/>
      <c r="AH253" s="726"/>
      <c r="AI253" s="726"/>
      <c r="AJ253" s="726"/>
      <c r="AK253" s="726"/>
      <c r="AL253" s="726"/>
      <c r="AM253" s="726"/>
      <c r="AN253" s="726"/>
      <c r="AO253" s="726"/>
      <c r="AP253" s="726"/>
      <c r="AQ253" s="726"/>
      <c r="AR253" s="726"/>
      <c r="AS253" s="726"/>
      <c r="AT253" s="726"/>
      <c r="AU253" s="726"/>
      <c r="AV253" s="726"/>
      <c r="AW253" s="726"/>
      <c r="AX253" s="726"/>
      <c r="AY253" s="726"/>
      <c r="AZ253" s="726"/>
      <c r="BA253" s="726"/>
      <c r="BB253" s="726"/>
      <c r="BC253" s="726"/>
      <c r="BD253" s="726"/>
      <c r="BE253" s="726"/>
      <c r="BF253" s="726"/>
      <c r="BG253" s="726"/>
      <c r="BH253" s="726"/>
      <c r="BI253" s="726"/>
      <c r="BJ253" s="726"/>
      <c r="BK253" s="726"/>
      <c r="BL253" s="726"/>
      <c r="BM253" s="726"/>
      <c r="BN253" s="726"/>
      <c r="BO253" s="726"/>
      <c r="BP253" s="726"/>
      <c r="BQ253" s="726"/>
      <c r="BR253" s="726"/>
      <c r="BS253" s="726"/>
    </row>
    <row r="254" spans="1:71" s="563" customFormat="1">
      <c r="A254" s="614"/>
      <c r="E254" s="565"/>
      <c r="F254" s="565"/>
      <c r="Q254" s="726"/>
      <c r="R254" s="726"/>
      <c r="S254" s="726"/>
      <c r="T254" s="726"/>
      <c r="U254" s="726"/>
      <c r="V254" s="726"/>
      <c r="W254" s="726"/>
      <c r="X254" s="726"/>
      <c r="Y254" s="726"/>
      <c r="Z254" s="726"/>
      <c r="AA254" s="726"/>
      <c r="AB254" s="726"/>
      <c r="AC254" s="726"/>
      <c r="AD254" s="726"/>
      <c r="AE254" s="726"/>
      <c r="AF254" s="726"/>
      <c r="AG254" s="726"/>
      <c r="AH254" s="726"/>
      <c r="AI254" s="726"/>
      <c r="AJ254" s="726"/>
      <c r="AK254" s="726"/>
      <c r="AL254" s="726"/>
      <c r="AM254" s="726"/>
      <c r="AN254" s="726"/>
      <c r="AO254" s="726"/>
      <c r="AP254" s="726"/>
      <c r="AQ254" s="726"/>
      <c r="AR254" s="726"/>
      <c r="AS254" s="726"/>
      <c r="AT254" s="726"/>
      <c r="AU254" s="726"/>
      <c r="AV254" s="726"/>
      <c r="AW254" s="726"/>
      <c r="AX254" s="726"/>
      <c r="AY254" s="726"/>
      <c r="AZ254" s="726"/>
      <c r="BA254" s="726"/>
      <c r="BB254" s="726"/>
      <c r="BC254" s="726"/>
      <c r="BD254" s="726"/>
      <c r="BE254" s="726"/>
      <c r="BF254" s="726"/>
      <c r="BG254" s="726"/>
      <c r="BH254" s="726"/>
      <c r="BI254" s="726"/>
      <c r="BJ254" s="726"/>
      <c r="BK254" s="726"/>
      <c r="BL254" s="726"/>
      <c r="BM254" s="726"/>
      <c r="BN254" s="726"/>
      <c r="BO254" s="726"/>
      <c r="BP254" s="726"/>
      <c r="BQ254" s="726"/>
      <c r="BR254" s="726"/>
      <c r="BS254" s="726"/>
    </row>
    <row r="255" spans="1:71" s="563" customFormat="1">
      <c r="A255" s="614"/>
      <c r="E255" s="565"/>
      <c r="F255" s="565"/>
      <c r="Q255" s="726"/>
      <c r="R255" s="726"/>
      <c r="S255" s="726"/>
      <c r="T255" s="726"/>
      <c r="U255" s="726"/>
      <c r="V255" s="726"/>
      <c r="W255" s="726"/>
      <c r="X255" s="726"/>
      <c r="Y255" s="726"/>
      <c r="Z255" s="726"/>
      <c r="AA255" s="726"/>
      <c r="AB255" s="726"/>
      <c r="AC255" s="726"/>
      <c r="AD255" s="726"/>
      <c r="AE255" s="726"/>
      <c r="AF255" s="726"/>
      <c r="AG255" s="726"/>
      <c r="AH255" s="726"/>
      <c r="AI255" s="726"/>
      <c r="AJ255" s="726"/>
      <c r="AK255" s="726"/>
      <c r="AL255" s="726"/>
      <c r="AM255" s="726"/>
      <c r="AN255" s="726"/>
      <c r="AO255" s="726"/>
      <c r="AP255" s="726"/>
      <c r="AQ255" s="726"/>
      <c r="AR255" s="726"/>
      <c r="AS255" s="726"/>
      <c r="AT255" s="726"/>
      <c r="AU255" s="726"/>
      <c r="AV255" s="726"/>
      <c r="AW255" s="726"/>
      <c r="AX255" s="726"/>
      <c r="AY255" s="726"/>
      <c r="AZ255" s="726"/>
      <c r="BA255" s="726"/>
      <c r="BB255" s="726"/>
      <c r="BC255" s="726"/>
      <c r="BD255" s="726"/>
      <c r="BE255" s="726"/>
      <c r="BF255" s="726"/>
      <c r="BG255" s="726"/>
      <c r="BH255" s="726"/>
      <c r="BI255" s="726"/>
      <c r="BJ255" s="726"/>
      <c r="BK255" s="726"/>
      <c r="BL255" s="726"/>
      <c r="BM255" s="726"/>
      <c r="BN255" s="726"/>
      <c r="BO255" s="726"/>
      <c r="BP255" s="726"/>
      <c r="BQ255" s="726"/>
      <c r="BR255" s="726"/>
      <c r="BS255" s="726"/>
    </row>
    <row r="256" spans="1:71" s="563" customFormat="1">
      <c r="A256" s="614"/>
      <c r="E256" s="565"/>
      <c r="F256" s="565"/>
      <c r="Q256" s="726"/>
      <c r="R256" s="726"/>
      <c r="S256" s="726"/>
      <c r="T256" s="726"/>
      <c r="U256" s="726"/>
      <c r="V256" s="726"/>
      <c r="W256" s="726"/>
      <c r="X256" s="726"/>
      <c r="Y256" s="726"/>
      <c r="Z256" s="726"/>
      <c r="AA256" s="726"/>
      <c r="AB256" s="726"/>
      <c r="AC256" s="726"/>
      <c r="AD256" s="726"/>
      <c r="AE256" s="726"/>
      <c r="AF256" s="726"/>
      <c r="AG256" s="726"/>
      <c r="AH256" s="726"/>
      <c r="AI256" s="726"/>
      <c r="AJ256" s="726"/>
      <c r="AK256" s="726"/>
      <c r="AL256" s="726"/>
      <c r="AM256" s="726"/>
      <c r="AN256" s="726"/>
      <c r="AO256" s="726"/>
      <c r="AP256" s="726"/>
      <c r="AQ256" s="726"/>
      <c r="AR256" s="726"/>
      <c r="AS256" s="726"/>
      <c r="AT256" s="726"/>
      <c r="AU256" s="726"/>
      <c r="AV256" s="726"/>
      <c r="AW256" s="726"/>
      <c r="AX256" s="726"/>
      <c r="AY256" s="726"/>
      <c r="AZ256" s="726"/>
      <c r="BA256" s="726"/>
      <c r="BB256" s="726"/>
      <c r="BC256" s="726"/>
      <c r="BD256" s="726"/>
      <c r="BE256" s="726"/>
      <c r="BF256" s="726"/>
      <c r="BG256" s="726"/>
      <c r="BH256" s="726"/>
      <c r="BI256" s="726"/>
      <c r="BJ256" s="726"/>
      <c r="BK256" s="726"/>
      <c r="BL256" s="726"/>
      <c r="BM256" s="726"/>
      <c r="BN256" s="726"/>
      <c r="BO256" s="726"/>
      <c r="BP256" s="726"/>
      <c r="BQ256" s="726"/>
      <c r="BR256" s="726"/>
      <c r="BS256" s="726"/>
    </row>
    <row r="257" spans="1:71" s="563" customFormat="1">
      <c r="A257" s="614"/>
      <c r="E257" s="565"/>
      <c r="F257" s="565"/>
      <c r="Q257" s="726"/>
      <c r="R257" s="726"/>
      <c r="S257" s="726"/>
      <c r="T257" s="726"/>
      <c r="U257" s="726"/>
      <c r="V257" s="726"/>
      <c r="W257" s="726"/>
      <c r="X257" s="726"/>
      <c r="Y257" s="726"/>
      <c r="Z257" s="726"/>
      <c r="AA257" s="726"/>
      <c r="AB257" s="726"/>
      <c r="AC257" s="726"/>
      <c r="AD257" s="726"/>
      <c r="AE257" s="726"/>
      <c r="AF257" s="726"/>
      <c r="AG257" s="726"/>
      <c r="AH257" s="726"/>
      <c r="AI257" s="726"/>
      <c r="AJ257" s="726"/>
      <c r="AK257" s="726"/>
      <c r="AL257" s="726"/>
      <c r="AM257" s="726"/>
      <c r="AN257" s="726"/>
      <c r="AO257" s="726"/>
      <c r="AP257" s="726"/>
      <c r="AQ257" s="726"/>
      <c r="AR257" s="726"/>
      <c r="AS257" s="726"/>
      <c r="AT257" s="726"/>
      <c r="AU257" s="726"/>
      <c r="AV257" s="726"/>
      <c r="AW257" s="726"/>
      <c r="AX257" s="726"/>
      <c r="AY257" s="726"/>
      <c r="AZ257" s="726"/>
      <c r="BA257" s="726"/>
      <c r="BB257" s="726"/>
      <c r="BC257" s="726"/>
      <c r="BD257" s="726"/>
      <c r="BE257" s="726"/>
      <c r="BF257" s="726"/>
      <c r="BG257" s="726"/>
      <c r="BH257" s="726"/>
      <c r="BI257" s="726"/>
      <c r="BJ257" s="726"/>
      <c r="BK257" s="726"/>
      <c r="BL257" s="726"/>
      <c r="BM257" s="726"/>
      <c r="BN257" s="726"/>
      <c r="BO257" s="726"/>
      <c r="BP257" s="726"/>
      <c r="BQ257" s="726"/>
      <c r="BR257" s="726"/>
      <c r="BS257" s="726"/>
    </row>
    <row r="258" spans="1:71" s="563" customFormat="1">
      <c r="A258" s="614"/>
      <c r="E258" s="565"/>
      <c r="F258" s="565"/>
      <c r="Q258" s="726"/>
      <c r="R258" s="726"/>
      <c r="S258" s="726"/>
      <c r="T258" s="726"/>
      <c r="U258" s="726"/>
      <c r="V258" s="726"/>
      <c r="W258" s="726"/>
      <c r="X258" s="726"/>
      <c r="Y258" s="726"/>
      <c r="Z258" s="726"/>
      <c r="AA258" s="726"/>
      <c r="AB258" s="726"/>
      <c r="AC258" s="726"/>
      <c r="AD258" s="726"/>
      <c r="AE258" s="726"/>
      <c r="AF258" s="726"/>
      <c r="AG258" s="726"/>
      <c r="AH258" s="726"/>
      <c r="AI258" s="726"/>
      <c r="AJ258" s="726"/>
      <c r="AK258" s="726"/>
      <c r="AL258" s="726"/>
      <c r="AM258" s="726"/>
      <c r="AN258" s="726"/>
      <c r="AO258" s="726"/>
      <c r="AP258" s="726"/>
      <c r="AQ258" s="726"/>
      <c r="AR258" s="726"/>
      <c r="AS258" s="726"/>
      <c r="AT258" s="726"/>
      <c r="AU258" s="726"/>
      <c r="AV258" s="726"/>
      <c r="AW258" s="726"/>
      <c r="AX258" s="726"/>
      <c r="AY258" s="726"/>
      <c r="AZ258" s="726"/>
      <c r="BA258" s="726"/>
      <c r="BB258" s="726"/>
      <c r="BC258" s="726"/>
      <c r="BD258" s="726"/>
      <c r="BE258" s="726"/>
      <c r="BF258" s="726"/>
      <c r="BG258" s="726"/>
      <c r="BH258" s="726"/>
      <c r="BI258" s="726"/>
      <c r="BJ258" s="726"/>
      <c r="BK258" s="726"/>
      <c r="BL258" s="726"/>
      <c r="BM258" s="726"/>
      <c r="BN258" s="726"/>
      <c r="BO258" s="726"/>
      <c r="BP258" s="726"/>
      <c r="BQ258" s="726"/>
      <c r="BR258" s="726"/>
      <c r="BS258" s="726"/>
    </row>
    <row r="259" spans="1:71" s="563" customFormat="1">
      <c r="A259" s="614"/>
      <c r="E259" s="565"/>
      <c r="F259" s="565"/>
      <c r="Q259" s="726"/>
      <c r="R259" s="726"/>
      <c r="S259" s="726"/>
      <c r="T259" s="726"/>
      <c r="U259" s="726"/>
      <c r="V259" s="726"/>
      <c r="W259" s="726"/>
      <c r="X259" s="726"/>
      <c r="Y259" s="726"/>
      <c r="Z259" s="726"/>
      <c r="AA259" s="726"/>
      <c r="AB259" s="726"/>
      <c r="AC259" s="726"/>
      <c r="AD259" s="726"/>
      <c r="AE259" s="726"/>
      <c r="AF259" s="726"/>
      <c r="AG259" s="726"/>
      <c r="AH259" s="726"/>
      <c r="AI259" s="726"/>
      <c r="AJ259" s="726"/>
      <c r="AK259" s="726"/>
      <c r="AL259" s="726"/>
      <c r="AM259" s="726"/>
      <c r="AN259" s="726"/>
      <c r="AO259" s="726"/>
      <c r="AP259" s="726"/>
      <c r="AQ259" s="726"/>
      <c r="AR259" s="726"/>
      <c r="AS259" s="726"/>
      <c r="AT259" s="726"/>
      <c r="AU259" s="726"/>
      <c r="AV259" s="726"/>
      <c r="AW259" s="726"/>
      <c r="AX259" s="726"/>
      <c r="AY259" s="726"/>
      <c r="AZ259" s="726"/>
      <c r="BA259" s="726"/>
      <c r="BB259" s="726"/>
      <c r="BC259" s="726"/>
      <c r="BD259" s="726"/>
      <c r="BE259" s="726"/>
      <c r="BF259" s="726"/>
      <c r="BG259" s="726"/>
      <c r="BH259" s="726"/>
      <c r="BI259" s="726"/>
      <c r="BJ259" s="726"/>
      <c r="BK259" s="726"/>
      <c r="BL259" s="726"/>
      <c r="BM259" s="726"/>
      <c r="BN259" s="726"/>
      <c r="BO259" s="726"/>
      <c r="BP259" s="726"/>
      <c r="BQ259" s="726"/>
      <c r="BR259" s="726"/>
      <c r="BS259" s="726"/>
    </row>
    <row r="260" spans="1:71" s="563" customFormat="1">
      <c r="A260" s="614"/>
      <c r="E260" s="565"/>
      <c r="F260" s="565"/>
      <c r="Q260" s="726"/>
      <c r="R260" s="726"/>
      <c r="S260" s="726"/>
      <c r="T260" s="726"/>
      <c r="U260" s="726"/>
      <c r="V260" s="726"/>
      <c r="W260" s="726"/>
      <c r="X260" s="726"/>
      <c r="Y260" s="726"/>
      <c r="Z260" s="726"/>
      <c r="AA260" s="726"/>
      <c r="AB260" s="726"/>
      <c r="AC260" s="726"/>
      <c r="AD260" s="726"/>
      <c r="AE260" s="726"/>
      <c r="AF260" s="726"/>
      <c r="AG260" s="726"/>
      <c r="AH260" s="726"/>
      <c r="AI260" s="726"/>
      <c r="AJ260" s="726"/>
      <c r="AK260" s="726"/>
      <c r="AL260" s="726"/>
      <c r="AM260" s="726"/>
      <c r="AN260" s="726"/>
      <c r="AO260" s="726"/>
      <c r="AP260" s="726"/>
      <c r="AQ260" s="726"/>
      <c r="AR260" s="726"/>
      <c r="AS260" s="726"/>
      <c r="AT260" s="726"/>
      <c r="AU260" s="726"/>
      <c r="AV260" s="726"/>
      <c r="AW260" s="726"/>
      <c r="AX260" s="726"/>
      <c r="AY260" s="726"/>
      <c r="AZ260" s="726"/>
      <c r="BA260" s="726"/>
      <c r="BB260" s="726"/>
      <c r="BC260" s="726"/>
      <c r="BD260" s="726"/>
      <c r="BE260" s="726"/>
      <c r="BF260" s="726"/>
      <c r="BG260" s="726"/>
      <c r="BH260" s="726"/>
      <c r="BI260" s="726"/>
      <c r="BJ260" s="726"/>
      <c r="BK260" s="726"/>
      <c r="BL260" s="726"/>
      <c r="BM260" s="726"/>
      <c r="BN260" s="726"/>
      <c r="BO260" s="726"/>
      <c r="BP260" s="726"/>
      <c r="BQ260" s="726"/>
      <c r="BR260" s="726"/>
      <c r="BS260" s="726"/>
    </row>
    <row r="261" spans="1:71" s="563" customFormat="1">
      <c r="A261" s="614"/>
      <c r="E261" s="565"/>
      <c r="F261" s="565"/>
      <c r="Q261" s="726"/>
      <c r="R261" s="726"/>
      <c r="S261" s="726"/>
      <c r="T261" s="726"/>
      <c r="U261" s="726"/>
      <c r="V261" s="726"/>
      <c r="W261" s="726"/>
      <c r="X261" s="726"/>
      <c r="Y261" s="726"/>
      <c r="Z261" s="726"/>
      <c r="AA261" s="726"/>
      <c r="AB261" s="726"/>
      <c r="AC261" s="726"/>
      <c r="AD261" s="726"/>
      <c r="AE261" s="726"/>
      <c r="AF261" s="726"/>
      <c r="AG261" s="726"/>
      <c r="AH261" s="726"/>
      <c r="AI261" s="726"/>
      <c r="AJ261" s="726"/>
      <c r="AK261" s="726"/>
      <c r="AL261" s="726"/>
      <c r="AM261" s="726"/>
      <c r="AN261" s="726"/>
      <c r="AO261" s="726"/>
      <c r="AP261" s="726"/>
      <c r="AQ261" s="726"/>
      <c r="AR261" s="726"/>
      <c r="AS261" s="726"/>
      <c r="AT261" s="726"/>
      <c r="AU261" s="726"/>
      <c r="AV261" s="726"/>
      <c r="AW261" s="726"/>
      <c r="AX261" s="726"/>
      <c r="AY261" s="726"/>
      <c r="AZ261" s="726"/>
      <c r="BA261" s="726"/>
      <c r="BB261" s="726"/>
      <c r="BC261" s="726"/>
      <c r="BD261" s="726"/>
      <c r="BE261" s="726"/>
      <c r="BF261" s="726"/>
      <c r="BG261" s="726"/>
      <c r="BH261" s="726"/>
      <c r="BI261" s="726"/>
      <c r="BJ261" s="726"/>
      <c r="BK261" s="726"/>
      <c r="BL261" s="726"/>
      <c r="BM261" s="726"/>
      <c r="BN261" s="726"/>
      <c r="BO261" s="726"/>
      <c r="BP261" s="726"/>
      <c r="BQ261" s="726"/>
      <c r="BR261" s="726"/>
      <c r="BS261" s="726"/>
    </row>
    <row r="262" spans="1:71" s="563" customFormat="1">
      <c r="A262" s="614"/>
      <c r="E262" s="565"/>
      <c r="F262" s="565"/>
      <c r="Q262" s="726"/>
      <c r="R262" s="726"/>
      <c r="S262" s="726"/>
      <c r="T262" s="726"/>
      <c r="U262" s="726"/>
      <c r="V262" s="726"/>
      <c r="W262" s="726"/>
      <c r="X262" s="726"/>
      <c r="Y262" s="726"/>
      <c r="Z262" s="726"/>
      <c r="AA262" s="726"/>
      <c r="AB262" s="726"/>
      <c r="AC262" s="726"/>
      <c r="AD262" s="726"/>
      <c r="AE262" s="726"/>
      <c r="AF262" s="726"/>
      <c r="AG262" s="726"/>
      <c r="AH262" s="726"/>
      <c r="AI262" s="726"/>
      <c r="AJ262" s="726"/>
      <c r="AK262" s="726"/>
      <c r="AL262" s="726"/>
      <c r="AM262" s="726"/>
      <c r="AN262" s="726"/>
      <c r="AO262" s="726"/>
      <c r="AP262" s="726"/>
      <c r="AQ262" s="726"/>
      <c r="AR262" s="726"/>
      <c r="AS262" s="726"/>
      <c r="AT262" s="726"/>
      <c r="AU262" s="726"/>
      <c r="AV262" s="726"/>
      <c r="AW262" s="726"/>
      <c r="AX262" s="726"/>
      <c r="AY262" s="726"/>
      <c r="AZ262" s="726"/>
      <c r="BA262" s="726"/>
      <c r="BB262" s="726"/>
      <c r="BC262" s="726"/>
      <c r="BD262" s="726"/>
      <c r="BE262" s="726"/>
      <c r="BF262" s="726"/>
      <c r="BG262" s="726"/>
      <c r="BH262" s="726"/>
      <c r="BI262" s="726"/>
      <c r="BJ262" s="726"/>
      <c r="BK262" s="726"/>
      <c r="BL262" s="726"/>
      <c r="BM262" s="726"/>
      <c r="BN262" s="726"/>
      <c r="BO262" s="726"/>
      <c r="BP262" s="726"/>
      <c r="BQ262" s="726"/>
      <c r="BR262" s="726"/>
      <c r="BS262" s="726"/>
    </row>
    <row r="263" spans="1:71" s="563" customFormat="1">
      <c r="A263" s="614"/>
      <c r="E263" s="565"/>
      <c r="F263" s="565"/>
      <c r="Q263" s="726"/>
      <c r="R263" s="726"/>
      <c r="S263" s="726"/>
      <c r="T263" s="726"/>
      <c r="U263" s="726"/>
      <c r="V263" s="726"/>
      <c r="W263" s="726"/>
      <c r="X263" s="726"/>
      <c r="Y263" s="726"/>
      <c r="Z263" s="726"/>
      <c r="AA263" s="726"/>
      <c r="AB263" s="726"/>
      <c r="AC263" s="726"/>
      <c r="AD263" s="726"/>
      <c r="AE263" s="726"/>
      <c r="AF263" s="726"/>
      <c r="AG263" s="726"/>
      <c r="AH263" s="726"/>
      <c r="AI263" s="726"/>
      <c r="AJ263" s="726"/>
      <c r="AK263" s="726"/>
      <c r="AL263" s="726"/>
      <c r="AM263" s="726"/>
      <c r="AN263" s="726"/>
      <c r="AO263" s="726"/>
      <c r="AP263" s="726"/>
      <c r="AQ263" s="726"/>
      <c r="AR263" s="726"/>
      <c r="AS263" s="726"/>
      <c r="AT263" s="726"/>
      <c r="AU263" s="726"/>
      <c r="AV263" s="726"/>
      <c r="AW263" s="726"/>
      <c r="AX263" s="726"/>
      <c r="AY263" s="726"/>
      <c r="AZ263" s="726"/>
      <c r="BA263" s="726"/>
      <c r="BB263" s="726"/>
      <c r="BC263" s="726"/>
      <c r="BD263" s="726"/>
      <c r="BE263" s="726"/>
      <c r="BF263" s="726"/>
      <c r="BG263" s="726"/>
      <c r="BH263" s="726"/>
      <c r="BI263" s="726"/>
      <c r="BJ263" s="726"/>
      <c r="BK263" s="726"/>
      <c r="BL263" s="726"/>
      <c r="BM263" s="726"/>
      <c r="BN263" s="726"/>
      <c r="BO263" s="726"/>
      <c r="BP263" s="726"/>
      <c r="BQ263" s="726"/>
      <c r="BR263" s="726"/>
      <c r="BS263" s="726"/>
    </row>
    <row r="264" spans="1:71" s="563" customFormat="1">
      <c r="A264" s="614"/>
      <c r="E264" s="565"/>
      <c r="F264" s="565"/>
      <c r="Q264" s="726"/>
      <c r="R264" s="726"/>
      <c r="S264" s="726"/>
      <c r="T264" s="726"/>
      <c r="U264" s="726"/>
      <c r="V264" s="726"/>
      <c r="W264" s="726"/>
      <c r="X264" s="726"/>
      <c r="Y264" s="726"/>
      <c r="Z264" s="726"/>
      <c r="AA264" s="726"/>
      <c r="AB264" s="726"/>
      <c r="AC264" s="726"/>
      <c r="AD264" s="726"/>
      <c r="AE264" s="726"/>
      <c r="AF264" s="726"/>
      <c r="AG264" s="726"/>
      <c r="AH264" s="726"/>
      <c r="AI264" s="726"/>
      <c r="AJ264" s="726"/>
      <c r="AK264" s="726"/>
      <c r="AL264" s="726"/>
      <c r="AM264" s="726"/>
      <c r="AN264" s="726"/>
      <c r="AO264" s="726"/>
      <c r="AP264" s="726"/>
      <c r="AQ264" s="726"/>
      <c r="AR264" s="726"/>
      <c r="AS264" s="726"/>
      <c r="AT264" s="726"/>
      <c r="AU264" s="726"/>
      <c r="AV264" s="726"/>
      <c r="AW264" s="726"/>
      <c r="AX264" s="726"/>
      <c r="AY264" s="726"/>
      <c r="AZ264" s="726"/>
      <c r="BA264" s="726"/>
      <c r="BB264" s="726"/>
      <c r="BC264" s="726"/>
      <c r="BD264" s="726"/>
      <c r="BE264" s="726"/>
      <c r="BF264" s="726"/>
      <c r="BG264" s="726"/>
      <c r="BH264" s="726"/>
      <c r="BI264" s="726"/>
      <c r="BJ264" s="726"/>
      <c r="BK264" s="726"/>
      <c r="BL264" s="726"/>
      <c r="BM264" s="726"/>
      <c r="BN264" s="726"/>
      <c r="BO264" s="726"/>
      <c r="BP264" s="726"/>
      <c r="BQ264" s="726"/>
      <c r="BR264" s="726"/>
      <c r="BS264" s="726"/>
    </row>
    <row r="265" spans="1:71" s="563" customFormat="1">
      <c r="A265" s="614"/>
      <c r="E265" s="565"/>
      <c r="F265" s="565"/>
      <c r="Q265" s="726"/>
      <c r="R265" s="726"/>
      <c r="S265" s="726"/>
      <c r="T265" s="726"/>
      <c r="U265" s="726"/>
      <c r="V265" s="726"/>
      <c r="W265" s="726"/>
      <c r="X265" s="726"/>
      <c r="Y265" s="726"/>
      <c r="Z265" s="726"/>
      <c r="AA265" s="726"/>
      <c r="AB265" s="726"/>
      <c r="AC265" s="726"/>
      <c r="AD265" s="726"/>
      <c r="AE265" s="726"/>
      <c r="AF265" s="726"/>
      <c r="AG265" s="726"/>
      <c r="AH265" s="726"/>
      <c r="AI265" s="726"/>
      <c r="AJ265" s="726"/>
      <c r="AK265" s="726"/>
      <c r="AL265" s="726"/>
      <c r="AM265" s="726"/>
      <c r="AN265" s="726"/>
      <c r="AO265" s="726"/>
      <c r="AP265" s="726"/>
      <c r="AQ265" s="726"/>
      <c r="AR265" s="726"/>
      <c r="AS265" s="726"/>
      <c r="AT265" s="726"/>
      <c r="AU265" s="726"/>
      <c r="AV265" s="726"/>
      <c r="AW265" s="726"/>
      <c r="AX265" s="726"/>
      <c r="AY265" s="726"/>
      <c r="AZ265" s="726"/>
      <c r="BA265" s="726"/>
      <c r="BB265" s="726"/>
      <c r="BC265" s="726"/>
      <c r="BD265" s="726"/>
      <c r="BE265" s="726"/>
      <c r="BF265" s="726"/>
      <c r="BG265" s="726"/>
      <c r="BH265" s="726"/>
      <c r="BI265" s="726"/>
      <c r="BJ265" s="726"/>
      <c r="BK265" s="726"/>
      <c r="BL265" s="726"/>
      <c r="BM265" s="726"/>
      <c r="BN265" s="726"/>
      <c r="BO265" s="726"/>
      <c r="BP265" s="726"/>
      <c r="BQ265" s="726"/>
      <c r="BR265" s="726"/>
      <c r="BS265" s="726"/>
    </row>
    <row r="266" spans="1:71" s="563" customFormat="1">
      <c r="A266" s="614"/>
      <c r="E266" s="565"/>
      <c r="F266" s="565"/>
      <c r="Q266" s="726"/>
      <c r="R266" s="726"/>
      <c r="S266" s="726"/>
      <c r="T266" s="726"/>
      <c r="U266" s="726"/>
      <c r="V266" s="726"/>
      <c r="W266" s="726"/>
      <c r="X266" s="726"/>
      <c r="Y266" s="726"/>
      <c r="Z266" s="726"/>
      <c r="AA266" s="726"/>
      <c r="AB266" s="726"/>
      <c r="AC266" s="726"/>
      <c r="AD266" s="726"/>
      <c r="AE266" s="726"/>
      <c r="AF266" s="726"/>
      <c r="AG266" s="726"/>
      <c r="AH266" s="726"/>
      <c r="AI266" s="726"/>
      <c r="AJ266" s="726"/>
      <c r="AK266" s="726"/>
      <c r="AL266" s="726"/>
      <c r="AM266" s="726"/>
      <c r="AN266" s="726"/>
      <c r="AO266" s="726"/>
      <c r="AP266" s="726"/>
      <c r="AQ266" s="726"/>
      <c r="AR266" s="726"/>
      <c r="AS266" s="726"/>
      <c r="AT266" s="726"/>
      <c r="AU266" s="726"/>
      <c r="AV266" s="726"/>
      <c r="AW266" s="726"/>
      <c r="AX266" s="726"/>
      <c r="AY266" s="726"/>
      <c r="AZ266" s="726"/>
      <c r="BA266" s="726"/>
      <c r="BB266" s="726"/>
      <c r="BC266" s="726"/>
      <c r="BD266" s="726"/>
      <c r="BE266" s="726"/>
      <c r="BF266" s="726"/>
      <c r="BG266" s="726"/>
      <c r="BH266" s="726"/>
      <c r="BI266" s="726"/>
      <c r="BJ266" s="726"/>
      <c r="BK266" s="726"/>
      <c r="BL266" s="726"/>
      <c r="BM266" s="726"/>
      <c r="BN266" s="726"/>
      <c r="BO266" s="726"/>
      <c r="BP266" s="726"/>
      <c r="BQ266" s="726"/>
      <c r="BR266" s="726"/>
      <c r="BS266" s="726"/>
    </row>
    <row r="267" spans="1:71" s="563" customFormat="1">
      <c r="A267" s="614"/>
      <c r="E267" s="565"/>
      <c r="F267" s="565"/>
      <c r="Q267" s="726"/>
      <c r="R267" s="726"/>
      <c r="S267" s="726"/>
      <c r="T267" s="726"/>
      <c r="U267" s="726"/>
      <c r="V267" s="726"/>
      <c r="W267" s="726"/>
      <c r="X267" s="726"/>
      <c r="Y267" s="726"/>
      <c r="Z267" s="726"/>
      <c r="AA267" s="726"/>
      <c r="AB267" s="726"/>
      <c r="AC267" s="726"/>
      <c r="AD267" s="726"/>
      <c r="AE267" s="726"/>
      <c r="AF267" s="726"/>
      <c r="AG267" s="726"/>
      <c r="AH267" s="726"/>
      <c r="AI267" s="726"/>
      <c r="AJ267" s="726"/>
      <c r="AK267" s="726"/>
      <c r="AL267" s="726"/>
      <c r="AM267" s="726"/>
      <c r="AN267" s="726"/>
      <c r="AO267" s="726"/>
      <c r="AP267" s="726"/>
      <c r="AQ267" s="726"/>
      <c r="AR267" s="726"/>
      <c r="AS267" s="726"/>
      <c r="AT267" s="726"/>
      <c r="AU267" s="726"/>
      <c r="AV267" s="726"/>
      <c r="AW267" s="726"/>
      <c r="AX267" s="726"/>
      <c r="AY267" s="726"/>
      <c r="AZ267" s="726"/>
      <c r="BA267" s="726"/>
      <c r="BB267" s="726"/>
      <c r="BC267" s="726"/>
      <c r="BD267" s="726"/>
      <c r="BE267" s="726"/>
      <c r="BF267" s="726"/>
      <c r="BG267" s="726"/>
      <c r="BH267" s="726"/>
      <c r="BI267" s="726"/>
      <c r="BJ267" s="726"/>
      <c r="BK267" s="726"/>
      <c r="BL267" s="726"/>
      <c r="BM267" s="726"/>
      <c r="BN267" s="726"/>
      <c r="BO267" s="726"/>
      <c r="BP267" s="726"/>
      <c r="BQ267" s="726"/>
      <c r="BR267" s="726"/>
      <c r="BS267" s="726"/>
    </row>
    <row r="268" spans="1:71" s="563" customFormat="1">
      <c r="A268" s="614"/>
      <c r="E268" s="565"/>
      <c r="F268" s="565"/>
      <c r="Q268" s="726"/>
      <c r="R268" s="726"/>
      <c r="S268" s="726"/>
      <c r="T268" s="726"/>
      <c r="U268" s="726"/>
      <c r="V268" s="726"/>
      <c r="W268" s="726"/>
      <c r="X268" s="726"/>
      <c r="Y268" s="726"/>
      <c r="Z268" s="726"/>
      <c r="AA268" s="726"/>
      <c r="AB268" s="726"/>
      <c r="AC268" s="726"/>
      <c r="AD268" s="726"/>
      <c r="AE268" s="726"/>
      <c r="AF268" s="726"/>
      <c r="AG268" s="726"/>
      <c r="AH268" s="726"/>
      <c r="AI268" s="726"/>
      <c r="AJ268" s="726"/>
      <c r="AK268" s="726"/>
      <c r="AL268" s="726"/>
      <c r="AM268" s="726"/>
      <c r="AN268" s="726"/>
      <c r="AO268" s="726"/>
      <c r="AP268" s="726"/>
      <c r="AQ268" s="726"/>
      <c r="AR268" s="726"/>
      <c r="AS268" s="726"/>
      <c r="AT268" s="726"/>
      <c r="AU268" s="726"/>
      <c r="AV268" s="726"/>
      <c r="AW268" s="726"/>
      <c r="AX268" s="726"/>
      <c r="AY268" s="726"/>
      <c r="AZ268" s="726"/>
      <c r="BA268" s="726"/>
      <c r="BB268" s="726"/>
      <c r="BC268" s="726"/>
      <c r="BD268" s="726"/>
      <c r="BE268" s="726"/>
      <c r="BF268" s="726"/>
      <c r="BG268" s="726"/>
      <c r="BH268" s="726"/>
      <c r="BI268" s="726"/>
      <c r="BJ268" s="726"/>
      <c r="BK268" s="726"/>
      <c r="BL268" s="726"/>
      <c r="BM268" s="726"/>
      <c r="BN268" s="726"/>
      <c r="BO268" s="726"/>
      <c r="BP268" s="726"/>
      <c r="BQ268" s="726"/>
      <c r="BR268" s="726"/>
      <c r="BS268" s="726"/>
    </row>
    <row r="269" spans="1:71" s="563" customFormat="1">
      <c r="A269" s="614"/>
      <c r="E269" s="565"/>
      <c r="F269" s="565"/>
      <c r="Q269" s="726"/>
      <c r="R269" s="726"/>
      <c r="S269" s="726"/>
      <c r="T269" s="726"/>
      <c r="U269" s="726"/>
      <c r="V269" s="726"/>
      <c r="W269" s="726"/>
      <c r="X269" s="726"/>
      <c r="Y269" s="726"/>
      <c r="Z269" s="726"/>
      <c r="AA269" s="726"/>
      <c r="AB269" s="726"/>
      <c r="AC269" s="726"/>
      <c r="AD269" s="726"/>
      <c r="AE269" s="726"/>
      <c r="AF269" s="726"/>
      <c r="AG269" s="726"/>
      <c r="AH269" s="726"/>
      <c r="AI269" s="726"/>
      <c r="AJ269" s="726"/>
      <c r="AK269" s="726"/>
      <c r="AL269" s="726"/>
      <c r="AM269" s="726"/>
      <c r="AN269" s="726"/>
      <c r="AO269" s="726"/>
      <c r="AP269" s="726"/>
      <c r="AQ269" s="726"/>
      <c r="AR269" s="726"/>
      <c r="AS269" s="726"/>
      <c r="AT269" s="726"/>
      <c r="AU269" s="726"/>
      <c r="AV269" s="726"/>
      <c r="AW269" s="726"/>
      <c r="AX269" s="726"/>
      <c r="AY269" s="726"/>
      <c r="AZ269" s="726"/>
      <c r="BA269" s="726"/>
      <c r="BB269" s="726"/>
      <c r="BC269" s="726"/>
      <c r="BD269" s="726"/>
      <c r="BE269" s="726"/>
      <c r="BF269" s="726"/>
      <c r="BG269" s="726"/>
      <c r="BH269" s="726"/>
      <c r="BI269" s="726"/>
      <c r="BJ269" s="726"/>
      <c r="BK269" s="726"/>
      <c r="BL269" s="726"/>
      <c r="BM269" s="726"/>
      <c r="BN269" s="726"/>
      <c r="BO269" s="726"/>
      <c r="BP269" s="726"/>
      <c r="BQ269" s="726"/>
      <c r="BR269" s="726"/>
      <c r="BS269" s="726"/>
    </row>
    <row r="270" spans="1:71" s="563" customFormat="1">
      <c r="A270" s="614"/>
      <c r="E270" s="565"/>
      <c r="F270" s="565"/>
      <c r="Q270" s="726"/>
      <c r="R270" s="726"/>
      <c r="S270" s="726"/>
      <c r="T270" s="726"/>
      <c r="U270" s="726"/>
      <c r="V270" s="726"/>
      <c r="W270" s="726"/>
      <c r="X270" s="726"/>
      <c r="Y270" s="726"/>
      <c r="Z270" s="726"/>
      <c r="AA270" s="726"/>
      <c r="AB270" s="726"/>
      <c r="AC270" s="726"/>
      <c r="AD270" s="726"/>
      <c r="AE270" s="726"/>
      <c r="AF270" s="726"/>
      <c r="AG270" s="726"/>
      <c r="AH270" s="726"/>
      <c r="AI270" s="726"/>
      <c r="AJ270" s="726"/>
      <c r="AK270" s="726"/>
      <c r="AL270" s="726"/>
      <c r="AM270" s="726"/>
      <c r="AN270" s="726"/>
      <c r="AO270" s="726"/>
      <c r="AP270" s="726"/>
      <c r="AQ270" s="726"/>
      <c r="AR270" s="726"/>
      <c r="AS270" s="726"/>
      <c r="AT270" s="726"/>
      <c r="AU270" s="726"/>
      <c r="AV270" s="726"/>
      <c r="AW270" s="726"/>
      <c r="AX270" s="726"/>
      <c r="AY270" s="726"/>
      <c r="AZ270" s="726"/>
      <c r="BA270" s="726"/>
      <c r="BB270" s="726"/>
      <c r="BC270" s="726"/>
      <c r="BD270" s="726"/>
      <c r="BE270" s="726"/>
      <c r="BF270" s="726"/>
      <c r="BG270" s="726"/>
      <c r="BH270" s="726"/>
      <c r="BI270" s="726"/>
      <c r="BJ270" s="726"/>
      <c r="BK270" s="726"/>
      <c r="BL270" s="726"/>
      <c r="BM270" s="726"/>
      <c r="BN270" s="726"/>
      <c r="BO270" s="726"/>
      <c r="BP270" s="726"/>
      <c r="BQ270" s="726"/>
      <c r="BR270" s="726"/>
      <c r="BS270" s="726"/>
    </row>
    <row r="271" spans="1:71" s="563" customFormat="1">
      <c r="A271" s="614"/>
      <c r="E271" s="565"/>
      <c r="F271" s="565"/>
      <c r="Q271" s="726"/>
      <c r="R271" s="726"/>
      <c r="S271" s="726"/>
      <c r="T271" s="726"/>
      <c r="U271" s="726"/>
      <c r="V271" s="726"/>
      <c r="W271" s="726"/>
      <c r="X271" s="726"/>
      <c r="Y271" s="726"/>
      <c r="Z271" s="726"/>
      <c r="AA271" s="726"/>
      <c r="AB271" s="726"/>
      <c r="AC271" s="726"/>
      <c r="AD271" s="726"/>
      <c r="AE271" s="726"/>
      <c r="AF271" s="726"/>
      <c r="AG271" s="726"/>
      <c r="AH271" s="726"/>
      <c r="AI271" s="726"/>
      <c r="AJ271" s="726"/>
      <c r="AK271" s="726"/>
      <c r="AL271" s="726"/>
      <c r="AM271" s="726"/>
      <c r="AN271" s="726"/>
      <c r="AO271" s="726"/>
      <c r="AP271" s="726"/>
      <c r="AQ271" s="726"/>
      <c r="AR271" s="726"/>
      <c r="AS271" s="726"/>
      <c r="AT271" s="726"/>
      <c r="AU271" s="726"/>
      <c r="AV271" s="726"/>
      <c r="AW271" s="726"/>
      <c r="AX271" s="726"/>
      <c r="AY271" s="726"/>
      <c r="AZ271" s="726"/>
      <c r="BA271" s="726"/>
      <c r="BB271" s="726"/>
      <c r="BC271" s="726"/>
      <c r="BD271" s="726"/>
      <c r="BE271" s="726"/>
      <c r="BF271" s="726"/>
      <c r="BG271" s="726"/>
      <c r="BH271" s="726"/>
      <c r="BI271" s="726"/>
      <c r="BJ271" s="726"/>
      <c r="BK271" s="726"/>
      <c r="BL271" s="726"/>
      <c r="BM271" s="726"/>
      <c r="BN271" s="726"/>
      <c r="BO271" s="726"/>
      <c r="BP271" s="726"/>
      <c r="BQ271" s="726"/>
      <c r="BR271" s="726"/>
      <c r="BS271" s="726"/>
    </row>
    <row r="272" spans="1:71" s="563" customFormat="1">
      <c r="A272" s="614"/>
      <c r="E272" s="565"/>
      <c r="F272" s="565"/>
      <c r="Q272" s="726"/>
      <c r="R272" s="726"/>
      <c r="S272" s="726"/>
      <c r="T272" s="726"/>
      <c r="U272" s="726"/>
      <c r="V272" s="726"/>
      <c r="W272" s="726"/>
      <c r="X272" s="726"/>
      <c r="Y272" s="726"/>
      <c r="Z272" s="726"/>
      <c r="AA272" s="726"/>
      <c r="AB272" s="726"/>
      <c r="AC272" s="726"/>
      <c r="AD272" s="726"/>
      <c r="AE272" s="726"/>
      <c r="AF272" s="726"/>
      <c r="AG272" s="726"/>
      <c r="AH272" s="726"/>
      <c r="AI272" s="726"/>
      <c r="AJ272" s="726"/>
      <c r="AK272" s="726"/>
      <c r="AL272" s="726"/>
      <c r="AM272" s="726"/>
      <c r="AN272" s="726"/>
      <c r="AO272" s="726"/>
      <c r="AP272" s="726"/>
      <c r="AQ272" s="726"/>
      <c r="AR272" s="726"/>
      <c r="AS272" s="726"/>
      <c r="AT272" s="726"/>
      <c r="AU272" s="726"/>
      <c r="AV272" s="726"/>
      <c r="AW272" s="726"/>
      <c r="AX272" s="726"/>
      <c r="AY272" s="726"/>
      <c r="AZ272" s="726"/>
      <c r="BA272" s="726"/>
      <c r="BB272" s="726"/>
      <c r="BC272" s="726"/>
      <c r="BD272" s="726"/>
      <c r="BE272" s="726"/>
      <c r="BF272" s="726"/>
      <c r="BG272" s="726"/>
      <c r="BH272" s="726"/>
      <c r="BI272" s="726"/>
      <c r="BJ272" s="726"/>
      <c r="BK272" s="726"/>
      <c r="BL272" s="726"/>
      <c r="BM272" s="726"/>
      <c r="BN272" s="726"/>
      <c r="BO272" s="726"/>
      <c r="BP272" s="726"/>
      <c r="BQ272" s="726"/>
      <c r="BR272" s="726"/>
      <c r="BS272" s="726"/>
    </row>
    <row r="273" spans="1:71" s="563" customFormat="1">
      <c r="A273" s="614"/>
      <c r="E273" s="565"/>
      <c r="F273" s="565"/>
      <c r="Q273" s="726"/>
      <c r="R273" s="726"/>
      <c r="S273" s="726"/>
      <c r="T273" s="726"/>
      <c r="U273" s="726"/>
      <c r="V273" s="726"/>
      <c r="W273" s="726"/>
      <c r="X273" s="726"/>
      <c r="Y273" s="726"/>
      <c r="Z273" s="726"/>
      <c r="AA273" s="726"/>
      <c r="AB273" s="726"/>
      <c r="AC273" s="726"/>
      <c r="AD273" s="726"/>
      <c r="AE273" s="726"/>
      <c r="AF273" s="726"/>
      <c r="AG273" s="726"/>
      <c r="AH273" s="726"/>
      <c r="AI273" s="726"/>
      <c r="AJ273" s="726"/>
      <c r="AK273" s="726"/>
      <c r="AL273" s="726"/>
      <c r="AM273" s="726"/>
      <c r="AN273" s="726"/>
      <c r="AO273" s="726"/>
      <c r="AP273" s="726"/>
      <c r="AQ273" s="726"/>
      <c r="AR273" s="726"/>
      <c r="AS273" s="726"/>
      <c r="AT273" s="726"/>
      <c r="AU273" s="726"/>
      <c r="AV273" s="726"/>
      <c r="AW273" s="726"/>
      <c r="AX273" s="726"/>
      <c r="AY273" s="726"/>
      <c r="AZ273" s="726"/>
      <c r="BA273" s="726"/>
      <c r="BB273" s="726"/>
      <c r="BC273" s="726"/>
      <c r="BD273" s="726"/>
      <c r="BE273" s="726"/>
      <c r="BF273" s="726"/>
      <c r="BG273" s="726"/>
      <c r="BH273" s="726"/>
      <c r="BI273" s="726"/>
      <c r="BJ273" s="726"/>
      <c r="BK273" s="726"/>
      <c r="BL273" s="726"/>
      <c r="BM273" s="726"/>
      <c r="BN273" s="726"/>
      <c r="BO273" s="726"/>
      <c r="BP273" s="726"/>
      <c r="BQ273" s="726"/>
      <c r="BR273" s="726"/>
      <c r="BS273" s="726"/>
    </row>
    <row r="274" spans="1:71" s="563" customFormat="1">
      <c r="A274" s="614"/>
      <c r="E274" s="565"/>
      <c r="F274" s="565"/>
      <c r="Q274" s="726"/>
      <c r="R274" s="726"/>
      <c r="S274" s="726"/>
      <c r="T274" s="726"/>
      <c r="U274" s="726"/>
      <c r="V274" s="726"/>
      <c r="W274" s="726"/>
      <c r="X274" s="726"/>
      <c r="Y274" s="726"/>
      <c r="Z274" s="726"/>
      <c r="AA274" s="726"/>
      <c r="AB274" s="726"/>
      <c r="AC274" s="726"/>
      <c r="AD274" s="726"/>
      <c r="AE274" s="726"/>
      <c r="AF274" s="726"/>
      <c r="AG274" s="726"/>
      <c r="AH274" s="726"/>
      <c r="AI274" s="726"/>
      <c r="AJ274" s="726"/>
      <c r="AK274" s="726"/>
      <c r="AL274" s="726"/>
      <c r="AM274" s="726"/>
      <c r="AN274" s="726"/>
      <c r="AO274" s="726"/>
      <c r="AP274" s="726"/>
      <c r="AQ274" s="726"/>
      <c r="AR274" s="726"/>
      <c r="AS274" s="726"/>
      <c r="AT274" s="726"/>
      <c r="AU274" s="726"/>
      <c r="AV274" s="726"/>
      <c r="AW274" s="726"/>
      <c r="AX274" s="726"/>
      <c r="AY274" s="726"/>
      <c r="AZ274" s="726"/>
      <c r="BA274" s="726"/>
      <c r="BB274" s="726"/>
      <c r="BC274" s="726"/>
      <c r="BD274" s="726"/>
      <c r="BE274" s="726"/>
      <c r="BF274" s="726"/>
      <c r="BG274" s="726"/>
      <c r="BH274" s="726"/>
      <c r="BI274" s="726"/>
      <c r="BJ274" s="726"/>
      <c r="BK274" s="726"/>
      <c r="BL274" s="726"/>
      <c r="BM274" s="726"/>
      <c r="BN274" s="726"/>
      <c r="BO274" s="726"/>
      <c r="BP274" s="726"/>
      <c r="BQ274" s="726"/>
      <c r="BR274" s="726"/>
      <c r="BS274" s="726"/>
    </row>
    <row r="275" spans="1:71" s="563" customFormat="1">
      <c r="A275" s="614"/>
      <c r="E275" s="565"/>
      <c r="F275" s="565"/>
      <c r="Q275" s="726"/>
      <c r="R275" s="726"/>
      <c r="S275" s="726"/>
      <c r="T275" s="726"/>
      <c r="U275" s="726"/>
      <c r="V275" s="726"/>
      <c r="W275" s="726"/>
      <c r="X275" s="726"/>
      <c r="Y275" s="726"/>
      <c r="Z275" s="726"/>
      <c r="AA275" s="726"/>
      <c r="AB275" s="726"/>
      <c r="AC275" s="726"/>
      <c r="AD275" s="726"/>
      <c r="AE275" s="726"/>
      <c r="AF275" s="726"/>
      <c r="AG275" s="726"/>
      <c r="AH275" s="726"/>
      <c r="AI275" s="726"/>
      <c r="AJ275" s="726"/>
      <c r="AK275" s="726"/>
      <c r="AL275" s="726"/>
      <c r="AM275" s="726"/>
      <c r="AN275" s="726"/>
      <c r="AO275" s="726"/>
      <c r="AP275" s="726"/>
      <c r="AQ275" s="726"/>
      <c r="AR275" s="726"/>
      <c r="AS275" s="726"/>
      <c r="AT275" s="726"/>
      <c r="AU275" s="726"/>
      <c r="AV275" s="726"/>
      <c r="AW275" s="726"/>
      <c r="AX275" s="726"/>
      <c r="AY275" s="726"/>
      <c r="AZ275" s="726"/>
      <c r="BA275" s="726"/>
      <c r="BB275" s="726"/>
      <c r="BC275" s="726"/>
      <c r="BD275" s="726"/>
      <c r="BE275" s="726"/>
      <c r="BF275" s="726"/>
      <c r="BG275" s="726"/>
      <c r="BH275" s="726"/>
      <c r="BI275" s="726"/>
      <c r="BJ275" s="726"/>
      <c r="BK275" s="726"/>
      <c r="BL275" s="726"/>
      <c r="BM275" s="726"/>
      <c r="BN275" s="726"/>
      <c r="BO275" s="726"/>
      <c r="BP275" s="726"/>
      <c r="BQ275" s="726"/>
      <c r="BR275" s="726"/>
      <c r="BS275" s="726"/>
    </row>
    <row r="276" spans="1:71" s="563" customFormat="1">
      <c r="A276" s="614"/>
      <c r="E276" s="565"/>
      <c r="F276" s="565"/>
      <c r="Q276" s="726"/>
      <c r="R276" s="726"/>
      <c r="S276" s="726"/>
      <c r="T276" s="726"/>
      <c r="U276" s="726"/>
      <c r="V276" s="726"/>
      <c r="W276" s="726"/>
      <c r="X276" s="726"/>
      <c r="Y276" s="726"/>
      <c r="Z276" s="726"/>
      <c r="AA276" s="726"/>
      <c r="AB276" s="726"/>
      <c r="AC276" s="726"/>
      <c r="AD276" s="726"/>
      <c r="AE276" s="726"/>
      <c r="AF276" s="726"/>
      <c r="AG276" s="726"/>
      <c r="AH276" s="726"/>
      <c r="AI276" s="726"/>
      <c r="AJ276" s="726"/>
      <c r="AK276" s="726"/>
      <c r="AL276" s="726"/>
      <c r="AM276" s="726"/>
      <c r="AN276" s="726"/>
      <c r="AO276" s="726"/>
      <c r="AP276" s="726"/>
      <c r="AQ276" s="726"/>
      <c r="AR276" s="726"/>
      <c r="AS276" s="726"/>
      <c r="AT276" s="726"/>
      <c r="AU276" s="726"/>
      <c r="AV276" s="726"/>
      <c r="AW276" s="726"/>
      <c r="AX276" s="726"/>
      <c r="AY276" s="726"/>
      <c r="AZ276" s="726"/>
      <c r="BA276" s="726"/>
      <c r="BB276" s="726"/>
      <c r="BC276" s="726"/>
      <c r="BD276" s="726"/>
      <c r="BE276" s="726"/>
      <c r="BF276" s="726"/>
      <c r="BG276" s="726"/>
      <c r="BH276" s="726"/>
      <c r="BI276" s="726"/>
      <c r="BJ276" s="726"/>
      <c r="BK276" s="726"/>
      <c r="BL276" s="726"/>
      <c r="BM276" s="726"/>
      <c r="BN276" s="726"/>
      <c r="BO276" s="726"/>
      <c r="BP276" s="726"/>
      <c r="BQ276" s="726"/>
      <c r="BR276" s="726"/>
      <c r="BS276" s="726"/>
    </row>
    <row r="277" spans="1:71" s="563" customFormat="1">
      <c r="A277" s="614"/>
      <c r="E277" s="565"/>
      <c r="F277" s="565"/>
      <c r="Q277" s="726"/>
      <c r="R277" s="726"/>
      <c r="S277" s="726"/>
      <c r="T277" s="726"/>
      <c r="U277" s="726"/>
      <c r="V277" s="726"/>
      <c r="W277" s="726"/>
      <c r="X277" s="726"/>
      <c r="Y277" s="726"/>
      <c r="Z277" s="726"/>
      <c r="AA277" s="726"/>
      <c r="AB277" s="726"/>
      <c r="AC277" s="726"/>
      <c r="AD277" s="726"/>
      <c r="AE277" s="726"/>
      <c r="AF277" s="726"/>
      <c r="AG277" s="726"/>
      <c r="AH277" s="726"/>
      <c r="AI277" s="726"/>
      <c r="AJ277" s="726"/>
      <c r="AK277" s="726"/>
      <c r="AL277" s="726"/>
      <c r="AM277" s="726"/>
      <c r="AN277" s="726"/>
      <c r="AO277" s="726"/>
      <c r="AP277" s="726"/>
      <c r="AQ277" s="726"/>
      <c r="AR277" s="726"/>
      <c r="AS277" s="726"/>
      <c r="AT277" s="726"/>
      <c r="AU277" s="726"/>
      <c r="AV277" s="726"/>
      <c r="AW277" s="726"/>
      <c r="AX277" s="726"/>
      <c r="AY277" s="726"/>
      <c r="AZ277" s="726"/>
      <c r="BA277" s="726"/>
      <c r="BB277" s="726"/>
      <c r="BC277" s="726"/>
      <c r="BD277" s="726"/>
      <c r="BE277" s="726"/>
      <c r="BF277" s="726"/>
      <c r="BG277" s="726"/>
      <c r="BH277" s="726"/>
      <c r="BI277" s="726"/>
      <c r="BJ277" s="726"/>
      <c r="BK277" s="726"/>
      <c r="BL277" s="726"/>
      <c r="BM277" s="726"/>
      <c r="BN277" s="726"/>
      <c r="BO277" s="726"/>
      <c r="BP277" s="726"/>
      <c r="BQ277" s="726"/>
      <c r="BR277" s="726"/>
      <c r="BS277" s="726"/>
    </row>
    <row r="278" spans="1:71" s="563" customFormat="1">
      <c r="A278" s="614"/>
      <c r="E278" s="565"/>
      <c r="F278" s="565"/>
      <c r="Q278" s="726"/>
      <c r="R278" s="726"/>
      <c r="S278" s="726"/>
      <c r="T278" s="726"/>
      <c r="U278" s="726"/>
      <c r="V278" s="726"/>
      <c r="W278" s="726"/>
      <c r="X278" s="726"/>
      <c r="Y278" s="726"/>
      <c r="Z278" s="726"/>
      <c r="AA278" s="726"/>
      <c r="AB278" s="726"/>
      <c r="AC278" s="726"/>
      <c r="AD278" s="726"/>
      <c r="AE278" s="726"/>
      <c r="AF278" s="726"/>
      <c r="AG278" s="726"/>
      <c r="AH278" s="726"/>
      <c r="AI278" s="726"/>
      <c r="AJ278" s="726"/>
      <c r="AK278" s="726"/>
      <c r="AL278" s="726"/>
      <c r="AM278" s="726"/>
      <c r="AN278" s="726"/>
      <c r="AO278" s="726"/>
      <c r="AP278" s="726"/>
      <c r="AQ278" s="726"/>
      <c r="AR278" s="726"/>
      <c r="AS278" s="726"/>
      <c r="AT278" s="726"/>
      <c r="AU278" s="726"/>
      <c r="AV278" s="726"/>
      <c r="AW278" s="726"/>
      <c r="AX278" s="726"/>
      <c r="AY278" s="726"/>
      <c r="AZ278" s="726"/>
      <c r="BA278" s="726"/>
      <c r="BB278" s="726"/>
      <c r="BC278" s="726"/>
      <c r="BD278" s="726"/>
      <c r="BE278" s="726"/>
      <c r="BF278" s="726"/>
      <c r="BG278" s="726"/>
      <c r="BH278" s="726"/>
      <c r="BI278" s="726"/>
      <c r="BJ278" s="726"/>
      <c r="BK278" s="726"/>
      <c r="BL278" s="726"/>
      <c r="BM278" s="726"/>
      <c r="BN278" s="726"/>
      <c r="BO278" s="726"/>
      <c r="BP278" s="726"/>
      <c r="BQ278" s="726"/>
      <c r="BR278" s="726"/>
      <c r="BS278" s="726"/>
    </row>
    <row r="279" spans="1:71" s="563" customFormat="1">
      <c r="A279" s="614"/>
      <c r="E279" s="565"/>
      <c r="F279" s="565"/>
      <c r="Q279" s="726"/>
      <c r="R279" s="726"/>
      <c r="S279" s="726"/>
      <c r="T279" s="726"/>
      <c r="U279" s="726"/>
      <c r="V279" s="726"/>
      <c r="W279" s="726"/>
      <c r="X279" s="726"/>
      <c r="Y279" s="726"/>
      <c r="Z279" s="726"/>
      <c r="AA279" s="726"/>
      <c r="AB279" s="726"/>
      <c r="AC279" s="726"/>
      <c r="AD279" s="726"/>
      <c r="AE279" s="726"/>
      <c r="AF279" s="726"/>
      <c r="AG279" s="726"/>
      <c r="AH279" s="726"/>
      <c r="AI279" s="726"/>
      <c r="AJ279" s="726"/>
      <c r="AK279" s="726"/>
      <c r="AL279" s="726"/>
      <c r="AM279" s="726"/>
      <c r="AN279" s="726"/>
      <c r="AO279" s="726"/>
      <c r="AP279" s="726"/>
      <c r="AQ279" s="726"/>
      <c r="AR279" s="726"/>
      <c r="AS279" s="726"/>
      <c r="AT279" s="726"/>
      <c r="AU279" s="726"/>
      <c r="AV279" s="726"/>
      <c r="AW279" s="726"/>
      <c r="AX279" s="726"/>
      <c r="AY279" s="726"/>
      <c r="AZ279" s="726"/>
      <c r="BA279" s="726"/>
      <c r="BB279" s="726"/>
      <c r="BC279" s="726"/>
      <c r="BD279" s="726"/>
      <c r="BE279" s="726"/>
      <c r="BF279" s="726"/>
      <c r="BG279" s="726"/>
      <c r="BH279" s="726"/>
      <c r="BI279" s="726"/>
      <c r="BJ279" s="726"/>
      <c r="BK279" s="726"/>
      <c r="BL279" s="726"/>
      <c r="BM279" s="726"/>
      <c r="BN279" s="726"/>
      <c r="BO279" s="726"/>
      <c r="BP279" s="726"/>
      <c r="BQ279" s="726"/>
      <c r="BR279" s="726"/>
      <c r="BS279" s="726"/>
    </row>
    <row r="280" spans="1:71" s="563" customFormat="1">
      <c r="A280" s="614"/>
      <c r="E280" s="565"/>
      <c r="F280" s="565"/>
      <c r="Q280" s="726"/>
      <c r="R280" s="726"/>
      <c r="S280" s="726"/>
      <c r="T280" s="726"/>
      <c r="U280" s="726"/>
      <c r="V280" s="726"/>
      <c r="W280" s="726"/>
      <c r="X280" s="726"/>
      <c r="Y280" s="726"/>
      <c r="Z280" s="726"/>
      <c r="AA280" s="726"/>
      <c r="AB280" s="726"/>
      <c r="AC280" s="726"/>
      <c r="AD280" s="726"/>
      <c r="AE280" s="726"/>
      <c r="AF280" s="726"/>
      <c r="AG280" s="726"/>
      <c r="AH280" s="726"/>
      <c r="AI280" s="726"/>
      <c r="AJ280" s="726"/>
      <c r="AK280" s="726"/>
      <c r="AL280" s="726"/>
      <c r="AM280" s="726"/>
      <c r="AN280" s="726"/>
      <c r="AO280" s="726"/>
      <c r="AP280" s="726"/>
      <c r="AQ280" s="726"/>
      <c r="AR280" s="726"/>
      <c r="AS280" s="726"/>
      <c r="AT280" s="726"/>
      <c r="AU280" s="726"/>
      <c r="AV280" s="726"/>
      <c r="AW280" s="726"/>
      <c r="AX280" s="726"/>
      <c r="AY280" s="726"/>
      <c r="AZ280" s="726"/>
      <c r="BA280" s="726"/>
      <c r="BB280" s="726"/>
      <c r="BC280" s="726"/>
      <c r="BD280" s="726"/>
      <c r="BE280" s="726"/>
      <c r="BF280" s="726"/>
      <c r="BG280" s="726"/>
      <c r="BH280" s="726"/>
      <c r="BI280" s="726"/>
      <c r="BJ280" s="726"/>
      <c r="BK280" s="726"/>
      <c r="BL280" s="726"/>
      <c r="BM280" s="726"/>
      <c r="BN280" s="726"/>
      <c r="BO280" s="726"/>
      <c r="BP280" s="726"/>
      <c r="BQ280" s="726"/>
      <c r="BR280" s="726"/>
      <c r="BS280" s="726"/>
    </row>
    <row r="281" spans="1:71" s="563" customFormat="1">
      <c r="A281" s="614"/>
      <c r="E281" s="565"/>
      <c r="F281" s="565"/>
      <c r="Q281" s="726"/>
      <c r="R281" s="726"/>
      <c r="S281" s="726"/>
      <c r="T281" s="726"/>
      <c r="U281" s="726"/>
      <c r="V281" s="726"/>
      <c r="W281" s="726"/>
      <c r="X281" s="726"/>
      <c r="Y281" s="726"/>
      <c r="Z281" s="726"/>
      <c r="AA281" s="726"/>
      <c r="AB281" s="726"/>
      <c r="AC281" s="726"/>
      <c r="AD281" s="726"/>
      <c r="AE281" s="726"/>
      <c r="AF281" s="726"/>
      <c r="AG281" s="726"/>
      <c r="AH281" s="726"/>
      <c r="AI281" s="726"/>
      <c r="AJ281" s="726"/>
      <c r="AK281" s="726"/>
      <c r="AL281" s="726"/>
      <c r="AM281" s="726"/>
      <c r="AN281" s="726"/>
      <c r="AO281" s="726"/>
      <c r="AP281" s="726"/>
      <c r="AQ281" s="726"/>
      <c r="AR281" s="726"/>
      <c r="AS281" s="726"/>
      <c r="AT281" s="726"/>
      <c r="AU281" s="726"/>
      <c r="AV281" s="726"/>
      <c r="AW281" s="726"/>
      <c r="AX281" s="726"/>
      <c r="AY281" s="726"/>
      <c r="AZ281" s="726"/>
      <c r="BA281" s="726"/>
      <c r="BB281" s="726"/>
      <c r="BC281" s="726"/>
      <c r="BD281" s="726"/>
      <c r="BE281" s="726"/>
      <c r="BF281" s="726"/>
      <c r="BG281" s="726"/>
      <c r="BH281" s="726"/>
      <c r="BI281" s="726"/>
      <c r="BJ281" s="726"/>
      <c r="BK281" s="726"/>
      <c r="BL281" s="726"/>
      <c r="BM281" s="726"/>
      <c r="BN281" s="726"/>
      <c r="BO281" s="726"/>
      <c r="BP281" s="726"/>
      <c r="BQ281" s="726"/>
      <c r="BR281" s="726"/>
      <c r="BS281" s="726"/>
    </row>
    <row r="282" spans="1:71" s="563" customFormat="1">
      <c r="A282" s="614"/>
      <c r="E282" s="565"/>
      <c r="F282" s="565"/>
      <c r="Q282" s="726"/>
      <c r="R282" s="726"/>
      <c r="S282" s="726"/>
      <c r="T282" s="726"/>
      <c r="U282" s="726"/>
      <c r="V282" s="726"/>
      <c r="W282" s="726"/>
      <c r="X282" s="726"/>
      <c r="Y282" s="726"/>
      <c r="Z282" s="726"/>
      <c r="AA282" s="726"/>
      <c r="AB282" s="726"/>
      <c r="AC282" s="726"/>
      <c r="AD282" s="726"/>
      <c r="AE282" s="726"/>
      <c r="AF282" s="726"/>
      <c r="AG282" s="726"/>
      <c r="AH282" s="726"/>
      <c r="AI282" s="726"/>
      <c r="AJ282" s="726"/>
      <c r="AK282" s="726"/>
      <c r="AL282" s="726"/>
      <c r="AM282" s="726"/>
      <c r="AN282" s="726"/>
      <c r="AO282" s="726"/>
      <c r="AP282" s="726"/>
      <c r="AQ282" s="726"/>
      <c r="AR282" s="726"/>
      <c r="AS282" s="726"/>
      <c r="AT282" s="726"/>
      <c r="AU282" s="726"/>
      <c r="AV282" s="726"/>
      <c r="AW282" s="726"/>
      <c r="AX282" s="726"/>
      <c r="AY282" s="726"/>
      <c r="AZ282" s="726"/>
      <c r="BA282" s="726"/>
      <c r="BB282" s="726"/>
      <c r="BC282" s="726"/>
      <c r="BD282" s="726"/>
      <c r="BE282" s="726"/>
      <c r="BF282" s="726"/>
      <c r="BG282" s="726"/>
      <c r="BH282" s="726"/>
      <c r="BI282" s="726"/>
      <c r="BJ282" s="726"/>
      <c r="BK282" s="726"/>
      <c r="BL282" s="726"/>
      <c r="BM282" s="726"/>
      <c r="BN282" s="726"/>
      <c r="BO282" s="726"/>
      <c r="BP282" s="726"/>
      <c r="BQ282" s="726"/>
      <c r="BR282" s="726"/>
      <c r="BS282" s="726"/>
    </row>
    <row r="283" spans="1:71" s="563" customFormat="1">
      <c r="A283" s="614"/>
      <c r="E283" s="565"/>
      <c r="F283" s="565"/>
      <c r="Q283" s="726"/>
      <c r="R283" s="726"/>
      <c r="S283" s="726"/>
      <c r="T283" s="726"/>
      <c r="U283" s="726"/>
      <c r="V283" s="726"/>
      <c r="W283" s="726"/>
      <c r="X283" s="726"/>
      <c r="Y283" s="726"/>
      <c r="Z283" s="726"/>
      <c r="AA283" s="726"/>
      <c r="AB283" s="726"/>
      <c r="AC283" s="726"/>
      <c r="AD283" s="726"/>
      <c r="AE283" s="726"/>
      <c r="AF283" s="726"/>
      <c r="AG283" s="726"/>
      <c r="AH283" s="726"/>
      <c r="AI283" s="726"/>
      <c r="AJ283" s="726"/>
      <c r="AK283" s="726"/>
      <c r="AL283" s="726"/>
      <c r="AM283" s="726"/>
      <c r="AN283" s="726"/>
      <c r="AO283" s="726"/>
      <c r="AP283" s="726"/>
      <c r="AQ283" s="726"/>
      <c r="AR283" s="726"/>
      <c r="AS283" s="726"/>
      <c r="AT283" s="726"/>
      <c r="AU283" s="726"/>
      <c r="AV283" s="726"/>
      <c r="AW283" s="726"/>
      <c r="AX283" s="726"/>
      <c r="AY283" s="726"/>
      <c r="AZ283" s="726"/>
      <c r="BA283" s="726"/>
      <c r="BB283" s="726"/>
      <c r="BC283" s="726"/>
      <c r="BD283" s="726"/>
      <c r="BE283" s="726"/>
      <c r="BF283" s="726"/>
      <c r="BG283" s="726"/>
      <c r="BH283" s="726"/>
      <c r="BI283" s="726"/>
      <c r="BJ283" s="726"/>
      <c r="BK283" s="726"/>
      <c r="BL283" s="726"/>
      <c r="BM283" s="726"/>
      <c r="BN283" s="726"/>
      <c r="BO283" s="726"/>
      <c r="BP283" s="726"/>
      <c r="BQ283" s="726"/>
      <c r="BR283" s="726"/>
      <c r="BS283" s="726"/>
    </row>
    <row r="284" spans="1:71" s="563" customFormat="1">
      <c r="A284" s="614"/>
      <c r="E284" s="565"/>
      <c r="F284" s="565"/>
      <c r="Q284" s="726"/>
      <c r="R284" s="726"/>
      <c r="S284" s="726"/>
      <c r="T284" s="726"/>
      <c r="U284" s="726"/>
      <c r="V284" s="726"/>
      <c r="W284" s="726"/>
      <c r="X284" s="726"/>
      <c r="Y284" s="726"/>
      <c r="Z284" s="726"/>
      <c r="AA284" s="726"/>
      <c r="AB284" s="726"/>
      <c r="AC284" s="726"/>
      <c r="AD284" s="726"/>
      <c r="AE284" s="726"/>
      <c r="AF284" s="726"/>
      <c r="AG284" s="726"/>
      <c r="AH284" s="726"/>
      <c r="AI284" s="726"/>
      <c r="AJ284" s="726"/>
      <c r="AK284" s="726"/>
      <c r="AL284" s="726"/>
      <c r="AM284" s="726"/>
      <c r="AN284" s="726"/>
      <c r="AO284" s="726"/>
      <c r="AP284" s="726"/>
      <c r="AQ284" s="726"/>
      <c r="AR284" s="726"/>
      <c r="AS284" s="726"/>
      <c r="AT284" s="726"/>
      <c r="AU284" s="726"/>
      <c r="AV284" s="726"/>
      <c r="AW284" s="726"/>
      <c r="AX284" s="726"/>
      <c r="AY284" s="726"/>
      <c r="AZ284" s="726"/>
      <c r="BA284" s="726"/>
      <c r="BB284" s="726"/>
      <c r="BC284" s="726"/>
      <c r="BD284" s="726"/>
      <c r="BE284" s="726"/>
      <c r="BF284" s="726"/>
      <c r="BG284" s="726"/>
      <c r="BH284" s="726"/>
      <c r="BI284" s="726"/>
      <c r="BJ284" s="726"/>
      <c r="BK284" s="726"/>
      <c r="BL284" s="726"/>
      <c r="BM284" s="726"/>
      <c r="BN284" s="726"/>
      <c r="BO284" s="726"/>
      <c r="BP284" s="726"/>
      <c r="BQ284" s="726"/>
      <c r="BR284" s="726"/>
      <c r="BS284" s="726"/>
    </row>
    <row r="285" spans="1:71" s="563" customFormat="1">
      <c r="A285" s="614"/>
      <c r="E285" s="565"/>
      <c r="F285" s="565"/>
      <c r="Q285" s="726"/>
      <c r="R285" s="726"/>
      <c r="S285" s="726"/>
      <c r="T285" s="726"/>
      <c r="U285" s="726"/>
      <c r="V285" s="726"/>
      <c r="W285" s="726"/>
      <c r="X285" s="726"/>
      <c r="Y285" s="726"/>
      <c r="Z285" s="726"/>
      <c r="AA285" s="726"/>
      <c r="AB285" s="726"/>
      <c r="AC285" s="726"/>
      <c r="AD285" s="726"/>
      <c r="AE285" s="726"/>
      <c r="AF285" s="726"/>
      <c r="AG285" s="726"/>
      <c r="AH285" s="726"/>
      <c r="AI285" s="726"/>
      <c r="AJ285" s="726"/>
      <c r="AK285" s="726"/>
      <c r="AL285" s="726"/>
      <c r="AM285" s="726"/>
      <c r="AN285" s="726"/>
      <c r="AO285" s="726"/>
      <c r="AP285" s="726"/>
      <c r="AQ285" s="726"/>
      <c r="AR285" s="726"/>
      <c r="AS285" s="726"/>
      <c r="AT285" s="726"/>
      <c r="AU285" s="726"/>
      <c r="AV285" s="726"/>
      <c r="AW285" s="726"/>
      <c r="AX285" s="726"/>
      <c r="AY285" s="726"/>
      <c r="AZ285" s="726"/>
      <c r="BA285" s="726"/>
      <c r="BB285" s="726"/>
      <c r="BC285" s="726"/>
      <c r="BD285" s="726"/>
      <c r="BE285" s="726"/>
      <c r="BF285" s="726"/>
      <c r="BG285" s="726"/>
      <c r="BH285" s="726"/>
      <c r="BI285" s="726"/>
      <c r="BJ285" s="726"/>
      <c r="BK285" s="726"/>
      <c r="BL285" s="726"/>
      <c r="BM285" s="726"/>
      <c r="BN285" s="726"/>
      <c r="BO285" s="726"/>
      <c r="BP285" s="726"/>
      <c r="BQ285" s="726"/>
      <c r="BR285" s="726"/>
      <c r="BS285" s="726"/>
    </row>
    <row r="286" spans="1:71" s="563" customFormat="1">
      <c r="A286" s="614"/>
      <c r="E286" s="565"/>
      <c r="F286" s="565"/>
      <c r="Q286" s="726"/>
      <c r="R286" s="726"/>
      <c r="S286" s="726"/>
      <c r="T286" s="726"/>
      <c r="U286" s="726"/>
      <c r="V286" s="726"/>
      <c r="W286" s="726"/>
      <c r="X286" s="726"/>
      <c r="Y286" s="726"/>
      <c r="Z286" s="726"/>
      <c r="AA286" s="726"/>
      <c r="AB286" s="726"/>
      <c r="AC286" s="726"/>
      <c r="AD286" s="726"/>
      <c r="AE286" s="726"/>
      <c r="AF286" s="726"/>
      <c r="AG286" s="726"/>
      <c r="AH286" s="726"/>
      <c r="AI286" s="726"/>
      <c r="AJ286" s="726"/>
      <c r="AK286" s="726"/>
      <c r="AL286" s="726"/>
      <c r="AM286" s="726"/>
      <c r="AN286" s="726"/>
      <c r="AO286" s="726"/>
      <c r="AP286" s="726"/>
      <c r="AQ286" s="726"/>
      <c r="AR286" s="726"/>
      <c r="AS286" s="726"/>
      <c r="AT286" s="726"/>
      <c r="AU286" s="726"/>
      <c r="AV286" s="726"/>
      <c r="AW286" s="726"/>
      <c r="AX286" s="726"/>
      <c r="AY286" s="726"/>
      <c r="AZ286" s="726"/>
      <c r="BA286" s="726"/>
      <c r="BB286" s="726"/>
      <c r="BC286" s="726"/>
      <c r="BD286" s="726"/>
      <c r="BE286" s="726"/>
      <c r="BF286" s="726"/>
      <c r="BG286" s="726"/>
      <c r="BH286" s="726"/>
      <c r="BI286" s="726"/>
      <c r="BJ286" s="726"/>
      <c r="BK286" s="726"/>
      <c r="BL286" s="726"/>
      <c r="BM286" s="726"/>
      <c r="BN286" s="726"/>
      <c r="BO286" s="726"/>
      <c r="BP286" s="726"/>
      <c r="BQ286" s="726"/>
      <c r="BR286" s="726"/>
      <c r="BS286" s="726"/>
    </row>
    <row r="287" spans="1:71" s="563" customFormat="1">
      <c r="A287" s="614"/>
      <c r="E287" s="565"/>
      <c r="F287" s="565"/>
      <c r="Q287" s="726"/>
      <c r="R287" s="726"/>
      <c r="S287" s="726"/>
      <c r="T287" s="726"/>
      <c r="U287" s="726"/>
      <c r="V287" s="726"/>
      <c r="W287" s="726"/>
      <c r="X287" s="726"/>
      <c r="Y287" s="726"/>
      <c r="Z287" s="726"/>
      <c r="AA287" s="726"/>
      <c r="AB287" s="726"/>
      <c r="AC287" s="726"/>
      <c r="AD287" s="726"/>
      <c r="AE287" s="726"/>
      <c r="AF287" s="726"/>
      <c r="AG287" s="726"/>
      <c r="AH287" s="726"/>
      <c r="AI287" s="726"/>
      <c r="AJ287" s="726"/>
      <c r="AK287" s="726"/>
      <c r="AL287" s="726"/>
      <c r="AM287" s="726"/>
      <c r="AN287" s="726"/>
      <c r="AO287" s="726"/>
      <c r="AP287" s="726"/>
      <c r="AQ287" s="726"/>
      <c r="AR287" s="726"/>
      <c r="AS287" s="726"/>
      <c r="AT287" s="726"/>
      <c r="AU287" s="726"/>
      <c r="AV287" s="726"/>
      <c r="AW287" s="726"/>
      <c r="AX287" s="726"/>
      <c r="AY287" s="726"/>
      <c r="AZ287" s="726"/>
      <c r="BA287" s="726"/>
      <c r="BB287" s="726"/>
      <c r="BC287" s="726"/>
      <c r="BD287" s="726"/>
      <c r="BE287" s="726"/>
      <c r="BF287" s="726"/>
      <c r="BG287" s="726"/>
      <c r="BH287" s="726"/>
      <c r="BI287" s="726"/>
      <c r="BJ287" s="726"/>
      <c r="BK287" s="726"/>
      <c r="BL287" s="726"/>
      <c r="BM287" s="726"/>
      <c r="BN287" s="726"/>
      <c r="BO287" s="726"/>
      <c r="BP287" s="726"/>
      <c r="BQ287" s="726"/>
      <c r="BR287" s="726"/>
      <c r="BS287" s="726"/>
    </row>
    <row r="288" spans="1:71" s="563" customFormat="1">
      <c r="A288" s="614"/>
      <c r="E288" s="565"/>
      <c r="F288" s="565"/>
      <c r="Q288" s="726"/>
      <c r="R288" s="726"/>
      <c r="S288" s="726"/>
      <c r="T288" s="726"/>
      <c r="U288" s="726"/>
      <c r="V288" s="726"/>
      <c r="W288" s="726"/>
      <c r="X288" s="726"/>
      <c r="Y288" s="726"/>
      <c r="Z288" s="726"/>
      <c r="AA288" s="726"/>
      <c r="AB288" s="726"/>
      <c r="AC288" s="726"/>
      <c r="AD288" s="726"/>
      <c r="AE288" s="726"/>
      <c r="AF288" s="726"/>
      <c r="AG288" s="726"/>
      <c r="AH288" s="726"/>
      <c r="AI288" s="726"/>
      <c r="AJ288" s="726"/>
      <c r="AK288" s="726"/>
      <c r="AL288" s="726"/>
      <c r="AM288" s="726"/>
      <c r="AN288" s="726"/>
      <c r="AO288" s="726"/>
      <c r="AP288" s="726"/>
      <c r="AQ288" s="726"/>
      <c r="AR288" s="726"/>
      <c r="AS288" s="726"/>
      <c r="AT288" s="726"/>
      <c r="AU288" s="726"/>
      <c r="AV288" s="726"/>
      <c r="AW288" s="726"/>
      <c r="AX288" s="726"/>
      <c r="AY288" s="726"/>
      <c r="AZ288" s="726"/>
      <c r="BA288" s="726"/>
      <c r="BB288" s="726"/>
      <c r="BC288" s="726"/>
      <c r="BD288" s="726"/>
      <c r="BE288" s="726"/>
      <c r="BF288" s="726"/>
      <c r="BG288" s="726"/>
      <c r="BH288" s="726"/>
      <c r="BI288" s="726"/>
      <c r="BJ288" s="726"/>
      <c r="BK288" s="726"/>
      <c r="BL288" s="726"/>
      <c r="BM288" s="726"/>
      <c r="BN288" s="726"/>
      <c r="BO288" s="726"/>
      <c r="BP288" s="726"/>
      <c r="BQ288" s="726"/>
      <c r="BR288" s="726"/>
      <c r="BS288" s="726"/>
    </row>
    <row r="289" spans="1:71" s="563" customFormat="1">
      <c r="A289" s="614"/>
      <c r="E289" s="565"/>
      <c r="F289" s="565"/>
      <c r="Q289" s="726"/>
      <c r="R289" s="726"/>
      <c r="S289" s="726"/>
      <c r="T289" s="726"/>
      <c r="U289" s="726"/>
      <c r="V289" s="726"/>
      <c r="W289" s="726"/>
      <c r="X289" s="726"/>
      <c r="Y289" s="726"/>
      <c r="Z289" s="726"/>
      <c r="AA289" s="726"/>
      <c r="AB289" s="726"/>
      <c r="AC289" s="726"/>
      <c r="AD289" s="726"/>
      <c r="AE289" s="726"/>
      <c r="AF289" s="726"/>
      <c r="AG289" s="726"/>
      <c r="AH289" s="726"/>
      <c r="AI289" s="726"/>
      <c r="AJ289" s="726"/>
      <c r="AK289" s="726"/>
      <c r="AL289" s="726"/>
      <c r="AM289" s="726"/>
      <c r="AN289" s="726"/>
      <c r="AO289" s="726"/>
      <c r="AP289" s="726"/>
      <c r="AQ289" s="726"/>
      <c r="AR289" s="726"/>
      <c r="AS289" s="726"/>
      <c r="AT289" s="726"/>
      <c r="AU289" s="726"/>
      <c r="AV289" s="726"/>
      <c r="AW289" s="726"/>
      <c r="AX289" s="726"/>
      <c r="AY289" s="726"/>
      <c r="AZ289" s="726"/>
      <c r="BA289" s="726"/>
      <c r="BB289" s="726"/>
      <c r="BC289" s="726"/>
      <c r="BD289" s="726"/>
      <c r="BE289" s="726"/>
      <c r="BF289" s="726"/>
      <c r="BG289" s="726"/>
      <c r="BH289" s="726"/>
      <c r="BI289" s="726"/>
      <c r="BJ289" s="726"/>
      <c r="BK289" s="726"/>
      <c r="BL289" s="726"/>
      <c r="BM289" s="726"/>
      <c r="BN289" s="726"/>
      <c r="BO289" s="726"/>
      <c r="BP289" s="726"/>
      <c r="BQ289" s="726"/>
      <c r="BR289" s="726"/>
      <c r="BS289" s="726"/>
    </row>
    <row r="290" spans="1:71" s="563" customFormat="1">
      <c r="A290" s="614"/>
      <c r="E290" s="565"/>
      <c r="F290" s="565"/>
      <c r="Q290" s="726"/>
      <c r="R290" s="726"/>
      <c r="S290" s="726"/>
      <c r="T290" s="726"/>
      <c r="U290" s="726"/>
      <c r="V290" s="726"/>
      <c r="W290" s="726"/>
      <c r="X290" s="726"/>
      <c r="Y290" s="726"/>
      <c r="Z290" s="726"/>
      <c r="AA290" s="726"/>
      <c r="AB290" s="726"/>
      <c r="AC290" s="726"/>
      <c r="AD290" s="726"/>
      <c r="AE290" s="726"/>
      <c r="AF290" s="726"/>
      <c r="AG290" s="726"/>
      <c r="AH290" s="726"/>
      <c r="AI290" s="726"/>
      <c r="AJ290" s="726"/>
      <c r="AK290" s="726"/>
      <c r="AL290" s="726"/>
      <c r="AM290" s="726"/>
      <c r="AN290" s="726"/>
      <c r="AO290" s="726"/>
      <c r="AP290" s="726"/>
      <c r="AQ290" s="726"/>
      <c r="AR290" s="726"/>
      <c r="AS290" s="726"/>
      <c r="AT290" s="726"/>
      <c r="AU290" s="726"/>
      <c r="AV290" s="726"/>
      <c r="AW290" s="726"/>
      <c r="AX290" s="726"/>
      <c r="AY290" s="726"/>
      <c r="AZ290" s="726"/>
      <c r="BA290" s="726"/>
      <c r="BB290" s="726"/>
      <c r="BC290" s="726"/>
      <c r="BD290" s="726"/>
      <c r="BE290" s="726"/>
      <c r="BF290" s="726"/>
      <c r="BG290" s="726"/>
      <c r="BH290" s="726"/>
      <c r="BI290" s="726"/>
      <c r="BJ290" s="726"/>
      <c r="BK290" s="726"/>
      <c r="BL290" s="726"/>
      <c r="BM290" s="726"/>
      <c r="BN290" s="726"/>
      <c r="BO290" s="726"/>
      <c r="BP290" s="726"/>
      <c r="BQ290" s="726"/>
      <c r="BR290" s="726"/>
      <c r="BS290" s="726"/>
    </row>
    <row r="291" spans="1:71" s="563" customFormat="1">
      <c r="A291" s="614"/>
      <c r="E291" s="565"/>
      <c r="F291" s="565"/>
      <c r="Q291" s="726"/>
      <c r="R291" s="726"/>
      <c r="S291" s="726"/>
      <c r="T291" s="726"/>
      <c r="U291" s="726"/>
      <c r="V291" s="726"/>
      <c r="W291" s="726"/>
      <c r="X291" s="726"/>
      <c r="Y291" s="726"/>
      <c r="Z291" s="726"/>
      <c r="AA291" s="726"/>
      <c r="AB291" s="726"/>
      <c r="AC291" s="726"/>
      <c r="AD291" s="726"/>
      <c r="AE291" s="726"/>
      <c r="AF291" s="726"/>
      <c r="AG291" s="726"/>
      <c r="AH291" s="726"/>
      <c r="AI291" s="726"/>
      <c r="AJ291" s="726"/>
      <c r="AK291" s="726"/>
      <c r="AL291" s="726"/>
      <c r="AM291" s="726"/>
      <c r="AN291" s="726"/>
      <c r="AO291" s="726"/>
      <c r="AP291" s="726"/>
      <c r="AQ291" s="726"/>
      <c r="AR291" s="726"/>
      <c r="AS291" s="726"/>
      <c r="AT291" s="726"/>
      <c r="AU291" s="726"/>
      <c r="AV291" s="726"/>
      <c r="AW291" s="726"/>
      <c r="AX291" s="726"/>
      <c r="AY291" s="726"/>
      <c r="AZ291" s="726"/>
      <c r="BA291" s="726"/>
      <c r="BB291" s="726"/>
      <c r="BC291" s="726"/>
      <c r="BD291" s="726"/>
      <c r="BE291" s="726"/>
      <c r="BF291" s="726"/>
      <c r="BG291" s="726"/>
      <c r="BH291" s="726"/>
      <c r="BI291" s="726"/>
      <c r="BJ291" s="726"/>
      <c r="BK291" s="726"/>
      <c r="BL291" s="726"/>
      <c r="BM291" s="726"/>
      <c r="BN291" s="726"/>
      <c r="BO291" s="726"/>
      <c r="BP291" s="726"/>
      <c r="BQ291" s="726"/>
      <c r="BR291" s="726"/>
      <c r="BS291" s="726"/>
    </row>
    <row r="292" spans="1:71" s="563" customFormat="1">
      <c r="A292" s="614"/>
      <c r="E292" s="565"/>
      <c r="F292" s="565"/>
      <c r="Q292" s="726"/>
      <c r="R292" s="726"/>
      <c r="S292" s="726"/>
      <c r="T292" s="726"/>
      <c r="U292" s="726"/>
      <c r="V292" s="726"/>
      <c r="W292" s="726"/>
      <c r="X292" s="726"/>
      <c r="Y292" s="726"/>
      <c r="Z292" s="726"/>
      <c r="AA292" s="726"/>
      <c r="AB292" s="726"/>
      <c r="AC292" s="726"/>
      <c r="AD292" s="726"/>
      <c r="AE292" s="726"/>
      <c r="AF292" s="726"/>
      <c r="AG292" s="726"/>
      <c r="AH292" s="726"/>
      <c r="AI292" s="726"/>
      <c r="AJ292" s="726"/>
      <c r="AK292" s="726"/>
      <c r="AL292" s="726"/>
      <c r="AM292" s="726"/>
      <c r="AN292" s="726"/>
      <c r="AO292" s="726"/>
      <c r="AP292" s="726"/>
      <c r="AQ292" s="726"/>
      <c r="AR292" s="726"/>
      <c r="AS292" s="726"/>
      <c r="AT292" s="726"/>
      <c r="AU292" s="726"/>
      <c r="AV292" s="726"/>
      <c r="AW292" s="726"/>
      <c r="AX292" s="726"/>
      <c r="AY292" s="726"/>
      <c r="AZ292" s="726"/>
      <c r="BA292" s="726"/>
      <c r="BB292" s="726"/>
      <c r="BC292" s="726"/>
      <c r="BD292" s="726"/>
      <c r="BE292" s="726"/>
      <c r="BF292" s="726"/>
      <c r="BG292" s="726"/>
      <c r="BH292" s="726"/>
      <c r="BI292" s="726"/>
      <c r="BJ292" s="726"/>
      <c r="BK292" s="726"/>
      <c r="BL292" s="726"/>
      <c r="BM292" s="726"/>
      <c r="BN292" s="726"/>
      <c r="BO292" s="726"/>
      <c r="BP292" s="726"/>
      <c r="BQ292" s="726"/>
      <c r="BR292" s="726"/>
      <c r="BS292" s="726"/>
    </row>
    <row r="293" spans="1:71" s="563" customFormat="1">
      <c r="A293" s="614"/>
      <c r="E293" s="565"/>
      <c r="F293" s="565"/>
      <c r="Q293" s="726"/>
      <c r="R293" s="726"/>
      <c r="S293" s="726"/>
      <c r="T293" s="726"/>
      <c r="U293" s="726"/>
      <c r="V293" s="726"/>
      <c r="W293" s="726"/>
      <c r="X293" s="726"/>
      <c r="Y293" s="726"/>
      <c r="Z293" s="726"/>
      <c r="AA293" s="726"/>
      <c r="AB293" s="726"/>
      <c r="AC293" s="726"/>
      <c r="AD293" s="726"/>
      <c r="AE293" s="726"/>
      <c r="AF293" s="726"/>
      <c r="AG293" s="726"/>
      <c r="AH293" s="726"/>
      <c r="AI293" s="726"/>
      <c r="AJ293" s="726"/>
      <c r="AK293" s="726"/>
      <c r="AL293" s="726"/>
      <c r="AM293" s="726"/>
      <c r="AN293" s="726"/>
      <c r="AO293" s="726"/>
      <c r="AP293" s="726"/>
      <c r="AQ293" s="726"/>
      <c r="AR293" s="726"/>
      <c r="AS293" s="726"/>
      <c r="AT293" s="726"/>
      <c r="AU293" s="726"/>
      <c r="AV293" s="726"/>
      <c r="AW293" s="726"/>
      <c r="AX293" s="726"/>
      <c r="AY293" s="726"/>
      <c r="AZ293" s="726"/>
      <c r="BA293" s="726"/>
      <c r="BB293" s="726"/>
      <c r="BC293" s="726"/>
      <c r="BD293" s="726"/>
      <c r="BE293" s="726"/>
      <c r="BF293" s="726"/>
      <c r="BG293" s="726"/>
      <c r="BH293" s="726"/>
      <c r="BI293" s="726"/>
      <c r="BJ293" s="726"/>
      <c r="BK293" s="726"/>
      <c r="BL293" s="726"/>
      <c r="BM293" s="726"/>
      <c r="BN293" s="726"/>
      <c r="BO293" s="726"/>
      <c r="BP293" s="726"/>
      <c r="BQ293" s="726"/>
      <c r="BR293" s="726"/>
      <c r="BS293" s="726"/>
    </row>
    <row r="294" spans="1:71" s="563" customFormat="1">
      <c r="A294" s="614"/>
      <c r="E294" s="565"/>
      <c r="F294" s="565"/>
      <c r="Q294" s="726"/>
      <c r="R294" s="726"/>
      <c r="S294" s="726"/>
      <c r="T294" s="726"/>
      <c r="U294" s="726"/>
      <c r="V294" s="726"/>
      <c r="W294" s="726"/>
      <c r="X294" s="726"/>
      <c r="Y294" s="726"/>
      <c r="Z294" s="726"/>
      <c r="AA294" s="726"/>
      <c r="AB294" s="726"/>
      <c r="AC294" s="726"/>
      <c r="AD294" s="726"/>
      <c r="AE294" s="726"/>
      <c r="AF294" s="726"/>
      <c r="AG294" s="726"/>
      <c r="AH294" s="726"/>
      <c r="AI294" s="726"/>
      <c r="AJ294" s="726"/>
      <c r="AK294" s="726"/>
      <c r="AL294" s="726"/>
      <c r="AM294" s="726"/>
      <c r="AN294" s="726"/>
      <c r="AO294" s="726"/>
      <c r="AP294" s="726"/>
      <c r="AQ294" s="726"/>
      <c r="AR294" s="726"/>
      <c r="AS294" s="726"/>
      <c r="AT294" s="726"/>
      <c r="AU294" s="726"/>
      <c r="AV294" s="726"/>
      <c r="AW294" s="726"/>
      <c r="AX294" s="726"/>
      <c r="AY294" s="726"/>
      <c r="AZ294" s="726"/>
      <c r="BA294" s="726"/>
      <c r="BB294" s="726"/>
      <c r="BC294" s="726"/>
      <c r="BD294" s="726"/>
      <c r="BE294" s="726"/>
      <c r="BF294" s="726"/>
      <c r="BG294" s="726"/>
      <c r="BH294" s="726"/>
      <c r="BI294" s="726"/>
      <c r="BJ294" s="726"/>
      <c r="BK294" s="726"/>
      <c r="BL294" s="726"/>
      <c r="BM294" s="726"/>
      <c r="BN294" s="726"/>
      <c r="BO294" s="726"/>
      <c r="BP294" s="726"/>
      <c r="BQ294" s="726"/>
      <c r="BR294" s="726"/>
      <c r="BS294" s="726"/>
    </row>
    <row r="295" spans="1:71" s="563" customFormat="1">
      <c r="A295" s="614"/>
      <c r="E295" s="565"/>
      <c r="F295" s="565"/>
      <c r="Q295" s="726"/>
      <c r="R295" s="726"/>
      <c r="S295" s="726"/>
      <c r="T295" s="726"/>
      <c r="U295" s="726"/>
      <c r="V295" s="726"/>
      <c r="W295" s="726"/>
      <c r="X295" s="726"/>
      <c r="Y295" s="726"/>
      <c r="Z295" s="726"/>
      <c r="AA295" s="726"/>
      <c r="AB295" s="726"/>
      <c r="AC295" s="726"/>
      <c r="AD295" s="726"/>
      <c r="AE295" s="726"/>
      <c r="AF295" s="726"/>
      <c r="AG295" s="726"/>
      <c r="AH295" s="726"/>
      <c r="AI295" s="726"/>
      <c r="AJ295" s="726"/>
      <c r="AK295" s="726"/>
      <c r="AL295" s="726"/>
      <c r="AM295" s="726"/>
      <c r="AN295" s="726"/>
      <c r="AO295" s="726"/>
      <c r="AP295" s="726"/>
      <c r="AQ295" s="726"/>
      <c r="AR295" s="726"/>
      <c r="AS295" s="726"/>
      <c r="AT295" s="726"/>
      <c r="AU295" s="726"/>
      <c r="AV295" s="726"/>
      <c r="AW295" s="726"/>
      <c r="AX295" s="726"/>
      <c r="AY295" s="726"/>
      <c r="AZ295" s="726"/>
      <c r="BA295" s="726"/>
      <c r="BB295" s="726"/>
      <c r="BC295" s="726"/>
      <c r="BD295" s="726"/>
      <c r="BE295" s="726"/>
      <c r="BF295" s="726"/>
      <c r="BG295" s="726"/>
      <c r="BH295" s="726"/>
      <c r="BI295" s="726"/>
      <c r="BJ295" s="726"/>
      <c r="BK295" s="726"/>
      <c r="BL295" s="726"/>
      <c r="BM295" s="726"/>
      <c r="BN295" s="726"/>
      <c r="BO295" s="726"/>
      <c r="BP295" s="726"/>
      <c r="BQ295" s="726"/>
      <c r="BR295" s="726"/>
      <c r="BS295" s="726"/>
    </row>
    <row r="296" spans="1:71" s="563" customFormat="1">
      <c r="A296" s="614"/>
      <c r="E296" s="565"/>
      <c r="F296" s="565"/>
      <c r="Q296" s="726"/>
      <c r="R296" s="726"/>
      <c r="S296" s="726"/>
      <c r="T296" s="726"/>
      <c r="U296" s="726"/>
      <c r="V296" s="726"/>
      <c r="W296" s="726"/>
      <c r="X296" s="726"/>
      <c r="Y296" s="726"/>
      <c r="Z296" s="726"/>
      <c r="AA296" s="726"/>
      <c r="AB296" s="726"/>
      <c r="AC296" s="726"/>
      <c r="AD296" s="726"/>
      <c r="AE296" s="726"/>
      <c r="AF296" s="726"/>
      <c r="AG296" s="726"/>
      <c r="AH296" s="726"/>
      <c r="AI296" s="726"/>
      <c r="AJ296" s="726"/>
      <c r="AK296" s="726"/>
      <c r="AL296" s="726"/>
      <c r="AM296" s="726"/>
      <c r="AN296" s="726"/>
      <c r="AO296" s="726"/>
      <c r="AP296" s="726"/>
      <c r="AQ296" s="726"/>
      <c r="AR296" s="726"/>
      <c r="AS296" s="726"/>
      <c r="AT296" s="726"/>
      <c r="AU296" s="726"/>
      <c r="AV296" s="726"/>
      <c r="AW296" s="726"/>
      <c r="AX296" s="726"/>
      <c r="AY296" s="726"/>
      <c r="AZ296" s="726"/>
      <c r="BA296" s="726"/>
      <c r="BB296" s="726"/>
      <c r="BC296" s="726"/>
      <c r="BD296" s="726"/>
      <c r="BE296" s="726"/>
      <c r="BF296" s="726"/>
      <c r="BG296" s="726"/>
      <c r="BH296" s="726"/>
      <c r="BI296" s="726"/>
      <c r="BJ296" s="726"/>
      <c r="BK296" s="726"/>
      <c r="BL296" s="726"/>
      <c r="BM296" s="726"/>
      <c r="BN296" s="726"/>
      <c r="BO296" s="726"/>
      <c r="BP296" s="726"/>
      <c r="BQ296" s="726"/>
      <c r="BR296" s="726"/>
      <c r="BS296" s="726"/>
    </row>
    <row r="297" spans="1:71" s="563" customFormat="1">
      <c r="A297" s="614"/>
      <c r="E297" s="565"/>
      <c r="F297" s="565"/>
      <c r="Q297" s="726"/>
      <c r="R297" s="726"/>
      <c r="S297" s="726"/>
      <c r="T297" s="726"/>
      <c r="U297" s="726"/>
      <c r="V297" s="726"/>
      <c r="W297" s="726"/>
      <c r="X297" s="726"/>
      <c r="Y297" s="726"/>
      <c r="Z297" s="726"/>
      <c r="AA297" s="726"/>
      <c r="AB297" s="726"/>
      <c r="AC297" s="726"/>
      <c r="AD297" s="726"/>
      <c r="AE297" s="726"/>
      <c r="AF297" s="726"/>
      <c r="AG297" s="726"/>
      <c r="AH297" s="726"/>
      <c r="AI297" s="726"/>
      <c r="AJ297" s="726"/>
      <c r="AK297" s="726"/>
      <c r="AL297" s="726"/>
      <c r="AM297" s="726"/>
      <c r="AN297" s="726"/>
      <c r="AO297" s="726"/>
      <c r="AP297" s="726"/>
      <c r="AQ297" s="726"/>
      <c r="AR297" s="726"/>
      <c r="AS297" s="726"/>
      <c r="AT297" s="726"/>
      <c r="AU297" s="726"/>
      <c r="AV297" s="726"/>
      <c r="AW297" s="726"/>
      <c r="AX297" s="726"/>
      <c r="AY297" s="726"/>
      <c r="AZ297" s="726"/>
      <c r="BA297" s="726"/>
      <c r="BB297" s="726"/>
      <c r="BC297" s="726"/>
      <c r="BD297" s="726"/>
      <c r="BE297" s="726"/>
      <c r="BF297" s="726"/>
      <c r="BG297" s="726"/>
      <c r="BH297" s="726"/>
      <c r="BI297" s="726"/>
      <c r="BJ297" s="726"/>
      <c r="BK297" s="726"/>
      <c r="BL297" s="726"/>
      <c r="BM297" s="726"/>
      <c r="BN297" s="726"/>
      <c r="BO297" s="726"/>
      <c r="BP297" s="726"/>
      <c r="BQ297" s="726"/>
      <c r="BR297" s="726"/>
      <c r="BS297" s="726"/>
    </row>
    <row r="298" spans="1:71" s="563" customFormat="1">
      <c r="A298" s="614"/>
      <c r="E298" s="565"/>
      <c r="F298" s="565"/>
      <c r="Q298" s="726"/>
      <c r="R298" s="726"/>
      <c r="S298" s="726"/>
      <c r="T298" s="726"/>
      <c r="U298" s="726"/>
      <c r="V298" s="726"/>
      <c r="W298" s="726"/>
      <c r="X298" s="726"/>
      <c r="Y298" s="726"/>
      <c r="Z298" s="726"/>
      <c r="AA298" s="726"/>
      <c r="AB298" s="726"/>
      <c r="AC298" s="726"/>
      <c r="AD298" s="726"/>
      <c r="AE298" s="726"/>
      <c r="AF298" s="726"/>
      <c r="AG298" s="726"/>
      <c r="AH298" s="726"/>
      <c r="AI298" s="726"/>
      <c r="AJ298" s="726"/>
      <c r="AK298" s="726"/>
      <c r="AL298" s="726"/>
      <c r="AM298" s="726"/>
      <c r="AN298" s="726"/>
      <c r="AO298" s="726"/>
      <c r="AP298" s="726"/>
      <c r="AQ298" s="726"/>
      <c r="AR298" s="726"/>
      <c r="AS298" s="726"/>
      <c r="AT298" s="726"/>
      <c r="AU298" s="726"/>
      <c r="AV298" s="726"/>
      <c r="AW298" s="726"/>
      <c r="AX298" s="726"/>
      <c r="AY298" s="726"/>
      <c r="AZ298" s="726"/>
      <c r="BA298" s="726"/>
      <c r="BB298" s="726"/>
      <c r="BC298" s="726"/>
      <c r="BD298" s="726"/>
      <c r="BE298" s="726"/>
      <c r="BF298" s="726"/>
      <c r="BG298" s="726"/>
      <c r="BH298" s="726"/>
      <c r="BI298" s="726"/>
      <c r="BJ298" s="726"/>
      <c r="BK298" s="726"/>
      <c r="BL298" s="726"/>
      <c r="BM298" s="726"/>
      <c r="BN298" s="726"/>
      <c r="BO298" s="726"/>
      <c r="BP298" s="726"/>
      <c r="BQ298" s="726"/>
      <c r="BR298" s="726"/>
      <c r="BS298" s="726"/>
    </row>
    <row r="299" spans="1:71" s="563" customFormat="1">
      <c r="A299" s="614"/>
      <c r="E299" s="565"/>
      <c r="F299" s="565"/>
      <c r="Q299" s="726"/>
      <c r="R299" s="726"/>
      <c r="S299" s="726"/>
      <c r="T299" s="726"/>
      <c r="U299" s="726"/>
      <c r="V299" s="726"/>
      <c r="W299" s="726"/>
      <c r="X299" s="726"/>
      <c r="Y299" s="726"/>
      <c r="Z299" s="726"/>
      <c r="AA299" s="726"/>
      <c r="AB299" s="726"/>
      <c r="AC299" s="726"/>
      <c r="AD299" s="726"/>
      <c r="AE299" s="726"/>
      <c r="AF299" s="726"/>
      <c r="AG299" s="726"/>
      <c r="AH299" s="726"/>
      <c r="AI299" s="726"/>
      <c r="AJ299" s="726"/>
      <c r="AK299" s="726"/>
      <c r="AL299" s="726"/>
      <c r="AM299" s="726"/>
      <c r="AN299" s="726"/>
      <c r="AO299" s="726"/>
      <c r="AP299" s="726"/>
      <c r="AQ299" s="726"/>
      <c r="AR299" s="726"/>
      <c r="AS299" s="726"/>
      <c r="AT299" s="726"/>
      <c r="AU299" s="726"/>
      <c r="AV299" s="726"/>
      <c r="AW299" s="726"/>
      <c r="AX299" s="726"/>
      <c r="AY299" s="726"/>
      <c r="AZ299" s="726"/>
      <c r="BA299" s="726"/>
      <c r="BB299" s="726"/>
      <c r="BC299" s="726"/>
      <c r="BD299" s="726"/>
      <c r="BE299" s="726"/>
      <c r="BF299" s="726"/>
      <c r="BG299" s="726"/>
      <c r="BH299" s="726"/>
      <c r="BI299" s="726"/>
      <c r="BJ299" s="726"/>
      <c r="BK299" s="726"/>
      <c r="BL299" s="726"/>
      <c r="BM299" s="726"/>
      <c r="BN299" s="726"/>
      <c r="BO299" s="726"/>
      <c r="BP299" s="726"/>
      <c r="BQ299" s="726"/>
      <c r="BR299" s="726"/>
      <c r="BS299" s="726"/>
    </row>
    <row r="300" spans="1:71" s="563" customFormat="1">
      <c r="A300" s="614"/>
      <c r="E300" s="565"/>
      <c r="F300" s="565"/>
      <c r="Q300" s="726"/>
      <c r="R300" s="726"/>
      <c r="S300" s="726"/>
      <c r="T300" s="726"/>
      <c r="U300" s="726"/>
      <c r="V300" s="726"/>
      <c r="W300" s="726"/>
      <c r="X300" s="726"/>
      <c r="Y300" s="726"/>
      <c r="Z300" s="726"/>
      <c r="AA300" s="726"/>
      <c r="AB300" s="726"/>
      <c r="AC300" s="726"/>
      <c r="AD300" s="726"/>
      <c r="AE300" s="726"/>
      <c r="AF300" s="726"/>
      <c r="AG300" s="726"/>
      <c r="AH300" s="726"/>
      <c r="AI300" s="726"/>
      <c r="AJ300" s="726"/>
      <c r="AK300" s="726"/>
      <c r="AL300" s="726"/>
      <c r="AM300" s="726"/>
      <c r="AN300" s="726"/>
      <c r="AO300" s="726"/>
      <c r="AP300" s="726"/>
      <c r="AQ300" s="726"/>
      <c r="AR300" s="726"/>
      <c r="AS300" s="726"/>
      <c r="AT300" s="726"/>
      <c r="AU300" s="726"/>
      <c r="AV300" s="726"/>
      <c r="AW300" s="726"/>
      <c r="AX300" s="726"/>
      <c r="AY300" s="726"/>
      <c r="AZ300" s="726"/>
      <c r="BA300" s="726"/>
      <c r="BB300" s="726"/>
      <c r="BC300" s="726"/>
      <c r="BD300" s="726"/>
      <c r="BE300" s="726"/>
      <c r="BF300" s="726"/>
      <c r="BG300" s="726"/>
      <c r="BH300" s="726"/>
      <c r="BI300" s="726"/>
      <c r="BJ300" s="726"/>
      <c r="BK300" s="726"/>
      <c r="BL300" s="726"/>
      <c r="BM300" s="726"/>
      <c r="BN300" s="726"/>
      <c r="BO300" s="726"/>
      <c r="BP300" s="726"/>
      <c r="BQ300" s="726"/>
      <c r="BR300" s="726"/>
      <c r="BS300" s="726"/>
    </row>
    <row r="301" spans="1:71" s="563" customFormat="1">
      <c r="A301" s="614"/>
      <c r="E301" s="565"/>
      <c r="F301" s="565"/>
      <c r="Q301" s="726"/>
      <c r="R301" s="726"/>
      <c r="S301" s="726"/>
      <c r="T301" s="726"/>
      <c r="U301" s="726"/>
      <c r="V301" s="726"/>
      <c r="W301" s="726"/>
      <c r="X301" s="726"/>
      <c r="Y301" s="726"/>
      <c r="Z301" s="726"/>
      <c r="AA301" s="726"/>
      <c r="AB301" s="726"/>
      <c r="AC301" s="726"/>
      <c r="AD301" s="726"/>
      <c r="AE301" s="726"/>
      <c r="AF301" s="726"/>
      <c r="AG301" s="726"/>
      <c r="AH301" s="726"/>
      <c r="AI301" s="726"/>
      <c r="AJ301" s="726"/>
      <c r="AK301" s="726"/>
      <c r="AL301" s="726"/>
      <c r="AM301" s="726"/>
      <c r="AN301" s="726"/>
      <c r="AO301" s="726"/>
      <c r="AP301" s="726"/>
      <c r="AQ301" s="726"/>
      <c r="AR301" s="726"/>
      <c r="AS301" s="726"/>
      <c r="AT301" s="726"/>
      <c r="AU301" s="726"/>
      <c r="AV301" s="726"/>
      <c r="AW301" s="726"/>
      <c r="AX301" s="726"/>
      <c r="AY301" s="726"/>
      <c r="AZ301" s="726"/>
      <c r="BA301" s="726"/>
      <c r="BB301" s="726"/>
      <c r="BC301" s="726"/>
      <c r="BD301" s="726"/>
      <c r="BE301" s="726"/>
      <c r="BF301" s="726"/>
      <c r="BG301" s="726"/>
      <c r="BH301" s="726"/>
      <c r="BI301" s="726"/>
      <c r="BJ301" s="726"/>
      <c r="BK301" s="726"/>
      <c r="BL301" s="726"/>
      <c r="BM301" s="726"/>
      <c r="BN301" s="726"/>
      <c r="BO301" s="726"/>
      <c r="BP301" s="726"/>
      <c r="BQ301" s="726"/>
      <c r="BR301" s="726"/>
      <c r="BS301" s="726"/>
    </row>
    <row r="302" spans="1:71" s="563" customFormat="1">
      <c r="A302" s="614"/>
      <c r="E302" s="565"/>
      <c r="F302" s="565"/>
      <c r="Q302" s="726"/>
      <c r="R302" s="726"/>
      <c r="S302" s="726"/>
      <c r="T302" s="726"/>
      <c r="U302" s="726"/>
      <c r="V302" s="726"/>
      <c r="W302" s="726"/>
      <c r="X302" s="726"/>
      <c r="Y302" s="726"/>
      <c r="Z302" s="726"/>
      <c r="AA302" s="726"/>
      <c r="AB302" s="726"/>
      <c r="AC302" s="726"/>
      <c r="AD302" s="726"/>
      <c r="AE302" s="726"/>
      <c r="AF302" s="726"/>
      <c r="AG302" s="726"/>
      <c r="AH302" s="726"/>
      <c r="AI302" s="726"/>
      <c r="AJ302" s="726"/>
      <c r="AK302" s="726"/>
      <c r="AL302" s="726"/>
      <c r="AM302" s="726"/>
      <c r="AN302" s="726"/>
      <c r="AO302" s="726"/>
      <c r="AP302" s="726"/>
      <c r="AQ302" s="726"/>
      <c r="AR302" s="726"/>
      <c r="AS302" s="726"/>
      <c r="AT302" s="726"/>
      <c r="AU302" s="726"/>
      <c r="AV302" s="726"/>
      <c r="AW302" s="726"/>
      <c r="AX302" s="726"/>
      <c r="AY302" s="726"/>
      <c r="AZ302" s="726"/>
      <c r="BA302" s="726"/>
      <c r="BB302" s="726"/>
      <c r="BC302" s="726"/>
      <c r="BD302" s="726"/>
      <c r="BE302" s="726"/>
      <c r="BF302" s="726"/>
      <c r="BG302" s="726"/>
      <c r="BH302" s="726"/>
      <c r="BI302" s="726"/>
      <c r="BJ302" s="726"/>
      <c r="BK302" s="726"/>
      <c r="BL302" s="726"/>
      <c r="BM302" s="726"/>
      <c r="BN302" s="726"/>
      <c r="BO302" s="726"/>
      <c r="BP302" s="726"/>
      <c r="BQ302" s="726"/>
      <c r="BR302" s="726"/>
      <c r="BS302" s="726"/>
    </row>
    <row r="303" spans="1:71" s="563" customFormat="1">
      <c r="A303" s="614"/>
      <c r="E303" s="565"/>
      <c r="F303" s="565"/>
      <c r="Q303" s="726"/>
      <c r="R303" s="726"/>
      <c r="S303" s="726"/>
      <c r="T303" s="726"/>
      <c r="U303" s="726"/>
      <c r="V303" s="726"/>
      <c r="W303" s="726"/>
      <c r="X303" s="726"/>
      <c r="Y303" s="726"/>
      <c r="Z303" s="726"/>
      <c r="AA303" s="726"/>
      <c r="AB303" s="726"/>
      <c r="AC303" s="726"/>
      <c r="AD303" s="726"/>
      <c r="AE303" s="726"/>
      <c r="AF303" s="726"/>
      <c r="AG303" s="726"/>
      <c r="AH303" s="726"/>
      <c r="AI303" s="726"/>
      <c r="AJ303" s="726"/>
      <c r="AK303" s="726"/>
      <c r="AL303" s="726"/>
      <c r="AM303" s="726"/>
      <c r="AN303" s="726"/>
      <c r="AO303" s="726"/>
      <c r="AP303" s="726"/>
      <c r="AQ303" s="726"/>
      <c r="AR303" s="726"/>
      <c r="AS303" s="726"/>
      <c r="AT303" s="726"/>
      <c r="AU303" s="726"/>
      <c r="AV303" s="726"/>
      <c r="AW303" s="726"/>
      <c r="AX303" s="726"/>
      <c r="AY303" s="726"/>
      <c r="AZ303" s="726"/>
      <c r="BA303" s="726"/>
      <c r="BB303" s="726"/>
      <c r="BC303" s="726"/>
      <c r="BD303" s="726"/>
      <c r="BE303" s="726"/>
      <c r="BF303" s="726"/>
      <c r="BG303" s="726"/>
      <c r="BH303" s="726"/>
      <c r="BI303" s="726"/>
      <c r="BJ303" s="726"/>
      <c r="BK303" s="726"/>
      <c r="BL303" s="726"/>
      <c r="BM303" s="726"/>
      <c r="BN303" s="726"/>
      <c r="BO303" s="726"/>
      <c r="BP303" s="726"/>
      <c r="BQ303" s="726"/>
      <c r="BR303" s="726"/>
      <c r="BS303" s="726"/>
    </row>
    <row r="304" spans="1:71" s="563" customFormat="1">
      <c r="A304" s="614"/>
      <c r="E304" s="565"/>
      <c r="F304" s="565"/>
      <c r="Q304" s="726"/>
      <c r="R304" s="726"/>
      <c r="S304" s="726"/>
      <c r="T304" s="726"/>
      <c r="U304" s="726"/>
      <c r="V304" s="726"/>
      <c r="W304" s="726"/>
      <c r="X304" s="726"/>
      <c r="Y304" s="726"/>
      <c r="Z304" s="726"/>
      <c r="AA304" s="726"/>
      <c r="AB304" s="726"/>
      <c r="AC304" s="726"/>
      <c r="AD304" s="726"/>
      <c r="AE304" s="726"/>
      <c r="AF304" s="726"/>
      <c r="AG304" s="726"/>
      <c r="AH304" s="726"/>
      <c r="AI304" s="726"/>
      <c r="AJ304" s="726"/>
      <c r="AK304" s="726"/>
      <c r="AL304" s="726"/>
      <c r="AM304" s="726"/>
      <c r="AN304" s="726"/>
      <c r="AO304" s="726"/>
      <c r="AP304" s="726"/>
      <c r="AQ304" s="726"/>
      <c r="AR304" s="726"/>
      <c r="AS304" s="726"/>
      <c r="AT304" s="726"/>
      <c r="AU304" s="726"/>
      <c r="AV304" s="726"/>
      <c r="AW304" s="726"/>
      <c r="AX304" s="726"/>
      <c r="AY304" s="726"/>
      <c r="AZ304" s="726"/>
      <c r="BA304" s="726"/>
      <c r="BB304" s="726"/>
      <c r="BC304" s="726"/>
      <c r="BD304" s="726"/>
      <c r="BE304" s="726"/>
      <c r="BF304" s="726"/>
      <c r="BG304" s="726"/>
      <c r="BH304" s="726"/>
      <c r="BI304" s="726"/>
      <c r="BJ304" s="726"/>
      <c r="BK304" s="726"/>
      <c r="BL304" s="726"/>
      <c r="BM304" s="726"/>
      <c r="BN304" s="726"/>
      <c r="BO304" s="726"/>
      <c r="BP304" s="726"/>
      <c r="BQ304" s="726"/>
      <c r="BR304" s="726"/>
      <c r="BS304" s="726"/>
    </row>
    <row r="305" spans="1:71" s="563" customFormat="1">
      <c r="A305" s="614"/>
      <c r="E305" s="565"/>
      <c r="F305" s="565"/>
      <c r="Q305" s="726"/>
      <c r="R305" s="726"/>
      <c r="S305" s="726"/>
      <c r="T305" s="726"/>
      <c r="U305" s="726"/>
      <c r="V305" s="726"/>
      <c r="W305" s="726"/>
      <c r="X305" s="726"/>
      <c r="Y305" s="726"/>
      <c r="Z305" s="726"/>
      <c r="AA305" s="726"/>
      <c r="AB305" s="726"/>
      <c r="AC305" s="726"/>
      <c r="AD305" s="726"/>
      <c r="AE305" s="726"/>
      <c r="AF305" s="726"/>
      <c r="AG305" s="726"/>
      <c r="AH305" s="726"/>
      <c r="AI305" s="726"/>
      <c r="AJ305" s="726"/>
      <c r="AK305" s="726"/>
      <c r="AL305" s="726"/>
      <c r="AM305" s="726"/>
      <c r="AN305" s="726"/>
      <c r="AO305" s="726"/>
      <c r="AP305" s="726"/>
      <c r="AQ305" s="726"/>
      <c r="AR305" s="726"/>
      <c r="AS305" s="726"/>
      <c r="AT305" s="726"/>
      <c r="AU305" s="726"/>
      <c r="AV305" s="726"/>
      <c r="AW305" s="726"/>
      <c r="AX305" s="726"/>
      <c r="AY305" s="726"/>
      <c r="AZ305" s="726"/>
      <c r="BA305" s="726"/>
      <c r="BB305" s="726"/>
      <c r="BC305" s="726"/>
      <c r="BD305" s="726"/>
      <c r="BE305" s="726"/>
      <c r="BF305" s="726"/>
      <c r="BG305" s="726"/>
      <c r="BH305" s="726"/>
      <c r="BI305" s="726"/>
      <c r="BJ305" s="726"/>
      <c r="BK305" s="726"/>
      <c r="BL305" s="726"/>
      <c r="BM305" s="726"/>
      <c r="BN305" s="726"/>
      <c r="BO305" s="726"/>
      <c r="BP305" s="726"/>
      <c r="BQ305" s="726"/>
      <c r="BR305" s="726"/>
      <c r="BS305" s="726"/>
    </row>
    <row r="306" spans="1:71" s="563" customFormat="1">
      <c r="A306" s="614"/>
      <c r="E306" s="565"/>
      <c r="F306" s="565"/>
      <c r="Q306" s="726"/>
      <c r="R306" s="726"/>
      <c r="S306" s="726"/>
      <c r="T306" s="726"/>
      <c r="U306" s="726"/>
      <c r="V306" s="726"/>
      <c r="W306" s="726"/>
      <c r="X306" s="726"/>
      <c r="Y306" s="726"/>
      <c r="Z306" s="726"/>
      <c r="AA306" s="726"/>
      <c r="AB306" s="726"/>
      <c r="AC306" s="726"/>
      <c r="AD306" s="726"/>
      <c r="AE306" s="726"/>
      <c r="AF306" s="726"/>
      <c r="AG306" s="726"/>
      <c r="AH306" s="726"/>
      <c r="AI306" s="726"/>
      <c r="AJ306" s="726"/>
      <c r="AK306" s="726"/>
      <c r="AL306" s="726"/>
      <c r="AM306" s="726"/>
      <c r="AN306" s="726"/>
      <c r="AO306" s="726"/>
      <c r="AP306" s="726"/>
      <c r="AQ306" s="726"/>
      <c r="AR306" s="726"/>
      <c r="AS306" s="726"/>
      <c r="AT306" s="726"/>
      <c r="AU306" s="726"/>
      <c r="AV306" s="726"/>
      <c r="AW306" s="726"/>
      <c r="AX306" s="726"/>
      <c r="AY306" s="726"/>
      <c r="AZ306" s="726"/>
      <c r="BA306" s="726"/>
      <c r="BB306" s="726"/>
      <c r="BC306" s="726"/>
      <c r="BD306" s="726"/>
      <c r="BE306" s="726"/>
      <c r="BF306" s="726"/>
      <c r="BG306" s="726"/>
      <c r="BH306" s="726"/>
      <c r="BI306" s="726"/>
      <c r="BJ306" s="726"/>
      <c r="BK306" s="726"/>
      <c r="BL306" s="726"/>
      <c r="BM306" s="726"/>
      <c r="BN306" s="726"/>
      <c r="BO306" s="726"/>
      <c r="BP306" s="726"/>
      <c r="BQ306" s="726"/>
      <c r="BR306" s="726"/>
      <c r="BS306" s="726"/>
    </row>
    <row r="307" spans="1:71" s="563" customFormat="1">
      <c r="A307" s="614"/>
      <c r="E307" s="565"/>
      <c r="F307" s="565"/>
      <c r="Q307" s="726"/>
      <c r="R307" s="726"/>
      <c r="S307" s="726"/>
      <c r="T307" s="726"/>
      <c r="U307" s="726"/>
      <c r="V307" s="726"/>
      <c r="W307" s="726"/>
      <c r="X307" s="726"/>
      <c r="Y307" s="726"/>
      <c r="Z307" s="726"/>
      <c r="AA307" s="726"/>
      <c r="AB307" s="726"/>
      <c r="AC307" s="726"/>
      <c r="AD307" s="726"/>
      <c r="AE307" s="726"/>
      <c r="AF307" s="726"/>
      <c r="AG307" s="726"/>
      <c r="AH307" s="726"/>
      <c r="AI307" s="726"/>
      <c r="AJ307" s="726"/>
      <c r="AK307" s="726"/>
      <c r="AL307" s="726"/>
      <c r="AM307" s="726"/>
      <c r="AN307" s="726"/>
      <c r="AO307" s="726"/>
      <c r="AP307" s="726"/>
      <c r="AQ307" s="726"/>
      <c r="AR307" s="726"/>
      <c r="AS307" s="726"/>
      <c r="AT307" s="726"/>
      <c r="AU307" s="726"/>
      <c r="AV307" s="726"/>
      <c r="AW307" s="726"/>
      <c r="AX307" s="726"/>
      <c r="AY307" s="726"/>
      <c r="AZ307" s="726"/>
      <c r="BA307" s="726"/>
      <c r="BB307" s="726"/>
      <c r="BC307" s="726"/>
      <c r="BD307" s="726"/>
      <c r="BE307" s="726"/>
      <c r="BF307" s="726"/>
      <c r="BG307" s="726"/>
      <c r="BH307" s="726"/>
      <c r="BI307" s="726"/>
      <c r="BJ307" s="726"/>
      <c r="BK307" s="726"/>
      <c r="BL307" s="726"/>
      <c r="BM307" s="726"/>
      <c r="BN307" s="726"/>
      <c r="BO307" s="726"/>
      <c r="BP307" s="726"/>
      <c r="BQ307" s="726"/>
      <c r="BR307" s="726"/>
      <c r="BS307" s="726"/>
    </row>
    <row r="308" spans="1:71" s="563" customFormat="1">
      <c r="A308" s="614"/>
      <c r="E308" s="565"/>
      <c r="F308" s="565"/>
      <c r="Q308" s="726"/>
      <c r="R308" s="726"/>
      <c r="S308" s="726"/>
      <c r="T308" s="726"/>
      <c r="U308" s="726"/>
      <c r="V308" s="726"/>
      <c r="W308" s="726"/>
      <c r="X308" s="726"/>
      <c r="Y308" s="726"/>
      <c r="Z308" s="726"/>
      <c r="AA308" s="726"/>
      <c r="AB308" s="726"/>
      <c r="AC308" s="726"/>
      <c r="AD308" s="726"/>
      <c r="AE308" s="726"/>
      <c r="AF308" s="726"/>
      <c r="AG308" s="726"/>
      <c r="AH308" s="726"/>
      <c r="AI308" s="726"/>
      <c r="AJ308" s="726"/>
      <c r="AK308" s="726"/>
      <c r="AL308" s="726"/>
      <c r="AM308" s="726"/>
      <c r="AN308" s="726"/>
      <c r="AO308" s="726"/>
      <c r="AP308" s="726"/>
      <c r="AQ308" s="726"/>
      <c r="AR308" s="726"/>
      <c r="AS308" s="726"/>
      <c r="AT308" s="726"/>
      <c r="AU308" s="726"/>
      <c r="AV308" s="726"/>
      <c r="AW308" s="726"/>
      <c r="AX308" s="726"/>
      <c r="AY308" s="726"/>
      <c r="AZ308" s="726"/>
      <c r="BA308" s="726"/>
      <c r="BB308" s="726"/>
      <c r="BC308" s="726"/>
      <c r="BD308" s="726"/>
      <c r="BE308" s="726"/>
      <c r="BF308" s="726"/>
      <c r="BG308" s="726"/>
      <c r="BH308" s="726"/>
      <c r="BI308" s="726"/>
      <c r="BJ308" s="726"/>
      <c r="BK308" s="726"/>
      <c r="BL308" s="726"/>
      <c r="BM308" s="726"/>
      <c r="BN308" s="726"/>
      <c r="BO308" s="726"/>
      <c r="BP308" s="726"/>
      <c r="BQ308" s="726"/>
      <c r="BR308" s="726"/>
      <c r="BS308" s="726"/>
    </row>
    <row r="309" spans="1:71" s="563" customFormat="1">
      <c r="A309" s="614"/>
      <c r="E309" s="565"/>
      <c r="F309" s="565"/>
      <c r="Q309" s="726"/>
      <c r="R309" s="726"/>
      <c r="S309" s="726"/>
      <c r="T309" s="726"/>
      <c r="U309" s="726"/>
      <c r="V309" s="726"/>
      <c r="W309" s="726"/>
      <c r="X309" s="726"/>
      <c r="Y309" s="726"/>
      <c r="Z309" s="726"/>
      <c r="AA309" s="726"/>
      <c r="AB309" s="726"/>
      <c r="AC309" s="726"/>
      <c r="AD309" s="726"/>
      <c r="AE309" s="726"/>
      <c r="AF309" s="726"/>
      <c r="AG309" s="726"/>
      <c r="AH309" s="726"/>
      <c r="AI309" s="726"/>
      <c r="AJ309" s="726"/>
      <c r="AK309" s="726"/>
      <c r="AL309" s="726"/>
      <c r="AM309" s="726"/>
      <c r="AN309" s="726"/>
      <c r="AO309" s="726"/>
      <c r="AP309" s="726"/>
      <c r="AQ309" s="726"/>
      <c r="AR309" s="726"/>
      <c r="AS309" s="726"/>
      <c r="AT309" s="726"/>
      <c r="AU309" s="726"/>
      <c r="AV309" s="726"/>
      <c r="AW309" s="726"/>
      <c r="AX309" s="726"/>
      <c r="AY309" s="726"/>
      <c r="AZ309" s="726"/>
      <c r="BA309" s="726"/>
      <c r="BB309" s="726"/>
      <c r="BC309" s="726"/>
      <c r="BD309" s="726"/>
      <c r="BE309" s="726"/>
      <c r="BF309" s="726"/>
      <c r="BG309" s="726"/>
      <c r="BH309" s="726"/>
      <c r="BI309" s="726"/>
      <c r="BJ309" s="726"/>
      <c r="BK309" s="726"/>
      <c r="BL309" s="726"/>
      <c r="BM309" s="726"/>
      <c r="BN309" s="726"/>
      <c r="BO309" s="726"/>
      <c r="BP309" s="726"/>
      <c r="BQ309" s="726"/>
      <c r="BR309" s="726"/>
      <c r="BS309" s="726"/>
    </row>
    <row r="310" spans="1:71" s="563" customFormat="1">
      <c r="A310" s="614"/>
      <c r="E310" s="565"/>
      <c r="F310" s="565"/>
      <c r="Q310" s="726"/>
      <c r="R310" s="726"/>
      <c r="S310" s="726"/>
      <c r="T310" s="726"/>
      <c r="U310" s="726"/>
      <c r="V310" s="726"/>
      <c r="W310" s="726"/>
      <c r="X310" s="726"/>
      <c r="Y310" s="726"/>
      <c r="Z310" s="726"/>
      <c r="AA310" s="726"/>
      <c r="AB310" s="726"/>
      <c r="AC310" s="726"/>
      <c r="AD310" s="726"/>
      <c r="AE310" s="726"/>
      <c r="AF310" s="726"/>
      <c r="AG310" s="726"/>
      <c r="AH310" s="726"/>
      <c r="AI310" s="726"/>
      <c r="AJ310" s="726"/>
      <c r="AK310" s="726"/>
      <c r="AL310" s="726"/>
      <c r="AM310" s="726"/>
      <c r="AN310" s="726"/>
      <c r="AO310" s="726"/>
      <c r="AP310" s="726"/>
      <c r="AQ310" s="726"/>
      <c r="AR310" s="726"/>
      <c r="AS310" s="726"/>
      <c r="AT310" s="726"/>
      <c r="AU310" s="726"/>
      <c r="AV310" s="726"/>
      <c r="AW310" s="726"/>
      <c r="AX310" s="726"/>
      <c r="AY310" s="726"/>
      <c r="AZ310" s="726"/>
      <c r="BA310" s="726"/>
      <c r="BB310" s="726"/>
      <c r="BC310" s="726"/>
      <c r="BD310" s="726"/>
      <c r="BE310" s="726"/>
      <c r="BF310" s="726"/>
      <c r="BG310" s="726"/>
      <c r="BH310" s="726"/>
      <c r="BI310" s="726"/>
      <c r="BJ310" s="726"/>
      <c r="BK310" s="726"/>
      <c r="BL310" s="726"/>
      <c r="BM310" s="726"/>
      <c r="BN310" s="726"/>
      <c r="BO310" s="726"/>
      <c r="BP310" s="726"/>
      <c r="BQ310" s="726"/>
      <c r="BR310" s="726"/>
      <c r="BS310" s="726"/>
    </row>
    <row r="311" spans="1:71" s="563" customFormat="1">
      <c r="A311" s="614"/>
      <c r="E311" s="565"/>
      <c r="F311" s="565"/>
      <c r="Q311" s="726"/>
      <c r="R311" s="726"/>
      <c r="S311" s="726"/>
      <c r="T311" s="726"/>
      <c r="U311" s="726"/>
      <c r="V311" s="726"/>
      <c r="W311" s="726"/>
      <c r="X311" s="726"/>
      <c r="Y311" s="726"/>
      <c r="Z311" s="726"/>
      <c r="AA311" s="726"/>
      <c r="AB311" s="726"/>
      <c r="AC311" s="726"/>
      <c r="AD311" s="726"/>
      <c r="AE311" s="726"/>
      <c r="AF311" s="726"/>
      <c r="AG311" s="726"/>
      <c r="AH311" s="726"/>
      <c r="AI311" s="726"/>
      <c r="AJ311" s="726"/>
      <c r="AK311" s="726"/>
      <c r="AL311" s="726"/>
      <c r="AM311" s="726"/>
      <c r="AN311" s="726"/>
      <c r="AO311" s="726"/>
      <c r="AP311" s="726"/>
      <c r="AQ311" s="726"/>
      <c r="AR311" s="726"/>
      <c r="AS311" s="726"/>
      <c r="AT311" s="726"/>
      <c r="AU311" s="726"/>
      <c r="AV311" s="726"/>
      <c r="AW311" s="726"/>
      <c r="AX311" s="726"/>
      <c r="AY311" s="726"/>
      <c r="AZ311" s="726"/>
      <c r="BA311" s="726"/>
      <c r="BB311" s="726"/>
      <c r="BC311" s="726"/>
      <c r="BD311" s="726"/>
      <c r="BE311" s="726"/>
      <c r="BF311" s="726"/>
      <c r="BG311" s="726"/>
      <c r="BH311" s="726"/>
      <c r="BI311" s="726"/>
      <c r="BJ311" s="726"/>
      <c r="BK311" s="726"/>
      <c r="BL311" s="726"/>
      <c r="BM311" s="726"/>
      <c r="BN311" s="726"/>
      <c r="BO311" s="726"/>
      <c r="BP311" s="726"/>
      <c r="BQ311" s="726"/>
      <c r="BR311" s="726"/>
      <c r="BS311" s="726"/>
    </row>
    <row r="312" spans="1:71" s="563" customFormat="1">
      <c r="A312" s="614"/>
      <c r="E312" s="565"/>
      <c r="F312" s="565"/>
      <c r="Q312" s="726"/>
      <c r="R312" s="726"/>
      <c r="S312" s="726"/>
      <c r="T312" s="726"/>
      <c r="U312" s="726"/>
      <c r="V312" s="726"/>
      <c r="W312" s="726"/>
      <c r="X312" s="726"/>
      <c r="Y312" s="726"/>
      <c r="Z312" s="726"/>
      <c r="AA312" s="726"/>
      <c r="AB312" s="726"/>
      <c r="AC312" s="726"/>
      <c r="AD312" s="726"/>
      <c r="AE312" s="726"/>
      <c r="AF312" s="726"/>
      <c r="AG312" s="726"/>
      <c r="AH312" s="726"/>
      <c r="AI312" s="726"/>
      <c r="AJ312" s="726"/>
      <c r="AK312" s="726"/>
      <c r="AL312" s="726"/>
      <c r="AM312" s="726"/>
      <c r="AN312" s="726"/>
      <c r="AO312" s="726"/>
      <c r="AP312" s="726"/>
      <c r="AQ312" s="726"/>
      <c r="AR312" s="726"/>
      <c r="AS312" s="726"/>
      <c r="AT312" s="726"/>
      <c r="AU312" s="726"/>
      <c r="AV312" s="726"/>
      <c r="AW312" s="726"/>
      <c r="AX312" s="726"/>
      <c r="AY312" s="726"/>
      <c r="AZ312" s="726"/>
      <c r="BA312" s="726"/>
      <c r="BB312" s="726"/>
      <c r="BC312" s="726"/>
      <c r="BD312" s="726"/>
      <c r="BE312" s="726"/>
      <c r="BF312" s="726"/>
      <c r="BG312" s="726"/>
      <c r="BH312" s="726"/>
      <c r="BI312" s="726"/>
      <c r="BJ312" s="726"/>
      <c r="BK312" s="726"/>
      <c r="BL312" s="726"/>
      <c r="BM312" s="726"/>
      <c r="BN312" s="726"/>
      <c r="BO312" s="726"/>
      <c r="BP312" s="726"/>
      <c r="BQ312" s="726"/>
      <c r="BR312" s="726"/>
      <c r="BS312" s="726"/>
    </row>
    <row r="313" spans="1:71" s="563" customFormat="1">
      <c r="A313" s="614"/>
      <c r="E313" s="565"/>
      <c r="F313" s="565"/>
      <c r="Q313" s="726"/>
      <c r="R313" s="726"/>
      <c r="S313" s="726"/>
      <c r="T313" s="726"/>
      <c r="U313" s="726"/>
      <c r="V313" s="726"/>
      <c r="W313" s="726"/>
      <c r="X313" s="726"/>
      <c r="Y313" s="726"/>
      <c r="Z313" s="726"/>
      <c r="AA313" s="726"/>
      <c r="AB313" s="726"/>
      <c r="AC313" s="726"/>
      <c r="AD313" s="726"/>
      <c r="AE313" s="726"/>
      <c r="AF313" s="726"/>
      <c r="AG313" s="726"/>
      <c r="AH313" s="726"/>
      <c r="AI313" s="726"/>
      <c r="AJ313" s="726"/>
      <c r="AK313" s="726"/>
      <c r="AL313" s="726"/>
      <c r="AM313" s="726"/>
      <c r="AN313" s="726"/>
      <c r="AO313" s="726"/>
      <c r="AP313" s="726"/>
      <c r="AQ313" s="726"/>
      <c r="AR313" s="726"/>
      <c r="AS313" s="726"/>
      <c r="AT313" s="726"/>
      <c r="AU313" s="726"/>
      <c r="AV313" s="726"/>
      <c r="AW313" s="726"/>
      <c r="AX313" s="726"/>
      <c r="AY313" s="726"/>
      <c r="AZ313" s="726"/>
      <c r="BA313" s="726"/>
      <c r="BB313" s="726"/>
      <c r="BC313" s="726"/>
      <c r="BD313" s="726"/>
      <c r="BE313" s="726"/>
      <c r="BF313" s="726"/>
      <c r="BG313" s="726"/>
      <c r="BH313" s="726"/>
      <c r="BI313" s="726"/>
      <c r="BJ313" s="726"/>
      <c r="BK313" s="726"/>
      <c r="BL313" s="726"/>
      <c r="BM313" s="726"/>
      <c r="BN313" s="726"/>
      <c r="BO313" s="726"/>
      <c r="BP313" s="726"/>
      <c r="BQ313" s="726"/>
      <c r="BR313" s="726"/>
      <c r="BS313" s="726"/>
    </row>
    <row r="314" spans="1:71" s="563" customFormat="1">
      <c r="A314" s="614"/>
      <c r="E314" s="565"/>
      <c r="F314" s="565"/>
      <c r="Q314" s="726"/>
      <c r="R314" s="726"/>
      <c r="S314" s="726"/>
      <c r="T314" s="726"/>
      <c r="U314" s="726"/>
      <c r="V314" s="726"/>
      <c r="W314" s="726"/>
      <c r="X314" s="726"/>
      <c r="Y314" s="726"/>
      <c r="Z314" s="726"/>
      <c r="AA314" s="726"/>
      <c r="AB314" s="726"/>
      <c r="AC314" s="726"/>
      <c r="AD314" s="726"/>
      <c r="AE314" s="726"/>
      <c r="AF314" s="726"/>
      <c r="AG314" s="726"/>
      <c r="AH314" s="726"/>
      <c r="AI314" s="726"/>
      <c r="AJ314" s="726"/>
      <c r="AK314" s="726"/>
      <c r="AL314" s="726"/>
      <c r="AM314" s="726"/>
      <c r="AN314" s="726"/>
      <c r="AO314" s="726"/>
      <c r="AP314" s="726"/>
      <c r="AQ314" s="726"/>
      <c r="AR314" s="726"/>
      <c r="AS314" s="726"/>
      <c r="AT314" s="726"/>
      <c r="AU314" s="726"/>
      <c r="AV314" s="726"/>
      <c r="AW314" s="726"/>
      <c r="AX314" s="726"/>
      <c r="AY314" s="726"/>
      <c r="AZ314" s="726"/>
      <c r="BA314" s="726"/>
      <c r="BB314" s="726"/>
      <c r="BC314" s="726"/>
      <c r="BD314" s="726"/>
      <c r="BE314" s="726"/>
      <c r="BF314" s="726"/>
      <c r="BG314" s="726"/>
      <c r="BH314" s="726"/>
      <c r="BI314" s="726"/>
      <c r="BJ314" s="726"/>
      <c r="BK314" s="726"/>
      <c r="BL314" s="726"/>
      <c r="BM314" s="726"/>
      <c r="BN314" s="726"/>
      <c r="BO314" s="726"/>
      <c r="BP314" s="726"/>
      <c r="BQ314" s="726"/>
      <c r="BR314" s="726"/>
      <c r="BS314" s="726"/>
    </row>
    <row r="315" spans="1:71" s="563" customFormat="1">
      <c r="A315" s="614"/>
      <c r="E315" s="565"/>
      <c r="F315" s="565"/>
      <c r="Q315" s="726"/>
      <c r="R315" s="726"/>
      <c r="S315" s="726"/>
      <c r="T315" s="726"/>
      <c r="U315" s="726"/>
      <c r="V315" s="726"/>
      <c r="W315" s="726"/>
      <c r="X315" s="726"/>
      <c r="Y315" s="726"/>
      <c r="Z315" s="726"/>
      <c r="AA315" s="726"/>
      <c r="AB315" s="726"/>
      <c r="AC315" s="726"/>
      <c r="AD315" s="726"/>
      <c r="AE315" s="726"/>
      <c r="AF315" s="726"/>
      <c r="AG315" s="726"/>
      <c r="AH315" s="726"/>
      <c r="AI315" s="726"/>
      <c r="AJ315" s="726"/>
      <c r="AK315" s="726"/>
      <c r="AL315" s="726"/>
      <c r="AM315" s="726"/>
      <c r="AN315" s="726"/>
      <c r="AO315" s="726"/>
      <c r="AP315" s="726"/>
      <c r="AQ315" s="726"/>
      <c r="AR315" s="726"/>
      <c r="AS315" s="726"/>
      <c r="AT315" s="726"/>
      <c r="AU315" s="726"/>
      <c r="AV315" s="726"/>
      <c r="AW315" s="726"/>
      <c r="AX315" s="726"/>
      <c r="AY315" s="726"/>
      <c r="AZ315" s="726"/>
      <c r="BA315" s="726"/>
      <c r="BB315" s="726"/>
      <c r="BC315" s="726"/>
      <c r="BD315" s="726"/>
      <c r="BE315" s="726"/>
      <c r="BF315" s="726"/>
      <c r="BG315" s="726"/>
      <c r="BH315" s="726"/>
      <c r="BI315" s="726"/>
      <c r="BJ315" s="726"/>
      <c r="BK315" s="726"/>
      <c r="BL315" s="726"/>
      <c r="BM315" s="726"/>
      <c r="BN315" s="726"/>
      <c r="BO315" s="726"/>
      <c r="BP315" s="726"/>
      <c r="BQ315" s="726"/>
      <c r="BR315" s="726"/>
      <c r="BS315" s="726"/>
    </row>
    <row r="316" spans="1:71" s="563" customFormat="1">
      <c r="A316" s="614"/>
      <c r="E316" s="565"/>
      <c r="F316" s="565"/>
      <c r="Q316" s="726"/>
      <c r="R316" s="726"/>
      <c r="S316" s="726"/>
      <c r="T316" s="726"/>
      <c r="U316" s="726"/>
      <c r="V316" s="726"/>
      <c r="W316" s="726"/>
      <c r="X316" s="726"/>
      <c r="Y316" s="726"/>
      <c r="Z316" s="726"/>
      <c r="AA316" s="726"/>
      <c r="AB316" s="726"/>
      <c r="AC316" s="726"/>
      <c r="AD316" s="726"/>
      <c r="AE316" s="726"/>
      <c r="AF316" s="726"/>
      <c r="AG316" s="726"/>
      <c r="AH316" s="726"/>
      <c r="AI316" s="726"/>
      <c r="AJ316" s="726"/>
      <c r="AK316" s="726"/>
      <c r="AL316" s="726"/>
      <c r="AM316" s="726"/>
      <c r="AN316" s="726"/>
      <c r="AO316" s="726"/>
      <c r="AP316" s="726"/>
      <c r="AQ316" s="726"/>
      <c r="AR316" s="726"/>
      <c r="AS316" s="726"/>
      <c r="AT316" s="726"/>
      <c r="AU316" s="726"/>
      <c r="AV316" s="726"/>
      <c r="AW316" s="726"/>
      <c r="AX316" s="726"/>
      <c r="AY316" s="726"/>
      <c r="AZ316" s="726"/>
      <c r="BA316" s="726"/>
      <c r="BB316" s="726"/>
      <c r="BC316" s="726"/>
      <c r="BD316" s="726"/>
      <c r="BE316" s="726"/>
      <c r="BF316" s="726"/>
      <c r="BG316" s="726"/>
      <c r="BH316" s="726"/>
      <c r="BI316" s="726"/>
      <c r="BJ316" s="726"/>
      <c r="BK316" s="726"/>
      <c r="BL316" s="726"/>
      <c r="BM316" s="726"/>
      <c r="BN316" s="726"/>
      <c r="BO316" s="726"/>
      <c r="BP316" s="726"/>
      <c r="BQ316" s="726"/>
      <c r="BR316" s="726"/>
      <c r="BS316" s="726"/>
    </row>
    <row r="317" spans="1:71" s="563" customFormat="1">
      <c r="A317" s="614"/>
      <c r="E317" s="565"/>
      <c r="F317" s="565"/>
      <c r="Q317" s="726"/>
      <c r="R317" s="726"/>
      <c r="S317" s="726"/>
      <c r="T317" s="726"/>
      <c r="U317" s="726"/>
      <c r="V317" s="726"/>
      <c r="W317" s="726"/>
      <c r="X317" s="726"/>
      <c r="Y317" s="726"/>
      <c r="Z317" s="726"/>
      <c r="AA317" s="726"/>
      <c r="AB317" s="726"/>
      <c r="AC317" s="726"/>
      <c r="AD317" s="726"/>
      <c r="AE317" s="726"/>
      <c r="AF317" s="726"/>
      <c r="AG317" s="726"/>
      <c r="AH317" s="726"/>
      <c r="AI317" s="726"/>
      <c r="AJ317" s="726"/>
      <c r="AK317" s="726"/>
      <c r="AL317" s="726"/>
      <c r="AM317" s="726"/>
      <c r="AN317" s="726"/>
      <c r="AO317" s="726"/>
      <c r="AP317" s="726"/>
      <c r="AQ317" s="726"/>
      <c r="AR317" s="726"/>
      <c r="AS317" s="726"/>
      <c r="AT317" s="726"/>
      <c r="AU317" s="726"/>
      <c r="AV317" s="726"/>
      <c r="AW317" s="726"/>
      <c r="AX317" s="726"/>
      <c r="AY317" s="726"/>
      <c r="AZ317" s="726"/>
      <c r="BA317" s="726"/>
      <c r="BB317" s="726"/>
      <c r="BC317" s="726"/>
      <c r="BD317" s="726"/>
      <c r="BE317" s="726"/>
      <c r="BF317" s="726"/>
      <c r="BG317" s="726"/>
      <c r="BH317" s="726"/>
      <c r="BI317" s="726"/>
      <c r="BJ317" s="726"/>
      <c r="BK317" s="726"/>
      <c r="BL317" s="726"/>
      <c r="BM317" s="726"/>
      <c r="BN317" s="726"/>
      <c r="BO317" s="726"/>
      <c r="BP317" s="726"/>
      <c r="BQ317" s="726"/>
      <c r="BR317" s="726"/>
      <c r="BS317" s="726"/>
    </row>
    <row r="318" spans="1:71" s="563" customFormat="1">
      <c r="A318" s="614"/>
      <c r="E318" s="565"/>
      <c r="F318" s="565"/>
      <c r="Q318" s="726"/>
      <c r="R318" s="726"/>
      <c r="S318" s="726"/>
      <c r="T318" s="726"/>
      <c r="U318" s="726"/>
      <c r="V318" s="726"/>
      <c r="W318" s="726"/>
      <c r="X318" s="726"/>
      <c r="Y318" s="726"/>
      <c r="Z318" s="726"/>
      <c r="AA318" s="726"/>
      <c r="AB318" s="726"/>
      <c r="AC318" s="726"/>
      <c r="AD318" s="726"/>
      <c r="AE318" s="726"/>
      <c r="AF318" s="726"/>
      <c r="AG318" s="726"/>
      <c r="AH318" s="726"/>
      <c r="AI318" s="726"/>
      <c r="AJ318" s="726"/>
      <c r="AK318" s="726"/>
      <c r="AL318" s="726"/>
      <c r="AM318" s="726"/>
      <c r="AN318" s="726"/>
      <c r="AO318" s="726"/>
      <c r="AP318" s="726"/>
      <c r="AQ318" s="726"/>
      <c r="AR318" s="726"/>
      <c r="AS318" s="726"/>
      <c r="AT318" s="726"/>
      <c r="AU318" s="726"/>
      <c r="AV318" s="726"/>
      <c r="AW318" s="726"/>
      <c r="AX318" s="726"/>
      <c r="AY318" s="726"/>
      <c r="AZ318" s="726"/>
      <c r="BA318" s="726"/>
      <c r="BB318" s="726"/>
      <c r="BC318" s="726"/>
      <c r="BD318" s="726"/>
      <c r="BE318" s="726"/>
      <c r="BF318" s="726"/>
      <c r="BG318" s="726"/>
      <c r="BH318" s="726"/>
      <c r="BI318" s="726"/>
      <c r="BJ318" s="726"/>
      <c r="BK318" s="726"/>
      <c r="BL318" s="726"/>
      <c r="BM318" s="726"/>
      <c r="BN318" s="726"/>
      <c r="BO318" s="726"/>
      <c r="BP318" s="726"/>
      <c r="BQ318" s="726"/>
      <c r="BR318" s="726"/>
      <c r="BS318" s="726"/>
    </row>
    <row r="319" spans="1:71" s="563" customFormat="1">
      <c r="A319" s="614"/>
      <c r="E319" s="565"/>
      <c r="F319" s="565"/>
      <c r="Q319" s="726"/>
      <c r="R319" s="726"/>
      <c r="S319" s="726"/>
      <c r="T319" s="726"/>
      <c r="U319" s="726"/>
      <c r="V319" s="726"/>
      <c r="W319" s="726"/>
      <c r="X319" s="726"/>
      <c r="Y319" s="726"/>
      <c r="Z319" s="726"/>
      <c r="AA319" s="726"/>
      <c r="AB319" s="726"/>
      <c r="AC319" s="726"/>
      <c r="AD319" s="726"/>
      <c r="AE319" s="726"/>
      <c r="AF319" s="726"/>
      <c r="AG319" s="726"/>
      <c r="AH319" s="726"/>
      <c r="AI319" s="726"/>
      <c r="AJ319" s="726"/>
      <c r="AK319" s="726"/>
      <c r="AL319" s="726"/>
      <c r="AM319" s="726"/>
      <c r="AN319" s="726"/>
      <c r="AO319" s="726"/>
      <c r="AP319" s="726"/>
      <c r="AQ319" s="726"/>
      <c r="AR319" s="726"/>
      <c r="AS319" s="726"/>
      <c r="AT319" s="726"/>
      <c r="AU319" s="726"/>
      <c r="AV319" s="726"/>
      <c r="AW319" s="726"/>
      <c r="AX319" s="726"/>
      <c r="AY319" s="726"/>
      <c r="AZ319" s="726"/>
      <c r="BA319" s="726"/>
      <c r="BB319" s="726"/>
      <c r="BC319" s="726"/>
      <c r="BD319" s="726"/>
      <c r="BE319" s="726"/>
      <c r="BF319" s="726"/>
      <c r="BG319" s="726"/>
      <c r="BH319" s="726"/>
      <c r="BI319" s="726"/>
      <c r="BJ319" s="726"/>
      <c r="BK319" s="726"/>
      <c r="BL319" s="726"/>
      <c r="BM319" s="726"/>
      <c r="BN319" s="726"/>
      <c r="BO319" s="726"/>
      <c r="BP319" s="726"/>
      <c r="BQ319" s="726"/>
      <c r="BR319" s="726"/>
      <c r="BS319" s="726"/>
    </row>
    <row r="320" spans="1:71" s="563" customFormat="1">
      <c r="A320" s="614"/>
      <c r="E320" s="565"/>
      <c r="F320" s="565"/>
      <c r="Q320" s="726"/>
      <c r="R320" s="726"/>
      <c r="S320" s="726"/>
      <c r="T320" s="726"/>
      <c r="U320" s="726"/>
      <c r="V320" s="726"/>
      <c r="W320" s="726"/>
      <c r="X320" s="726"/>
      <c r="Y320" s="726"/>
      <c r="Z320" s="726"/>
      <c r="AA320" s="726"/>
      <c r="AB320" s="726"/>
      <c r="AC320" s="726"/>
      <c r="AD320" s="726"/>
      <c r="AE320" s="726"/>
      <c r="AF320" s="726"/>
      <c r="AG320" s="726"/>
      <c r="AH320" s="726"/>
      <c r="AI320" s="726"/>
      <c r="AJ320" s="726"/>
      <c r="AK320" s="726"/>
      <c r="AL320" s="726"/>
      <c r="AM320" s="726"/>
      <c r="AN320" s="726"/>
      <c r="AO320" s="726"/>
      <c r="AP320" s="726"/>
      <c r="AQ320" s="726"/>
      <c r="AR320" s="726"/>
      <c r="AS320" s="726"/>
      <c r="AT320" s="726"/>
      <c r="AU320" s="726"/>
      <c r="AV320" s="726"/>
      <c r="AW320" s="726"/>
      <c r="AX320" s="726"/>
      <c r="AY320" s="726"/>
      <c r="AZ320" s="726"/>
      <c r="BA320" s="726"/>
      <c r="BB320" s="726"/>
      <c r="BC320" s="726"/>
      <c r="BD320" s="726"/>
      <c r="BE320" s="726"/>
      <c r="BF320" s="726"/>
      <c r="BG320" s="726"/>
      <c r="BH320" s="726"/>
      <c r="BI320" s="726"/>
      <c r="BJ320" s="726"/>
      <c r="BK320" s="726"/>
      <c r="BL320" s="726"/>
      <c r="BM320" s="726"/>
      <c r="BN320" s="726"/>
      <c r="BO320" s="726"/>
      <c r="BP320" s="726"/>
      <c r="BQ320" s="726"/>
      <c r="BR320" s="726"/>
      <c r="BS320" s="726"/>
    </row>
    <row r="321" spans="1:71" s="563" customFormat="1">
      <c r="A321" s="614"/>
      <c r="E321" s="565"/>
      <c r="F321" s="565"/>
      <c r="Q321" s="726"/>
      <c r="R321" s="726"/>
      <c r="S321" s="726"/>
      <c r="T321" s="726"/>
      <c r="U321" s="726"/>
      <c r="V321" s="726"/>
      <c r="W321" s="726"/>
      <c r="X321" s="726"/>
      <c r="Y321" s="726"/>
      <c r="Z321" s="726"/>
      <c r="AA321" s="726"/>
      <c r="AB321" s="726"/>
      <c r="AC321" s="726"/>
      <c r="AD321" s="726"/>
      <c r="AE321" s="726"/>
      <c r="AF321" s="726"/>
      <c r="AG321" s="726"/>
      <c r="AH321" s="726"/>
      <c r="AI321" s="726"/>
      <c r="AJ321" s="726"/>
      <c r="AK321" s="726"/>
      <c r="AL321" s="726"/>
      <c r="AM321" s="726"/>
      <c r="AN321" s="726"/>
      <c r="AO321" s="726"/>
      <c r="AP321" s="726"/>
      <c r="AQ321" s="726"/>
      <c r="AR321" s="726"/>
      <c r="AS321" s="726"/>
      <c r="AT321" s="726"/>
      <c r="AU321" s="726"/>
      <c r="AV321" s="726"/>
      <c r="AW321" s="726"/>
      <c r="AX321" s="726"/>
      <c r="AY321" s="726"/>
      <c r="AZ321" s="726"/>
      <c r="BA321" s="726"/>
      <c r="BB321" s="726"/>
      <c r="BC321" s="726"/>
      <c r="BD321" s="726"/>
      <c r="BE321" s="726"/>
      <c r="BF321" s="726"/>
      <c r="BG321" s="726"/>
      <c r="BH321" s="726"/>
      <c r="BI321" s="726"/>
      <c r="BJ321" s="726"/>
      <c r="BK321" s="726"/>
      <c r="BL321" s="726"/>
      <c r="BM321" s="726"/>
      <c r="BN321" s="726"/>
      <c r="BO321" s="726"/>
      <c r="BP321" s="726"/>
      <c r="BQ321" s="726"/>
      <c r="BR321" s="726"/>
      <c r="BS321" s="726"/>
    </row>
    <row r="322" spans="1:71" s="563" customFormat="1">
      <c r="A322" s="614"/>
      <c r="E322" s="565"/>
      <c r="F322" s="565"/>
      <c r="Q322" s="726"/>
      <c r="R322" s="726"/>
      <c r="S322" s="726"/>
      <c r="T322" s="726"/>
      <c r="U322" s="726"/>
      <c r="V322" s="726"/>
      <c r="W322" s="726"/>
      <c r="X322" s="726"/>
      <c r="Y322" s="726"/>
      <c r="Z322" s="726"/>
      <c r="AA322" s="726"/>
      <c r="AB322" s="726"/>
      <c r="AC322" s="726"/>
      <c r="AD322" s="726"/>
      <c r="AE322" s="726"/>
      <c r="AF322" s="726"/>
      <c r="AG322" s="726"/>
      <c r="AH322" s="726"/>
      <c r="AI322" s="726"/>
      <c r="AJ322" s="726"/>
      <c r="AK322" s="726"/>
      <c r="AL322" s="726"/>
      <c r="AM322" s="726"/>
      <c r="AN322" s="726"/>
      <c r="AO322" s="726"/>
      <c r="AP322" s="726"/>
      <c r="AQ322" s="726"/>
      <c r="AR322" s="726"/>
      <c r="AS322" s="726"/>
      <c r="AT322" s="726"/>
      <c r="AU322" s="726"/>
      <c r="AV322" s="726"/>
      <c r="AW322" s="726"/>
      <c r="AX322" s="726"/>
      <c r="AY322" s="726"/>
      <c r="AZ322" s="726"/>
      <c r="BA322" s="726"/>
      <c r="BB322" s="726"/>
      <c r="BC322" s="726"/>
      <c r="BD322" s="726"/>
      <c r="BE322" s="726"/>
      <c r="BF322" s="726"/>
      <c r="BG322" s="726"/>
      <c r="BH322" s="726"/>
      <c r="BI322" s="726"/>
      <c r="BJ322" s="726"/>
      <c r="BK322" s="726"/>
      <c r="BL322" s="726"/>
      <c r="BM322" s="726"/>
      <c r="BN322" s="726"/>
      <c r="BO322" s="726"/>
      <c r="BP322" s="726"/>
      <c r="BQ322" s="726"/>
      <c r="BR322" s="726"/>
      <c r="BS322" s="726"/>
    </row>
    <row r="323" spans="1:71" s="563" customFormat="1">
      <c r="A323" s="614"/>
      <c r="E323" s="565"/>
      <c r="F323" s="565"/>
      <c r="Q323" s="726"/>
      <c r="R323" s="726"/>
      <c r="S323" s="726"/>
      <c r="T323" s="726"/>
      <c r="U323" s="726"/>
      <c r="V323" s="726"/>
      <c r="W323" s="726"/>
      <c r="X323" s="726"/>
      <c r="Y323" s="726"/>
      <c r="Z323" s="726"/>
      <c r="AA323" s="726"/>
      <c r="AB323" s="726"/>
      <c r="AC323" s="726"/>
      <c r="AD323" s="726"/>
      <c r="AE323" s="726"/>
      <c r="AF323" s="726"/>
      <c r="AG323" s="726"/>
      <c r="AH323" s="726"/>
      <c r="AI323" s="726"/>
      <c r="AJ323" s="726"/>
      <c r="AK323" s="726"/>
      <c r="AL323" s="726"/>
      <c r="AM323" s="726"/>
      <c r="AN323" s="726"/>
      <c r="AO323" s="726"/>
      <c r="AP323" s="726"/>
      <c r="AQ323" s="726"/>
      <c r="AR323" s="726"/>
      <c r="AS323" s="726"/>
      <c r="AT323" s="726"/>
      <c r="AU323" s="726"/>
      <c r="AV323" s="726"/>
      <c r="AW323" s="726"/>
      <c r="AX323" s="726"/>
      <c r="AY323" s="726"/>
      <c r="AZ323" s="726"/>
      <c r="BA323" s="726"/>
      <c r="BB323" s="726"/>
      <c r="BC323" s="726"/>
      <c r="BD323" s="726"/>
      <c r="BE323" s="726"/>
      <c r="BF323" s="726"/>
      <c r="BG323" s="726"/>
      <c r="BH323" s="726"/>
      <c r="BI323" s="726"/>
      <c r="BJ323" s="726"/>
      <c r="BK323" s="726"/>
      <c r="BL323" s="726"/>
      <c r="BM323" s="726"/>
      <c r="BN323" s="726"/>
      <c r="BO323" s="726"/>
      <c r="BP323" s="726"/>
      <c r="BQ323" s="726"/>
      <c r="BR323" s="726"/>
      <c r="BS323" s="726"/>
    </row>
    <row r="324" spans="1:71" s="563" customFormat="1">
      <c r="A324" s="614"/>
      <c r="E324" s="565"/>
      <c r="F324" s="565"/>
      <c r="Q324" s="726"/>
      <c r="R324" s="726"/>
      <c r="S324" s="726"/>
      <c r="T324" s="726"/>
      <c r="U324" s="726"/>
      <c r="V324" s="726"/>
      <c r="W324" s="726"/>
      <c r="X324" s="726"/>
      <c r="Y324" s="726"/>
      <c r="Z324" s="726"/>
      <c r="AA324" s="726"/>
      <c r="AB324" s="726"/>
      <c r="AC324" s="726"/>
      <c r="AD324" s="726"/>
      <c r="AE324" s="726"/>
      <c r="AF324" s="726"/>
      <c r="AG324" s="726"/>
      <c r="AH324" s="726"/>
      <c r="AI324" s="726"/>
      <c r="AJ324" s="726"/>
      <c r="AK324" s="726"/>
      <c r="AL324" s="726"/>
      <c r="AM324" s="726"/>
      <c r="AN324" s="726"/>
      <c r="AO324" s="726"/>
      <c r="AP324" s="726"/>
      <c r="AQ324" s="726"/>
      <c r="AR324" s="726"/>
      <c r="AS324" s="726"/>
      <c r="AT324" s="726"/>
      <c r="AU324" s="726"/>
      <c r="AV324" s="726"/>
      <c r="AW324" s="726"/>
      <c r="AX324" s="726"/>
      <c r="AY324" s="726"/>
      <c r="AZ324" s="726"/>
      <c r="BA324" s="726"/>
      <c r="BB324" s="726"/>
      <c r="BC324" s="726"/>
      <c r="BD324" s="726"/>
      <c r="BE324" s="726"/>
      <c r="BF324" s="726"/>
      <c r="BG324" s="726"/>
      <c r="BH324" s="726"/>
      <c r="BI324" s="726"/>
      <c r="BJ324" s="726"/>
      <c r="BK324" s="726"/>
      <c r="BL324" s="726"/>
      <c r="BM324" s="726"/>
      <c r="BN324" s="726"/>
      <c r="BO324" s="726"/>
      <c r="BP324" s="726"/>
      <c r="BQ324" s="726"/>
      <c r="BR324" s="726"/>
      <c r="BS324" s="726"/>
    </row>
    <row r="325" spans="1:71" s="563" customFormat="1">
      <c r="A325" s="614"/>
      <c r="E325" s="565"/>
      <c r="F325" s="565"/>
      <c r="Q325" s="726"/>
      <c r="R325" s="726"/>
      <c r="S325" s="726"/>
      <c r="T325" s="726"/>
      <c r="U325" s="726"/>
      <c r="V325" s="726"/>
      <c r="W325" s="726"/>
      <c r="X325" s="726"/>
      <c r="Y325" s="726"/>
      <c r="Z325" s="726"/>
      <c r="AA325" s="726"/>
      <c r="AB325" s="726"/>
      <c r="AC325" s="726"/>
      <c r="AD325" s="726"/>
      <c r="AE325" s="726"/>
      <c r="AF325" s="726"/>
      <c r="AG325" s="726"/>
      <c r="AH325" s="726"/>
      <c r="AI325" s="726"/>
      <c r="AJ325" s="726"/>
      <c r="AK325" s="726"/>
      <c r="AL325" s="726"/>
      <c r="AM325" s="726"/>
      <c r="AN325" s="726"/>
      <c r="AO325" s="726"/>
      <c r="AP325" s="726"/>
      <c r="AQ325" s="726"/>
      <c r="AR325" s="726"/>
      <c r="AS325" s="726"/>
      <c r="AT325" s="726"/>
      <c r="AU325" s="726"/>
      <c r="AV325" s="726"/>
      <c r="AW325" s="726"/>
      <c r="AX325" s="726"/>
      <c r="AY325" s="726"/>
      <c r="AZ325" s="726"/>
      <c r="BA325" s="726"/>
      <c r="BB325" s="726"/>
      <c r="BC325" s="726"/>
      <c r="BD325" s="726"/>
      <c r="BE325" s="726"/>
      <c r="BF325" s="726"/>
      <c r="BG325" s="726"/>
      <c r="BH325" s="726"/>
      <c r="BI325" s="726"/>
      <c r="BJ325" s="726"/>
      <c r="BK325" s="726"/>
      <c r="BL325" s="726"/>
      <c r="BM325" s="726"/>
      <c r="BN325" s="726"/>
      <c r="BO325" s="726"/>
      <c r="BP325" s="726"/>
      <c r="BQ325" s="726"/>
      <c r="BR325" s="726"/>
      <c r="BS325" s="726"/>
    </row>
    <row r="326" spans="1:71" s="563" customFormat="1">
      <c r="A326" s="614"/>
      <c r="E326" s="565"/>
      <c r="F326" s="565"/>
      <c r="Q326" s="726"/>
      <c r="R326" s="726"/>
      <c r="S326" s="726"/>
      <c r="T326" s="726"/>
      <c r="U326" s="726"/>
      <c r="V326" s="726"/>
      <c r="W326" s="726"/>
      <c r="X326" s="726"/>
      <c r="Y326" s="726"/>
      <c r="Z326" s="726"/>
      <c r="AA326" s="726"/>
      <c r="AB326" s="726"/>
      <c r="AC326" s="726"/>
      <c r="AD326" s="726"/>
      <c r="AE326" s="726"/>
      <c r="AF326" s="726"/>
      <c r="AG326" s="726"/>
      <c r="AH326" s="726"/>
      <c r="AI326" s="726"/>
      <c r="AJ326" s="726"/>
      <c r="AK326" s="726"/>
      <c r="AL326" s="726"/>
      <c r="AM326" s="726"/>
      <c r="AN326" s="726"/>
      <c r="AO326" s="726"/>
      <c r="AP326" s="726"/>
      <c r="AQ326" s="726"/>
      <c r="AR326" s="726"/>
      <c r="AS326" s="726"/>
      <c r="AT326" s="726"/>
      <c r="AU326" s="726"/>
      <c r="AV326" s="726"/>
      <c r="AW326" s="726"/>
      <c r="AX326" s="726"/>
      <c r="AY326" s="726"/>
      <c r="AZ326" s="726"/>
      <c r="BA326" s="726"/>
      <c r="BB326" s="726"/>
      <c r="BC326" s="726"/>
      <c r="BD326" s="726"/>
      <c r="BE326" s="726"/>
      <c r="BF326" s="726"/>
      <c r="BG326" s="726"/>
      <c r="BH326" s="726"/>
      <c r="BI326" s="726"/>
      <c r="BJ326" s="726"/>
      <c r="BK326" s="726"/>
      <c r="BL326" s="726"/>
      <c r="BM326" s="726"/>
      <c r="BN326" s="726"/>
      <c r="BO326" s="726"/>
      <c r="BP326" s="726"/>
      <c r="BQ326" s="726"/>
      <c r="BR326" s="726"/>
      <c r="BS326" s="726"/>
    </row>
    <row r="327" spans="1:71" s="563" customFormat="1">
      <c r="A327" s="614"/>
      <c r="E327" s="565"/>
      <c r="F327" s="565"/>
      <c r="Q327" s="726"/>
      <c r="R327" s="726"/>
      <c r="S327" s="726"/>
      <c r="T327" s="726"/>
      <c r="U327" s="726"/>
      <c r="V327" s="726"/>
      <c r="W327" s="726"/>
      <c r="X327" s="726"/>
      <c r="Y327" s="726"/>
      <c r="Z327" s="726"/>
      <c r="AA327" s="726"/>
      <c r="AB327" s="726"/>
      <c r="AC327" s="726"/>
      <c r="AD327" s="726"/>
      <c r="AE327" s="726"/>
      <c r="AF327" s="726"/>
      <c r="AG327" s="726"/>
      <c r="AH327" s="726"/>
      <c r="AI327" s="726"/>
      <c r="AJ327" s="726"/>
      <c r="AK327" s="726"/>
      <c r="AL327" s="726"/>
      <c r="AM327" s="726"/>
      <c r="AN327" s="726"/>
      <c r="AO327" s="726"/>
      <c r="AP327" s="726"/>
      <c r="AQ327" s="726"/>
      <c r="AR327" s="726"/>
      <c r="AS327" s="726"/>
      <c r="AT327" s="726"/>
      <c r="AU327" s="726"/>
      <c r="AV327" s="726"/>
      <c r="AW327" s="726"/>
      <c r="AX327" s="726"/>
      <c r="AY327" s="726"/>
      <c r="AZ327" s="726"/>
      <c r="BA327" s="726"/>
      <c r="BB327" s="726"/>
      <c r="BC327" s="726"/>
      <c r="BD327" s="726"/>
      <c r="BE327" s="726"/>
      <c r="BF327" s="726"/>
      <c r="BG327" s="726"/>
      <c r="BH327" s="726"/>
      <c r="BI327" s="726"/>
      <c r="BJ327" s="726"/>
      <c r="BK327" s="726"/>
      <c r="BL327" s="726"/>
      <c r="BM327" s="726"/>
      <c r="BN327" s="726"/>
      <c r="BO327" s="726"/>
      <c r="BP327" s="726"/>
      <c r="BQ327" s="726"/>
      <c r="BR327" s="726"/>
      <c r="BS327" s="726"/>
    </row>
    <row r="328" spans="1:71" s="563" customFormat="1">
      <c r="A328" s="614"/>
      <c r="E328" s="565"/>
      <c r="F328" s="565"/>
      <c r="Q328" s="726"/>
      <c r="R328" s="726"/>
      <c r="S328" s="726"/>
      <c r="T328" s="726"/>
      <c r="U328" s="726"/>
      <c r="V328" s="726"/>
      <c r="W328" s="726"/>
      <c r="X328" s="726"/>
      <c r="Y328" s="726"/>
      <c r="Z328" s="726"/>
      <c r="AA328" s="726"/>
      <c r="AB328" s="726"/>
      <c r="AC328" s="726"/>
      <c r="AD328" s="726"/>
      <c r="AE328" s="726"/>
      <c r="AF328" s="726"/>
      <c r="AG328" s="726"/>
      <c r="AH328" s="726"/>
      <c r="AI328" s="726"/>
      <c r="AJ328" s="726"/>
      <c r="AK328" s="726"/>
      <c r="AL328" s="726"/>
      <c r="AM328" s="726"/>
      <c r="AN328" s="726"/>
      <c r="AO328" s="726"/>
      <c r="AP328" s="726"/>
      <c r="AQ328" s="726"/>
      <c r="AR328" s="726"/>
      <c r="AS328" s="726"/>
      <c r="AT328" s="726"/>
      <c r="AU328" s="726"/>
      <c r="AV328" s="726"/>
      <c r="AW328" s="726"/>
      <c r="AX328" s="726"/>
      <c r="AY328" s="726"/>
      <c r="AZ328" s="726"/>
      <c r="BA328" s="726"/>
      <c r="BB328" s="726"/>
      <c r="BC328" s="726"/>
      <c r="BD328" s="726"/>
      <c r="BE328" s="726"/>
      <c r="BF328" s="726"/>
      <c r="BG328" s="726"/>
      <c r="BH328" s="726"/>
      <c r="BI328" s="726"/>
      <c r="BJ328" s="726"/>
      <c r="BK328" s="726"/>
      <c r="BL328" s="726"/>
      <c r="BM328" s="726"/>
      <c r="BN328" s="726"/>
      <c r="BO328" s="726"/>
      <c r="BP328" s="726"/>
      <c r="BQ328" s="726"/>
      <c r="BR328" s="726"/>
      <c r="BS328" s="726"/>
    </row>
    <row r="329" spans="1:71" s="563" customFormat="1">
      <c r="A329" s="614"/>
      <c r="E329" s="565"/>
      <c r="F329" s="565"/>
      <c r="Q329" s="726"/>
      <c r="R329" s="726"/>
      <c r="S329" s="726"/>
      <c r="T329" s="726"/>
      <c r="U329" s="726"/>
      <c r="V329" s="726"/>
      <c r="W329" s="726"/>
      <c r="X329" s="726"/>
      <c r="Y329" s="726"/>
      <c r="Z329" s="726"/>
      <c r="AA329" s="726"/>
      <c r="AB329" s="726"/>
      <c r="AC329" s="726"/>
      <c r="AD329" s="726"/>
      <c r="AE329" s="726"/>
      <c r="AF329" s="726"/>
      <c r="AG329" s="726"/>
      <c r="AH329" s="726"/>
      <c r="AI329" s="726"/>
      <c r="AJ329" s="726"/>
      <c r="AK329" s="726"/>
      <c r="AL329" s="726"/>
      <c r="AM329" s="726"/>
      <c r="AN329" s="726"/>
      <c r="AO329" s="726"/>
      <c r="AP329" s="726"/>
      <c r="AQ329" s="726"/>
      <c r="AR329" s="726"/>
      <c r="AS329" s="726"/>
      <c r="AT329" s="726"/>
      <c r="AU329" s="726"/>
      <c r="AV329" s="726"/>
      <c r="AW329" s="726"/>
      <c r="AX329" s="726"/>
      <c r="AY329" s="726"/>
      <c r="AZ329" s="726"/>
      <c r="BA329" s="726"/>
      <c r="BB329" s="726"/>
      <c r="BC329" s="726"/>
      <c r="BD329" s="726"/>
      <c r="BE329" s="726"/>
      <c r="BF329" s="726"/>
      <c r="BG329" s="726"/>
      <c r="BH329" s="726"/>
      <c r="BI329" s="726"/>
      <c r="BJ329" s="726"/>
      <c r="BK329" s="726"/>
      <c r="BL329" s="726"/>
      <c r="BM329" s="726"/>
      <c r="BN329" s="726"/>
      <c r="BO329" s="726"/>
      <c r="BP329" s="726"/>
      <c r="BQ329" s="726"/>
      <c r="BR329" s="726"/>
      <c r="BS329" s="726"/>
    </row>
    <row r="330" spans="1:71" s="563" customFormat="1">
      <c r="A330" s="614"/>
      <c r="E330" s="565"/>
      <c r="F330" s="565"/>
      <c r="Q330" s="726"/>
      <c r="R330" s="726"/>
      <c r="S330" s="726"/>
      <c r="T330" s="726"/>
      <c r="U330" s="726"/>
      <c r="V330" s="726"/>
      <c r="W330" s="726"/>
      <c r="X330" s="726"/>
      <c r="Y330" s="726"/>
      <c r="Z330" s="726"/>
      <c r="AA330" s="726"/>
      <c r="AB330" s="726"/>
      <c r="AC330" s="726"/>
      <c r="AD330" s="726"/>
      <c r="AE330" s="726"/>
      <c r="AF330" s="726"/>
      <c r="AG330" s="726"/>
      <c r="AH330" s="726"/>
      <c r="AI330" s="726"/>
      <c r="AJ330" s="726"/>
      <c r="AK330" s="726"/>
      <c r="AL330" s="726"/>
      <c r="AM330" s="726"/>
      <c r="AN330" s="726"/>
      <c r="AO330" s="726"/>
      <c r="AP330" s="726"/>
      <c r="AQ330" s="726"/>
      <c r="AR330" s="726"/>
      <c r="AS330" s="726"/>
      <c r="AT330" s="726"/>
      <c r="AU330" s="726"/>
      <c r="AV330" s="726"/>
      <c r="AW330" s="726"/>
      <c r="AX330" s="726"/>
      <c r="AY330" s="726"/>
      <c r="AZ330" s="726"/>
      <c r="BA330" s="726"/>
      <c r="BB330" s="726"/>
      <c r="BC330" s="726"/>
      <c r="BD330" s="726"/>
      <c r="BE330" s="726"/>
      <c r="BF330" s="726"/>
      <c r="BG330" s="726"/>
      <c r="BH330" s="726"/>
      <c r="BI330" s="726"/>
      <c r="BJ330" s="726"/>
      <c r="BK330" s="726"/>
      <c r="BL330" s="726"/>
      <c r="BM330" s="726"/>
      <c r="BN330" s="726"/>
      <c r="BO330" s="726"/>
      <c r="BP330" s="726"/>
      <c r="BQ330" s="726"/>
      <c r="BR330" s="726"/>
      <c r="BS330" s="726"/>
    </row>
    <row r="331" spans="1:71" s="563" customFormat="1">
      <c r="A331" s="614"/>
      <c r="E331" s="565"/>
      <c r="F331" s="565"/>
      <c r="Q331" s="726"/>
      <c r="R331" s="726"/>
      <c r="S331" s="726"/>
      <c r="T331" s="726"/>
      <c r="U331" s="726"/>
      <c r="V331" s="726"/>
      <c r="W331" s="726"/>
      <c r="X331" s="726"/>
      <c r="Y331" s="726"/>
      <c r="Z331" s="726"/>
      <c r="AA331" s="726"/>
      <c r="AB331" s="726"/>
      <c r="AC331" s="726"/>
      <c r="AD331" s="726"/>
      <c r="AE331" s="726"/>
      <c r="AF331" s="726"/>
      <c r="AG331" s="726"/>
      <c r="AH331" s="726"/>
      <c r="AI331" s="726"/>
      <c r="AJ331" s="726"/>
      <c r="AK331" s="726"/>
      <c r="AL331" s="726"/>
      <c r="AM331" s="726"/>
      <c r="AN331" s="726"/>
      <c r="AO331" s="726"/>
      <c r="AP331" s="726"/>
      <c r="AQ331" s="726"/>
      <c r="AR331" s="726"/>
      <c r="AS331" s="726"/>
      <c r="AT331" s="726"/>
      <c r="AU331" s="726"/>
      <c r="AV331" s="726"/>
      <c r="AW331" s="726"/>
      <c r="AX331" s="726"/>
      <c r="AY331" s="726"/>
      <c r="AZ331" s="726"/>
      <c r="BA331" s="726"/>
      <c r="BB331" s="726"/>
      <c r="BC331" s="726"/>
      <c r="BD331" s="726"/>
      <c r="BE331" s="726"/>
      <c r="BF331" s="726"/>
      <c r="BG331" s="726"/>
      <c r="BH331" s="726"/>
      <c r="BI331" s="726"/>
      <c r="BJ331" s="726"/>
      <c r="BK331" s="726"/>
      <c r="BL331" s="726"/>
      <c r="BM331" s="726"/>
      <c r="BN331" s="726"/>
      <c r="BO331" s="726"/>
      <c r="BP331" s="726"/>
      <c r="BQ331" s="726"/>
      <c r="BR331" s="726"/>
      <c r="BS331" s="726"/>
    </row>
    <row r="332" spans="1:71" s="563" customFormat="1">
      <c r="A332" s="614"/>
      <c r="E332" s="565"/>
      <c r="F332" s="565"/>
      <c r="Q332" s="726"/>
      <c r="R332" s="726"/>
      <c r="S332" s="726"/>
      <c r="T332" s="726"/>
      <c r="U332" s="726"/>
      <c r="V332" s="726"/>
      <c r="W332" s="726"/>
      <c r="X332" s="726"/>
      <c r="Y332" s="726"/>
      <c r="Z332" s="726"/>
      <c r="AA332" s="726"/>
      <c r="AB332" s="726"/>
      <c r="AC332" s="726"/>
      <c r="AD332" s="726"/>
      <c r="AE332" s="726"/>
      <c r="AF332" s="726"/>
      <c r="AG332" s="726"/>
      <c r="AH332" s="726"/>
      <c r="AI332" s="726"/>
      <c r="AJ332" s="726"/>
      <c r="AK332" s="726"/>
      <c r="AL332" s="726"/>
      <c r="AM332" s="726"/>
      <c r="AN332" s="726"/>
      <c r="AO332" s="726"/>
      <c r="AP332" s="726"/>
      <c r="AQ332" s="726"/>
      <c r="AR332" s="726"/>
      <c r="AS332" s="726"/>
      <c r="AT332" s="726"/>
      <c r="AU332" s="726"/>
      <c r="AV332" s="726"/>
      <c r="AW332" s="726"/>
      <c r="AX332" s="726"/>
      <c r="AY332" s="726"/>
      <c r="AZ332" s="726"/>
      <c r="BA332" s="726"/>
      <c r="BB332" s="726"/>
      <c r="BC332" s="726"/>
      <c r="BD332" s="726"/>
      <c r="BE332" s="726"/>
      <c r="BF332" s="726"/>
      <c r="BG332" s="726"/>
      <c r="BH332" s="726"/>
      <c r="BI332" s="726"/>
      <c r="BJ332" s="726"/>
      <c r="BK332" s="726"/>
      <c r="BL332" s="726"/>
      <c r="BM332" s="726"/>
      <c r="BN332" s="726"/>
      <c r="BO332" s="726"/>
      <c r="BP332" s="726"/>
      <c r="BQ332" s="726"/>
      <c r="BR332" s="726"/>
      <c r="BS332" s="726"/>
    </row>
    <row r="333" spans="1:71" s="563" customFormat="1">
      <c r="A333" s="614"/>
      <c r="E333" s="565"/>
      <c r="F333" s="565"/>
      <c r="Q333" s="726"/>
      <c r="R333" s="726"/>
      <c r="S333" s="726"/>
      <c r="T333" s="726"/>
      <c r="U333" s="726"/>
      <c r="V333" s="726"/>
      <c r="W333" s="726"/>
      <c r="X333" s="726"/>
      <c r="Y333" s="726"/>
      <c r="Z333" s="726"/>
      <c r="AA333" s="726"/>
      <c r="AB333" s="726"/>
      <c r="AC333" s="726"/>
      <c r="AD333" s="726"/>
      <c r="AE333" s="726"/>
      <c r="AF333" s="726"/>
      <c r="AG333" s="726"/>
      <c r="AH333" s="726"/>
      <c r="AI333" s="726"/>
      <c r="AJ333" s="726"/>
      <c r="AK333" s="726"/>
      <c r="AL333" s="726"/>
      <c r="AM333" s="726"/>
      <c r="AN333" s="726"/>
      <c r="AO333" s="726"/>
      <c r="AP333" s="726"/>
      <c r="AQ333" s="726"/>
      <c r="AR333" s="726"/>
      <c r="AS333" s="726"/>
      <c r="AT333" s="726"/>
      <c r="AU333" s="726"/>
      <c r="AV333" s="726"/>
      <c r="AW333" s="726"/>
      <c r="AX333" s="726"/>
      <c r="AY333" s="726"/>
      <c r="AZ333" s="726"/>
      <c r="BA333" s="726"/>
      <c r="BB333" s="726"/>
      <c r="BC333" s="726"/>
      <c r="BD333" s="726"/>
      <c r="BE333" s="726"/>
      <c r="BF333" s="726"/>
      <c r="BG333" s="726"/>
      <c r="BH333" s="726"/>
      <c r="BI333" s="726"/>
      <c r="BJ333" s="726"/>
      <c r="BK333" s="726"/>
      <c r="BL333" s="726"/>
      <c r="BM333" s="726"/>
      <c r="BN333" s="726"/>
      <c r="BO333" s="726"/>
      <c r="BP333" s="726"/>
      <c r="BQ333" s="726"/>
      <c r="BR333" s="726"/>
      <c r="BS333" s="726"/>
    </row>
    <row r="334" spans="1:71" s="563" customFormat="1">
      <c r="A334" s="614"/>
      <c r="E334" s="565"/>
      <c r="F334" s="565"/>
      <c r="Q334" s="726"/>
      <c r="R334" s="726"/>
      <c r="S334" s="726"/>
      <c r="T334" s="726"/>
      <c r="U334" s="726"/>
      <c r="V334" s="726"/>
      <c r="W334" s="726"/>
      <c r="X334" s="726"/>
      <c r="Y334" s="726"/>
      <c r="Z334" s="726"/>
      <c r="AA334" s="726"/>
      <c r="AB334" s="726"/>
      <c r="AC334" s="726"/>
      <c r="AD334" s="726"/>
      <c r="AE334" s="726"/>
      <c r="AF334" s="726"/>
      <c r="AG334" s="726"/>
      <c r="AH334" s="726"/>
      <c r="AI334" s="726"/>
      <c r="AJ334" s="726"/>
      <c r="AK334" s="726"/>
      <c r="AL334" s="726"/>
      <c r="AM334" s="726"/>
      <c r="AN334" s="726"/>
      <c r="AO334" s="726"/>
      <c r="AP334" s="726"/>
      <c r="AQ334" s="726"/>
      <c r="AR334" s="726"/>
      <c r="AS334" s="726"/>
      <c r="AT334" s="726"/>
      <c r="AU334" s="726"/>
      <c r="AV334" s="726"/>
      <c r="AW334" s="726"/>
      <c r="AX334" s="726"/>
      <c r="AY334" s="726"/>
      <c r="AZ334" s="726"/>
      <c r="BA334" s="726"/>
      <c r="BB334" s="726"/>
      <c r="BC334" s="726"/>
      <c r="BD334" s="726"/>
      <c r="BE334" s="726"/>
      <c r="BF334" s="726"/>
      <c r="BG334" s="726"/>
      <c r="BH334" s="726"/>
      <c r="BI334" s="726"/>
      <c r="BJ334" s="726"/>
      <c r="BK334" s="726"/>
      <c r="BL334" s="726"/>
      <c r="BM334" s="726"/>
      <c r="BN334" s="726"/>
      <c r="BO334" s="726"/>
      <c r="BP334" s="726"/>
      <c r="BQ334" s="726"/>
      <c r="BR334" s="726"/>
      <c r="BS334" s="726"/>
    </row>
    <row r="335" spans="1:71" s="563" customFormat="1">
      <c r="A335" s="614"/>
      <c r="E335" s="565"/>
      <c r="F335" s="565"/>
      <c r="Q335" s="726"/>
      <c r="R335" s="726"/>
      <c r="S335" s="726"/>
      <c r="T335" s="726"/>
      <c r="U335" s="726"/>
      <c r="V335" s="726"/>
      <c r="W335" s="726"/>
      <c r="X335" s="726"/>
      <c r="Y335" s="726"/>
      <c r="Z335" s="726"/>
      <c r="AA335" s="726"/>
      <c r="AB335" s="726"/>
      <c r="AC335" s="726"/>
      <c r="AD335" s="726"/>
      <c r="AE335" s="726"/>
      <c r="AF335" s="726"/>
      <c r="AG335" s="726"/>
      <c r="AH335" s="726"/>
      <c r="AI335" s="726"/>
      <c r="AJ335" s="726"/>
      <c r="AK335" s="726"/>
      <c r="AL335" s="726"/>
      <c r="AM335" s="726"/>
      <c r="AN335" s="726"/>
      <c r="AO335" s="726"/>
      <c r="AP335" s="726"/>
      <c r="AQ335" s="726"/>
      <c r="AR335" s="726"/>
      <c r="AS335" s="726"/>
      <c r="AT335" s="726"/>
      <c r="AU335" s="726"/>
      <c r="AV335" s="726"/>
      <c r="AW335" s="726"/>
      <c r="AX335" s="726"/>
      <c r="AY335" s="726"/>
      <c r="AZ335" s="726"/>
      <c r="BA335" s="726"/>
      <c r="BB335" s="726"/>
      <c r="BC335" s="726"/>
      <c r="BD335" s="726"/>
      <c r="BE335" s="726"/>
      <c r="BF335" s="726"/>
      <c r="BG335" s="726"/>
      <c r="BH335" s="726"/>
      <c r="BI335" s="726"/>
      <c r="BJ335" s="726"/>
      <c r="BK335" s="726"/>
      <c r="BL335" s="726"/>
      <c r="BM335" s="726"/>
      <c r="BN335" s="726"/>
      <c r="BO335" s="726"/>
      <c r="BP335" s="726"/>
      <c r="BQ335" s="726"/>
      <c r="BR335" s="726"/>
      <c r="BS335" s="726"/>
    </row>
    <row r="336" spans="1:71" s="563" customFormat="1">
      <c r="A336" s="614"/>
      <c r="E336" s="565"/>
      <c r="F336" s="565"/>
      <c r="Q336" s="726"/>
      <c r="R336" s="726"/>
      <c r="S336" s="726"/>
      <c r="T336" s="726"/>
      <c r="U336" s="726"/>
      <c r="V336" s="726"/>
      <c r="W336" s="726"/>
      <c r="X336" s="726"/>
      <c r="Y336" s="726"/>
      <c r="Z336" s="726"/>
      <c r="AA336" s="726"/>
      <c r="AB336" s="726"/>
      <c r="AC336" s="726"/>
      <c r="AD336" s="726"/>
      <c r="AE336" s="726"/>
      <c r="AF336" s="726"/>
      <c r="AG336" s="726"/>
      <c r="AH336" s="726"/>
      <c r="AI336" s="726"/>
      <c r="AJ336" s="726"/>
      <c r="AK336" s="726"/>
      <c r="AL336" s="726"/>
      <c r="AM336" s="726"/>
      <c r="AN336" s="726"/>
      <c r="AO336" s="726"/>
      <c r="AP336" s="726"/>
      <c r="AQ336" s="726"/>
      <c r="AR336" s="726"/>
      <c r="AS336" s="726"/>
      <c r="AT336" s="726"/>
      <c r="AU336" s="726"/>
      <c r="AV336" s="726"/>
      <c r="AW336" s="726"/>
      <c r="AX336" s="726"/>
      <c r="AY336" s="726"/>
      <c r="AZ336" s="726"/>
      <c r="BA336" s="726"/>
      <c r="BB336" s="726"/>
      <c r="BC336" s="726"/>
      <c r="BD336" s="726"/>
      <c r="BE336" s="726"/>
      <c r="BF336" s="726"/>
      <c r="BG336" s="726"/>
      <c r="BH336" s="726"/>
      <c r="BI336" s="726"/>
      <c r="BJ336" s="726"/>
      <c r="BK336" s="726"/>
      <c r="BL336" s="726"/>
      <c r="BM336" s="726"/>
      <c r="BN336" s="726"/>
      <c r="BO336" s="726"/>
      <c r="BP336" s="726"/>
      <c r="BQ336" s="726"/>
      <c r="BR336" s="726"/>
      <c r="BS336" s="726"/>
    </row>
    <row r="337" spans="1:71" s="563" customFormat="1">
      <c r="A337" s="614"/>
      <c r="E337" s="565"/>
      <c r="F337" s="565"/>
      <c r="Q337" s="726"/>
      <c r="R337" s="726"/>
      <c r="S337" s="726"/>
      <c r="T337" s="726"/>
      <c r="U337" s="726"/>
      <c r="V337" s="726"/>
      <c r="W337" s="726"/>
      <c r="X337" s="726"/>
      <c r="Y337" s="726"/>
      <c r="Z337" s="726"/>
      <c r="AA337" s="726"/>
      <c r="AB337" s="726"/>
      <c r="AC337" s="726"/>
      <c r="AD337" s="726"/>
      <c r="AE337" s="726"/>
      <c r="AF337" s="726"/>
      <c r="AG337" s="726"/>
      <c r="AH337" s="726"/>
      <c r="AI337" s="726"/>
      <c r="AJ337" s="726"/>
      <c r="AK337" s="726"/>
      <c r="AL337" s="726"/>
      <c r="AM337" s="726"/>
      <c r="AN337" s="726"/>
      <c r="AO337" s="726"/>
      <c r="AP337" s="726"/>
      <c r="AQ337" s="726"/>
      <c r="AR337" s="726"/>
      <c r="AS337" s="726"/>
      <c r="AT337" s="726"/>
      <c r="AU337" s="726"/>
      <c r="AV337" s="726"/>
      <c r="AW337" s="726"/>
      <c r="AX337" s="726"/>
      <c r="AY337" s="726"/>
      <c r="AZ337" s="726"/>
      <c r="BA337" s="726"/>
      <c r="BB337" s="726"/>
      <c r="BC337" s="726"/>
      <c r="BD337" s="726"/>
      <c r="BE337" s="726"/>
      <c r="BF337" s="726"/>
      <c r="BG337" s="726"/>
      <c r="BH337" s="726"/>
      <c r="BI337" s="726"/>
      <c r="BJ337" s="726"/>
      <c r="BK337" s="726"/>
      <c r="BL337" s="726"/>
      <c r="BM337" s="726"/>
      <c r="BN337" s="726"/>
      <c r="BO337" s="726"/>
      <c r="BP337" s="726"/>
      <c r="BQ337" s="726"/>
      <c r="BR337" s="726"/>
      <c r="BS337" s="726"/>
    </row>
    <row r="338" spans="1:71" s="563" customFormat="1">
      <c r="A338" s="614"/>
      <c r="E338" s="565"/>
      <c r="F338" s="565"/>
      <c r="Q338" s="726"/>
      <c r="R338" s="726"/>
      <c r="S338" s="726"/>
      <c r="T338" s="726"/>
      <c r="U338" s="726"/>
      <c r="V338" s="726"/>
      <c r="W338" s="726"/>
      <c r="X338" s="726"/>
      <c r="Y338" s="726"/>
      <c r="Z338" s="726"/>
      <c r="AA338" s="726"/>
      <c r="AB338" s="726"/>
      <c r="AC338" s="726"/>
      <c r="AD338" s="726"/>
      <c r="AE338" s="726"/>
      <c r="AF338" s="726"/>
      <c r="AG338" s="726"/>
      <c r="AH338" s="726"/>
      <c r="AI338" s="726"/>
      <c r="AJ338" s="726"/>
      <c r="AK338" s="726"/>
      <c r="AL338" s="726"/>
      <c r="AM338" s="726"/>
      <c r="AN338" s="726"/>
      <c r="AO338" s="726"/>
      <c r="AP338" s="726"/>
      <c r="AQ338" s="726"/>
      <c r="AR338" s="726"/>
      <c r="AS338" s="726"/>
      <c r="AT338" s="726"/>
      <c r="AU338" s="726"/>
      <c r="AV338" s="726"/>
      <c r="AW338" s="726"/>
      <c r="AX338" s="726"/>
      <c r="AY338" s="726"/>
      <c r="AZ338" s="726"/>
      <c r="BA338" s="726"/>
      <c r="BB338" s="726"/>
      <c r="BC338" s="726"/>
      <c r="BD338" s="726"/>
      <c r="BE338" s="726"/>
      <c r="BF338" s="726"/>
      <c r="BG338" s="726"/>
      <c r="BH338" s="726"/>
      <c r="BI338" s="726"/>
      <c r="BJ338" s="726"/>
      <c r="BK338" s="726"/>
      <c r="BL338" s="726"/>
      <c r="BM338" s="726"/>
      <c r="BN338" s="726"/>
      <c r="BO338" s="726"/>
      <c r="BP338" s="726"/>
      <c r="BQ338" s="726"/>
      <c r="BR338" s="726"/>
      <c r="BS338" s="726"/>
    </row>
    <row r="339" spans="1:71" s="563" customFormat="1">
      <c r="A339" s="614"/>
      <c r="E339" s="565"/>
      <c r="F339" s="565"/>
      <c r="Q339" s="726"/>
      <c r="R339" s="726"/>
      <c r="S339" s="726"/>
      <c r="T339" s="726"/>
      <c r="U339" s="726"/>
      <c r="V339" s="726"/>
      <c r="W339" s="726"/>
      <c r="X339" s="726"/>
      <c r="Y339" s="726"/>
      <c r="Z339" s="726"/>
      <c r="AA339" s="726"/>
      <c r="AB339" s="726"/>
      <c r="AC339" s="726"/>
      <c r="AD339" s="726"/>
      <c r="AE339" s="726"/>
      <c r="AF339" s="726"/>
      <c r="AG339" s="726"/>
      <c r="AH339" s="726"/>
      <c r="AI339" s="726"/>
      <c r="AJ339" s="726"/>
      <c r="AK339" s="726"/>
      <c r="AL339" s="726"/>
      <c r="AM339" s="726"/>
      <c r="AN339" s="726"/>
      <c r="AO339" s="726"/>
      <c r="AP339" s="726"/>
      <c r="AQ339" s="726"/>
      <c r="AR339" s="726"/>
      <c r="AS339" s="726"/>
      <c r="AT339" s="726"/>
      <c r="AU339" s="726"/>
      <c r="AV339" s="726"/>
      <c r="AW339" s="726"/>
      <c r="AX339" s="726"/>
      <c r="AY339" s="726"/>
      <c r="AZ339" s="726"/>
      <c r="BA339" s="726"/>
      <c r="BB339" s="726"/>
      <c r="BC339" s="726"/>
      <c r="BD339" s="726"/>
      <c r="BE339" s="726"/>
      <c r="BF339" s="726"/>
      <c r="BG339" s="726"/>
      <c r="BH339" s="726"/>
      <c r="BI339" s="726"/>
      <c r="BJ339" s="726"/>
      <c r="BK339" s="726"/>
      <c r="BL339" s="726"/>
      <c r="BM339" s="726"/>
      <c r="BN339" s="726"/>
      <c r="BO339" s="726"/>
      <c r="BP339" s="726"/>
      <c r="BQ339" s="726"/>
      <c r="BR339" s="726"/>
      <c r="BS339" s="726"/>
    </row>
    <row r="340" spans="1:71" s="563" customFormat="1">
      <c r="A340" s="614"/>
      <c r="E340" s="565"/>
      <c r="F340" s="565"/>
      <c r="Q340" s="726"/>
      <c r="R340" s="726"/>
      <c r="S340" s="726"/>
      <c r="T340" s="726"/>
      <c r="U340" s="726"/>
      <c r="V340" s="726"/>
      <c r="W340" s="726"/>
      <c r="X340" s="726"/>
      <c r="Y340" s="726"/>
      <c r="Z340" s="726"/>
      <c r="AA340" s="726"/>
      <c r="AB340" s="726"/>
      <c r="AC340" s="726"/>
      <c r="AD340" s="726"/>
      <c r="AE340" s="726"/>
      <c r="AF340" s="726"/>
      <c r="AG340" s="726"/>
      <c r="AH340" s="726"/>
      <c r="AI340" s="726"/>
      <c r="AJ340" s="726"/>
      <c r="AK340" s="726"/>
      <c r="AL340" s="726"/>
      <c r="AM340" s="726"/>
      <c r="AN340" s="726"/>
      <c r="AO340" s="726"/>
      <c r="AP340" s="726"/>
      <c r="AQ340" s="726"/>
      <c r="AR340" s="726"/>
      <c r="AS340" s="726"/>
      <c r="AT340" s="726"/>
      <c r="AU340" s="726"/>
      <c r="AV340" s="726"/>
      <c r="AW340" s="726"/>
      <c r="AX340" s="726"/>
      <c r="AY340" s="726"/>
      <c r="AZ340" s="726"/>
      <c r="BA340" s="726"/>
      <c r="BB340" s="726"/>
      <c r="BC340" s="726"/>
      <c r="BD340" s="726"/>
      <c r="BE340" s="726"/>
      <c r="BF340" s="726"/>
      <c r="BG340" s="726"/>
      <c r="BH340" s="726"/>
      <c r="BI340" s="726"/>
      <c r="BJ340" s="726"/>
      <c r="BK340" s="726"/>
      <c r="BL340" s="726"/>
      <c r="BM340" s="726"/>
      <c r="BN340" s="726"/>
      <c r="BO340" s="726"/>
      <c r="BP340" s="726"/>
      <c r="BQ340" s="726"/>
      <c r="BR340" s="726"/>
      <c r="BS340" s="726"/>
    </row>
    <row r="341" spans="1:71" s="563" customFormat="1">
      <c r="A341" s="614"/>
      <c r="E341" s="565"/>
      <c r="F341" s="565"/>
      <c r="Q341" s="726"/>
      <c r="R341" s="726"/>
      <c r="S341" s="726"/>
      <c r="T341" s="726"/>
      <c r="U341" s="726"/>
      <c r="V341" s="726"/>
      <c r="W341" s="726"/>
      <c r="X341" s="726"/>
      <c r="Y341" s="726"/>
      <c r="Z341" s="726"/>
      <c r="AA341" s="726"/>
      <c r="AB341" s="726"/>
      <c r="AC341" s="726"/>
      <c r="AD341" s="726"/>
      <c r="AE341" s="726"/>
      <c r="AF341" s="726"/>
      <c r="AG341" s="726"/>
      <c r="AH341" s="726"/>
      <c r="AI341" s="726"/>
      <c r="AJ341" s="726"/>
      <c r="AK341" s="726"/>
      <c r="AL341" s="726"/>
      <c r="AM341" s="726"/>
      <c r="AN341" s="726"/>
      <c r="AO341" s="726"/>
      <c r="AP341" s="726"/>
      <c r="AQ341" s="726"/>
      <c r="AR341" s="726"/>
      <c r="AS341" s="726"/>
      <c r="AT341" s="726"/>
      <c r="AU341" s="726"/>
      <c r="AV341" s="726"/>
      <c r="AW341" s="726"/>
      <c r="AX341" s="726"/>
      <c r="AY341" s="726"/>
      <c r="AZ341" s="726"/>
      <c r="BA341" s="726"/>
      <c r="BB341" s="726"/>
      <c r="BC341" s="726"/>
      <c r="BD341" s="726"/>
      <c r="BE341" s="726"/>
      <c r="BF341" s="726"/>
      <c r="BG341" s="726"/>
      <c r="BH341" s="726"/>
      <c r="BI341" s="726"/>
      <c r="BJ341" s="726"/>
      <c r="BK341" s="726"/>
      <c r="BL341" s="726"/>
      <c r="BM341" s="726"/>
      <c r="BN341" s="726"/>
      <c r="BO341" s="726"/>
      <c r="BP341" s="726"/>
      <c r="BQ341" s="726"/>
      <c r="BR341" s="726"/>
      <c r="BS341" s="726"/>
    </row>
    <row r="342" spans="1:71" s="563" customFormat="1">
      <c r="A342" s="614"/>
      <c r="E342" s="565"/>
      <c r="F342" s="565"/>
      <c r="Q342" s="726"/>
      <c r="R342" s="726"/>
      <c r="S342" s="726"/>
      <c r="T342" s="726"/>
      <c r="U342" s="726"/>
      <c r="V342" s="726"/>
      <c r="W342" s="726"/>
      <c r="X342" s="726"/>
      <c r="Y342" s="726"/>
      <c r="Z342" s="726"/>
      <c r="AA342" s="726"/>
      <c r="AB342" s="726"/>
      <c r="AC342" s="726"/>
      <c r="AD342" s="726"/>
      <c r="AE342" s="726"/>
      <c r="AF342" s="726"/>
      <c r="AG342" s="726"/>
      <c r="AH342" s="726"/>
      <c r="AI342" s="726"/>
      <c r="AJ342" s="726"/>
      <c r="AK342" s="726"/>
      <c r="AL342" s="726"/>
      <c r="AM342" s="726"/>
      <c r="AN342" s="726"/>
      <c r="AO342" s="726"/>
      <c r="AP342" s="726"/>
      <c r="AQ342" s="726"/>
      <c r="AR342" s="726"/>
      <c r="AS342" s="726"/>
      <c r="AT342" s="726"/>
      <c r="AU342" s="726"/>
      <c r="AV342" s="726"/>
      <c r="AW342" s="726"/>
      <c r="AX342" s="726"/>
      <c r="AY342" s="726"/>
      <c r="AZ342" s="726"/>
      <c r="BA342" s="726"/>
      <c r="BB342" s="726"/>
      <c r="BC342" s="726"/>
      <c r="BD342" s="726"/>
      <c r="BE342" s="726"/>
      <c r="BF342" s="726"/>
      <c r="BG342" s="726"/>
      <c r="BH342" s="726"/>
      <c r="BI342" s="726"/>
      <c r="BJ342" s="726"/>
      <c r="BK342" s="726"/>
      <c r="BL342" s="726"/>
      <c r="BM342" s="726"/>
      <c r="BN342" s="726"/>
      <c r="BO342" s="726"/>
      <c r="BP342" s="726"/>
      <c r="BQ342" s="726"/>
      <c r="BR342" s="726"/>
      <c r="BS342" s="726"/>
    </row>
    <row r="343" spans="1:71" s="563" customFormat="1">
      <c r="A343" s="614"/>
      <c r="E343" s="565"/>
      <c r="F343" s="565"/>
      <c r="Q343" s="726"/>
      <c r="R343" s="726"/>
      <c r="S343" s="726"/>
      <c r="T343" s="726"/>
      <c r="U343" s="726"/>
      <c r="V343" s="726"/>
      <c r="W343" s="726"/>
      <c r="X343" s="726"/>
      <c r="Y343" s="726"/>
      <c r="Z343" s="726"/>
      <c r="AA343" s="726"/>
      <c r="AB343" s="726"/>
      <c r="AC343" s="726"/>
      <c r="AD343" s="726"/>
      <c r="AE343" s="726"/>
      <c r="AF343" s="726"/>
      <c r="AG343" s="726"/>
      <c r="AH343" s="726"/>
      <c r="AI343" s="726"/>
      <c r="AJ343" s="726"/>
      <c r="AK343" s="726"/>
      <c r="AL343" s="726"/>
      <c r="AM343" s="726"/>
      <c r="AN343" s="726"/>
      <c r="AO343" s="726"/>
      <c r="AP343" s="726"/>
      <c r="AQ343" s="726"/>
      <c r="AR343" s="726"/>
      <c r="AS343" s="726"/>
      <c r="AT343" s="726"/>
      <c r="AU343" s="726"/>
      <c r="AV343" s="726"/>
      <c r="AW343" s="726"/>
      <c r="AX343" s="726"/>
      <c r="AY343" s="726"/>
      <c r="AZ343" s="726"/>
      <c r="BA343" s="726"/>
      <c r="BB343" s="726"/>
      <c r="BC343" s="726"/>
      <c r="BD343" s="726"/>
      <c r="BE343" s="726"/>
      <c r="BF343" s="726"/>
      <c r="BG343" s="726"/>
      <c r="BH343" s="726"/>
      <c r="BI343" s="726"/>
      <c r="BJ343" s="726"/>
      <c r="BK343" s="726"/>
      <c r="BL343" s="726"/>
      <c r="BM343" s="726"/>
      <c r="BN343" s="726"/>
      <c r="BO343" s="726"/>
      <c r="BP343" s="726"/>
      <c r="BQ343" s="726"/>
      <c r="BR343" s="726"/>
      <c r="BS343" s="726"/>
    </row>
    <row r="344" spans="1:71" s="563" customFormat="1">
      <c r="A344" s="614"/>
      <c r="E344" s="565"/>
      <c r="F344" s="565"/>
      <c r="Q344" s="726"/>
      <c r="R344" s="726"/>
      <c r="S344" s="726"/>
      <c r="T344" s="726"/>
      <c r="U344" s="726"/>
      <c r="V344" s="726"/>
      <c r="W344" s="726"/>
      <c r="X344" s="726"/>
      <c r="Y344" s="726"/>
      <c r="Z344" s="726"/>
      <c r="AA344" s="726"/>
      <c r="AB344" s="726"/>
      <c r="AC344" s="726"/>
      <c r="AD344" s="726"/>
      <c r="AE344" s="726"/>
      <c r="AF344" s="726"/>
      <c r="AG344" s="726"/>
      <c r="AH344" s="726"/>
      <c r="AI344" s="726"/>
      <c r="AJ344" s="726"/>
      <c r="AK344" s="726"/>
      <c r="AL344" s="726"/>
      <c r="AM344" s="726"/>
      <c r="AN344" s="726"/>
      <c r="AO344" s="726"/>
      <c r="AP344" s="726"/>
      <c r="AQ344" s="726"/>
      <c r="AR344" s="726"/>
      <c r="AS344" s="726"/>
      <c r="AT344" s="726"/>
      <c r="AU344" s="726"/>
      <c r="AV344" s="726"/>
      <c r="AW344" s="726"/>
      <c r="AX344" s="726"/>
      <c r="AY344" s="726"/>
      <c r="AZ344" s="726"/>
      <c r="BA344" s="726"/>
      <c r="BB344" s="726"/>
      <c r="BC344" s="726"/>
      <c r="BD344" s="726"/>
      <c r="BE344" s="726"/>
      <c r="BF344" s="726"/>
      <c r="BG344" s="726"/>
      <c r="BH344" s="726"/>
      <c r="BI344" s="726"/>
      <c r="BJ344" s="726"/>
      <c r="BK344" s="726"/>
      <c r="BL344" s="726"/>
      <c r="BM344" s="726"/>
      <c r="BN344" s="726"/>
      <c r="BO344" s="726"/>
      <c r="BP344" s="726"/>
      <c r="BQ344" s="726"/>
      <c r="BR344" s="726"/>
      <c r="BS344" s="726"/>
    </row>
    <row r="345" spans="1:71" s="563" customFormat="1">
      <c r="A345" s="614"/>
      <c r="E345" s="565"/>
      <c r="F345" s="565"/>
      <c r="Q345" s="726"/>
      <c r="R345" s="726"/>
      <c r="S345" s="726"/>
      <c r="T345" s="726"/>
      <c r="U345" s="726"/>
      <c r="V345" s="726"/>
      <c r="W345" s="726"/>
      <c r="X345" s="726"/>
      <c r="Y345" s="726"/>
      <c r="Z345" s="726"/>
      <c r="AA345" s="726"/>
      <c r="AB345" s="726"/>
      <c r="AC345" s="726"/>
      <c r="AD345" s="726"/>
      <c r="AE345" s="726"/>
      <c r="AF345" s="726"/>
      <c r="AG345" s="726"/>
      <c r="AH345" s="726"/>
      <c r="AI345" s="726"/>
      <c r="AJ345" s="726"/>
      <c r="AK345" s="726"/>
      <c r="AL345" s="726"/>
      <c r="AM345" s="726"/>
      <c r="AN345" s="726"/>
      <c r="AO345" s="726"/>
      <c r="AP345" s="726"/>
      <c r="AQ345" s="726"/>
      <c r="AR345" s="726"/>
      <c r="AS345" s="726"/>
      <c r="AT345" s="726"/>
      <c r="AU345" s="726"/>
      <c r="AV345" s="726"/>
      <c r="AW345" s="726"/>
      <c r="AX345" s="726"/>
      <c r="AY345" s="726"/>
      <c r="AZ345" s="726"/>
      <c r="BA345" s="726"/>
      <c r="BB345" s="726"/>
      <c r="BC345" s="726"/>
      <c r="BD345" s="726"/>
      <c r="BE345" s="726"/>
      <c r="BF345" s="726"/>
      <c r="BG345" s="726"/>
      <c r="BH345" s="726"/>
      <c r="BI345" s="726"/>
      <c r="BJ345" s="726"/>
      <c r="BK345" s="726"/>
      <c r="BL345" s="726"/>
      <c r="BM345" s="726"/>
      <c r="BN345" s="726"/>
      <c r="BO345" s="726"/>
      <c r="BP345" s="726"/>
      <c r="BQ345" s="726"/>
      <c r="BR345" s="726"/>
      <c r="BS345" s="726"/>
    </row>
    <row r="346" spans="1:71" s="563" customFormat="1">
      <c r="A346" s="614"/>
      <c r="E346" s="565"/>
      <c r="F346" s="565"/>
      <c r="Q346" s="726"/>
      <c r="R346" s="726"/>
      <c r="S346" s="726"/>
      <c r="T346" s="726"/>
      <c r="U346" s="726"/>
      <c r="V346" s="726"/>
      <c r="W346" s="726"/>
      <c r="X346" s="726"/>
      <c r="Y346" s="726"/>
      <c r="Z346" s="726"/>
      <c r="AA346" s="726"/>
      <c r="AB346" s="726"/>
      <c r="AC346" s="726"/>
      <c r="AD346" s="726"/>
      <c r="AE346" s="726"/>
      <c r="AF346" s="726"/>
      <c r="AG346" s="726"/>
      <c r="AH346" s="726"/>
      <c r="AI346" s="726"/>
      <c r="AJ346" s="726"/>
      <c r="AK346" s="726"/>
      <c r="AL346" s="726"/>
      <c r="AM346" s="726"/>
      <c r="AN346" s="726"/>
      <c r="AO346" s="726"/>
      <c r="AP346" s="726"/>
      <c r="AQ346" s="726"/>
      <c r="AR346" s="726"/>
      <c r="AS346" s="726"/>
      <c r="AT346" s="726"/>
      <c r="AU346" s="726"/>
      <c r="AV346" s="726"/>
      <c r="AW346" s="726"/>
      <c r="AX346" s="726"/>
      <c r="AY346" s="726"/>
      <c r="AZ346" s="726"/>
      <c r="BA346" s="726"/>
      <c r="BB346" s="726"/>
      <c r="BC346" s="726"/>
      <c r="BD346" s="726"/>
      <c r="BE346" s="726"/>
      <c r="BF346" s="726"/>
      <c r="BG346" s="726"/>
      <c r="BH346" s="726"/>
      <c r="BI346" s="726"/>
      <c r="BJ346" s="726"/>
      <c r="BK346" s="726"/>
      <c r="BL346" s="726"/>
      <c r="BM346" s="726"/>
      <c r="BN346" s="726"/>
      <c r="BO346" s="726"/>
      <c r="BP346" s="726"/>
      <c r="BQ346" s="726"/>
      <c r="BR346" s="726"/>
      <c r="BS346" s="726"/>
    </row>
    <row r="347" spans="1:71" s="563" customFormat="1">
      <c r="A347" s="614"/>
      <c r="E347" s="565"/>
      <c r="F347" s="565"/>
      <c r="Q347" s="726"/>
      <c r="R347" s="726"/>
      <c r="S347" s="726"/>
      <c r="T347" s="726"/>
      <c r="U347" s="726"/>
      <c r="V347" s="726"/>
      <c r="W347" s="726"/>
      <c r="X347" s="726"/>
      <c r="Y347" s="726"/>
      <c r="Z347" s="726"/>
      <c r="AA347" s="726"/>
      <c r="AB347" s="726"/>
      <c r="AC347" s="726"/>
      <c r="AD347" s="726"/>
      <c r="AE347" s="726"/>
      <c r="AF347" s="726"/>
      <c r="AG347" s="726"/>
      <c r="AH347" s="726"/>
      <c r="AI347" s="726"/>
      <c r="AJ347" s="726"/>
      <c r="AK347" s="726"/>
      <c r="AL347" s="726"/>
      <c r="AM347" s="726"/>
      <c r="AN347" s="726"/>
      <c r="AO347" s="726"/>
      <c r="AP347" s="726"/>
      <c r="AQ347" s="726"/>
      <c r="AR347" s="726"/>
      <c r="AS347" s="726"/>
      <c r="AT347" s="726"/>
      <c r="AU347" s="726"/>
      <c r="AV347" s="726"/>
      <c r="AW347" s="726"/>
      <c r="AX347" s="726"/>
      <c r="AY347" s="726"/>
      <c r="AZ347" s="726"/>
      <c r="BA347" s="726"/>
      <c r="BB347" s="726"/>
      <c r="BC347" s="726"/>
      <c r="BD347" s="726"/>
      <c r="BE347" s="726"/>
      <c r="BF347" s="726"/>
      <c r="BG347" s="726"/>
      <c r="BH347" s="726"/>
      <c r="BI347" s="726"/>
      <c r="BJ347" s="726"/>
      <c r="BK347" s="726"/>
      <c r="BL347" s="726"/>
      <c r="BM347" s="726"/>
      <c r="BN347" s="726"/>
      <c r="BO347" s="726"/>
      <c r="BP347" s="726"/>
      <c r="BQ347" s="726"/>
      <c r="BR347" s="726"/>
      <c r="BS347" s="726"/>
    </row>
    <row r="348" spans="1:71" s="563" customFormat="1">
      <c r="A348" s="614"/>
      <c r="E348" s="565"/>
      <c r="F348" s="565"/>
      <c r="Q348" s="726"/>
      <c r="R348" s="726"/>
      <c r="S348" s="726"/>
      <c r="T348" s="726"/>
      <c r="U348" s="726"/>
      <c r="V348" s="726"/>
      <c r="W348" s="726"/>
      <c r="X348" s="726"/>
      <c r="Y348" s="726"/>
      <c r="Z348" s="726"/>
      <c r="AA348" s="726"/>
      <c r="AB348" s="726"/>
      <c r="AC348" s="726"/>
      <c r="AD348" s="726"/>
      <c r="AE348" s="726"/>
      <c r="AF348" s="726"/>
      <c r="AG348" s="726"/>
      <c r="AH348" s="726"/>
      <c r="AI348" s="726"/>
      <c r="AJ348" s="726"/>
      <c r="AK348" s="726"/>
      <c r="AL348" s="726"/>
      <c r="AM348" s="726"/>
      <c r="AN348" s="726"/>
      <c r="AO348" s="726"/>
      <c r="AP348" s="726"/>
      <c r="AQ348" s="726"/>
      <c r="AR348" s="726"/>
      <c r="AS348" s="726"/>
      <c r="AT348" s="726"/>
      <c r="AU348" s="726"/>
      <c r="AV348" s="726"/>
      <c r="AW348" s="726"/>
      <c r="AX348" s="726"/>
      <c r="AY348" s="726"/>
      <c r="AZ348" s="726"/>
      <c r="BA348" s="726"/>
      <c r="BB348" s="726"/>
      <c r="BC348" s="726"/>
      <c r="BD348" s="726"/>
      <c r="BE348" s="726"/>
      <c r="BF348" s="726"/>
      <c r="BG348" s="726"/>
      <c r="BH348" s="726"/>
      <c r="BI348" s="726"/>
      <c r="BJ348" s="726"/>
      <c r="BK348" s="726"/>
      <c r="BL348" s="726"/>
      <c r="BM348" s="726"/>
      <c r="BN348" s="726"/>
      <c r="BO348" s="726"/>
      <c r="BP348" s="726"/>
      <c r="BQ348" s="726"/>
      <c r="BR348" s="726"/>
      <c r="BS348" s="726"/>
    </row>
    <row r="349" spans="1:71" s="563" customFormat="1">
      <c r="A349" s="614"/>
      <c r="E349" s="565"/>
      <c r="F349" s="565"/>
      <c r="Q349" s="726"/>
      <c r="R349" s="726"/>
      <c r="S349" s="726"/>
      <c r="T349" s="726"/>
      <c r="U349" s="726"/>
      <c r="V349" s="726"/>
      <c r="W349" s="726"/>
      <c r="X349" s="726"/>
      <c r="Y349" s="726"/>
      <c r="Z349" s="726"/>
      <c r="AA349" s="726"/>
      <c r="AB349" s="726"/>
      <c r="AC349" s="726"/>
      <c r="AD349" s="726"/>
      <c r="AE349" s="726"/>
      <c r="AF349" s="726"/>
      <c r="AG349" s="726"/>
      <c r="AH349" s="726"/>
      <c r="AI349" s="726"/>
      <c r="AJ349" s="726"/>
      <c r="AK349" s="726"/>
      <c r="AL349" s="726"/>
      <c r="AM349" s="726"/>
      <c r="AN349" s="726"/>
      <c r="AO349" s="726"/>
      <c r="AP349" s="726"/>
      <c r="AQ349" s="726"/>
      <c r="AR349" s="726"/>
      <c r="AS349" s="726"/>
      <c r="AT349" s="726"/>
      <c r="AU349" s="726"/>
      <c r="AV349" s="726"/>
      <c r="AW349" s="726"/>
      <c r="AX349" s="726"/>
      <c r="AY349" s="726"/>
      <c r="AZ349" s="726"/>
      <c r="BA349" s="726"/>
      <c r="BB349" s="726"/>
      <c r="BC349" s="726"/>
      <c r="BD349" s="726"/>
      <c r="BE349" s="726"/>
      <c r="BF349" s="726"/>
      <c r="BG349" s="726"/>
      <c r="BH349" s="726"/>
      <c r="BI349" s="726"/>
      <c r="BJ349" s="726"/>
      <c r="BK349" s="726"/>
      <c r="BL349" s="726"/>
      <c r="BM349" s="726"/>
      <c r="BN349" s="726"/>
      <c r="BO349" s="726"/>
      <c r="BP349" s="726"/>
      <c r="BQ349" s="726"/>
      <c r="BR349" s="726"/>
      <c r="BS349" s="726"/>
    </row>
    <row r="350" spans="1:71" s="563" customFormat="1">
      <c r="A350" s="614"/>
      <c r="E350" s="565"/>
      <c r="F350" s="565"/>
      <c r="Q350" s="726"/>
      <c r="R350" s="726"/>
      <c r="S350" s="726"/>
      <c r="T350" s="726"/>
      <c r="U350" s="726"/>
      <c r="V350" s="726"/>
      <c r="W350" s="726"/>
      <c r="X350" s="726"/>
      <c r="Y350" s="726"/>
      <c r="Z350" s="726"/>
      <c r="AA350" s="726"/>
      <c r="AB350" s="726"/>
      <c r="AC350" s="726"/>
      <c r="AD350" s="726"/>
      <c r="AE350" s="726"/>
      <c r="AF350" s="726"/>
      <c r="AG350" s="726"/>
      <c r="AH350" s="726"/>
      <c r="AI350" s="726"/>
      <c r="AJ350" s="726"/>
      <c r="AK350" s="726"/>
      <c r="AL350" s="726"/>
      <c r="AM350" s="726"/>
      <c r="AN350" s="726"/>
      <c r="AO350" s="726"/>
      <c r="AP350" s="726"/>
      <c r="AQ350" s="726"/>
      <c r="AR350" s="726"/>
      <c r="AS350" s="726"/>
      <c r="AT350" s="726"/>
      <c r="AU350" s="726"/>
      <c r="AV350" s="726"/>
      <c r="AW350" s="726"/>
      <c r="AX350" s="726"/>
      <c r="AY350" s="726"/>
      <c r="AZ350" s="726"/>
      <c r="BA350" s="726"/>
      <c r="BB350" s="726"/>
      <c r="BC350" s="726"/>
      <c r="BD350" s="726"/>
      <c r="BE350" s="726"/>
      <c r="BF350" s="726"/>
      <c r="BG350" s="726"/>
      <c r="BH350" s="726"/>
      <c r="BI350" s="726"/>
      <c r="BJ350" s="726"/>
      <c r="BK350" s="726"/>
      <c r="BL350" s="726"/>
      <c r="BM350" s="726"/>
      <c r="BN350" s="726"/>
      <c r="BO350" s="726"/>
      <c r="BP350" s="726"/>
      <c r="BQ350" s="726"/>
      <c r="BR350" s="726"/>
      <c r="BS350" s="726"/>
    </row>
    <row r="351" spans="1:71" s="563" customFormat="1">
      <c r="A351" s="614"/>
      <c r="E351" s="565"/>
      <c r="F351" s="565"/>
      <c r="Q351" s="726"/>
      <c r="R351" s="726"/>
      <c r="S351" s="726"/>
      <c r="T351" s="726"/>
      <c r="U351" s="726"/>
      <c r="V351" s="726"/>
      <c r="W351" s="726"/>
      <c r="X351" s="726"/>
      <c r="Y351" s="726"/>
      <c r="Z351" s="726"/>
      <c r="AA351" s="726"/>
      <c r="AB351" s="726"/>
      <c r="AC351" s="726"/>
      <c r="AD351" s="726"/>
      <c r="AE351" s="726"/>
      <c r="AF351" s="726"/>
      <c r="AG351" s="726"/>
      <c r="AH351" s="726"/>
      <c r="AI351" s="726"/>
      <c r="AJ351" s="726"/>
      <c r="AK351" s="726"/>
      <c r="AL351" s="726"/>
      <c r="AM351" s="726"/>
      <c r="AN351" s="726"/>
      <c r="AO351" s="726"/>
      <c r="AP351" s="726"/>
      <c r="AQ351" s="726"/>
      <c r="AR351" s="726"/>
      <c r="AS351" s="726"/>
      <c r="AT351" s="726"/>
      <c r="AU351" s="726"/>
      <c r="AV351" s="726"/>
      <c r="AW351" s="726"/>
      <c r="AX351" s="726"/>
      <c r="AY351" s="726"/>
      <c r="AZ351" s="726"/>
      <c r="BA351" s="726"/>
      <c r="BB351" s="726"/>
      <c r="BC351" s="726"/>
      <c r="BD351" s="726"/>
      <c r="BE351" s="726"/>
      <c r="BF351" s="726"/>
      <c r="BG351" s="726"/>
      <c r="BH351" s="726"/>
      <c r="BI351" s="726"/>
      <c r="BJ351" s="726"/>
      <c r="BK351" s="726"/>
      <c r="BL351" s="726"/>
      <c r="BM351" s="726"/>
      <c r="BN351" s="726"/>
      <c r="BO351" s="726"/>
      <c r="BP351" s="726"/>
      <c r="BQ351" s="726"/>
      <c r="BR351" s="726"/>
      <c r="BS351" s="726"/>
    </row>
    <row r="352" spans="1:71" s="563" customFormat="1">
      <c r="A352" s="614"/>
      <c r="E352" s="565"/>
      <c r="F352" s="565"/>
      <c r="Q352" s="726"/>
      <c r="R352" s="726"/>
      <c r="S352" s="726"/>
      <c r="T352" s="726"/>
      <c r="U352" s="726"/>
      <c r="V352" s="726"/>
      <c r="W352" s="726"/>
      <c r="X352" s="726"/>
      <c r="Y352" s="726"/>
      <c r="Z352" s="726"/>
      <c r="AA352" s="726"/>
      <c r="AB352" s="726"/>
      <c r="AC352" s="726"/>
      <c r="AD352" s="726"/>
      <c r="AE352" s="726"/>
      <c r="AF352" s="726"/>
      <c r="AG352" s="726"/>
      <c r="AH352" s="726"/>
      <c r="AI352" s="726"/>
      <c r="AJ352" s="726"/>
      <c r="AK352" s="726"/>
      <c r="AL352" s="726"/>
      <c r="AM352" s="726"/>
      <c r="AN352" s="726"/>
      <c r="AO352" s="726"/>
      <c r="AP352" s="726"/>
      <c r="AQ352" s="726"/>
      <c r="AR352" s="726"/>
      <c r="AS352" s="726"/>
      <c r="AT352" s="726"/>
      <c r="AU352" s="726"/>
      <c r="AV352" s="726"/>
      <c r="AW352" s="726"/>
      <c r="AX352" s="726"/>
      <c r="AY352" s="726"/>
      <c r="AZ352" s="726"/>
      <c r="BA352" s="726"/>
      <c r="BB352" s="726"/>
      <c r="BC352" s="726"/>
      <c r="BD352" s="726"/>
      <c r="BE352" s="726"/>
      <c r="BF352" s="726"/>
      <c r="BG352" s="726"/>
      <c r="BH352" s="726"/>
      <c r="BI352" s="726"/>
      <c r="BJ352" s="726"/>
      <c r="BK352" s="726"/>
      <c r="BL352" s="726"/>
      <c r="BM352" s="726"/>
      <c r="BN352" s="726"/>
      <c r="BO352" s="726"/>
      <c r="BP352" s="726"/>
      <c r="BQ352" s="726"/>
      <c r="BR352" s="726"/>
      <c r="BS352" s="726"/>
    </row>
    <row r="353" spans="1:71" s="563" customFormat="1">
      <c r="A353" s="614"/>
      <c r="E353" s="565"/>
      <c r="F353" s="565"/>
      <c r="Q353" s="726"/>
      <c r="R353" s="726"/>
      <c r="S353" s="726"/>
      <c r="T353" s="726"/>
      <c r="U353" s="726"/>
      <c r="V353" s="726"/>
      <c r="W353" s="726"/>
      <c r="X353" s="726"/>
      <c r="Y353" s="726"/>
      <c r="Z353" s="726"/>
      <c r="AA353" s="726"/>
      <c r="AB353" s="726"/>
      <c r="AC353" s="726"/>
      <c r="AD353" s="726"/>
      <c r="AE353" s="726"/>
      <c r="AF353" s="726"/>
      <c r="AG353" s="726"/>
      <c r="AH353" s="726"/>
      <c r="AI353" s="726"/>
      <c r="AJ353" s="726"/>
      <c r="AK353" s="726"/>
      <c r="AL353" s="726"/>
      <c r="AM353" s="726"/>
      <c r="AN353" s="726"/>
      <c r="AO353" s="726"/>
      <c r="AP353" s="726"/>
      <c r="AQ353" s="726"/>
      <c r="AR353" s="726"/>
      <c r="AS353" s="726"/>
      <c r="AT353" s="726"/>
      <c r="AU353" s="726"/>
      <c r="AV353" s="726"/>
      <c r="AW353" s="726"/>
      <c r="AX353" s="726"/>
      <c r="AY353" s="726"/>
      <c r="AZ353" s="726"/>
      <c r="BA353" s="726"/>
      <c r="BB353" s="726"/>
      <c r="BC353" s="726"/>
      <c r="BD353" s="726"/>
      <c r="BE353" s="726"/>
      <c r="BF353" s="726"/>
      <c r="BG353" s="726"/>
      <c r="BH353" s="726"/>
      <c r="BI353" s="726"/>
      <c r="BJ353" s="726"/>
      <c r="BK353" s="726"/>
      <c r="BL353" s="726"/>
      <c r="BM353" s="726"/>
      <c r="BN353" s="726"/>
      <c r="BO353" s="726"/>
      <c r="BP353" s="726"/>
      <c r="BQ353" s="726"/>
      <c r="BR353" s="726"/>
      <c r="BS353" s="726"/>
    </row>
    <row r="354" spans="1:71" s="563" customFormat="1">
      <c r="A354" s="614"/>
      <c r="E354" s="565"/>
      <c r="F354" s="565"/>
      <c r="Q354" s="726"/>
      <c r="R354" s="726"/>
      <c r="S354" s="726"/>
      <c r="T354" s="726"/>
      <c r="U354" s="726"/>
      <c r="V354" s="726"/>
      <c r="W354" s="726"/>
      <c r="X354" s="726"/>
      <c r="Y354" s="726"/>
      <c r="Z354" s="726"/>
      <c r="AA354" s="726"/>
      <c r="AB354" s="726"/>
      <c r="AC354" s="726"/>
      <c r="AD354" s="726"/>
      <c r="AE354" s="726"/>
      <c r="AF354" s="726"/>
      <c r="AG354" s="726"/>
      <c r="AH354" s="726"/>
      <c r="AI354" s="726"/>
      <c r="AJ354" s="726"/>
      <c r="AK354" s="726"/>
      <c r="AL354" s="726"/>
      <c r="AM354" s="726"/>
      <c r="AN354" s="726"/>
      <c r="AO354" s="726"/>
      <c r="AP354" s="726"/>
      <c r="AQ354" s="726"/>
      <c r="AR354" s="726"/>
      <c r="AS354" s="726"/>
      <c r="AT354" s="726"/>
      <c r="AU354" s="726"/>
      <c r="AV354" s="726"/>
      <c r="AW354" s="726"/>
      <c r="AX354" s="726"/>
      <c r="AY354" s="726"/>
      <c r="AZ354" s="726"/>
      <c r="BA354" s="726"/>
      <c r="BB354" s="726"/>
      <c r="BC354" s="726"/>
      <c r="BD354" s="726"/>
      <c r="BE354" s="726"/>
      <c r="BF354" s="726"/>
      <c r="BG354" s="726"/>
      <c r="BH354" s="726"/>
      <c r="BI354" s="726"/>
      <c r="BJ354" s="726"/>
      <c r="BK354" s="726"/>
      <c r="BL354" s="726"/>
      <c r="BM354" s="726"/>
      <c r="BN354" s="726"/>
      <c r="BO354" s="726"/>
      <c r="BP354" s="726"/>
      <c r="BQ354" s="726"/>
      <c r="BR354" s="726"/>
      <c r="BS354" s="726"/>
    </row>
    <row r="355" spans="1:71" s="563" customFormat="1">
      <c r="A355" s="614"/>
      <c r="E355" s="565"/>
      <c r="F355" s="565"/>
      <c r="Q355" s="726"/>
      <c r="R355" s="726"/>
      <c r="S355" s="726"/>
      <c r="T355" s="726"/>
      <c r="U355" s="726"/>
      <c r="V355" s="726"/>
      <c r="W355" s="726"/>
      <c r="X355" s="726"/>
      <c r="Y355" s="726"/>
      <c r="Z355" s="726"/>
      <c r="AA355" s="726"/>
      <c r="AB355" s="726"/>
      <c r="AC355" s="726"/>
      <c r="AD355" s="726"/>
      <c r="AE355" s="726"/>
      <c r="AF355" s="726"/>
      <c r="AG355" s="726"/>
      <c r="AH355" s="726"/>
      <c r="AI355" s="726"/>
      <c r="AJ355" s="726"/>
      <c r="AK355" s="726"/>
      <c r="AL355" s="726"/>
      <c r="AM355" s="726"/>
      <c r="AN355" s="726"/>
      <c r="AO355" s="726"/>
      <c r="AP355" s="726"/>
      <c r="AQ355" s="726"/>
      <c r="AR355" s="726"/>
      <c r="AS355" s="726"/>
      <c r="AT355" s="726"/>
      <c r="AU355" s="726"/>
      <c r="AV355" s="726"/>
      <c r="AW355" s="726"/>
      <c r="AX355" s="726"/>
      <c r="AY355" s="726"/>
      <c r="AZ355" s="726"/>
      <c r="BA355" s="726"/>
      <c r="BB355" s="726"/>
      <c r="BC355" s="726"/>
      <c r="BD355" s="726"/>
      <c r="BE355" s="726"/>
      <c r="BF355" s="726"/>
      <c r="BG355" s="726"/>
      <c r="BH355" s="726"/>
      <c r="BI355" s="726"/>
      <c r="BJ355" s="726"/>
      <c r="BK355" s="726"/>
      <c r="BL355" s="726"/>
      <c r="BM355" s="726"/>
      <c r="BN355" s="726"/>
      <c r="BO355" s="726"/>
      <c r="BP355" s="726"/>
      <c r="BQ355" s="726"/>
      <c r="BR355" s="726"/>
      <c r="BS355" s="726"/>
    </row>
    <row r="356" spans="1:71" s="563" customFormat="1">
      <c r="A356" s="614"/>
      <c r="E356" s="565"/>
      <c r="F356" s="565"/>
      <c r="Q356" s="726"/>
      <c r="R356" s="726"/>
      <c r="S356" s="726"/>
      <c r="T356" s="726"/>
      <c r="U356" s="726"/>
      <c r="V356" s="726"/>
      <c r="W356" s="726"/>
      <c r="X356" s="726"/>
      <c r="Y356" s="726"/>
      <c r="Z356" s="726"/>
      <c r="AA356" s="726"/>
      <c r="AB356" s="726"/>
      <c r="AC356" s="726"/>
      <c r="AD356" s="726"/>
      <c r="AE356" s="726"/>
      <c r="AF356" s="726"/>
      <c r="AG356" s="726"/>
      <c r="AH356" s="726"/>
      <c r="AI356" s="726"/>
      <c r="AJ356" s="726"/>
      <c r="AK356" s="726"/>
      <c r="AL356" s="726"/>
      <c r="AM356" s="726"/>
      <c r="AN356" s="726"/>
      <c r="AO356" s="726"/>
      <c r="AP356" s="726"/>
      <c r="AQ356" s="726"/>
      <c r="AR356" s="726"/>
      <c r="AS356" s="726"/>
      <c r="AT356" s="726"/>
      <c r="AU356" s="726"/>
      <c r="AV356" s="726"/>
      <c r="AW356" s="726"/>
      <c r="AX356" s="726"/>
      <c r="AY356" s="726"/>
      <c r="AZ356" s="726"/>
      <c r="BA356" s="726"/>
      <c r="BB356" s="726"/>
      <c r="BC356" s="726"/>
      <c r="BD356" s="726"/>
      <c r="BE356" s="726"/>
      <c r="BF356" s="726"/>
      <c r="BG356" s="726"/>
      <c r="BH356" s="726"/>
      <c r="BI356" s="726"/>
      <c r="BJ356" s="726"/>
      <c r="BK356" s="726"/>
      <c r="BL356" s="726"/>
      <c r="BM356" s="726"/>
      <c r="BN356" s="726"/>
      <c r="BO356" s="726"/>
      <c r="BP356" s="726"/>
      <c r="BQ356" s="726"/>
      <c r="BR356" s="726"/>
      <c r="BS356" s="726"/>
    </row>
    <row r="357" spans="1:71" s="563" customFormat="1">
      <c r="A357" s="614"/>
      <c r="E357" s="565"/>
      <c r="F357" s="565"/>
      <c r="Q357" s="726"/>
      <c r="R357" s="726"/>
      <c r="S357" s="726"/>
      <c r="T357" s="726"/>
      <c r="U357" s="726"/>
      <c r="V357" s="726"/>
      <c r="W357" s="726"/>
      <c r="X357" s="726"/>
      <c r="Y357" s="726"/>
      <c r="Z357" s="726"/>
      <c r="AA357" s="726"/>
      <c r="AB357" s="726"/>
      <c r="AC357" s="726"/>
      <c r="AD357" s="726"/>
      <c r="AE357" s="726"/>
      <c r="AF357" s="726"/>
      <c r="AG357" s="726"/>
      <c r="AH357" s="726"/>
      <c r="AI357" s="726"/>
      <c r="AJ357" s="726"/>
      <c r="AK357" s="726"/>
      <c r="AL357" s="726"/>
      <c r="AM357" s="726"/>
      <c r="AN357" s="726"/>
      <c r="AO357" s="726"/>
      <c r="AP357" s="726"/>
      <c r="AQ357" s="726"/>
      <c r="AR357" s="726"/>
      <c r="AS357" s="726"/>
      <c r="AT357" s="726"/>
      <c r="AU357" s="726"/>
      <c r="AV357" s="726"/>
      <c r="AW357" s="726"/>
      <c r="AX357" s="726"/>
      <c r="AY357" s="726"/>
      <c r="AZ357" s="726"/>
      <c r="BA357" s="726"/>
      <c r="BB357" s="726"/>
      <c r="BC357" s="726"/>
      <c r="BD357" s="726"/>
      <c r="BE357" s="726"/>
      <c r="BF357" s="726"/>
      <c r="BG357" s="726"/>
      <c r="BH357" s="726"/>
      <c r="BI357" s="726"/>
      <c r="BJ357" s="726"/>
      <c r="BK357" s="726"/>
      <c r="BL357" s="726"/>
      <c r="BM357" s="726"/>
      <c r="BN357" s="726"/>
      <c r="BO357" s="726"/>
      <c r="BP357" s="726"/>
      <c r="BQ357" s="726"/>
      <c r="BR357" s="726"/>
      <c r="BS357" s="726"/>
    </row>
    <row r="358" spans="1:71" s="563" customFormat="1">
      <c r="A358" s="614"/>
      <c r="E358" s="565"/>
      <c r="F358" s="565"/>
      <c r="Q358" s="726"/>
      <c r="R358" s="726"/>
      <c r="S358" s="726"/>
      <c r="T358" s="726"/>
      <c r="U358" s="726"/>
      <c r="V358" s="726"/>
      <c r="W358" s="726"/>
      <c r="X358" s="726"/>
      <c r="Y358" s="726"/>
      <c r="Z358" s="726"/>
      <c r="AA358" s="726"/>
      <c r="AB358" s="726"/>
      <c r="AC358" s="726"/>
      <c r="AD358" s="726"/>
      <c r="AE358" s="726"/>
      <c r="AF358" s="726"/>
      <c r="AG358" s="726"/>
      <c r="AH358" s="726"/>
      <c r="AI358" s="726"/>
      <c r="AJ358" s="726"/>
      <c r="AK358" s="726"/>
      <c r="AL358" s="726"/>
      <c r="AM358" s="726"/>
      <c r="AN358" s="726"/>
      <c r="AO358" s="726"/>
      <c r="AP358" s="726"/>
      <c r="AQ358" s="726"/>
      <c r="AR358" s="726"/>
      <c r="AS358" s="726"/>
      <c r="AT358" s="726"/>
      <c r="AU358" s="726"/>
      <c r="AV358" s="726"/>
      <c r="AW358" s="726"/>
      <c r="AX358" s="726"/>
      <c r="AY358" s="726"/>
      <c r="AZ358" s="726"/>
      <c r="BA358" s="726"/>
      <c r="BB358" s="726"/>
      <c r="BC358" s="726"/>
      <c r="BD358" s="726"/>
      <c r="BE358" s="726"/>
      <c r="BF358" s="726"/>
      <c r="BG358" s="726"/>
      <c r="BH358" s="726"/>
      <c r="BI358" s="726"/>
      <c r="BJ358" s="726"/>
      <c r="BK358" s="726"/>
      <c r="BL358" s="726"/>
      <c r="BM358" s="726"/>
      <c r="BN358" s="726"/>
      <c r="BO358" s="726"/>
      <c r="BP358" s="726"/>
      <c r="BQ358" s="726"/>
      <c r="BR358" s="726"/>
      <c r="BS358" s="726"/>
    </row>
    <row r="359" spans="1:71" s="563" customFormat="1">
      <c r="A359" s="614"/>
      <c r="E359" s="565"/>
      <c r="F359" s="565"/>
      <c r="Q359" s="726"/>
      <c r="R359" s="726"/>
      <c r="S359" s="726"/>
      <c r="T359" s="726"/>
      <c r="U359" s="726"/>
      <c r="V359" s="726"/>
      <c r="W359" s="726"/>
      <c r="X359" s="726"/>
      <c r="Y359" s="726"/>
      <c r="Z359" s="726"/>
      <c r="AA359" s="726"/>
      <c r="AB359" s="726"/>
      <c r="AC359" s="726"/>
      <c r="AD359" s="726"/>
      <c r="AE359" s="726"/>
      <c r="AF359" s="726"/>
      <c r="AG359" s="726"/>
      <c r="AH359" s="726"/>
      <c r="AI359" s="726"/>
      <c r="AJ359" s="726"/>
      <c r="AK359" s="726"/>
      <c r="AL359" s="726"/>
      <c r="AM359" s="726"/>
      <c r="AN359" s="726"/>
      <c r="AO359" s="726"/>
      <c r="AP359" s="726"/>
      <c r="AQ359" s="726"/>
      <c r="AR359" s="726"/>
      <c r="AS359" s="726"/>
      <c r="AT359" s="726"/>
      <c r="AU359" s="726"/>
      <c r="AV359" s="726"/>
      <c r="AW359" s="726"/>
      <c r="AX359" s="726"/>
      <c r="AY359" s="726"/>
      <c r="AZ359" s="726"/>
      <c r="BA359" s="726"/>
      <c r="BB359" s="726"/>
      <c r="BC359" s="726"/>
      <c r="BD359" s="726"/>
      <c r="BE359" s="726"/>
      <c r="BF359" s="726"/>
      <c r="BG359" s="726"/>
      <c r="BH359" s="726"/>
      <c r="BI359" s="726"/>
      <c r="BJ359" s="726"/>
      <c r="BK359" s="726"/>
      <c r="BL359" s="726"/>
      <c r="BM359" s="726"/>
      <c r="BN359" s="726"/>
      <c r="BO359" s="726"/>
      <c r="BP359" s="726"/>
      <c r="BQ359" s="726"/>
      <c r="BR359" s="726"/>
      <c r="BS359" s="726"/>
    </row>
    <row r="360" spans="1:71" s="563" customFormat="1">
      <c r="A360" s="614"/>
      <c r="E360" s="565"/>
      <c r="F360" s="565"/>
      <c r="Q360" s="726"/>
      <c r="R360" s="726"/>
      <c r="S360" s="726"/>
      <c r="T360" s="726"/>
      <c r="U360" s="726"/>
      <c r="V360" s="726"/>
      <c r="W360" s="726"/>
      <c r="X360" s="726"/>
      <c r="Y360" s="726"/>
      <c r="Z360" s="726"/>
      <c r="AA360" s="726"/>
      <c r="AB360" s="726"/>
      <c r="AC360" s="726"/>
      <c r="AD360" s="726"/>
      <c r="AE360" s="726"/>
      <c r="AF360" s="726"/>
      <c r="AG360" s="726"/>
      <c r="AH360" s="726"/>
      <c r="AI360" s="726"/>
      <c r="AJ360" s="726"/>
      <c r="AK360" s="726"/>
      <c r="AL360" s="726"/>
      <c r="AM360" s="726"/>
      <c r="AN360" s="726"/>
      <c r="AO360" s="726"/>
      <c r="AP360" s="726"/>
      <c r="AQ360" s="726"/>
      <c r="AR360" s="726"/>
      <c r="AS360" s="726"/>
      <c r="AT360" s="726"/>
      <c r="AU360" s="726"/>
      <c r="AV360" s="726"/>
      <c r="AW360" s="726"/>
      <c r="AX360" s="726"/>
      <c r="AY360" s="726"/>
      <c r="AZ360" s="726"/>
      <c r="BA360" s="726"/>
      <c r="BB360" s="726"/>
      <c r="BC360" s="726"/>
      <c r="BD360" s="726"/>
      <c r="BE360" s="726"/>
      <c r="BF360" s="726"/>
      <c r="BG360" s="726"/>
      <c r="BH360" s="726"/>
      <c r="BI360" s="726"/>
      <c r="BJ360" s="726"/>
      <c r="BK360" s="726"/>
      <c r="BL360" s="726"/>
      <c r="BM360" s="726"/>
      <c r="BN360" s="726"/>
      <c r="BO360" s="726"/>
      <c r="BP360" s="726"/>
      <c r="BQ360" s="726"/>
      <c r="BR360" s="726"/>
      <c r="BS360" s="726"/>
    </row>
    <row r="361" spans="1:71" s="563" customFormat="1">
      <c r="A361" s="614"/>
      <c r="E361" s="565"/>
      <c r="F361" s="565"/>
      <c r="Q361" s="726"/>
      <c r="R361" s="726"/>
      <c r="S361" s="726"/>
      <c r="T361" s="726"/>
      <c r="U361" s="726"/>
      <c r="V361" s="726"/>
      <c r="W361" s="726"/>
      <c r="X361" s="726"/>
      <c r="Y361" s="726"/>
      <c r="Z361" s="726"/>
      <c r="AA361" s="726"/>
      <c r="AB361" s="726"/>
      <c r="AC361" s="726"/>
      <c r="AD361" s="726"/>
      <c r="AE361" s="726"/>
      <c r="AF361" s="726"/>
      <c r="AG361" s="726"/>
      <c r="AH361" s="726"/>
      <c r="AI361" s="726"/>
      <c r="AJ361" s="726"/>
      <c r="AK361" s="726"/>
      <c r="AL361" s="726"/>
      <c r="AM361" s="726"/>
      <c r="AN361" s="726"/>
      <c r="AO361" s="726"/>
      <c r="AP361" s="726"/>
      <c r="AQ361" s="726"/>
      <c r="AR361" s="726"/>
      <c r="AS361" s="726"/>
      <c r="AT361" s="726"/>
      <c r="AU361" s="726"/>
      <c r="AV361" s="726"/>
      <c r="AW361" s="726"/>
      <c r="AX361" s="726"/>
      <c r="AY361" s="726"/>
      <c r="AZ361" s="726"/>
      <c r="BA361" s="726"/>
      <c r="BB361" s="726"/>
      <c r="BC361" s="726"/>
      <c r="BD361" s="726"/>
      <c r="BE361" s="726"/>
      <c r="BF361" s="726"/>
      <c r="BG361" s="726"/>
      <c r="BH361" s="726"/>
      <c r="BI361" s="726"/>
      <c r="BJ361" s="726"/>
      <c r="BK361" s="726"/>
      <c r="BL361" s="726"/>
      <c r="BM361" s="726"/>
      <c r="BN361" s="726"/>
      <c r="BO361" s="726"/>
      <c r="BP361" s="726"/>
      <c r="BQ361" s="726"/>
      <c r="BR361" s="726"/>
      <c r="BS361" s="726"/>
    </row>
    <row r="362" spans="1:71" s="563" customFormat="1">
      <c r="A362" s="614"/>
      <c r="E362" s="565"/>
      <c r="F362" s="565"/>
      <c r="Q362" s="726"/>
      <c r="R362" s="726"/>
      <c r="S362" s="726"/>
      <c r="T362" s="726"/>
      <c r="U362" s="726"/>
      <c r="V362" s="726"/>
      <c r="W362" s="726"/>
      <c r="X362" s="726"/>
      <c r="Y362" s="726"/>
      <c r="Z362" s="726"/>
      <c r="AA362" s="726"/>
      <c r="AB362" s="726"/>
      <c r="AC362" s="726"/>
      <c r="AD362" s="726"/>
      <c r="AE362" s="726"/>
      <c r="AF362" s="726"/>
      <c r="AG362" s="726"/>
      <c r="AH362" s="726"/>
      <c r="AI362" s="726"/>
      <c r="AJ362" s="726"/>
      <c r="AK362" s="726"/>
      <c r="AL362" s="726"/>
      <c r="AM362" s="726"/>
      <c r="AN362" s="726"/>
      <c r="AO362" s="726"/>
      <c r="AP362" s="726"/>
      <c r="AQ362" s="726"/>
      <c r="AR362" s="726"/>
      <c r="AS362" s="726"/>
      <c r="AT362" s="726"/>
      <c r="AU362" s="726"/>
      <c r="AV362" s="726"/>
      <c r="AW362" s="726"/>
      <c r="AX362" s="726"/>
      <c r="AY362" s="726"/>
      <c r="AZ362" s="726"/>
      <c r="BA362" s="726"/>
      <c r="BB362" s="726"/>
      <c r="BC362" s="726"/>
      <c r="BD362" s="726"/>
      <c r="BE362" s="726"/>
      <c r="BF362" s="726"/>
      <c r="BG362" s="726"/>
      <c r="BH362" s="726"/>
      <c r="BI362" s="726"/>
      <c r="BJ362" s="726"/>
      <c r="BK362" s="726"/>
      <c r="BL362" s="726"/>
      <c r="BM362" s="726"/>
      <c r="BN362" s="726"/>
      <c r="BO362" s="726"/>
      <c r="BP362" s="726"/>
      <c r="BQ362" s="726"/>
      <c r="BR362" s="726"/>
      <c r="BS362" s="726"/>
    </row>
    <row r="363" spans="1:71" s="563" customFormat="1">
      <c r="A363" s="614"/>
      <c r="E363" s="565"/>
      <c r="F363" s="565"/>
      <c r="Q363" s="726"/>
      <c r="R363" s="726"/>
      <c r="S363" s="726"/>
      <c r="T363" s="726"/>
      <c r="U363" s="726"/>
      <c r="V363" s="726"/>
      <c r="W363" s="726"/>
      <c r="X363" s="726"/>
      <c r="Y363" s="726"/>
      <c r="Z363" s="726"/>
      <c r="AA363" s="726"/>
      <c r="AB363" s="726"/>
      <c r="AC363" s="726"/>
      <c r="AD363" s="726"/>
      <c r="AE363" s="726"/>
      <c r="AF363" s="726"/>
      <c r="AG363" s="726"/>
      <c r="AH363" s="726"/>
      <c r="AI363" s="726"/>
      <c r="AJ363" s="726"/>
      <c r="AK363" s="726"/>
      <c r="AL363" s="726"/>
      <c r="AM363" s="726"/>
      <c r="AN363" s="726"/>
      <c r="AO363" s="726"/>
      <c r="AP363" s="726"/>
      <c r="AQ363" s="726"/>
      <c r="AR363" s="726"/>
      <c r="AS363" s="726"/>
      <c r="AT363" s="726"/>
      <c r="AU363" s="726"/>
      <c r="AV363" s="726"/>
      <c r="AW363" s="726"/>
      <c r="AX363" s="726"/>
      <c r="AY363" s="726"/>
      <c r="AZ363" s="726"/>
      <c r="BA363" s="726"/>
      <c r="BB363" s="726"/>
      <c r="BC363" s="726"/>
      <c r="BD363" s="726"/>
      <c r="BE363" s="726"/>
      <c r="BF363" s="726"/>
      <c r="BG363" s="726"/>
      <c r="BH363" s="726"/>
      <c r="BI363" s="726"/>
      <c r="BJ363" s="726"/>
      <c r="BK363" s="726"/>
      <c r="BL363" s="726"/>
      <c r="BM363" s="726"/>
      <c r="BN363" s="726"/>
      <c r="BO363" s="726"/>
      <c r="BP363" s="726"/>
      <c r="BQ363" s="726"/>
      <c r="BR363" s="726"/>
      <c r="BS363" s="726"/>
    </row>
    <row r="364" spans="1:71" s="563" customFormat="1">
      <c r="A364" s="614"/>
      <c r="E364" s="565"/>
      <c r="F364" s="565"/>
      <c r="Q364" s="726"/>
      <c r="R364" s="726"/>
      <c r="S364" s="726"/>
      <c r="T364" s="726"/>
      <c r="U364" s="726"/>
      <c r="V364" s="726"/>
      <c r="W364" s="726"/>
      <c r="X364" s="726"/>
      <c r="Y364" s="726"/>
      <c r="Z364" s="726"/>
      <c r="AA364" s="726"/>
      <c r="AB364" s="726"/>
      <c r="AC364" s="726"/>
      <c r="AD364" s="726"/>
      <c r="AE364" s="726"/>
      <c r="AF364" s="726"/>
      <c r="AG364" s="726"/>
      <c r="AH364" s="726"/>
      <c r="AI364" s="726"/>
      <c r="AJ364" s="726"/>
      <c r="AK364" s="726"/>
      <c r="AL364" s="726"/>
      <c r="AM364" s="726"/>
      <c r="AN364" s="726"/>
      <c r="AO364" s="726"/>
      <c r="AP364" s="726"/>
      <c r="AQ364" s="726"/>
      <c r="AR364" s="726"/>
      <c r="AS364" s="726"/>
      <c r="AT364" s="726"/>
      <c r="AU364" s="726"/>
      <c r="AV364" s="726"/>
      <c r="AW364" s="726"/>
      <c r="AX364" s="726"/>
      <c r="AY364" s="726"/>
      <c r="AZ364" s="726"/>
      <c r="BA364" s="726"/>
      <c r="BB364" s="726"/>
      <c r="BC364" s="726"/>
      <c r="BD364" s="726"/>
      <c r="BE364" s="726"/>
      <c r="BF364" s="726"/>
      <c r="BG364" s="726"/>
      <c r="BH364" s="726"/>
      <c r="BI364" s="726"/>
      <c r="BJ364" s="726"/>
      <c r="BK364" s="726"/>
      <c r="BL364" s="726"/>
      <c r="BM364" s="726"/>
      <c r="BN364" s="726"/>
      <c r="BO364" s="726"/>
      <c r="BP364" s="726"/>
      <c r="BQ364" s="726"/>
      <c r="BR364" s="726"/>
      <c r="BS364" s="726"/>
    </row>
    <row r="365" spans="1:71" s="563" customFormat="1">
      <c r="A365" s="614"/>
      <c r="E365" s="565"/>
      <c r="F365" s="565"/>
      <c r="Q365" s="726"/>
      <c r="R365" s="726"/>
      <c r="S365" s="726"/>
      <c r="T365" s="726"/>
      <c r="U365" s="726"/>
      <c r="V365" s="726"/>
      <c r="W365" s="726"/>
      <c r="X365" s="726"/>
      <c r="Y365" s="726"/>
      <c r="Z365" s="726"/>
      <c r="AA365" s="726"/>
      <c r="AB365" s="726"/>
      <c r="AC365" s="726"/>
      <c r="AD365" s="726"/>
      <c r="AE365" s="726"/>
      <c r="AF365" s="726"/>
      <c r="AG365" s="726"/>
      <c r="AH365" s="726"/>
      <c r="AI365" s="726"/>
      <c r="AJ365" s="726"/>
      <c r="AK365" s="726"/>
      <c r="AL365" s="726"/>
      <c r="AM365" s="726"/>
      <c r="AN365" s="726"/>
      <c r="AO365" s="726"/>
      <c r="AP365" s="726"/>
      <c r="AQ365" s="726"/>
      <c r="AR365" s="726"/>
      <c r="AS365" s="726"/>
      <c r="AT365" s="726"/>
      <c r="AU365" s="726"/>
      <c r="AV365" s="726"/>
      <c r="AW365" s="726"/>
      <c r="AX365" s="726"/>
      <c r="AY365" s="726"/>
      <c r="AZ365" s="726"/>
      <c r="BA365" s="726"/>
      <c r="BB365" s="726"/>
      <c r="BC365" s="726"/>
      <c r="BD365" s="726"/>
      <c r="BE365" s="726"/>
      <c r="BF365" s="726"/>
      <c r="BG365" s="726"/>
      <c r="BH365" s="726"/>
      <c r="BI365" s="726"/>
      <c r="BJ365" s="726"/>
      <c r="BK365" s="726"/>
      <c r="BL365" s="726"/>
      <c r="BM365" s="726"/>
      <c r="BN365" s="726"/>
      <c r="BO365" s="726"/>
      <c r="BP365" s="726"/>
      <c r="BQ365" s="726"/>
      <c r="BR365" s="726"/>
      <c r="BS365" s="726"/>
    </row>
    <row r="366" spans="1:71" s="563" customFormat="1">
      <c r="A366" s="614"/>
      <c r="E366" s="565"/>
      <c r="F366" s="565"/>
      <c r="Q366" s="726"/>
      <c r="R366" s="726"/>
      <c r="S366" s="726"/>
      <c r="T366" s="726"/>
      <c r="U366" s="726"/>
      <c r="V366" s="726"/>
      <c r="W366" s="726"/>
      <c r="X366" s="726"/>
      <c r="Y366" s="726"/>
      <c r="Z366" s="726"/>
      <c r="AA366" s="726"/>
      <c r="AB366" s="726"/>
      <c r="AC366" s="726"/>
      <c r="AD366" s="726"/>
      <c r="AE366" s="726"/>
      <c r="AF366" s="726"/>
      <c r="AG366" s="726"/>
      <c r="AH366" s="726"/>
      <c r="AI366" s="726"/>
      <c r="AJ366" s="726"/>
      <c r="AK366" s="726"/>
      <c r="AL366" s="726"/>
      <c r="AM366" s="726"/>
      <c r="AN366" s="726"/>
      <c r="AO366" s="726"/>
      <c r="AP366" s="726"/>
      <c r="AQ366" s="726"/>
      <c r="AR366" s="726"/>
      <c r="AS366" s="726"/>
      <c r="AT366" s="726"/>
      <c r="AU366" s="726"/>
      <c r="AV366" s="726"/>
      <c r="AW366" s="726"/>
      <c r="AX366" s="726"/>
      <c r="AY366" s="726"/>
      <c r="AZ366" s="726"/>
      <c r="BA366" s="726"/>
      <c r="BB366" s="726"/>
      <c r="BC366" s="726"/>
      <c r="BD366" s="726"/>
      <c r="BE366" s="726"/>
      <c r="BF366" s="726"/>
      <c r="BG366" s="726"/>
      <c r="BH366" s="726"/>
      <c r="BI366" s="726"/>
      <c r="BJ366" s="726"/>
      <c r="BK366" s="726"/>
      <c r="BL366" s="726"/>
      <c r="BM366" s="726"/>
      <c r="BN366" s="726"/>
      <c r="BO366" s="726"/>
      <c r="BP366" s="726"/>
      <c r="BQ366" s="726"/>
      <c r="BR366" s="726"/>
      <c r="BS366" s="726"/>
    </row>
    <row r="367" spans="1:71" s="563" customFormat="1">
      <c r="A367" s="614"/>
      <c r="E367" s="565"/>
      <c r="F367" s="565"/>
      <c r="Q367" s="726"/>
      <c r="R367" s="726"/>
      <c r="S367" s="726"/>
      <c r="T367" s="726"/>
      <c r="U367" s="726"/>
      <c r="V367" s="726"/>
      <c r="W367" s="726"/>
      <c r="X367" s="726"/>
      <c r="Y367" s="726"/>
      <c r="Z367" s="726"/>
      <c r="AA367" s="726"/>
      <c r="AB367" s="726"/>
      <c r="AC367" s="726"/>
      <c r="AD367" s="726"/>
      <c r="AE367" s="726"/>
      <c r="AF367" s="726"/>
      <c r="AG367" s="726"/>
      <c r="AH367" s="726"/>
      <c r="AI367" s="726"/>
      <c r="AJ367" s="726"/>
      <c r="AK367" s="726"/>
      <c r="AL367" s="726"/>
      <c r="AM367" s="726"/>
      <c r="AN367" s="726"/>
      <c r="AO367" s="726"/>
      <c r="AP367" s="726"/>
      <c r="AQ367" s="726"/>
      <c r="AR367" s="726"/>
      <c r="AS367" s="726"/>
      <c r="AT367" s="726"/>
      <c r="AU367" s="726"/>
      <c r="AV367" s="726"/>
      <c r="AW367" s="726"/>
      <c r="AX367" s="726"/>
      <c r="AY367" s="726"/>
      <c r="AZ367" s="726"/>
      <c r="BA367" s="726"/>
      <c r="BB367" s="726"/>
      <c r="BC367" s="726"/>
      <c r="BD367" s="726"/>
      <c r="BE367" s="726"/>
      <c r="BF367" s="726"/>
      <c r="BG367" s="726"/>
      <c r="BH367" s="726"/>
      <c r="BI367" s="726"/>
      <c r="BJ367" s="726"/>
      <c r="BK367" s="726"/>
      <c r="BL367" s="726"/>
      <c r="BM367" s="726"/>
      <c r="BN367" s="726"/>
      <c r="BO367" s="726"/>
      <c r="BP367" s="726"/>
      <c r="BQ367" s="726"/>
      <c r="BR367" s="726"/>
      <c r="BS367" s="726"/>
    </row>
    <row r="368" spans="1:71" s="563" customFormat="1">
      <c r="A368" s="614"/>
      <c r="E368" s="565"/>
      <c r="F368" s="565"/>
      <c r="Q368" s="726"/>
      <c r="R368" s="726"/>
      <c r="S368" s="726"/>
      <c r="T368" s="726"/>
      <c r="U368" s="726"/>
      <c r="V368" s="726"/>
      <c r="W368" s="726"/>
      <c r="X368" s="726"/>
      <c r="Y368" s="726"/>
      <c r="Z368" s="726"/>
      <c r="AA368" s="726"/>
      <c r="AB368" s="726"/>
      <c r="AC368" s="726"/>
      <c r="AD368" s="726"/>
      <c r="AE368" s="726"/>
      <c r="AF368" s="726"/>
      <c r="AG368" s="726"/>
      <c r="AH368" s="726"/>
      <c r="AI368" s="726"/>
      <c r="AJ368" s="726"/>
      <c r="AK368" s="726"/>
      <c r="AL368" s="726"/>
      <c r="AM368" s="726"/>
      <c r="AN368" s="726"/>
      <c r="AO368" s="726"/>
      <c r="AP368" s="726"/>
      <c r="AQ368" s="726"/>
      <c r="AR368" s="726"/>
      <c r="AS368" s="726"/>
      <c r="AT368" s="726"/>
      <c r="AU368" s="726"/>
      <c r="AV368" s="726"/>
      <c r="AW368" s="726"/>
      <c r="AX368" s="726"/>
      <c r="AY368" s="726"/>
      <c r="AZ368" s="726"/>
      <c r="BA368" s="726"/>
      <c r="BB368" s="726"/>
      <c r="BC368" s="726"/>
      <c r="BD368" s="726"/>
      <c r="BE368" s="726"/>
      <c r="BF368" s="726"/>
      <c r="BG368" s="726"/>
      <c r="BH368" s="726"/>
      <c r="BI368" s="726"/>
      <c r="BJ368" s="726"/>
      <c r="BK368" s="726"/>
      <c r="BL368" s="726"/>
      <c r="BM368" s="726"/>
      <c r="BN368" s="726"/>
      <c r="BO368" s="726"/>
      <c r="BP368" s="726"/>
      <c r="BQ368" s="726"/>
      <c r="BR368" s="726"/>
      <c r="BS368" s="726"/>
    </row>
    <row r="369" spans="1:71" s="563" customFormat="1">
      <c r="A369" s="614"/>
      <c r="E369" s="565"/>
      <c r="F369" s="565"/>
      <c r="Q369" s="726"/>
      <c r="R369" s="726"/>
      <c r="S369" s="726"/>
      <c r="T369" s="726"/>
      <c r="U369" s="726"/>
      <c r="V369" s="726"/>
      <c r="W369" s="726"/>
      <c r="X369" s="726"/>
      <c r="Y369" s="726"/>
      <c r="Z369" s="726"/>
      <c r="AA369" s="726"/>
      <c r="AB369" s="726"/>
      <c r="AC369" s="726"/>
      <c r="AD369" s="726"/>
      <c r="AE369" s="726"/>
      <c r="AF369" s="726"/>
      <c r="AG369" s="726"/>
      <c r="AH369" s="726"/>
      <c r="AI369" s="726"/>
      <c r="AJ369" s="726"/>
      <c r="AK369" s="726"/>
      <c r="AL369" s="726"/>
      <c r="AM369" s="726"/>
      <c r="AN369" s="726"/>
      <c r="AO369" s="726"/>
      <c r="AP369" s="726"/>
      <c r="AQ369" s="726"/>
      <c r="AR369" s="726"/>
      <c r="AS369" s="726"/>
      <c r="AT369" s="726"/>
      <c r="AU369" s="726"/>
      <c r="AV369" s="726"/>
      <c r="AW369" s="726"/>
      <c r="AX369" s="726"/>
      <c r="AY369" s="726"/>
      <c r="AZ369" s="726"/>
      <c r="BA369" s="726"/>
      <c r="BB369" s="726"/>
      <c r="BC369" s="726"/>
      <c r="BD369" s="726"/>
      <c r="BE369" s="726"/>
      <c r="BF369" s="726"/>
      <c r="BG369" s="726"/>
      <c r="BH369" s="726"/>
      <c r="BI369" s="726"/>
      <c r="BJ369" s="726"/>
      <c r="BK369" s="726"/>
      <c r="BL369" s="726"/>
      <c r="BM369" s="726"/>
      <c r="BN369" s="726"/>
      <c r="BO369" s="726"/>
      <c r="BP369" s="726"/>
      <c r="BQ369" s="726"/>
      <c r="BR369" s="726"/>
      <c r="BS369" s="726"/>
    </row>
    <row r="370" spans="1:71" s="563" customFormat="1">
      <c r="A370" s="614"/>
      <c r="E370" s="565"/>
      <c r="F370" s="565"/>
      <c r="Q370" s="726"/>
      <c r="R370" s="726"/>
      <c r="S370" s="726"/>
      <c r="T370" s="726"/>
      <c r="U370" s="726"/>
      <c r="V370" s="726"/>
      <c r="W370" s="726"/>
      <c r="X370" s="726"/>
      <c r="Y370" s="726"/>
      <c r="Z370" s="726"/>
      <c r="AA370" s="726"/>
      <c r="AB370" s="726"/>
      <c r="AC370" s="726"/>
      <c r="AD370" s="726"/>
      <c r="AE370" s="726"/>
      <c r="AF370" s="726"/>
      <c r="AG370" s="726"/>
      <c r="AH370" s="726"/>
      <c r="AI370" s="726"/>
      <c r="AJ370" s="726"/>
      <c r="AK370" s="726"/>
      <c r="AL370" s="726"/>
      <c r="AM370" s="726"/>
      <c r="AN370" s="726"/>
      <c r="AO370" s="726"/>
      <c r="AP370" s="726"/>
      <c r="AQ370" s="726"/>
      <c r="AR370" s="726"/>
      <c r="AS370" s="726"/>
      <c r="AT370" s="726"/>
      <c r="AU370" s="726"/>
      <c r="AV370" s="726"/>
      <c r="AW370" s="726"/>
      <c r="AX370" s="726"/>
      <c r="AY370" s="726"/>
      <c r="AZ370" s="726"/>
      <c r="BA370" s="726"/>
      <c r="BB370" s="726"/>
      <c r="BC370" s="726"/>
      <c r="BD370" s="726"/>
      <c r="BE370" s="726"/>
      <c r="BF370" s="726"/>
      <c r="BG370" s="726"/>
      <c r="BH370" s="726"/>
      <c r="BI370" s="726"/>
      <c r="BJ370" s="726"/>
      <c r="BK370" s="726"/>
      <c r="BL370" s="726"/>
      <c r="BM370" s="726"/>
      <c r="BN370" s="726"/>
      <c r="BO370" s="726"/>
      <c r="BP370" s="726"/>
      <c r="BQ370" s="726"/>
      <c r="BR370" s="726"/>
      <c r="BS370" s="726"/>
    </row>
    <row r="371" spans="1:71" s="563" customFormat="1">
      <c r="A371" s="614"/>
      <c r="E371" s="565"/>
      <c r="F371" s="565"/>
      <c r="Q371" s="726"/>
      <c r="R371" s="726"/>
      <c r="S371" s="726"/>
      <c r="T371" s="726"/>
      <c r="U371" s="726"/>
      <c r="V371" s="726"/>
      <c r="W371" s="726"/>
      <c r="X371" s="726"/>
      <c r="Y371" s="726"/>
      <c r="Z371" s="726"/>
      <c r="AA371" s="726"/>
      <c r="AB371" s="726"/>
      <c r="AC371" s="726"/>
      <c r="AD371" s="726"/>
      <c r="AE371" s="726"/>
      <c r="AF371" s="726"/>
      <c r="AG371" s="726"/>
      <c r="AH371" s="726"/>
      <c r="AI371" s="726"/>
      <c r="AJ371" s="726"/>
      <c r="AK371" s="726"/>
      <c r="AL371" s="726"/>
      <c r="AM371" s="726"/>
      <c r="AN371" s="726"/>
      <c r="AO371" s="726"/>
      <c r="AP371" s="726"/>
      <c r="AQ371" s="726"/>
      <c r="AR371" s="726"/>
      <c r="AS371" s="726"/>
      <c r="AT371" s="726"/>
      <c r="AU371" s="726"/>
      <c r="AV371" s="726"/>
      <c r="AW371" s="726"/>
      <c r="AX371" s="726"/>
      <c r="AY371" s="726"/>
      <c r="AZ371" s="726"/>
      <c r="BA371" s="726"/>
      <c r="BB371" s="726"/>
      <c r="BC371" s="726"/>
      <c r="BD371" s="726"/>
      <c r="BE371" s="726"/>
      <c r="BF371" s="726"/>
      <c r="BG371" s="726"/>
      <c r="BH371" s="726"/>
      <c r="BI371" s="726"/>
      <c r="BJ371" s="726"/>
      <c r="BK371" s="726"/>
      <c r="BL371" s="726"/>
      <c r="BM371" s="726"/>
      <c r="BN371" s="726"/>
      <c r="BO371" s="726"/>
      <c r="BP371" s="726"/>
      <c r="BQ371" s="726"/>
      <c r="BR371" s="726"/>
      <c r="BS371" s="726"/>
    </row>
    <row r="372" spans="1:71" s="563" customFormat="1">
      <c r="A372" s="614"/>
      <c r="E372" s="565"/>
      <c r="F372" s="565"/>
      <c r="Q372" s="726"/>
      <c r="R372" s="726"/>
      <c r="S372" s="726"/>
      <c r="T372" s="726"/>
      <c r="U372" s="726"/>
      <c r="V372" s="726"/>
      <c r="W372" s="726"/>
      <c r="X372" s="726"/>
      <c r="Y372" s="726"/>
      <c r="Z372" s="726"/>
      <c r="AA372" s="726"/>
      <c r="AB372" s="726"/>
      <c r="AC372" s="726"/>
      <c r="AD372" s="726"/>
      <c r="AE372" s="726"/>
      <c r="AF372" s="726"/>
      <c r="AG372" s="726"/>
      <c r="AH372" s="726"/>
      <c r="AI372" s="726"/>
      <c r="AJ372" s="726"/>
      <c r="AK372" s="726"/>
      <c r="AL372" s="726"/>
      <c r="AM372" s="726"/>
      <c r="AN372" s="726"/>
      <c r="AO372" s="726"/>
      <c r="AP372" s="726"/>
      <c r="AQ372" s="726"/>
      <c r="AR372" s="726"/>
      <c r="AS372" s="726"/>
      <c r="AT372" s="726"/>
      <c r="AU372" s="726"/>
      <c r="AV372" s="726"/>
      <c r="AW372" s="726"/>
      <c r="AX372" s="726"/>
      <c r="AY372" s="726"/>
      <c r="AZ372" s="726"/>
      <c r="BA372" s="726"/>
      <c r="BB372" s="726"/>
      <c r="BC372" s="726"/>
      <c r="BD372" s="726"/>
      <c r="BE372" s="726"/>
      <c r="BF372" s="726"/>
      <c r="BG372" s="726"/>
      <c r="BH372" s="726"/>
      <c r="BI372" s="726"/>
      <c r="BJ372" s="726"/>
      <c r="BK372" s="726"/>
      <c r="BL372" s="726"/>
      <c r="BM372" s="726"/>
      <c r="BN372" s="726"/>
      <c r="BO372" s="726"/>
      <c r="BP372" s="726"/>
      <c r="BQ372" s="726"/>
      <c r="BR372" s="726"/>
      <c r="BS372" s="726"/>
    </row>
    <row r="373" spans="1:71" s="563" customFormat="1">
      <c r="A373" s="614"/>
      <c r="E373" s="565"/>
      <c r="F373" s="565"/>
      <c r="Q373" s="726"/>
      <c r="R373" s="726"/>
      <c r="S373" s="726"/>
      <c r="T373" s="726"/>
      <c r="U373" s="726"/>
      <c r="V373" s="726"/>
      <c r="W373" s="726"/>
      <c r="X373" s="726"/>
      <c r="Y373" s="726"/>
      <c r="Z373" s="726"/>
      <c r="AA373" s="726"/>
      <c r="AB373" s="726"/>
      <c r="AC373" s="726"/>
      <c r="AD373" s="726"/>
      <c r="AE373" s="726"/>
      <c r="AF373" s="726"/>
      <c r="AG373" s="726"/>
      <c r="AH373" s="726"/>
      <c r="AI373" s="726"/>
      <c r="AJ373" s="726"/>
      <c r="AK373" s="726"/>
      <c r="AL373" s="726"/>
      <c r="AM373" s="726"/>
      <c r="AN373" s="726"/>
      <c r="AO373" s="726"/>
      <c r="AP373" s="726"/>
      <c r="AQ373" s="726"/>
      <c r="AR373" s="726"/>
      <c r="AS373" s="726"/>
      <c r="AT373" s="726"/>
      <c r="AU373" s="726"/>
      <c r="AV373" s="726"/>
      <c r="AW373" s="726"/>
      <c r="AX373" s="726"/>
      <c r="AY373" s="726"/>
      <c r="AZ373" s="726"/>
      <c r="BA373" s="726"/>
      <c r="BB373" s="726"/>
      <c r="BC373" s="726"/>
      <c r="BD373" s="726"/>
      <c r="BE373" s="726"/>
      <c r="BF373" s="726"/>
      <c r="BG373" s="726"/>
      <c r="BH373" s="726"/>
      <c r="BI373" s="726"/>
      <c r="BJ373" s="726"/>
      <c r="BK373" s="726"/>
      <c r="BL373" s="726"/>
      <c r="BM373" s="726"/>
      <c r="BN373" s="726"/>
      <c r="BO373" s="726"/>
      <c r="BP373" s="726"/>
      <c r="BQ373" s="726"/>
      <c r="BR373" s="726"/>
      <c r="BS373" s="726"/>
    </row>
    <row r="374" spans="1:71" s="563" customFormat="1">
      <c r="A374" s="614"/>
      <c r="E374" s="565"/>
      <c r="F374" s="565"/>
      <c r="Q374" s="726"/>
      <c r="R374" s="726"/>
      <c r="S374" s="726"/>
      <c r="T374" s="726"/>
      <c r="U374" s="726"/>
      <c r="V374" s="726"/>
      <c r="W374" s="726"/>
      <c r="X374" s="726"/>
      <c r="Y374" s="726"/>
      <c r="Z374" s="726"/>
      <c r="AA374" s="726"/>
      <c r="AB374" s="726"/>
      <c r="AC374" s="726"/>
      <c r="AD374" s="726"/>
      <c r="AE374" s="726"/>
      <c r="AF374" s="726"/>
      <c r="AG374" s="726"/>
      <c r="AH374" s="726"/>
      <c r="AI374" s="726"/>
      <c r="AJ374" s="726"/>
      <c r="AK374" s="726"/>
      <c r="AL374" s="726"/>
      <c r="AM374" s="726"/>
      <c r="AN374" s="726"/>
      <c r="AO374" s="726"/>
      <c r="AP374" s="726"/>
      <c r="AQ374" s="726"/>
      <c r="AR374" s="726"/>
      <c r="AS374" s="726"/>
      <c r="AT374" s="726"/>
      <c r="AU374" s="726"/>
      <c r="AV374" s="726"/>
      <c r="AW374" s="726"/>
      <c r="AX374" s="726"/>
      <c r="AY374" s="726"/>
      <c r="AZ374" s="726"/>
      <c r="BA374" s="726"/>
      <c r="BB374" s="726"/>
      <c r="BC374" s="726"/>
      <c r="BD374" s="726"/>
      <c r="BE374" s="726"/>
      <c r="BF374" s="726"/>
      <c r="BG374" s="726"/>
      <c r="BH374" s="726"/>
      <c r="BI374" s="726"/>
      <c r="BJ374" s="726"/>
      <c r="BK374" s="726"/>
      <c r="BL374" s="726"/>
      <c r="BM374" s="726"/>
      <c r="BN374" s="726"/>
      <c r="BO374" s="726"/>
      <c r="BP374" s="726"/>
      <c r="BQ374" s="726"/>
      <c r="BR374" s="726"/>
      <c r="BS374" s="726"/>
    </row>
    <row r="375" spans="1:71" s="563" customFormat="1">
      <c r="A375" s="614"/>
      <c r="E375" s="565"/>
      <c r="F375" s="565"/>
      <c r="Q375" s="726"/>
      <c r="R375" s="726"/>
      <c r="S375" s="726"/>
      <c r="T375" s="726"/>
      <c r="U375" s="726"/>
      <c r="V375" s="726"/>
      <c r="W375" s="726"/>
      <c r="X375" s="726"/>
      <c r="Y375" s="726"/>
      <c r="Z375" s="726"/>
      <c r="AA375" s="726"/>
      <c r="AB375" s="726"/>
      <c r="AC375" s="726"/>
      <c r="AD375" s="726"/>
      <c r="AE375" s="726"/>
      <c r="AF375" s="726"/>
      <c r="AG375" s="726"/>
      <c r="AH375" s="726"/>
      <c r="AI375" s="726"/>
      <c r="AJ375" s="726"/>
      <c r="AK375" s="726"/>
      <c r="AL375" s="726"/>
      <c r="AM375" s="726"/>
      <c r="AN375" s="726"/>
      <c r="AO375" s="726"/>
      <c r="AP375" s="726"/>
      <c r="AQ375" s="726"/>
      <c r="AR375" s="726"/>
      <c r="AS375" s="726"/>
      <c r="AT375" s="726"/>
      <c r="AU375" s="726"/>
      <c r="AV375" s="726"/>
      <c r="AW375" s="726"/>
      <c r="AX375" s="726"/>
      <c r="AY375" s="726"/>
      <c r="AZ375" s="726"/>
      <c r="BA375" s="726"/>
      <c r="BB375" s="726"/>
      <c r="BC375" s="726"/>
      <c r="BD375" s="726"/>
      <c r="BE375" s="726"/>
      <c r="BF375" s="726"/>
      <c r="BG375" s="726"/>
      <c r="BH375" s="726"/>
      <c r="BI375" s="726"/>
      <c r="BJ375" s="726"/>
      <c r="BK375" s="726"/>
      <c r="BL375" s="726"/>
      <c r="BM375" s="726"/>
      <c r="BN375" s="726"/>
      <c r="BO375" s="726"/>
      <c r="BP375" s="726"/>
      <c r="BQ375" s="726"/>
      <c r="BR375" s="726"/>
      <c r="BS375" s="726"/>
    </row>
    <row r="376" spans="1:71" s="563" customFormat="1">
      <c r="A376" s="614"/>
      <c r="E376" s="565"/>
      <c r="F376" s="565"/>
      <c r="Q376" s="726"/>
      <c r="R376" s="726"/>
      <c r="S376" s="726"/>
      <c r="T376" s="726"/>
      <c r="U376" s="726"/>
      <c r="V376" s="726"/>
      <c r="W376" s="726"/>
      <c r="X376" s="726"/>
      <c r="Y376" s="726"/>
      <c r="Z376" s="726"/>
      <c r="AA376" s="726"/>
      <c r="AB376" s="726"/>
      <c r="AC376" s="726"/>
      <c r="AD376" s="726"/>
      <c r="AE376" s="726"/>
      <c r="AF376" s="726"/>
      <c r="AG376" s="726"/>
      <c r="AH376" s="726"/>
      <c r="AI376" s="726"/>
      <c r="AJ376" s="726"/>
      <c r="AK376" s="726"/>
      <c r="AL376" s="726"/>
      <c r="AM376" s="726"/>
      <c r="AN376" s="726"/>
      <c r="AO376" s="726"/>
      <c r="AP376" s="726"/>
      <c r="AQ376" s="726"/>
      <c r="AR376" s="726"/>
      <c r="AS376" s="726"/>
      <c r="AT376" s="726"/>
      <c r="AU376" s="726"/>
      <c r="AV376" s="726"/>
      <c r="AW376" s="726"/>
      <c r="AX376" s="726"/>
      <c r="AY376" s="726"/>
      <c r="AZ376" s="726"/>
      <c r="BA376" s="726"/>
      <c r="BB376" s="726"/>
      <c r="BC376" s="726"/>
      <c r="BD376" s="726"/>
      <c r="BE376" s="726"/>
      <c r="BF376" s="726"/>
      <c r="BG376" s="726"/>
      <c r="BH376" s="726"/>
      <c r="BI376" s="726"/>
      <c r="BJ376" s="726"/>
      <c r="BK376" s="726"/>
      <c r="BL376" s="726"/>
      <c r="BM376" s="726"/>
      <c r="BN376" s="726"/>
      <c r="BO376" s="726"/>
      <c r="BP376" s="726"/>
      <c r="BQ376" s="726"/>
      <c r="BR376" s="726"/>
      <c r="BS376" s="726"/>
    </row>
    <row r="377" spans="1:71" s="563" customFormat="1">
      <c r="A377" s="614"/>
      <c r="E377" s="565"/>
      <c r="F377" s="565"/>
      <c r="Q377" s="726"/>
      <c r="R377" s="726"/>
      <c r="S377" s="726"/>
      <c r="T377" s="726"/>
      <c r="U377" s="726"/>
      <c r="V377" s="726"/>
      <c r="W377" s="726"/>
      <c r="X377" s="726"/>
      <c r="Y377" s="726"/>
      <c r="Z377" s="726"/>
      <c r="AA377" s="726"/>
      <c r="AB377" s="726"/>
      <c r="AC377" s="726"/>
      <c r="AD377" s="726"/>
      <c r="AE377" s="726"/>
      <c r="AF377" s="726"/>
      <c r="AG377" s="726"/>
      <c r="AH377" s="726"/>
      <c r="AI377" s="726"/>
      <c r="AJ377" s="726"/>
      <c r="AK377" s="726"/>
      <c r="AL377" s="726"/>
      <c r="AM377" s="726"/>
      <c r="AN377" s="726"/>
      <c r="AO377" s="726"/>
      <c r="AP377" s="726"/>
      <c r="AQ377" s="726"/>
      <c r="AR377" s="726"/>
      <c r="AS377" s="726"/>
      <c r="AT377" s="726"/>
      <c r="AU377" s="726"/>
      <c r="AV377" s="726"/>
      <c r="AW377" s="726"/>
      <c r="AX377" s="726"/>
      <c r="AY377" s="726"/>
      <c r="AZ377" s="726"/>
      <c r="BA377" s="726"/>
      <c r="BB377" s="726"/>
      <c r="BC377" s="726"/>
      <c r="BD377" s="726"/>
      <c r="BE377" s="726"/>
      <c r="BF377" s="726"/>
      <c r="BG377" s="726"/>
      <c r="BH377" s="726"/>
      <c r="BI377" s="726"/>
      <c r="BJ377" s="726"/>
      <c r="BK377" s="726"/>
      <c r="BL377" s="726"/>
      <c r="BM377" s="726"/>
      <c r="BN377" s="726"/>
      <c r="BO377" s="726"/>
      <c r="BP377" s="726"/>
      <c r="BQ377" s="726"/>
      <c r="BR377" s="726"/>
      <c r="BS377" s="726"/>
    </row>
    <row r="378" spans="1:71" s="563" customFormat="1">
      <c r="A378" s="614"/>
      <c r="E378" s="565"/>
      <c r="F378" s="565"/>
      <c r="Q378" s="726"/>
      <c r="R378" s="726"/>
      <c r="S378" s="726"/>
      <c r="T378" s="726"/>
      <c r="U378" s="726"/>
      <c r="V378" s="726"/>
      <c r="W378" s="726"/>
      <c r="X378" s="726"/>
      <c r="Y378" s="726"/>
      <c r="Z378" s="726"/>
      <c r="AA378" s="726"/>
      <c r="AB378" s="726"/>
      <c r="AC378" s="726"/>
      <c r="AD378" s="726"/>
      <c r="AE378" s="726"/>
      <c r="AF378" s="726"/>
      <c r="AG378" s="726"/>
      <c r="AH378" s="726"/>
      <c r="AI378" s="726"/>
      <c r="AJ378" s="726"/>
      <c r="AK378" s="726"/>
      <c r="AL378" s="726"/>
      <c r="AM378" s="726"/>
      <c r="AN378" s="726"/>
      <c r="AO378" s="726"/>
      <c r="AP378" s="726"/>
      <c r="AQ378" s="726"/>
      <c r="AR378" s="726"/>
      <c r="AS378" s="726"/>
      <c r="AT378" s="726"/>
      <c r="AU378" s="726"/>
      <c r="AV378" s="726"/>
      <c r="AW378" s="726"/>
      <c r="AX378" s="726"/>
      <c r="AY378" s="726"/>
      <c r="AZ378" s="726"/>
      <c r="BA378" s="726"/>
      <c r="BB378" s="726"/>
      <c r="BC378" s="726"/>
      <c r="BD378" s="726"/>
      <c r="BE378" s="726"/>
      <c r="BF378" s="726"/>
      <c r="BG378" s="726"/>
      <c r="BH378" s="726"/>
      <c r="BI378" s="726"/>
      <c r="BJ378" s="726"/>
      <c r="BK378" s="726"/>
      <c r="BL378" s="726"/>
      <c r="BM378" s="726"/>
      <c r="BN378" s="726"/>
      <c r="BO378" s="726"/>
      <c r="BP378" s="726"/>
      <c r="BQ378" s="726"/>
      <c r="BR378" s="726"/>
      <c r="BS378" s="726"/>
    </row>
    <row r="379" spans="1:71" s="563" customFormat="1">
      <c r="A379" s="614"/>
      <c r="E379" s="565"/>
      <c r="F379" s="565"/>
      <c r="Q379" s="726"/>
      <c r="R379" s="726"/>
      <c r="S379" s="726"/>
      <c r="T379" s="726"/>
      <c r="U379" s="726"/>
      <c r="V379" s="726"/>
      <c r="W379" s="726"/>
      <c r="X379" s="726"/>
      <c r="Y379" s="726"/>
      <c r="Z379" s="726"/>
      <c r="AA379" s="726"/>
      <c r="AB379" s="726"/>
      <c r="AC379" s="726"/>
      <c r="AD379" s="726"/>
      <c r="AE379" s="726"/>
      <c r="AF379" s="726"/>
      <c r="AG379" s="726"/>
      <c r="AH379" s="726"/>
      <c r="AI379" s="726"/>
      <c r="AJ379" s="726"/>
      <c r="AK379" s="726"/>
      <c r="AL379" s="726"/>
      <c r="AM379" s="726"/>
      <c r="AN379" s="726"/>
      <c r="AO379" s="726"/>
      <c r="AP379" s="726"/>
      <c r="AQ379" s="726"/>
      <c r="AR379" s="726"/>
      <c r="AS379" s="726"/>
      <c r="AT379" s="726"/>
      <c r="AU379" s="726"/>
      <c r="AV379" s="726"/>
      <c r="AW379" s="726"/>
      <c r="AX379" s="726"/>
      <c r="AY379" s="726"/>
      <c r="AZ379" s="726"/>
      <c r="BA379" s="726"/>
      <c r="BB379" s="726"/>
      <c r="BC379" s="726"/>
      <c r="BD379" s="726"/>
      <c r="BE379" s="726"/>
      <c r="BF379" s="726"/>
      <c r="BG379" s="726"/>
      <c r="BH379" s="726"/>
      <c r="BI379" s="726"/>
      <c r="BJ379" s="726"/>
      <c r="BK379" s="726"/>
      <c r="BL379" s="726"/>
      <c r="BM379" s="726"/>
      <c r="BN379" s="726"/>
      <c r="BO379" s="726"/>
      <c r="BP379" s="726"/>
      <c r="BQ379" s="726"/>
      <c r="BR379" s="726"/>
      <c r="BS379" s="726"/>
    </row>
    <row r="380" spans="1:71" s="563" customFormat="1">
      <c r="A380" s="614"/>
      <c r="E380" s="565"/>
      <c r="F380" s="565"/>
      <c r="Q380" s="726"/>
      <c r="R380" s="726"/>
      <c r="S380" s="726"/>
      <c r="T380" s="726"/>
      <c r="U380" s="726"/>
      <c r="V380" s="726"/>
      <c r="W380" s="726"/>
      <c r="X380" s="726"/>
      <c r="Y380" s="726"/>
      <c r="Z380" s="726"/>
      <c r="AA380" s="726"/>
      <c r="AB380" s="726"/>
      <c r="AC380" s="726"/>
      <c r="AD380" s="726"/>
      <c r="AE380" s="726"/>
      <c r="AF380" s="726"/>
      <c r="AG380" s="726"/>
      <c r="AH380" s="726"/>
      <c r="AI380" s="726"/>
      <c r="AJ380" s="726"/>
      <c r="AK380" s="726"/>
      <c r="AL380" s="726"/>
      <c r="AM380" s="726"/>
      <c r="AN380" s="726"/>
      <c r="AO380" s="726"/>
      <c r="AP380" s="726"/>
      <c r="AQ380" s="726"/>
      <c r="AR380" s="726"/>
      <c r="AS380" s="726"/>
      <c r="AT380" s="726"/>
      <c r="AU380" s="726"/>
      <c r="AV380" s="726"/>
      <c r="AW380" s="726"/>
      <c r="AX380" s="726"/>
      <c r="AY380" s="726"/>
      <c r="AZ380" s="726"/>
      <c r="BA380" s="726"/>
      <c r="BB380" s="726"/>
      <c r="BC380" s="726"/>
      <c r="BD380" s="726"/>
      <c r="BE380" s="726"/>
      <c r="BF380" s="726"/>
      <c r="BG380" s="726"/>
      <c r="BH380" s="726"/>
      <c r="BI380" s="726"/>
      <c r="BJ380" s="726"/>
      <c r="BK380" s="726"/>
      <c r="BL380" s="726"/>
      <c r="BM380" s="726"/>
      <c r="BN380" s="726"/>
      <c r="BO380" s="726"/>
      <c r="BP380" s="726"/>
      <c r="BQ380" s="726"/>
      <c r="BR380" s="726"/>
      <c r="BS380" s="726"/>
    </row>
    <row r="381" spans="1:71" s="563" customFormat="1">
      <c r="A381" s="614"/>
      <c r="E381" s="565"/>
      <c r="F381" s="565"/>
      <c r="Q381" s="726"/>
      <c r="R381" s="726"/>
      <c r="S381" s="726"/>
      <c r="T381" s="726"/>
      <c r="U381" s="726"/>
      <c r="V381" s="726"/>
      <c r="W381" s="726"/>
      <c r="X381" s="726"/>
      <c r="Y381" s="726"/>
      <c r="Z381" s="726"/>
      <c r="AA381" s="726"/>
      <c r="AB381" s="726"/>
      <c r="AC381" s="726"/>
      <c r="AD381" s="726"/>
      <c r="AE381" s="726"/>
      <c r="AF381" s="726"/>
      <c r="AG381" s="726"/>
      <c r="AH381" s="726"/>
      <c r="AI381" s="726"/>
      <c r="AJ381" s="726"/>
      <c r="AK381" s="726"/>
      <c r="AL381" s="726"/>
      <c r="AM381" s="726"/>
      <c r="AN381" s="726"/>
      <c r="AO381" s="726"/>
      <c r="AP381" s="726"/>
      <c r="AQ381" s="726"/>
      <c r="AR381" s="726"/>
      <c r="AS381" s="726"/>
      <c r="AT381" s="726"/>
      <c r="AU381" s="726"/>
      <c r="AV381" s="726"/>
      <c r="AW381" s="726"/>
      <c r="AX381" s="726"/>
      <c r="AY381" s="726"/>
      <c r="AZ381" s="726"/>
      <c r="BA381" s="726"/>
      <c r="BB381" s="726"/>
      <c r="BC381" s="726"/>
      <c r="BD381" s="726"/>
      <c r="BE381" s="726"/>
      <c r="BF381" s="726"/>
      <c r="BG381" s="726"/>
      <c r="BH381" s="726"/>
      <c r="BI381" s="726"/>
      <c r="BJ381" s="726"/>
      <c r="BK381" s="726"/>
      <c r="BL381" s="726"/>
      <c r="BM381" s="726"/>
      <c r="BN381" s="726"/>
      <c r="BO381" s="726"/>
      <c r="BP381" s="726"/>
      <c r="BQ381" s="726"/>
      <c r="BR381" s="726"/>
      <c r="BS381" s="726"/>
    </row>
    <row r="382" spans="1:71" s="563" customFormat="1">
      <c r="A382" s="614"/>
      <c r="E382" s="565"/>
      <c r="F382" s="565"/>
      <c r="Q382" s="726"/>
      <c r="R382" s="726"/>
      <c r="S382" s="726"/>
      <c r="T382" s="726"/>
      <c r="U382" s="726"/>
      <c r="V382" s="726"/>
      <c r="W382" s="726"/>
      <c r="X382" s="726"/>
      <c r="Y382" s="726"/>
      <c r="Z382" s="726"/>
      <c r="AA382" s="726"/>
      <c r="AB382" s="726"/>
      <c r="AC382" s="726"/>
      <c r="AD382" s="726"/>
      <c r="AE382" s="726"/>
      <c r="AF382" s="726"/>
      <c r="AG382" s="726"/>
      <c r="AH382" s="726"/>
      <c r="AI382" s="726"/>
      <c r="AJ382" s="726"/>
      <c r="AK382" s="726"/>
      <c r="AL382" s="726"/>
      <c r="AM382" s="726"/>
      <c r="AN382" s="726"/>
      <c r="AO382" s="726"/>
      <c r="AP382" s="726"/>
      <c r="AQ382" s="726"/>
      <c r="AR382" s="726"/>
      <c r="AS382" s="726"/>
      <c r="AT382" s="726"/>
      <c r="AU382" s="726"/>
      <c r="AV382" s="726"/>
      <c r="AW382" s="726"/>
      <c r="AX382" s="726"/>
      <c r="AY382" s="726"/>
      <c r="AZ382" s="726"/>
      <c r="BA382" s="726"/>
      <c r="BB382" s="726"/>
      <c r="BC382" s="726"/>
      <c r="BD382" s="726"/>
      <c r="BE382" s="726"/>
      <c r="BF382" s="726"/>
      <c r="BG382" s="726"/>
      <c r="BH382" s="726"/>
      <c r="BI382" s="726"/>
      <c r="BJ382" s="726"/>
      <c r="BK382" s="726"/>
      <c r="BL382" s="726"/>
      <c r="BM382" s="726"/>
      <c r="BN382" s="726"/>
      <c r="BO382" s="726"/>
      <c r="BP382" s="726"/>
      <c r="BQ382" s="726"/>
      <c r="BR382" s="726"/>
      <c r="BS382" s="726"/>
    </row>
    <row r="383" spans="1:71" s="563" customFormat="1">
      <c r="A383" s="614"/>
      <c r="E383" s="565"/>
      <c r="F383" s="565"/>
      <c r="Q383" s="726"/>
      <c r="R383" s="726"/>
      <c r="S383" s="726"/>
      <c r="T383" s="726"/>
      <c r="U383" s="726"/>
      <c r="V383" s="726"/>
      <c r="W383" s="726"/>
      <c r="X383" s="726"/>
      <c r="Y383" s="726"/>
      <c r="Z383" s="726"/>
      <c r="AA383" s="726"/>
      <c r="AB383" s="726"/>
      <c r="AC383" s="726"/>
      <c r="AD383" s="726"/>
      <c r="AE383" s="726"/>
      <c r="AF383" s="726"/>
      <c r="AG383" s="726"/>
      <c r="AH383" s="726"/>
      <c r="AI383" s="726"/>
      <c r="AJ383" s="726"/>
      <c r="AK383" s="726"/>
      <c r="AL383" s="726"/>
      <c r="AM383" s="726"/>
      <c r="AN383" s="726"/>
      <c r="AO383" s="726"/>
      <c r="AP383" s="726"/>
      <c r="AQ383" s="726"/>
      <c r="AR383" s="726"/>
      <c r="AS383" s="726"/>
      <c r="AT383" s="726"/>
      <c r="AU383" s="726"/>
      <c r="AV383" s="726"/>
      <c r="AW383" s="726"/>
      <c r="AX383" s="726"/>
      <c r="AY383" s="726"/>
      <c r="AZ383" s="726"/>
      <c r="BA383" s="726"/>
      <c r="BB383" s="726"/>
      <c r="BC383" s="726"/>
      <c r="BD383" s="726"/>
      <c r="BE383" s="726"/>
      <c r="BF383" s="726"/>
      <c r="BG383" s="726"/>
      <c r="BH383" s="726"/>
      <c r="BI383" s="726"/>
      <c r="BJ383" s="726"/>
      <c r="BK383" s="726"/>
      <c r="BL383" s="726"/>
      <c r="BM383" s="726"/>
      <c r="BN383" s="726"/>
      <c r="BO383" s="726"/>
      <c r="BP383" s="726"/>
      <c r="BQ383" s="726"/>
      <c r="BR383" s="726"/>
      <c r="BS383" s="726"/>
    </row>
    <row r="384" spans="1:71" s="563" customFormat="1">
      <c r="A384" s="614"/>
      <c r="E384" s="565"/>
      <c r="F384" s="565"/>
      <c r="Q384" s="726"/>
      <c r="R384" s="726"/>
      <c r="S384" s="726"/>
      <c r="T384" s="726"/>
      <c r="U384" s="726"/>
      <c r="V384" s="726"/>
      <c r="W384" s="726"/>
      <c r="X384" s="726"/>
      <c r="Y384" s="726"/>
      <c r="Z384" s="726"/>
      <c r="AA384" s="726"/>
      <c r="AB384" s="726"/>
      <c r="AC384" s="726"/>
      <c r="AD384" s="726"/>
      <c r="AE384" s="726"/>
      <c r="AF384" s="726"/>
      <c r="AG384" s="726"/>
      <c r="AH384" s="726"/>
      <c r="AI384" s="726"/>
      <c r="AJ384" s="726"/>
      <c r="AK384" s="726"/>
      <c r="AL384" s="726"/>
      <c r="AM384" s="726"/>
      <c r="AN384" s="726"/>
      <c r="AO384" s="726"/>
      <c r="AP384" s="726"/>
      <c r="AQ384" s="726"/>
      <c r="AR384" s="726"/>
      <c r="AS384" s="726"/>
      <c r="AT384" s="726"/>
      <c r="AU384" s="726"/>
      <c r="AV384" s="726"/>
      <c r="AW384" s="726"/>
      <c r="AX384" s="726"/>
      <c r="AY384" s="726"/>
      <c r="AZ384" s="726"/>
      <c r="BA384" s="726"/>
      <c r="BB384" s="726"/>
      <c r="BC384" s="726"/>
      <c r="BD384" s="726"/>
      <c r="BE384" s="726"/>
      <c r="BF384" s="726"/>
      <c r="BG384" s="726"/>
      <c r="BH384" s="726"/>
      <c r="BI384" s="726"/>
      <c r="BJ384" s="726"/>
      <c r="BK384" s="726"/>
      <c r="BL384" s="726"/>
      <c r="BM384" s="726"/>
      <c r="BN384" s="726"/>
      <c r="BO384" s="726"/>
      <c r="BP384" s="726"/>
      <c r="BQ384" s="726"/>
      <c r="BR384" s="726"/>
      <c r="BS384" s="726"/>
    </row>
    <row r="385" spans="1:71" s="563" customFormat="1">
      <c r="A385" s="614"/>
      <c r="E385" s="565"/>
      <c r="F385" s="565"/>
      <c r="Q385" s="726"/>
      <c r="R385" s="726"/>
      <c r="S385" s="726"/>
      <c r="T385" s="726"/>
      <c r="U385" s="726"/>
      <c r="V385" s="726"/>
      <c r="W385" s="726"/>
      <c r="X385" s="726"/>
      <c r="Y385" s="726"/>
      <c r="Z385" s="726"/>
      <c r="AA385" s="726"/>
      <c r="AB385" s="726"/>
      <c r="AC385" s="726"/>
      <c r="AD385" s="726"/>
      <c r="AE385" s="726"/>
      <c r="AF385" s="726"/>
      <c r="AG385" s="726"/>
      <c r="AH385" s="726"/>
      <c r="AI385" s="726"/>
      <c r="AJ385" s="726"/>
      <c r="AK385" s="726"/>
      <c r="AL385" s="726"/>
      <c r="AM385" s="726"/>
      <c r="AN385" s="726"/>
      <c r="AO385" s="726"/>
      <c r="AP385" s="726"/>
      <c r="AQ385" s="726"/>
      <c r="AR385" s="726"/>
      <c r="AS385" s="726"/>
      <c r="AT385" s="726"/>
      <c r="AU385" s="726"/>
      <c r="AV385" s="726"/>
      <c r="AW385" s="726"/>
      <c r="AX385" s="726"/>
      <c r="AY385" s="726"/>
      <c r="AZ385" s="726"/>
      <c r="BA385" s="726"/>
      <c r="BB385" s="726"/>
      <c r="BC385" s="726"/>
      <c r="BD385" s="726"/>
      <c r="BE385" s="726"/>
      <c r="BF385" s="726"/>
      <c r="BG385" s="726"/>
      <c r="BH385" s="726"/>
      <c r="BI385" s="726"/>
      <c r="BJ385" s="726"/>
      <c r="BK385" s="726"/>
      <c r="BL385" s="726"/>
      <c r="BM385" s="726"/>
      <c r="BN385" s="726"/>
      <c r="BO385" s="726"/>
      <c r="BP385" s="726"/>
      <c r="BQ385" s="726"/>
      <c r="BR385" s="726"/>
      <c r="BS385" s="726"/>
    </row>
    <row r="386" spans="1:71" s="563" customFormat="1">
      <c r="A386" s="614"/>
      <c r="E386" s="565"/>
      <c r="F386" s="565"/>
      <c r="Q386" s="726"/>
      <c r="R386" s="726"/>
      <c r="S386" s="726"/>
      <c r="T386" s="726"/>
      <c r="U386" s="726"/>
      <c r="V386" s="726"/>
      <c r="W386" s="726"/>
      <c r="X386" s="726"/>
      <c r="Y386" s="726"/>
      <c r="Z386" s="726"/>
      <c r="AA386" s="726"/>
      <c r="AB386" s="726"/>
      <c r="AC386" s="726"/>
      <c r="AD386" s="726"/>
      <c r="AE386" s="726"/>
      <c r="AF386" s="726"/>
      <c r="AG386" s="726"/>
      <c r="AH386" s="726"/>
      <c r="AI386" s="726"/>
      <c r="AJ386" s="726"/>
      <c r="AK386" s="726"/>
      <c r="AL386" s="726"/>
      <c r="AM386" s="726"/>
      <c r="AN386" s="726"/>
      <c r="AO386" s="726"/>
      <c r="AP386" s="726"/>
      <c r="AQ386" s="726"/>
      <c r="AR386" s="726"/>
      <c r="AS386" s="726"/>
      <c r="AT386" s="726"/>
      <c r="AU386" s="726"/>
      <c r="AV386" s="726"/>
      <c r="AW386" s="726"/>
      <c r="AX386" s="726"/>
      <c r="AY386" s="726"/>
      <c r="AZ386" s="726"/>
      <c r="BA386" s="726"/>
      <c r="BB386" s="726"/>
      <c r="BC386" s="726"/>
      <c r="BD386" s="726"/>
      <c r="BE386" s="726"/>
      <c r="BF386" s="726"/>
      <c r="BG386" s="726"/>
      <c r="BH386" s="726"/>
      <c r="BI386" s="726"/>
      <c r="BJ386" s="726"/>
      <c r="BK386" s="726"/>
      <c r="BL386" s="726"/>
      <c r="BM386" s="726"/>
      <c r="BN386" s="726"/>
      <c r="BO386" s="726"/>
      <c r="BP386" s="726"/>
      <c r="BQ386" s="726"/>
      <c r="BR386" s="726"/>
      <c r="BS386" s="726"/>
    </row>
    <row r="387" spans="1:71" s="563" customFormat="1">
      <c r="A387" s="614"/>
      <c r="E387" s="565"/>
      <c r="F387" s="565"/>
      <c r="Q387" s="726"/>
      <c r="R387" s="726"/>
      <c r="S387" s="726"/>
      <c r="T387" s="726"/>
      <c r="U387" s="726"/>
      <c r="V387" s="726"/>
      <c r="W387" s="726"/>
      <c r="X387" s="726"/>
      <c r="Y387" s="726"/>
      <c r="Z387" s="726"/>
      <c r="AA387" s="726"/>
      <c r="AB387" s="726"/>
      <c r="AC387" s="726"/>
      <c r="AD387" s="726"/>
      <c r="AE387" s="726"/>
      <c r="AF387" s="726"/>
      <c r="AG387" s="726"/>
      <c r="AH387" s="726"/>
      <c r="AI387" s="726"/>
      <c r="AJ387" s="726"/>
      <c r="AK387" s="726"/>
      <c r="AL387" s="726"/>
      <c r="AM387" s="726"/>
      <c r="AN387" s="726"/>
      <c r="AO387" s="726"/>
      <c r="AP387" s="726"/>
      <c r="AQ387" s="726"/>
      <c r="AR387" s="726"/>
      <c r="AS387" s="726"/>
      <c r="AT387" s="726"/>
      <c r="AU387" s="726"/>
      <c r="AV387" s="726"/>
      <c r="AW387" s="726"/>
      <c r="AX387" s="726"/>
      <c r="AY387" s="726"/>
      <c r="AZ387" s="726"/>
      <c r="BA387" s="726"/>
      <c r="BB387" s="726"/>
      <c r="BC387" s="726"/>
      <c r="BD387" s="726"/>
      <c r="BE387" s="726"/>
      <c r="BF387" s="726"/>
      <c r="BG387" s="726"/>
      <c r="BH387" s="726"/>
      <c r="BI387" s="726"/>
      <c r="BJ387" s="726"/>
      <c r="BK387" s="726"/>
      <c r="BL387" s="726"/>
      <c r="BM387" s="726"/>
      <c r="BN387" s="726"/>
      <c r="BO387" s="726"/>
      <c r="BP387" s="726"/>
      <c r="BQ387" s="726"/>
      <c r="BR387" s="726"/>
      <c r="BS387" s="726"/>
    </row>
    <row r="388" spans="1:71" s="563" customFormat="1">
      <c r="A388" s="614"/>
      <c r="E388" s="565"/>
      <c r="F388" s="565"/>
      <c r="Q388" s="726"/>
      <c r="R388" s="726"/>
      <c r="S388" s="726"/>
      <c r="T388" s="726"/>
      <c r="U388" s="726"/>
      <c r="V388" s="726"/>
      <c r="W388" s="726"/>
      <c r="X388" s="726"/>
      <c r="Y388" s="726"/>
      <c r="Z388" s="726"/>
      <c r="AA388" s="726"/>
      <c r="AB388" s="726"/>
      <c r="AC388" s="726"/>
      <c r="AD388" s="726"/>
      <c r="AE388" s="726"/>
      <c r="AF388" s="726"/>
      <c r="AG388" s="726"/>
      <c r="AH388" s="726"/>
      <c r="AI388" s="726"/>
      <c r="AJ388" s="726"/>
      <c r="AK388" s="726"/>
      <c r="AL388" s="726"/>
      <c r="AM388" s="726"/>
      <c r="AN388" s="726"/>
      <c r="AO388" s="726"/>
      <c r="AP388" s="726"/>
      <c r="AQ388" s="726"/>
      <c r="AR388" s="726"/>
      <c r="AS388" s="726"/>
      <c r="AT388" s="726"/>
      <c r="AU388" s="726"/>
      <c r="AV388" s="726"/>
      <c r="AW388" s="726"/>
      <c r="AX388" s="726"/>
      <c r="AY388" s="726"/>
      <c r="AZ388" s="726"/>
      <c r="BA388" s="726"/>
      <c r="BB388" s="726"/>
      <c r="BC388" s="726"/>
      <c r="BD388" s="726"/>
      <c r="BE388" s="726"/>
      <c r="BF388" s="726"/>
      <c r="BG388" s="726"/>
      <c r="BH388" s="726"/>
      <c r="BI388" s="726"/>
      <c r="BJ388" s="726"/>
      <c r="BK388" s="726"/>
      <c r="BL388" s="726"/>
      <c r="BM388" s="726"/>
      <c r="BN388" s="726"/>
      <c r="BO388" s="726"/>
      <c r="BP388" s="726"/>
      <c r="BQ388" s="726"/>
      <c r="BR388" s="726"/>
      <c r="BS388" s="726"/>
    </row>
    <row r="389" spans="1:71" s="563" customFormat="1">
      <c r="A389" s="614"/>
      <c r="E389" s="565"/>
      <c r="F389" s="565"/>
      <c r="Q389" s="726"/>
      <c r="R389" s="726"/>
      <c r="S389" s="726"/>
      <c r="T389" s="726"/>
      <c r="U389" s="726"/>
      <c r="V389" s="726"/>
      <c r="W389" s="726"/>
      <c r="X389" s="726"/>
      <c r="Y389" s="726"/>
      <c r="Z389" s="726"/>
      <c r="AA389" s="726"/>
      <c r="AB389" s="726"/>
      <c r="AC389" s="726"/>
      <c r="AD389" s="726"/>
      <c r="AE389" s="726"/>
      <c r="AF389" s="726"/>
      <c r="AG389" s="726"/>
      <c r="AH389" s="726"/>
      <c r="AI389" s="726"/>
      <c r="AJ389" s="726"/>
      <c r="AK389" s="726"/>
      <c r="AL389" s="726"/>
      <c r="AM389" s="726"/>
      <c r="AN389" s="726"/>
      <c r="AO389" s="726"/>
      <c r="AP389" s="726"/>
      <c r="AQ389" s="726"/>
      <c r="AR389" s="726"/>
      <c r="AS389" s="726"/>
      <c r="AT389" s="726"/>
      <c r="AU389" s="726"/>
      <c r="AV389" s="726"/>
      <c r="AW389" s="726"/>
      <c r="AX389" s="726"/>
      <c r="AY389" s="726"/>
      <c r="AZ389" s="726"/>
      <c r="BA389" s="726"/>
      <c r="BB389" s="726"/>
      <c r="BC389" s="726"/>
      <c r="BD389" s="726"/>
      <c r="BE389" s="726"/>
      <c r="BF389" s="726"/>
      <c r="BG389" s="726"/>
      <c r="BH389" s="726"/>
      <c r="BI389" s="726"/>
      <c r="BJ389" s="726"/>
      <c r="BK389" s="726"/>
      <c r="BL389" s="726"/>
      <c r="BM389" s="726"/>
      <c r="BN389" s="726"/>
      <c r="BO389" s="726"/>
      <c r="BP389" s="726"/>
      <c r="BQ389" s="726"/>
      <c r="BR389" s="726"/>
      <c r="BS389" s="726"/>
    </row>
    <row r="390" spans="1:71" s="563" customFormat="1">
      <c r="A390" s="614"/>
      <c r="E390" s="565"/>
      <c r="F390" s="565"/>
      <c r="Q390" s="726"/>
      <c r="R390" s="726"/>
      <c r="S390" s="726"/>
      <c r="T390" s="726"/>
      <c r="U390" s="726"/>
      <c r="V390" s="726"/>
      <c r="W390" s="726"/>
      <c r="X390" s="726"/>
      <c r="Y390" s="726"/>
      <c r="Z390" s="726"/>
      <c r="AA390" s="726"/>
      <c r="AB390" s="726"/>
      <c r="AC390" s="726"/>
      <c r="AD390" s="726"/>
      <c r="AE390" s="726"/>
      <c r="AF390" s="726"/>
      <c r="AG390" s="726"/>
      <c r="AH390" s="726"/>
      <c r="AI390" s="726"/>
      <c r="AJ390" s="726"/>
      <c r="AK390" s="726"/>
      <c r="AL390" s="726"/>
      <c r="AM390" s="726"/>
      <c r="AN390" s="726"/>
      <c r="AO390" s="726"/>
      <c r="AP390" s="726"/>
      <c r="AQ390" s="726"/>
      <c r="AR390" s="726"/>
      <c r="AS390" s="726"/>
      <c r="AT390" s="726"/>
      <c r="AU390" s="726"/>
      <c r="AV390" s="726"/>
      <c r="AW390" s="726"/>
      <c r="AX390" s="726"/>
      <c r="AY390" s="726"/>
      <c r="AZ390" s="726"/>
      <c r="BA390" s="726"/>
      <c r="BB390" s="726"/>
      <c r="BC390" s="726"/>
      <c r="BD390" s="726"/>
      <c r="BE390" s="726"/>
      <c r="BF390" s="726"/>
      <c r="BG390" s="726"/>
      <c r="BH390" s="726"/>
      <c r="BI390" s="726"/>
      <c r="BJ390" s="726"/>
      <c r="BK390" s="726"/>
      <c r="BL390" s="726"/>
      <c r="BM390" s="726"/>
      <c r="BN390" s="726"/>
      <c r="BO390" s="726"/>
      <c r="BP390" s="726"/>
      <c r="BQ390" s="726"/>
      <c r="BR390" s="726"/>
      <c r="BS390" s="726"/>
    </row>
    <row r="391" spans="1:71" s="563" customFormat="1">
      <c r="A391" s="614"/>
      <c r="E391" s="565"/>
      <c r="F391" s="565"/>
      <c r="Q391" s="726"/>
      <c r="R391" s="726"/>
      <c r="S391" s="726"/>
      <c r="T391" s="726"/>
      <c r="U391" s="726"/>
      <c r="V391" s="726"/>
      <c r="W391" s="726"/>
      <c r="X391" s="726"/>
      <c r="Y391" s="726"/>
      <c r="Z391" s="726"/>
      <c r="AA391" s="726"/>
      <c r="AB391" s="726"/>
      <c r="AC391" s="726"/>
      <c r="AD391" s="726"/>
      <c r="AE391" s="726"/>
      <c r="AF391" s="726"/>
      <c r="AG391" s="726"/>
      <c r="AH391" s="726"/>
      <c r="AI391" s="726"/>
      <c r="AJ391" s="726"/>
      <c r="AK391" s="726"/>
      <c r="AL391" s="726"/>
      <c r="AM391" s="726"/>
      <c r="AN391" s="726"/>
      <c r="AO391" s="726"/>
      <c r="AP391" s="726"/>
      <c r="AQ391" s="726"/>
      <c r="AR391" s="726"/>
      <c r="AS391" s="726"/>
      <c r="AT391" s="726"/>
      <c r="AU391" s="726"/>
      <c r="AV391" s="726"/>
      <c r="AW391" s="726"/>
      <c r="AX391" s="726"/>
      <c r="AY391" s="726"/>
      <c r="AZ391" s="726"/>
      <c r="BA391" s="726"/>
      <c r="BB391" s="726"/>
      <c r="BC391" s="726"/>
      <c r="BD391" s="726"/>
      <c r="BE391" s="726"/>
      <c r="BF391" s="726"/>
      <c r="BG391" s="726"/>
      <c r="BH391" s="726"/>
      <c r="BI391" s="726"/>
      <c r="BJ391" s="726"/>
      <c r="BK391" s="726"/>
      <c r="BL391" s="726"/>
      <c r="BM391" s="726"/>
      <c r="BN391" s="726"/>
      <c r="BO391" s="726"/>
      <c r="BP391" s="726"/>
      <c r="BQ391" s="726"/>
      <c r="BR391" s="726"/>
      <c r="BS391" s="726"/>
    </row>
    <row r="392" spans="1:71" s="563" customFormat="1">
      <c r="A392" s="614"/>
      <c r="E392" s="565"/>
      <c r="F392" s="565"/>
      <c r="Q392" s="726"/>
      <c r="R392" s="726"/>
      <c r="S392" s="726"/>
      <c r="T392" s="726"/>
      <c r="U392" s="726"/>
      <c r="V392" s="726"/>
      <c r="W392" s="726"/>
      <c r="X392" s="726"/>
      <c r="Y392" s="726"/>
      <c r="Z392" s="726"/>
      <c r="AA392" s="726"/>
      <c r="AB392" s="726"/>
      <c r="AC392" s="726"/>
      <c r="AD392" s="726"/>
      <c r="AE392" s="726"/>
      <c r="AF392" s="726"/>
      <c r="AG392" s="726"/>
      <c r="AH392" s="726"/>
      <c r="AI392" s="726"/>
      <c r="AJ392" s="726"/>
      <c r="AK392" s="726"/>
      <c r="AL392" s="726"/>
      <c r="AM392" s="726"/>
      <c r="AN392" s="726"/>
      <c r="AO392" s="726"/>
      <c r="AP392" s="726"/>
      <c r="AQ392" s="726"/>
      <c r="AR392" s="726"/>
      <c r="AS392" s="726"/>
      <c r="AT392" s="726"/>
      <c r="AU392" s="726"/>
      <c r="AV392" s="726"/>
      <c r="AW392" s="726"/>
      <c r="AX392" s="726"/>
      <c r="AY392" s="726"/>
      <c r="AZ392" s="726"/>
      <c r="BA392" s="726"/>
      <c r="BB392" s="726"/>
      <c r="BC392" s="726"/>
      <c r="BD392" s="726"/>
      <c r="BE392" s="726"/>
      <c r="BF392" s="726"/>
      <c r="BG392" s="726"/>
      <c r="BH392" s="726"/>
      <c r="BI392" s="726"/>
      <c r="BJ392" s="726"/>
      <c r="BK392" s="726"/>
      <c r="BL392" s="726"/>
      <c r="BM392" s="726"/>
      <c r="BN392" s="726"/>
      <c r="BO392" s="726"/>
      <c r="BP392" s="726"/>
      <c r="BQ392" s="726"/>
      <c r="BR392" s="726"/>
      <c r="BS392" s="726"/>
    </row>
    <row r="393" spans="1:71" s="563" customFormat="1">
      <c r="A393" s="614"/>
      <c r="E393" s="565"/>
      <c r="F393" s="565"/>
      <c r="Q393" s="726"/>
      <c r="R393" s="726"/>
      <c r="S393" s="726"/>
      <c r="T393" s="726"/>
      <c r="U393" s="726"/>
      <c r="V393" s="726"/>
      <c r="W393" s="726"/>
      <c r="X393" s="726"/>
      <c r="Y393" s="726"/>
      <c r="Z393" s="726"/>
      <c r="AA393" s="726"/>
      <c r="AB393" s="726"/>
      <c r="AC393" s="726"/>
      <c r="AD393" s="726"/>
      <c r="AE393" s="726"/>
      <c r="AF393" s="726"/>
      <c r="AG393" s="726"/>
      <c r="AH393" s="726"/>
      <c r="AI393" s="726"/>
      <c r="AJ393" s="726"/>
      <c r="AK393" s="726"/>
      <c r="AL393" s="726"/>
      <c r="AM393" s="726"/>
      <c r="AN393" s="726"/>
      <c r="AO393" s="726"/>
      <c r="AP393" s="726"/>
      <c r="AQ393" s="726"/>
      <c r="AR393" s="726"/>
      <c r="AS393" s="726"/>
      <c r="AT393" s="726"/>
      <c r="AU393" s="726"/>
      <c r="AV393" s="726"/>
      <c r="AW393" s="726"/>
      <c r="AX393" s="726"/>
      <c r="AY393" s="726"/>
      <c r="AZ393" s="726"/>
      <c r="BA393" s="726"/>
      <c r="BB393" s="726"/>
      <c r="BC393" s="726"/>
      <c r="BD393" s="726"/>
      <c r="BE393" s="726"/>
      <c r="BF393" s="726"/>
      <c r="BG393" s="726"/>
      <c r="BH393" s="726"/>
      <c r="BI393" s="726"/>
      <c r="BJ393" s="726"/>
      <c r="BK393" s="726"/>
      <c r="BL393" s="726"/>
      <c r="BM393" s="726"/>
      <c r="BN393" s="726"/>
      <c r="BO393" s="726"/>
      <c r="BP393" s="726"/>
      <c r="BQ393" s="726"/>
      <c r="BR393" s="726"/>
      <c r="BS393" s="726"/>
    </row>
    <row r="394" spans="1:71" s="563" customFormat="1">
      <c r="A394" s="614"/>
      <c r="E394" s="565"/>
      <c r="F394" s="565"/>
      <c r="Q394" s="726"/>
      <c r="R394" s="726"/>
      <c r="S394" s="726"/>
      <c r="T394" s="726"/>
      <c r="U394" s="726"/>
      <c r="V394" s="726"/>
      <c r="W394" s="726"/>
      <c r="X394" s="726"/>
      <c r="Y394" s="726"/>
      <c r="Z394" s="726"/>
      <c r="AA394" s="726"/>
      <c r="AB394" s="726"/>
      <c r="AC394" s="726"/>
      <c r="AD394" s="726"/>
      <c r="AE394" s="726"/>
      <c r="AF394" s="726"/>
      <c r="AG394" s="726"/>
      <c r="AH394" s="726"/>
      <c r="AI394" s="726"/>
      <c r="AJ394" s="726"/>
      <c r="AK394" s="726"/>
      <c r="AL394" s="726"/>
      <c r="AM394" s="726"/>
      <c r="AN394" s="726"/>
      <c r="AO394" s="726"/>
      <c r="AP394" s="726"/>
      <c r="AQ394" s="726"/>
      <c r="AR394" s="726"/>
      <c r="AS394" s="726"/>
      <c r="AT394" s="726"/>
      <c r="AU394" s="726"/>
      <c r="AV394" s="726"/>
      <c r="AW394" s="726"/>
      <c r="AX394" s="726"/>
      <c r="AY394" s="726"/>
      <c r="AZ394" s="726"/>
      <c r="BA394" s="726"/>
      <c r="BB394" s="726"/>
      <c r="BC394" s="726"/>
      <c r="BD394" s="726"/>
      <c r="BE394" s="726"/>
      <c r="BF394" s="726"/>
      <c r="BG394" s="726"/>
      <c r="BH394" s="726"/>
      <c r="BI394" s="726"/>
      <c r="BJ394" s="726"/>
      <c r="BK394" s="726"/>
      <c r="BL394" s="726"/>
      <c r="BM394" s="726"/>
      <c r="BN394" s="726"/>
      <c r="BO394" s="726"/>
      <c r="BP394" s="726"/>
      <c r="BQ394" s="726"/>
      <c r="BR394" s="726"/>
      <c r="BS394" s="726"/>
    </row>
    <row r="395" spans="1:71" s="563" customFormat="1">
      <c r="A395" s="614"/>
      <c r="E395" s="565"/>
      <c r="F395" s="565"/>
      <c r="Q395" s="726"/>
      <c r="R395" s="726"/>
      <c r="S395" s="726"/>
      <c r="T395" s="726"/>
      <c r="U395" s="726"/>
      <c r="V395" s="726"/>
      <c r="W395" s="726"/>
      <c r="X395" s="726"/>
      <c r="Y395" s="726"/>
      <c r="Z395" s="726"/>
      <c r="AA395" s="726"/>
      <c r="AB395" s="726"/>
      <c r="AC395" s="726"/>
      <c r="AD395" s="726"/>
      <c r="AE395" s="726"/>
      <c r="AF395" s="726"/>
      <c r="AG395" s="726"/>
      <c r="AH395" s="726"/>
      <c r="AI395" s="726"/>
      <c r="AJ395" s="726"/>
      <c r="AK395" s="726"/>
      <c r="AL395" s="726"/>
      <c r="AM395" s="726"/>
      <c r="AN395" s="726"/>
      <c r="AO395" s="726"/>
      <c r="AP395" s="726"/>
      <c r="AQ395" s="726"/>
      <c r="AR395" s="726"/>
      <c r="AS395" s="726"/>
      <c r="AT395" s="726"/>
      <c r="AU395" s="726"/>
      <c r="AV395" s="726"/>
      <c r="AW395" s="726"/>
      <c r="AX395" s="726"/>
      <c r="AY395" s="726"/>
      <c r="AZ395" s="726"/>
      <c r="BA395" s="726"/>
      <c r="BB395" s="726"/>
      <c r="BC395" s="726"/>
      <c r="BD395" s="726"/>
      <c r="BE395" s="726"/>
      <c r="BF395" s="726"/>
      <c r="BG395" s="726"/>
      <c r="BH395" s="726"/>
      <c r="BI395" s="726"/>
      <c r="BJ395" s="726"/>
      <c r="BK395" s="726"/>
      <c r="BL395" s="726"/>
      <c r="BM395" s="726"/>
      <c r="BN395" s="726"/>
      <c r="BO395" s="726"/>
      <c r="BP395" s="726"/>
      <c r="BQ395" s="726"/>
      <c r="BR395" s="726"/>
      <c r="BS395" s="726"/>
    </row>
    <row r="396" spans="1:71" s="563" customFormat="1">
      <c r="A396" s="614"/>
      <c r="E396" s="565"/>
      <c r="F396" s="565"/>
      <c r="Q396" s="726"/>
      <c r="R396" s="726"/>
      <c r="S396" s="726"/>
      <c r="T396" s="726"/>
      <c r="U396" s="726"/>
      <c r="V396" s="726"/>
      <c r="W396" s="726"/>
      <c r="X396" s="726"/>
      <c r="Y396" s="726"/>
      <c r="Z396" s="726"/>
      <c r="AA396" s="726"/>
      <c r="AB396" s="726"/>
      <c r="AC396" s="726"/>
      <c r="AD396" s="726"/>
      <c r="AE396" s="726"/>
      <c r="AF396" s="726"/>
      <c r="AG396" s="726"/>
      <c r="AH396" s="726"/>
      <c r="AI396" s="726"/>
      <c r="AJ396" s="726"/>
      <c r="AK396" s="726"/>
      <c r="AL396" s="726"/>
      <c r="AM396" s="726"/>
      <c r="AN396" s="726"/>
      <c r="AO396" s="726"/>
      <c r="AP396" s="726"/>
      <c r="AQ396" s="726"/>
      <c r="AR396" s="726"/>
      <c r="AS396" s="726"/>
      <c r="AT396" s="726"/>
      <c r="AU396" s="726"/>
      <c r="AV396" s="726"/>
      <c r="AW396" s="726"/>
      <c r="AX396" s="726"/>
      <c r="AY396" s="726"/>
      <c r="AZ396" s="726"/>
      <c r="BA396" s="726"/>
      <c r="BB396" s="726"/>
      <c r="BC396" s="726"/>
      <c r="BD396" s="726"/>
      <c r="BE396" s="726"/>
      <c r="BF396" s="726"/>
      <c r="BG396" s="726"/>
      <c r="BH396" s="726"/>
      <c r="BI396" s="726"/>
      <c r="BJ396" s="726"/>
      <c r="BK396" s="726"/>
      <c r="BL396" s="726"/>
      <c r="BM396" s="726"/>
      <c r="BN396" s="726"/>
      <c r="BO396" s="726"/>
      <c r="BP396" s="726"/>
      <c r="BQ396" s="726"/>
      <c r="BR396" s="726"/>
      <c r="BS396" s="726"/>
    </row>
    <row r="397" spans="1:71" s="563" customFormat="1">
      <c r="A397" s="614"/>
      <c r="E397" s="565"/>
      <c r="F397" s="565"/>
      <c r="Q397" s="726"/>
      <c r="R397" s="726"/>
      <c r="S397" s="726"/>
      <c r="T397" s="726"/>
      <c r="U397" s="726"/>
      <c r="V397" s="726"/>
      <c r="W397" s="726"/>
      <c r="X397" s="726"/>
      <c r="Y397" s="726"/>
      <c r="Z397" s="726"/>
      <c r="AA397" s="726"/>
      <c r="AB397" s="726"/>
      <c r="AC397" s="726"/>
      <c r="AD397" s="726"/>
      <c r="AE397" s="726"/>
      <c r="AF397" s="726"/>
      <c r="AG397" s="726"/>
      <c r="AH397" s="726"/>
      <c r="AI397" s="726"/>
      <c r="AJ397" s="726"/>
      <c r="AK397" s="726"/>
      <c r="AL397" s="726"/>
      <c r="AM397" s="726"/>
      <c r="AN397" s="726"/>
      <c r="AO397" s="726"/>
      <c r="AP397" s="726"/>
      <c r="AQ397" s="726"/>
      <c r="AR397" s="726"/>
      <c r="AS397" s="726"/>
      <c r="AT397" s="726"/>
      <c r="AU397" s="726"/>
      <c r="AV397" s="726"/>
      <c r="AW397" s="726"/>
      <c r="AX397" s="726"/>
      <c r="AY397" s="726"/>
      <c r="AZ397" s="726"/>
      <c r="BA397" s="726"/>
      <c r="BB397" s="726"/>
      <c r="BC397" s="726"/>
      <c r="BD397" s="726"/>
      <c r="BE397" s="726"/>
      <c r="BF397" s="726"/>
      <c r="BG397" s="726"/>
      <c r="BH397" s="726"/>
      <c r="BI397" s="726"/>
      <c r="BJ397" s="726"/>
      <c r="BK397" s="726"/>
      <c r="BL397" s="726"/>
      <c r="BM397" s="726"/>
      <c r="BN397" s="726"/>
      <c r="BO397" s="726"/>
      <c r="BP397" s="726"/>
      <c r="BQ397" s="726"/>
      <c r="BR397" s="726"/>
      <c r="BS397" s="726"/>
    </row>
    <row r="398" spans="1:71" s="563" customFormat="1">
      <c r="A398" s="614"/>
      <c r="E398" s="565"/>
      <c r="F398" s="565"/>
      <c r="Q398" s="726"/>
      <c r="R398" s="726"/>
      <c r="S398" s="726"/>
      <c r="T398" s="726"/>
      <c r="U398" s="726"/>
      <c r="V398" s="726"/>
      <c r="W398" s="726"/>
      <c r="X398" s="726"/>
      <c r="Y398" s="726"/>
      <c r="Z398" s="726"/>
      <c r="AA398" s="726"/>
      <c r="AB398" s="726"/>
      <c r="AC398" s="726"/>
      <c r="AD398" s="726"/>
      <c r="AE398" s="726"/>
      <c r="AF398" s="726"/>
      <c r="AG398" s="726"/>
      <c r="AH398" s="726"/>
      <c r="AI398" s="726"/>
      <c r="AJ398" s="726"/>
      <c r="AK398" s="726"/>
      <c r="AL398" s="726"/>
      <c r="AM398" s="726"/>
      <c r="AN398" s="726"/>
      <c r="AO398" s="726"/>
      <c r="AP398" s="726"/>
      <c r="AQ398" s="726"/>
      <c r="AR398" s="726"/>
      <c r="AS398" s="726"/>
      <c r="AT398" s="726"/>
      <c r="AU398" s="726"/>
      <c r="AV398" s="726"/>
      <c r="AW398" s="726"/>
      <c r="AX398" s="726"/>
      <c r="AY398" s="726"/>
      <c r="AZ398" s="726"/>
      <c r="BA398" s="726"/>
      <c r="BB398" s="726"/>
      <c r="BC398" s="726"/>
      <c r="BD398" s="726"/>
      <c r="BE398" s="726"/>
      <c r="BF398" s="726"/>
      <c r="BG398" s="726"/>
      <c r="BH398" s="726"/>
      <c r="BI398" s="726"/>
      <c r="BJ398" s="726"/>
      <c r="BK398" s="726"/>
      <c r="BL398" s="726"/>
      <c r="BM398" s="726"/>
      <c r="BN398" s="726"/>
      <c r="BO398" s="726"/>
      <c r="BP398" s="726"/>
      <c r="BQ398" s="726"/>
      <c r="BR398" s="726"/>
      <c r="BS398" s="726"/>
    </row>
    <row r="399" spans="1:71" s="563" customFormat="1">
      <c r="A399" s="614"/>
      <c r="E399" s="565"/>
      <c r="F399" s="565"/>
      <c r="Q399" s="726"/>
      <c r="R399" s="726"/>
      <c r="S399" s="726"/>
      <c r="T399" s="726"/>
      <c r="U399" s="726"/>
      <c r="V399" s="726"/>
      <c r="W399" s="726"/>
      <c r="X399" s="726"/>
      <c r="Y399" s="726"/>
      <c r="Z399" s="726"/>
      <c r="AA399" s="726"/>
      <c r="AB399" s="726"/>
      <c r="AC399" s="726"/>
      <c r="AD399" s="726"/>
      <c r="AE399" s="726"/>
      <c r="AF399" s="726"/>
      <c r="AG399" s="726"/>
      <c r="AH399" s="726"/>
      <c r="AI399" s="726"/>
      <c r="AJ399" s="726"/>
      <c r="AK399" s="726"/>
      <c r="AL399" s="726"/>
      <c r="AM399" s="726"/>
      <c r="AN399" s="726"/>
      <c r="AO399" s="726"/>
      <c r="AP399" s="726"/>
      <c r="AQ399" s="726"/>
      <c r="AR399" s="726"/>
      <c r="AS399" s="726"/>
      <c r="AT399" s="726"/>
      <c r="AU399" s="726"/>
      <c r="AV399" s="726"/>
      <c r="AW399" s="726"/>
      <c r="AX399" s="726"/>
      <c r="AY399" s="726"/>
      <c r="AZ399" s="726"/>
      <c r="BA399" s="726"/>
      <c r="BB399" s="726"/>
      <c r="BC399" s="726"/>
      <c r="BD399" s="726"/>
      <c r="BE399" s="726"/>
      <c r="BF399" s="726"/>
      <c r="BG399" s="726"/>
      <c r="BH399" s="726"/>
      <c r="BI399" s="726"/>
      <c r="BJ399" s="726"/>
      <c r="BK399" s="726"/>
      <c r="BL399" s="726"/>
      <c r="BM399" s="726"/>
      <c r="BN399" s="726"/>
      <c r="BO399" s="726"/>
      <c r="BP399" s="726"/>
      <c r="BQ399" s="726"/>
      <c r="BR399" s="726"/>
      <c r="BS399" s="726"/>
    </row>
    <row r="400" spans="1:71" s="563" customFormat="1">
      <c r="A400" s="614"/>
      <c r="E400" s="565"/>
      <c r="F400" s="565"/>
      <c r="Q400" s="726"/>
      <c r="R400" s="726"/>
      <c r="S400" s="726"/>
      <c r="T400" s="726"/>
      <c r="U400" s="726"/>
      <c r="V400" s="726"/>
      <c r="W400" s="726"/>
      <c r="X400" s="726"/>
      <c r="Y400" s="726"/>
      <c r="Z400" s="726"/>
      <c r="AA400" s="726"/>
      <c r="AB400" s="726"/>
      <c r="AC400" s="726"/>
      <c r="AD400" s="726"/>
      <c r="AE400" s="726"/>
      <c r="AF400" s="726"/>
      <c r="AG400" s="726"/>
      <c r="AH400" s="726"/>
      <c r="AI400" s="726"/>
      <c r="AJ400" s="726"/>
      <c r="AK400" s="726"/>
      <c r="AL400" s="726"/>
      <c r="AM400" s="726"/>
      <c r="AN400" s="726"/>
      <c r="AO400" s="726"/>
      <c r="AP400" s="726"/>
      <c r="AQ400" s="726"/>
      <c r="AR400" s="726"/>
      <c r="AS400" s="726"/>
      <c r="AT400" s="726"/>
      <c r="AU400" s="726"/>
      <c r="AV400" s="726"/>
      <c r="AW400" s="726"/>
      <c r="AX400" s="726"/>
      <c r="AY400" s="726"/>
      <c r="AZ400" s="726"/>
      <c r="BA400" s="726"/>
      <c r="BB400" s="726"/>
      <c r="BC400" s="726"/>
      <c r="BD400" s="726"/>
      <c r="BE400" s="726"/>
      <c r="BF400" s="726"/>
      <c r="BG400" s="726"/>
      <c r="BH400" s="726"/>
      <c r="BI400" s="726"/>
      <c r="BJ400" s="726"/>
      <c r="BK400" s="726"/>
      <c r="BL400" s="726"/>
      <c r="BM400" s="726"/>
      <c r="BN400" s="726"/>
      <c r="BO400" s="726"/>
      <c r="BP400" s="726"/>
      <c r="BQ400" s="726"/>
      <c r="BR400" s="726"/>
      <c r="BS400" s="726"/>
    </row>
    <row r="401" spans="1:71" s="563" customFormat="1">
      <c r="A401" s="614"/>
      <c r="E401" s="565"/>
      <c r="F401" s="565"/>
      <c r="Q401" s="726"/>
      <c r="R401" s="726"/>
      <c r="S401" s="726"/>
      <c r="T401" s="726"/>
      <c r="U401" s="726"/>
      <c r="V401" s="726"/>
      <c r="W401" s="726"/>
      <c r="X401" s="726"/>
      <c r="Y401" s="726"/>
      <c r="Z401" s="726"/>
      <c r="AA401" s="726"/>
      <c r="AB401" s="726"/>
      <c r="AC401" s="726"/>
      <c r="AD401" s="726"/>
      <c r="AE401" s="726"/>
      <c r="AF401" s="726"/>
      <c r="AG401" s="726"/>
      <c r="AH401" s="726"/>
      <c r="AI401" s="726"/>
      <c r="AJ401" s="726"/>
      <c r="AK401" s="726"/>
      <c r="AL401" s="726"/>
      <c r="AM401" s="726"/>
      <c r="AN401" s="726"/>
      <c r="AO401" s="726"/>
      <c r="AP401" s="726"/>
      <c r="AQ401" s="726"/>
      <c r="AR401" s="726"/>
      <c r="AS401" s="726"/>
      <c r="AT401" s="726"/>
      <c r="AU401" s="726"/>
      <c r="AV401" s="726"/>
      <c r="AW401" s="726"/>
      <c r="AX401" s="726"/>
      <c r="AY401" s="726"/>
      <c r="AZ401" s="726"/>
      <c r="BA401" s="726"/>
      <c r="BB401" s="726"/>
      <c r="BC401" s="726"/>
      <c r="BD401" s="726"/>
      <c r="BE401" s="726"/>
      <c r="BF401" s="726"/>
      <c r="BG401" s="726"/>
      <c r="BH401" s="726"/>
      <c r="BI401" s="726"/>
      <c r="BJ401" s="726"/>
      <c r="BK401" s="726"/>
      <c r="BL401" s="726"/>
      <c r="BM401" s="726"/>
      <c r="BN401" s="726"/>
      <c r="BO401" s="726"/>
      <c r="BP401" s="726"/>
      <c r="BQ401" s="726"/>
      <c r="BR401" s="726"/>
      <c r="BS401" s="726"/>
    </row>
    <row r="402" spans="1:71" s="563" customFormat="1">
      <c r="A402" s="614"/>
      <c r="E402" s="565"/>
      <c r="F402" s="565"/>
      <c r="Q402" s="726"/>
      <c r="R402" s="726"/>
      <c r="S402" s="726"/>
      <c r="T402" s="726"/>
      <c r="U402" s="726"/>
      <c r="V402" s="726"/>
      <c r="W402" s="726"/>
      <c r="X402" s="726"/>
      <c r="Y402" s="726"/>
      <c r="Z402" s="726"/>
      <c r="AA402" s="726"/>
      <c r="AB402" s="726"/>
      <c r="AC402" s="726"/>
      <c r="AD402" s="726"/>
      <c r="AE402" s="726"/>
      <c r="AF402" s="726"/>
      <c r="AG402" s="726"/>
      <c r="AH402" s="726"/>
      <c r="AI402" s="726"/>
      <c r="AJ402" s="726"/>
      <c r="AK402" s="726"/>
      <c r="AL402" s="726"/>
      <c r="AM402" s="726"/>
      <c r="AN402" s="726"/>
      <c r="AO402" s="726"/>
      <c r="AP402" s="726"/>
      <c r="AQ402" s="726"/>
      <c r="AR402" s="726"/>
      <c r="AS402" s="726"/>
      <c r="AT402" s="726"/>
      <c r="AU402" s="726"/>
      <c r="AV402" s="726"/>
      <c r="AW402" s="726"/>
      <c r="AX402" s="726"/>
      <c r="AY402" s="726"/>
      <c r="AZ402" s="726"/>
      <c r="BA402" s="726"/>
      <c r="BB402" s="726"/>
      <c r="BC402" s="726"/>
      <c r="BD402" s="726"/>
      <c r="BE402" s="726"/>
      <c r="BF402" s="726"/>
      <c r="BG402" s="726"/>
      <c r="BH402" s="726"/>
      <c r="BI402" s="726"/>
      <c r="BJ402" s="726"/>
      <c r="BK402" s="726"/>
      <c r="BL402" s="726"/>
      <c r="BM402" s="726"/>
      <c r="BN402" s="726"/>
      <c r="BO402" s="726"/>
      <c r="BP402" s="726"/>
      <c r="BQ402" s="726"/>
      <c r="BR402" s="726"/>
      <c r="BS402" s="726"/>
    </row>
    <row r="403" spans="1:71" s="563" customFormat="1">
      <c r="A403" s="614"/>
      <c r="E403" s="565"/>
      <c r="F403" s="565"/>
      <c r="Q403" s="726"/>
      <c r="R403" s="726"/>
      <c r="S403" s="726"/>
      <c r="T403" s="726"/>
      <c r="U403" s="726"/>
      <c r="V403" s="726"/>
      <c r="W403" s="726"/>
      <c r="X403" s="726"/>
      <c r="Y403" s="726"/>
      <c r="Z403" s="726"/>
      <c r="AA403" s="726"/>
      <c r="AB403" s="726"/>
      <c r="AC403" s="726"/>
      <c r="AD403" s="726"/>
      <c r="AE403" s="726"/>
      <c r="AF403" s="726"/>
      <c r="AG403" s="726"/>
      <c r="AH403" s="726"/>
      <c r="AI403" s="726"/>
      <c r="AJ403" s="726"/>
      <c r="AK403" s="726"/>
      <c r="AL403" s="726"/>
      <c r="AM403" s="726"/>
      <c r="AN403" s="726"/>
      <c r="AO403" s="726"/>
      <c r="AP403" s="726"/>
      <c r="AQ403" s="726"/>
      <c r="AR403" s="726"/>
      <c r="AS403" s="726"/>
      <c r="AT403" s="726"/>
      <c r="AU403" s="726"/>
      <c r="AV403" s="726"/>
      <c r="AW403" s="726"/>
      <c r="AX403" s="726"/>
      <c r="AY403" s="726"/>
      <c r="AZ403" s="726"/>
      <c r="BA403" s="726"/>
      <c r="BB403" s="726"/>
      <c r="BC403" s="726"/>
      <c r="BD403" s="726"/>
      <c r="BE403" s="726"/>
      <c r="BF403" s="726"/>
      <c r="BG403" s="726"/>
      <c r="BH403" s="726"/>
      <c r="BI403" s="726"/>
      <c r="BJ403" s="726"/>
      <c r="BK403" s="726"/>
      <c r="BL403" s="726"/>
      <c r="BM403" s="726"/>
      <c r="BN403" s="726"/>
      <c r="BO403" s="726"/>
      <c r="BP403" s="726"/>
      <c r="BQ403" s="726"/>
      <c r="BR403" s="726"/>
      <c r="BS403" s="726"/>
    </row>
    <row r="404" spans="1:71" s="563" customFormat="1">
      <c r="A404" s="614"/>
      <c r="E404" s="565"/>
      <c r="F404" s="565"/>
      <c r="Q404" s="726"/>
      <c r="R404" s="726"/>
      <c r="S404" s="726"/>
      <c r="T404" s="726"/>
      <c r="U404" s="726"/>
      <c r="V404" s="726"/>
      <c r="W404" s="726"/>
      <c r="X404" s="726"/>
      <c r="Y404" s="726"/>
      <c r="Z404" s="726"/>
      <c r="AA404" s="726"/>
      <c r="AB404" s="726"/>
      <c r="AC404" s="726"/>
      <c r="AD404" s="726"/>
      <c r="AE404" s="726"/>
      <c r="AF404" s="726"/>
      <c r="AG404" s="726"/>
      <c r="AH404" s="726"/>
      <c r="AI404" s="726"/>
      <c r="AJ404" s="726"/>
      <c r="AK404" s="726"/>
      <c r="AL404" s="726"/>
      <c r="AM404" s="726"/>
      <c r="AN404" s="726"/>
      <c r="AO404" s="726"/>
      <c r="AP404" s="726"/>
      <c r="AQ404" s="726"/>
      <c r="AR404" s="726"/>
      <c r="AS404" s="726"/>
      <c r="AT404" s="726"/>
      <c r="AU404" s="726"/>
      <c r="AV404" s="726"/>
      <c r="AW404" s="726"/>
      <c r="AX404" s="726"/>
      <c r="AY404" s="726"/>
      <c r="AZ404" s="726"/>
      <c r="BA404" s="726"/>
      <c r="BB404" s="726"/>
      <c r="BC404" s="726"/>
      <c r="BD404" s="726"/>
      <c r="BE404" s="726"/>
      <c r="BF404" s="726"/>
      <c r="BG404" s="726"/>
      <c r="BH404" s="726"/>
      <c r="BI404" s="726"/>
      <c r="BJ404" s="726"/>
      <c r="BK404" s="726"/>
      <c r="BL404" s="726"/>
      <c r="BM404" s="726"/>
      <c r="BN404" s="726"/>
      <c r="BO404" s="726"/>
      <c r="BP404" s="726"/>
      <c r="BQ404" s="726"/>
      <c r="BR404" s="726"/>
      <c r="BS404" s="726"/>
    </row>
    <row r="405" spans="1:71" s="563" customFormat="1">
      <c r="A405" s="614"/>
      <c r="E405" s="565"/>
      <c r="F405" s="565"/>
      <c r="Q405" s="726"/>
      <c r="R405" s="726"/>
      <c r="S405" s="726"/>
      <c r="T405" s="726"/>
      <c r="U405" s="726"/>
      <c r="V405" s="726"/>
      <c r="W405" s="726"/>
      <c r="X405" s="726"/>
      <c r="Y405" s="726"/>
      <c r="Z405" s="726"/>
      <c r="AA405" s="726"/>
      <c r="AB405" s="726"/>
      <c r="AC405" s="726"/>
      <c r="AD405" s="726"/>
      <c r="AE405" s="726"/>
      <c r="AF405" s="726"/>
      <c r="AG405" s="726"/>
      <c r="AH405" s="726"/>
      <c r="AI405" s="726"/>
      <c r="AJ405" s="726"/>
      <c r="AK405" s="726"/>
      <c r="AL405" s="726"/>
      <c r="AM405" s="726"/>
      <c r="AN405" s="726"/>
      <c r="AO405" s="726"/>
      <c r="AP405" s="726"/>
      <c r="AQ405" s="726"/>
      <c r="AR405" s="726"/>
      <c r="AS405" s="726"/>
      <c r="AT405" s="726"/>
      <c r="AU405" s="726"/>
      <c r="AV405" s="726"/>
      <c r="AW405" s="726"/>
      <c r="AX405" s="726"/>
      <c r="AY405" s="726"/>
      <c r="AZ405" s="726"/>
      <c r="BA405" s="726"/>
      <c r="BB405" s="726"/>
      <c r="BC405" s="726"/>
      <c r="BD405" s="726"/>
      <c r="BE405" s="726"/>
      <c r="BF405" s="726"/>
      <c r="BG405" s="726"/>
      <c r="BH405" s="726"/>
      <c r="BI405" s="726"/>
      <c r="BJ405" s="726"/>
      <c r="BK405" s="726"/>
      <c r="BL405" s="726"/>
      <c r="BM405" s="726"/>
      <c r="BN405" s="726"/>
      <c r="BO405" s="726"/>
      <c r="BP405" s="726"/>
      <c r="BQ405" s="726"/>
      <c r="BR405" s="726"/>
      <c r="BS405" s="726"/>
    </row>
    <row r="406" spans="1:71" s="563" customFormat="1">
      <c r="A406" s="614"/>
      <c r="E406" s="565"/>
      <c r="F406" s="565"/>
      <c r="Q406" s="726"/>
      <c r="R406" s="726"/>
      <c r="S406" s="726"/>
      <c r="T406" s="726"/>
      <c r="U406" s="726"/>
      <c r="V406" s="726"/>
      <c r="W406" s="726"/>
      <c r="X406" s="726"/>
      <c r="Y406" s="726"/>
      <c r="Z406" s="726"/>
      <c r="AA406" s="726"/>
      <c r="AB406" s="726"/>
      <c r="AC406" s="726"/>
      <c r="AD406" s="726"/>
      <c r="AE406" s="726"/>
      <c r="AF406" s="726"/>
      <c r="AG406" s="726"/>
      <c r="AH406" s="726"/>
      <c r="AI406" s="726"/>
      <c r="AJ406" s="726"/>
      <c r="AK406" s="726"/>
      <c r="AL406" s="726"/>
      <c r="AM406" s="726"/>
      <c r="AN406" s="726"/>
      <c r="AO406" s="726"/>
      <c r="AP406" s="726"/>
      <c r="AQ406" s="726"/>
      <c r="AR406" s="726"/>
      <c r="AS406" s="726"/>
      <c r="AT406" s="726"/>
      <c r="AU406" s="726"/>
      <c r="AV406" s="726"/>
      <c r="AW406" s="726"/>
      <c r="AX406" s="726"/>
      <c r="AY406" s="726"/>
      <c r="AZ406" s="726"/>
      <c r="BA406" s="726"/>
      <c r="BB406" s="726"/>
      <c r="BC406" s="726"/>
      <c r="BD406" s="726"/>
      <c r="BE406" s="726"/>
      <c r="BF406" s="726"/>
      <c r="BG406" s="726"/>
      <c r="BH406" s="726"/>
      <c r="BI406" s="726"/>
      <c r="BJ406" s="726"/>
      <c r="BK406" s="726"/>
      <c r="BL406" s="726"/>
      <c r="BM406" s="726"/>
      <c r="BN406" s="726"/>
      <c r="BO406" s="726"/>
      <c r="BP406" s="726"/>
      <c r="BQ406" s="726"/>
      <c r="BR406" s="726"/>
      <c r="BS406" s="726"/>
    </row>
    <row r="407" spans="1:71" s="563" customFormat="1">
      <c r="A407" s="614"/>
      <c r="E407" s="565"/>
      <c r="F407" s="565"/>
      <c r="Q407" s="726"/>
      <c r="R407" s="726"/>
      <c r="S407" s="726"/>
      <c r="T407" s="726"/>
      <c r="U407" s="726"/>
      <c r="V407" s="726"/>
      <c r="W407" s="726"/>
      <c r="X407" s="726"/>
      <c r="Y407" s="726"/>
      <c r="Z407" s="726"/>
      <c r="AA407" s="726"/>
      <c r="AB407" s="726"/>
      <c r="AC407" s="726"/>
      <c r="AD407" s="726"/>
      <c r="AE407" s="726"/>
      <c r="AF407" s="726"/>
      <c r="AG407" s="726"/>
      <c r="AH407" s="726"/>
      <c r="AI407" s="726"/>
      <c r="AJ407" s="726"/>
      <c r="AK407" s="726"/>
      <c r="AL407" s="726"/>
      <c r="AM407" s="726"/>
      <c r="AN407" s="726"/>
      <c r="AO407" s="726"/>
      <c r="AP407" s="726"/>
      <c r="AQ407" s="726"/>
      <c r="AR407" s="726"/>
      <c r="AS407" s="726"/>
      <c r="AT407" s="726"/>
      <c r="AU407" s="726"/>
      <c r="AV407" s="726"/>
      <c r="AW407" s="726"/>
      <c r="AX407" s="726"/>
      <c r="AY407" s="726"/>
      <c r="AZ407" s="726"/>
      <c r="BA407" s="726"/>
      <c r="BB407" s="726"/>
      <c r="BC407" s="726"/>
      <c r="BD407" s="726"/>
      <c r="BE407" s="726"/>
      <c r="BF407" s="726"/>
      <c r="BG407" s="726"/>
      <c r="BH407" s="726"/>
      <c r="BI407" s="726"/>
      <c r="BJ407" s="726"/>
      <c r="BK407" s="726"/>
      <c r="BL407" s="726"/>
      <c r="BM407" s="726"/>
      <c r="BN407" s="726"/>
      <c r="BO407" s="726"/>
      <c r="BP407" s="726"/>
      <c r="BQ407" s="726"/>
      <c r="BR407" s="726"/>
      <c r="BS407" s="726"/>
    </row>
    <row r="408" spans="1:71" s="563" customFormat="1">
      <c r="A408" s="614"/>
      <c r="E408" s="565"/>
      <c r="F408" s="565"/>
      <c r="Q408" s="726"/>
      <c r="R408" s="726"/>
      <c r="S408" s="726"/>
      <c r="T408" s="726"/>
      <c r="U408" s="726"/>
      <c r="V408" s="726"/>
      <c r="W408" s="726"/>
      <c r="X408" s="726"/>
      <c r="Y408" s="726"/>
      <c r="Z408" s="726"/>
      <c r="AA408" s="726"/>
      <c r="AB408" s="726"/>
      <c r="AC408" s="726"/>
      <c r="AD408" s="726"/>
      <c r="AE408" s="726"/>
      <c r="AF408" s="726"/>
      <c r="AG408" s="726"/>
      <c r="AH408" s="726"/>
      <c r="AI408" s="726"/>
      <c r="AJ408" s="726"/>
      <c r="AK408" s="726"/>
      <c r="AL408" s="726"/>
      <c r="AM408" s="726"/>
      <c r="AN408" s="726"/>
      <c r="AO408" s="726"/>
      <c r="AP408" s="726"/>
      <c r="AQ408" s="726"/>
      <c r="AR408" s="726"/>
      <c r="AS408" s="726"/>
      <c r="AT408" s="726"/>
      <c r="AU408" s="726"/>
      <c r="AV408" s="726"/>
      <c r="AW408" s="726"/>
      <c r="AX408" s="726"/>
      <c r="AY408" s="726"/>
      <c r="AZ408" s="726"/>
      <c r="BA408" s="726"/>
      <c r="BB408" s="726"/>
      <c r="BC408" s="726"/>
      <c r="BD408" s="726"/>
      <c r="BE408" s="726"/>
      <c r="BF408" s="726"/>
      <c r="BG408" s="726"/>
      <c r="BH408" s="726"/>
      <c r="BI408" s="726"/>
      <c r="BJ408" s="726"/>
      <c r="BK408" s="726"/>
      <c r="BL408" s="726"/>
      <c r="BM408" s="726"/>
      <c r="BN408" s="726"/>
      <c r="BO408" s="726"/>
      <c r="BP408" s="726"/>
      <c r="BQ408" s="726"/>
      <c r="BR408" s="726"/>
      <c r="BS408" s="726"/>
    </row>
    <row r="409" spans="1:71" s="563" customFormat="1">
      <c r="A409" s="614"/>
      <c r="E409" s="565"/>
      <c r="F409" s="565"/>
      <c r="Q409" s="726"/>
      <c r="R409" s="726"/>
      <c r="S409" s="726"/>
      <c r="T409" s="726"/>
      <c r="U409" s="726"/>
      <c r="V409" s="726"/>
      <c r="W409" s="726"/>
      <c r="X409" s="726"/>
      <c r="Y409" s="726"/>
      <c r="Z409" s="726"/>
      <c r="AA409" s="726"/>
      <c r="AB409" s="726"/>
      <c r="AC409" s="726"/>
      <c r="AD409" s="726"/>
      <c r="AE409" s="726"/>
      <c r="AF409" s="726"/>
      <c r="AG409" s="726"/>
      <c r="AH409" s="726"/>
      <c r="AI409" s="726"/>
      <c r="AJ409" s="726"/>
      <c r="AK409" s="726"/>
      <c r="AL409" s="726"/>
      <c r="AM409" s="726"/>
      <c r="AN409" s="726"/>
      <c r="AO409" s="726"/>
      <c r="AP409" s="726"/>
      <c r="AQ409" s="726"/>
      <c r="AR409" s="726"/>
      <c r="AS409" s="726"/>
      <c r="AT409" s="726"/>
      <c r="AU409" s="726"/>
      <c r="AV409" s="726"/>
      <c r="AW409" s="726"/>
      <c r="AX409" s="726"/>
      <c r="AY409" s="726"/>
      <c r="AZ409" s="726"/>
      <c r="BA409" s="726"/>
      <c r="BB409" s="726"/>
      <c r="BC409" s="726"/>
      <c r="BD409" s="726"/>
      <c r="BE409" s="726"/>
      <c r="BF409" s="726"/>
      <c r="BG409" s="726"/>
      <c r="BH409" s="726"/>
      <c r="BI409" s="726"/>
      <c r="BJ409" s="726"/>
      <c r="BK409" s="726"/>
      <c r="BL409" s="726"/>
      <c r="BM409" s="726"/>
      <c r="BN409" s="726"/>
      <c r="BO409" s="726"/>
      <c r="BP409" s="726"/>
      <c r="BQ409" s="726"/>
      <c r="BR409" s="726"/>
      <c r="BS409" s="726"/>
    </row>
    <row r="410" spans="1:71" s="563" customFormat="1">
      <c r="A410" s="614"/>
      <c r="E410" s="565"/>
      <c r="F410" s="565"/>
      <c r="Q410" s="726"/>
      <c r="R410" s="726"/>
      <c r="S410" s="726"/>
      <c r="T410" s="726"/>
      <c r="U410" s="726"/>
      <c r="V410" s="726"/>
      <c r="W410" s="726"/>
      <c r="X410" s="726"/>
      <c r="Y410" s="726"/>
      <c r="Z410" s="726"/>
      <c r="AA410" s="726"/>
      <c r="AB410" s="726"/>
      <c r="AC410" s="726"/>
      <c r="AD410" s="726"/>
      <c r="AE410" s="726"/>
      <c r="AF410" s="726"/>
      <c r="AG410" s="726"/>
      <c r="AH410" s="726"/>
      <c r="AI410" s="726"/>
      <c r="AJ410" s="726"/>
      <c r="AK410" s="726"/>
      <c r="AL410" s="726"/>
      <c r="AM410" s="726"/>
      <c r="AN410" s="726"/>
      <c r="AO410" s="726"/>
      <c r="AP410" s="726"/>
      <c r="AQ410" s="726"/>
      <c r="AR410" s="726"/>
      <c r="AS410" s="726"/>
      <c r="AT410" s="726"/>
      <c r="AU410" s="726"/>
      <c r="AV410" s="726"/>
      <c r="AW410" s="726"/>
      <c r="AX410" s="726"/>
      <c r="AY410" s="726"/>
      <c r="AZ410" s="726"/>
      <c r="BA410" s="726"/>
      <c r="BB410" s="726"/>
      <c r="BC410" s="726"/>
      <c r="BD410" s="726"/>
      <c r="BE410" s="726"/>
      <c r="BF410" s="726"/>
      <c r="BG410" s="726"/>
      <c r="BH410" s="726"/>
      <c r="BI410" s="726"/>
      <c r="BJ410" s="726"/>
      <c r="BK410" s="726"/>
      <c r="BL410" s="726"/>
      <c r="BM410" s="726"/>
      <c r="BN410" s="726"/>
      <c r="BO410" s="726"/>
      <c r="BP410" s="726"/>
      <c r="BQ410" s="726"/>
      <c r="BR410" s="726"/>
      <c r="BS410" s="726"/>
    </row>
    <row r="411" spans="1:71" s="563" customFormat="1">
      <c r="A411" s="614"/>
      <c r="E411" s="565"/>
      <c r="F411" s="565"/>
      <c r="Q411" s="726"/>
      <c r="R411" s="726"/>
      <c r="S411" s="726"/>
      <c r="T411" s="726"/>
      <c r="U411" s="726"/>
      <c r="V411" s="726"/>
      <c r="W411" s="726"/>
      <c r="X411" s="726"/>
      <c r="Y411" s="726"/>
      <c r="Z411" s="726"/>
      <c r="AA411" s="726"/>
      <c r="AB411" s="726"/>
      <c r="AC411" s="726"/>
      <c r="AD411" s="726"/>
      <c r="AE411" s="726"/>
      <c r="AF411" s="726"/>
      <c r="AG411" s="726"/>
      <c r="AH411" s="726"/>
      <c r="AI411" s="726"/>
      <c r="AJ411" s="726"/>
      <c r="AK411" s="726"/>
      <c r="AL411" s="726"/>
      <c r="AM411" s="726"/>
      <c r="AN411" s="726"/>
      <c r="AO411" s="726"/>
      <c r="AP411" s="726"/>
      <c r="AQ411" s="726"/>
      <c r="AR411" s="726"/>
      <c r="AS411" s="726"/>
      <c r="AT411" s="726"/>
      <c r="AU411" s="726"/>
      <c r="AV411" s="726"/>
      <c r="AW411" s="726"/>
      <c r="AX411" s="726"/>
      <c r="AY411" s="726"/>
      <c r="AZ411" s="726"/>
      <c r="BA411" s="726"/>
      <c r="BB411" s="726"/>
      <c r="BC411" s="726"/>
      <c r="BD411" s="726"/>
      <c r="BE411" s="726"/>
      <c r="BF411" s="726"/>
      <c r="BG411" s="726"/>
      <c r="BH411" s="726"/>
      <c r="BI411" s="726"/>
      <c r="BJ411" s="726"/>
      <c r="BK411" s="726"/>
      <c r="BL411" s="726"/>
      <c r="BM411" s="726"/>
      <c r="BN411" s="726"/>
      <c r="BO411" s="726"/>
      <c r="BP411" s="726"/>
      <c r="BQ411" s="726"/>
      <c r="BR411" s="726"/>
      <c r="BS411" s="726"/>
    </row>
    <row r="412" spans="1:71" s="563" customFormat="1">
      <c r="A412" s="614"/>
      <c r="E412" s="565"/>
      <c r="F412" s="565"/>
      <c r="Q412" s="726"/>
      <c r="R412" s="726"/>
      <c r="S412" s="726"/>
      <c r="T412" s="726"/>
      <c r="U412" s="726"/>
      <c r="V412" s="726"/>
      <c r="W412" s="726"/>
      <c r="X412" s="726"/>
      <c r="Y412" s="726"/>
      <c r="Z412" s="726"/>
      <c r="AA412" s="726"/>
      <c r="AB412" s="726"/>
      <c r="AC412" s="726"/>
      <c r="AD412" s="726"/>
      <c r="AE412" s="726"/>
      <c r="AF412" s="726"/>
      <c r="AG412" s="726"/>
      <c r="AH412" s="726"/>
      <c r="AI412" s="726"/>
      <c r="AJ412" s="726"/>
      <c r="AK412" s="726"/>
      <c r="AL412" s="726"/>
      <c r="AM412" s="726"/>
      <c r="AN412" s="726"/>
      <c r="AO412" s="726"/>
      <c r="AP412" s="726"/>
      <c r="AQ412" s="726"/>
      <c r="AR412" s="726"/>
      <c r="AS412" s="726"/>
      <c r="AT412" s="726"/>
      <c r="AU412" s="726"/>
      <c r="AV412" s="726"/>
      <c r="AW412" s="726"/>
      <c r="AX412" s="726"/>
      <c r="AY412" s="726"/>
      <c r="AZ412" s="726"/>
      <c r="BA412" s="726"/>
      <c r="BB412" s="726"/>
      <c r="BC412" s="726"/>
      <c r="BD412" s="726"/>
      <c r="BE412" s="726"/>
      <c r="BF412" s="726"/>
      <c r="BG412" s="726"/>
      <c r="BH412" s="726"/>
      <c r="BI412" s="726"/>
      <c r="BJ412" s="726"/>
      <c r="BK412" s="726"/>
      <c r="BL412" s="726"/>
      <c r="BM412" s="726"/>
      <c r="BN412" s="726"/>
      <c r="BO412" s="726"/>
      <c r="BP412" s="726"/>
      <c r="BQ412" s="726"/>
      <c r="BR412" s="726"/>
      <c r="BS412" s="726"/>
    </row>
    <row r="413" spans="1:71" s="563" customFormat="1">
      <c r="A413" s="614"/>
      <c r="E413" s="565"/>
      <c r="F413" s="565"/>
      <c r="Q413" s="726"/>
      <c r="R413" s="726"/>
      <c r="S413" s="726"/>
      <c r="T413" s="726"/>
      <c r="U413" s="726"/>
      <c r="V413" s="726"/>
      <c r="W413" s="726"/>
      <c r="X413" s="726"/>
      <c r="Y413" s="726"/>
      <c r="Z413" s="726"/>
      <c r="AA413" s="726"/>
      <c r="AB413" s="726"/>
      <c r="AC413" s="726"/>
      <c r="AD413" s="726"/>
      <c r="AE413" s="726"/>
      <c r="AF413" s="726"/>
      <c r="AG413" s="726"/>
      <c r="AH413" s="726"/>
      <c r="AI413" s="726"/>
      <c r="AJ413" s="726"/>
      <c r="AK413" s="726"/>
      <c r="AL413" s="726"/>
      <c r="AM413" s="726"/>
      <c r="AN413" s="726"/>
      <c r="AO413" s="726"/>
      <c r="AP413" s="726"/>
      <c r="AQ413" s="726"/>
      <c r="AR413" s="726"/>
      <c r="AS413" s="726"/>
      <c r="AT413" s="726"/>
      <c r="AU413" s="726"/>
      <c r="AV413" s="726"/>
      <c r="AW413" s="726"/>
      <c r="AX413" s="726"/>
      <c r="AY413" s="726"/>
      <c r="AZ413" s="726"/>
      <c r="BA413" s="726"/>
      <c r="BB413" s="726"/>
      <c r="BC413" s="726"/>
      <c r="BD413" s="726"/>
      <c r="BE413" s="726"/>
      <c r="BF413" s="726"/>
      <c r="BG413" s="726"/>
      <c r="BH413" s="726"/>
      <c r="BI413" s="726"/>
      <c r="BJ413" s="726"/>
      <c r="BK413" s="726"/>
      <c r="BL413" s="726"/>
      <c r="BM413" s="726"/>
      <c r="BN413" s="726"/>
      <c r="BO413" s="726"/>
      <c r="BP413" s="726"/>
      <c r="BQ413" s="726"/>
      <c r="BR413" s="726"/>
      <c r="BS413" s="726"/>
    </row>
    <row r="414" spans="1:71" s="563" customFormat="1">
      <c r="A414" s="614"/>
      <c r="E414" s="565"/>
      <c r="F414" s="565"/>
      <c r="Q414" s="726"/>
      <c r="R414" s="726"/>
      <c r="S414" s="726"/>
      <c r="T414" s="726"/>
      <c r="U414" s="726"/>
      <c r="V414" s="726"/>
      <c r="W414" s="726"/>
      <c r="X414" s="726"/>
      <c r="Y414" s="726"/>
      <c r="Z414" s="726"/>
      <c r="AA414" s="726"/>
      <c r="AB414" s="726"/>
      <c r="AC414" s="726"/>
      <c r="AD414" s="726"/>
      <c r="AE414" s="726"/>
      <c r="AF414" s="726"/>
      <c r="AG414" s="726"/>
      <c r="AH414" s="726"/>
      <c r="AI414" s="726"/>
      <c r="AJ414" s="726"/>
      <c r="AK414" s="726"/>
      <c r="AL414" s="726"/>
      <c r="AM414" s="726"/>
      <c r="AN414" s="726"/>
      <c r="AO414" s="726"/>
      <c r="AP414" s="726"/>
      <c r="AQ414" s="726"/>
      <c r="AR414" s="726"/>
      <c r="AS414" s="726"/>
      <c r="AT414" s="726"/>
      <c r="AU414" s="726"/>
      <c r="AV414" s="726"/>
      <c r="AW414" s="726"/>
      <c r="AX414" s="726"/>
      <c r="AY414" s="726"/>
      <c r="AZ414" s="726"/>
      <c r="BA414" s="726"/>
      <c r="BB414" s="726"/>
      <c r="BC414" s="726"/>
      <c r="BD414" s="726"/>
      <c r="BE414" s="726"/>
      <c r="BF414" s="726"/>
      <c r="BG414" s="726"/>
      <c r="BH414" s="726"/>
      <c r="BI414" s="726"/>
      <c r="BJ414" s="726"/>
      <c r="BK414" s="726"/>
      <c r="BL414" s="726"/>
      <c r="BM414" s="726"/>
      <c r="BN414" s="726"/>
      <c r="BO414" s="726"/>
      <c r="BP414" s="726"/>
      <c r="BQ414" s="726"/>
      <c r="BR414" s="726"/>
      <c r="BS414" s="726"/>
    </row>
    <row r="415" spans="1:71" s="563" customFormat="1">
      <c r="A415" s="614"/>
      <c r="E415" s="565"/>
      <c r="F415" s="565"/>
      <c r="Q415" s="726"/>
      <c r="R415" s="726"/>
      <c r="S415" s="726"/>
      <c r="T415" s="726"/>
      <c r="U415" s="726"/>
      <c r="V415" s="726"/>
      <c r="W415" s="726"/>
      <c r="X415" s="726"/>
      <c r="Y415" s="726"/>
      <c r="Z415" s="726"/>
      <c r="AA415" s="726"/>
      <c r="AB415" s="726"/>
      <c r="AC415" s="726"/>
      <c r="AD415" s="726"/>
      <c r="AE415" s="726"/>
      <c r="AF415" s="726"/>
      <c r="AG415" s="726"/>
      <c r="AH415" s="726"/>
      <c r="AI415" s="726"/>
      <c r="AJ415" s="726"/>
      <c r="AK415" s="726"/>
      <c r="AL415" s="726"/>
      <c r="AM415" s="726"/>
      <c r="AN415" s="726"/>
      <c r="AO415" s="726"/>
      <c r="AP415" s="726"/>
      <c r="AQ415" s="726"/>
      <c r="AR415" s="726"/>
      <c r="AS415" s="726"/>
      <c r="AT415" s="726"/>
      <c r="AU415" s="726"/>
      <c r="AV415" s="726"/>
      <c r="AW415" s="726"/>
      <c r="AX415" s="726"/>
      <c r="AY415" s="726"/>
      <c r="AZ415" s="726"/>
      <c r="BA415" s="726"/>
      <c r="BB415" s="726"/>
      <c r="BC415" s="726"/>
      <c r="BD415" s="726"/>
      <c r="BE415" s="726"/>
      <c r="BF415" s="726"/>
      <c r="BG415" s="726"/>
      <c r="BH415" s="726"/>
      <c r="BI415" s="726"/>
      <c r="BJ415" s="726"/>
      <c r="BK415" s="726"/>
      <c r="BL415" s="726"/>
      <c r="BM415" s="726"/>
      <c r="BN415" s="726"/>
      <c r="BO415" s="726"/>
      <c r="BP415" s="726"/>
      <c r="BQ415" s="726"/>
      <c r="BR415" s="726"/>
      <c r="BS415" s="726"/>
    </row>
    <row r="416" spans="1:71" s="563" customFormat="1">
      <c r="A416" s="614"/>
      <c r="E416" s="565"/>
      <c r="F416" s="565"/>
      <c r="Q416" s="726"/>
      <c r="R416" s="726"/>
      <c r="S416" s="726"/>
      <c r="T416" s="726"/>
      <c r="U416" s="726"/>
      <c r="V416" s="726"/>
      <c r="W416" s="726"/>
      <c r="X416" s="726"/>
      <c r="Y416" s="726"/>
      <c r="Z416" s="726"/>
      <c r="AA416" s="726"/>
      <c r="AB416" s="726"/>
      <c r="AC416" s="726"/>
      <c r="AD416" s="726"/>
      <c r="AE416" s="726"/>
      <c r="AF416" s="726"/>
      <c r="AG416" s="726"/>
      <c r="AH416" s="726"/>
      <c r="AI416" s="726"/>
      <c r="AJ416" s="726"/>
      <c r="AK416" s="726"/>
      <c r="AL416" s="726"/>
      <c r="AM416" s="726"/>
      <c r="AN416" s="726"/>
      <c r="AO416" s="726"/>
      <c r="AP416" s="726"/>
      <c r="AQ416" s="726"/>
      <c r="AR416" s="726"/>
      <c r="AS416" s="726"/>
      <c r="AT416" s="726"/>
      <c r="AU416" s="726"/>
      <c r="AV416" s="726"/>
      <c r="AW416" s="726"/>
      <c r="AX416" s="726"/>
      <c r="AY416" s="726"/>
      <c r="AZ416" s="726"/>
      <c r="BA416" s="726"/>
      <c r="BB416" s="726"/>
      <c r="BC416" s="726"/>
      <c r="BD416" s="726"/>
      <c r="BE416" s="726"/>
      <c r="BF416" s="726"/>
      <c r="BG416" s="726"/>
      <c r="BH416" s="726"/>
      <c r="BI416" s="726"/>
      <c r="BJ416" s="726"/>
      <c r="BK416" s="726"/>
      <c r="BL416" s="726"/>
      <c r="BM416" s="726"/>
      <c r="BN416" s="726"/>
      <c r="BO416" s="726"/>
      <c r="BP416" s="726"/>
      <c r="BQ416" s="726"/>
      <c r="BR416" s="726"/>
      <c r="BS416" s="726"/>
    </row>
    <row r="417" spans="1:71" s="563" customFormat="1">
      <c r="A417" s="614"/>
      <c r="E417" s="565"/>
      <c r="F417" s="565"/>
      <c r="Q417" s="726"/>
      <c r="R417" s="726"/>
      <c r="S417" s="726"/>
      <c r="T417" s="726"/>
      <c r="U417" s="726"/>
      <c r="V417" s="726"/>
      <c r="W417" s="726"/>
      <c r="X417" s="726"/>
      <c r="Y417" s="726"/>
      <c r="Z417" s="726"/>
      <c r="AA417" s="726"/>
      <c r="AB417" s="726"/>
      <c r="AC417" s="726"/>
      <c r="AD417" s="726"/>
      <c r="AE417" s="726"/>
      <c r="AF417" s="726"/>
      <c r="AG417" s="726"/>
      <c r="AH417" s="726"/>
      <c r="AI417" s="726"/>
      <c r="AJ417" s="726"/>
      <c r="AK417" s="726"/>
      <c r="AL417" s="726"/>
      <c r="AM417" s="726"/>
      <c r="AN417" s="726"/>
      <c r="AO417" s="726"/>
      <c r="AP417" s="726"/>
      <c r="AQ417" s="726"/>
      <c r="AR417" s="726"/>
      <c r="AS417" s="726"/>
      <c r="AT417" s="726"/>
      <c r="AU417" s="726"/>
      <c r="AV417" s="726"/>
      <c r="AW417" s="726"/>
      <c r="AX417" s="726"/>
      <c r="AY417" s="726"/>
      <c r="AZ417" s="726"/>
      <c r="BA417" s="726"/>
      <c r="BB417" s="726"/>
      <c r="BC417" s="726"/>
      <c r="BD417" s="726"/>
      <c r="BE417" s="726"/>
      <c r="BF417" s="726"/>
      <c r="BG417" s="726"/>
      <c r="BH417" s="726"/>
      <c r="BI417" s="726"/>
      <c r="BJ417" s="726"/>
      <c r="BK417" s="726"/>
      <c r="BL417" s="726"/>
      <c r="BM417" s="726"/>
      <c r="BN417" s="726"/>
      <c r="BO417" s="726"/>
      <c r="BP417" s="726"/>
      <c r="BQ417" s="726"/>
      <c r="BR417" s="726"/>
      <c r="BS417" s="726"/>
    </row>
    <row r="418" spans="1:71" s="563" customFormat="1">
      <c r="A418" s="614"/>
      <c r="E418" s="565"/>
      <c r="F418" s="565"/>
      <c r="Q418" s="726"/>
      <c r="R418" s="726"/>
      <c r="S418" s="726"/>
      <c r="T418" s="726"/>
      <c r="U418" s="726"/>
      <c r="V418" s="726"/>
      <c r="W418" s="726"/>
      <c r="X418" s="726"/>
      <c r="Y418" s="726"/>
      <c r="Z418" s="726"/>
      <c r="AA418" s="726"/>
      <c r="AB418" s="726"/>
      <c r="AC418" s="726"/>
      <c r="AD418" s="726"/>
      <c r="AE418" s="726"/>
      <c r="AF418" s="726"/>
      <c r="AG418" s="726"/>
      <c r="AH418" s="726"/>
      <c r="AI418" s="726"/>
      <c r="AJ418" s="726"/>
      <c r="AK418" s="726"/>
      <c r="AL418" s="726"/>
      <c r="AM418" s="726"/>
      <c r="AN418" s="726"/>
      <c r="AO418" s="726"/>
      <c r="AP418" s="726"/>
      <c r="AQ418" s="726"/>
      <c r="AR418" s="726"/>
      <c r="AS418" s="726"/>
      <c r="AT418" s="726"/>
      <c r="AU418" s="726"/>
      <c r="AV418" s="726"/>
      <c r="AW418" s="726"/>
      <c r="AX418" s="726"/>
      <c r="AY418" s="726"/>
      <c r="AZ418" s="726"/>
      <c r="BA418" s="726"/>
      <c r="BB418" s="726"/>
      <c r="BC418" s="726"/>
      <c r="BD418" s="726"/>
      <c r="BE418" s="726"/>
      <c r="BF418" s="726"/>
      <c r="BG418" s="726"/>
      <c r="BH418" s="726"/>
      <c r="BI418" s="726"/>
      <c r="BJ418" s="726"/>
      <c r="BK418" s="726"/>
      <c r="BL418" s="726"/>
      <c r="BM418" s="726"/>
      <c r="BN418" s="726"/>
      <c r="BO418" s="726"/>
      <c r="BP418" s="726"/>
      <c r="BQ418" s="726"/>
      <c r="BR418" s="726"/>
      <c r="BS418" s="726"/>
    </row>
    <row r="419" spans="1:71" s="563" customFormat="1">
      <c r="A419" s="614"/>
      <c r="E419" s="565"/>
      <c r="F419" s="565"/>
      <c r="Q419" s="726"/>
      <c r="R419" s="726"/>
      <c r="S419" s="726"/>
      <c r="T419" s="726"/>
      <c r="U419" s="726"/>
      <c r="V419" s="726"/>
      <c r="W419" s="726"/>
      <c r="X419" s="726"/>
      <c r="Y419" s="726"/>
      <c r="Z419" s="726"/>
      <c r="AA419" s="726"/>
      <c r="AB419" s="726"/>
      <c r="AC419" s="726"/>
      <c r="AD419" s="726"/>
      <c r="AE419" s="726"/>
      <c r="AF419" s="726"/>
      <c r="AG419" s="726"/>
      <c r="AH419" s="726"/>
      <c r="AI419" s="726"/>
      <c r="AJ419" s="726"/>
      <c r="AK419" s="726"/>
      <c r="AL419" s="726"/>
      <c r="AM419" s="726"/>
      <c r="AN419" s="726"/>
      <c r="AO419" s="726"/>
      <c r="AP419" s="726"/>
      <c r="AQ419" s="726"/>
      <c r="AR419" s="726"/>
      <c r="AS419" s="726"/>
      <c r="AT419" s="726"/>
      <c r="AU419" s="726"/>
      <c r="AV419" s="726"/>
      <c r="AW419" s="726"/>
      <c r="AX419" s="726"/>
      <c r="AY419" s="726"/>
      <c r="AZ419" s="726"/>
      <c r="BA419" s="726"/>
      <c r="BB419" s="726"/>
      <c r="BC419" s="726"/>
      <c r="BD419" s="726"/>
      <c r="BE419" s="726"/>
      <c r="BF419" s="726"/>
      <c r="BG419" s="726"/>
      <c r="BH419" s="726"/>
      <c r="BI419" s="726"/>
      <c r="BJ419" s="726"/>
      <c r="BK419" s="726"/>
      <c r="BL419" s="726"/>
      <c r="BM419" s="726"/>
      <c r="BN419" s="726"/>
      <c r="BO419" s="726"/>
      <c r="BP419" s="726"/>
      <c r="BQ419" s="726"/>
      <c r="BR419" s="726"/>
      <c r="BS419" s="726"/>
    </row>
    <row r="420" spans="1:71" s="563" customFormat="1">
      <c r="A420" s="614"/>
      <c r="E420" s="565"/>
      <c r="F420" s="565"/>
      <c r="Q420" s="726"/>
      <c r="R420" s="726"/>
      <c r="S420" s="726"/>
      <c r="T420" s="726"/>
      <c r="U420" s="726"/>
      <c r="V420" s="726"/>
      <c r="W420" s="726"/>
      <c r="X420" s="726"/>
      <c r="Y420" s="726"/>
      <c r="Z420" s="726"/>
      <c r="AA420" s="726"/>
      <c r="AB420" s="726"/>
      <c r="AC420" s="726"/>
      <c r="AD420" s="726"/>
      <c r="AE420" s="726"/>
      <c r="AF420" s="726"/>
      <c r="AG420" s="726"/>
      <c r="AH420" s="726"/>
      <c r="AI420" s="726"/>
      <c r="AJ420" s="726"/>
      <c r="AK420" s="726"/>
      <c r="AL420" s="726"/>
      <c r="AM420" s="726"/>
      <c r="AN420" s="726"/>
      <c r="AO420" s="726"/>
      <c r="AP420" s="726"/>
      <c r="AQ420" s="726"/>
      <c r="AR420" s="726"/>
      <c r="AS420" s="726"/>
      <c r="AT420" s="726"/>
      <c r="AU420" s="726"/>
      <c r="AV420" s="726"/>
      <c r="AW420" s="726"/>
      <c r="AX420" s="726"/>
      <c r="AY420" s="726"/>
      <c r="AZ420" s="726"/>
      <c r="BA420" s="726"/>
      <c r="BB420" s="726"/>
      <c r="BC420" s="726"/>
      <c r="BD420" s="726"/>
      <c r="BE420" s="726"/>
      <c r="BF420" s="726"/>
      <c r="BG420" s="726"/>
      <c r="BH420" s="726"/>
      <c r="BI420" s="726"/>
      <c r="BJ420" s="726"/>
      <c r="BK420" s="726"/>
      <c r="BL420" s="726"/>
      <c r="BM420" s="726"/>
      <c r="BN420" s="726"/>
      <c r="BO420" s="726"/>
      <c r="BP420" s="726"/>
      <c r="BQ420" s="726"/>
      <c r="BR420" s="726"/>
      <c r="BS420" s="726"/>
    </row>
    <row r="421" spans="1:71" s="563" customFormat="1">
      <c r="A421" s="614"/>
      <c r="E421" s="565"/>
      <c r="F421" s="565"/>
      <c r="Q421" s="726"/>
      <c r="R421" s="726"/>
      <c r="S421" s="726"/>
      <c r="T421" s="726"/>
      <c r="U421" s="726"/>
      <c r="V421" s="726"/>
      <c r="W421" s="726"/>
      <c r="X421" s="726"/>
      <c r="Y421" s="726"/>
      <c r="Z421" s="726"/>
      <c r="AA421" s="726"/>
      <c r="AB421" s="726"/>
      <c r="AC421" s="726"/>
      <c r="AD421" s="726"/>
      <c r="AE421" s="726"/>
      <c r="AF421" s="726"/>
      <c r="AG421" s="726"/>
      <c r="AH421" s="726"/>
      <c r="AI421" s="726"/>
      <c r="AJ421" s="726"/>
      <c r="AK421" s="726"/>
      <c r="AL421" s="726"/>
      <c r="AM421" s="726"/>
      <c r="AN421" s="726"/>
      <c r="AO421" s="726"/>
      <c r="AP421" s="726"/>
      <c r="AQ421" s="726"/>
      <c r="AR421" s="726"/>
      <c r="AS421" s="726"/>
      <c r="AT421" s="726"/>
      <c r="AU421" s="726"/>
      <c r="AV421" s="726"/>
      <c r="AW421" s="726"/>
      <c r="AX421" s="726"/>
      <c r="AY421" s="726"/>
      <c r="AZ421" s="726"/>
      <c r="BA421" s="726"/>
      <c r="BB421" s="726"/>
      <c r="BC421" s="726"/>
      <c r="BD421" s="726"/>
      <c r="BE421" s="726"/>
      <c r="BF421" s="726"/>
      <c r="BG421" s="726"/>
      <c r="BH421" s="726"/>
      <c r="BI421" s="726"/>
      <c r="BJ421" s="726"/>
      <c r="BK421" s="726"/>
      <c r="BL421" s="726"/>
      <c r="BM421" s="726"/>
      <c r="BN421" s="726"/>
      <c r="BO421" s="726"/>
      <c r="BP421" s="726"/>
      <c r="BQ421" s="726"/>
      <c r="BR421" s="726"/>
      <c r="BS421" s="726"/>
    </row>
    <row r="422" spans="1:71" s="563" customFormat="1">
      <c r="A422" s="614"/>
      <c r="E422" s="565"/>
      <c r="F422" s="565"/>
      <c r="Q422" s="726"/>
      <c r="R422" s="726"/>
      <c r="S422" s="726"/>
      <c r="T422" s="726"/>
      <c r="U422" s="726"/>
      <c r="V422" s="726"/>
      <c r="W422" s="726"/>
      <c r="X422" s="726"/>
      <c r="Y422" s="726"/>
      <c r="Z422" s="726"/>
      <c r="AA422" s="726"/>
      <c r="AB422" s="726"/>
      <c r="AC422" s="726"/>
      <c r="AD422" s="726"/>
      <c r="AE422" s="726"/>
      <c r="AF422" s="726"/>
      <c r="AG422" s="726"/>
      <c r="AH422" s="726"/>
      <c r="AI422" s="726"/>
      <c r="AJ422" s="726"/>
      <c r="AK422" s="726"/>
      <c r="AL422" s="726"/>
      <c r="AM422" s="726"/>
      <c r="AN422" s="726"/>
      <c r="AO422" s="726"/>
      <c r="AP422" s="726"/>
      <c r="AQ422" s="726"/>
      <c r="AR422" s="726"/>
      <c r="AS422" s="726"/>
      <c r="AT422" s="726"/>
      <c r="AU422" s="726"/>
      <c r="AV422" s="726"/>
      <c r="AW422" s="726"/>
      <c r="AX422" s="726"/>
      <c r="AY422" s="726"/>
      <c r="AZ422" s="726"/>
      <c r="BA422" s="726"/>
      <c r="BB422" s="726"/>
      <c r="BC422" s="726"/>
      <c r="BD422" s="726"/>
      <c r="BE422" s="726"/>
      <c r="BF422" s="726"/>
      <c r="BG422" s="726"/>
      <c r="BH422" s="726"/>
      <c r="BI422" s="726"/>
      <c r="BJ422" s="726"/>
      <c r="BK422" s="726"/>
      <c r="BL422" s="726"/>
      <c r="BM422" s="726"/>
      <c r="BN422" s="726"/>
      <c r="BO422" s="726"/>
      <c r="BP422" s="726"/>
      <c r="BQ422" s="726"/>
      <c r="BR422" s="726"/>
      <c r="BS422" s="726"/>
    </row>
    <row r="423" spans="1:71" s="563" customFormat="1">
      <c r="A423" s="614"/>
      <c r="E423" s="565"/>
      <c r="F423" s="565"/>
      <c r="Q423" s="726"/>
      <c r="R423" s="726"/>
      <c r="S423" s="726"/>
      <c r="T423" s="726"/>
      <c r="U423" s="726"/>
      <c r="V423" s="726"/>
      <c r="W423" s="726"/>
      <c r="X423" s="726"/>
      <c r="Y423" s="726"/>
      <c r="Z423" s="726"/>
      <c r="AA423" s="726"/>
      <c r="AB423" s="726"/>
      <c r="AC423" s="726"/>
      <c r="AD423" s="726"/>
      <c r="AE423" s="726"/>
      <c r="AF423" s="726"/>
      <c r="AG423" s="726"/>
      <c r="AH423" s="726"/>
      <c r="AI423" s="726"/>
      <c r="AJ423" s="726"/>
      <c r="AK423" s="726"/>
      <c r="AL423" s="726"/>
      <c r="AM423" s="726"/>
      <c r="AN423" s="726"/>
      <c r="AO423" s="726"/>
      <c r="AP423" s="726"/>
      <c r="AQ423" s="726"/>
      <c r="AR423" s="726"/>
      <c r="AS423" s="726"/>
      <c r="AT423" s="726"/>
      <c r="AU423" s="726"/>
      <c r="AV423" s="726"/>
      <c r="AW423" s="726"/>
      <c r="AX423" s="726"/>
      <c r="AY423" s="726"/>
      <c r="AZ423" s="726"/>
      <c r="BA423" s="726"/>
      <c r="BB423" s="726"/>
      <c r="BC423" s="726"/>
      <c r="BD423" s="726"/>
      <c r="BE423" s="726"/>
      <c r="BF423" s="726"/>
      <c r="BG423" s="726"/>
      <c r="BH423" s="726"/>
      <c r="BI423" s="726"/>
      <c r="BJ423" s="726"/>
      <c r="BK423" s="726"/>
      <c r="BL423" s="726"/>
      <c r="BM423" s="726"/>
      <c r="BN423" s="726"/>
      <c r="BO423" s="726"/>
      <c r="BP423" s="726"/>
      <c r="BQ423" s="726"/>
      <c r="BR423" s="726"/>
      <c r="BS423" s="726"/>
    </row>
    <row r="424" spans="1:71" s="563" customFormat="1">
      <c r="A424" s="614"/>
      <c r="E424" s="565"/>
      <c r="F424" s="565"/>
      <c r="Q424" s="726"/>
      <c r="R424" s="726"/>
      <c r="S424" s="726"/>
      <c r="T424" s="726"/>
      <c r="U424" s="726"/>
      <c r="V424" s="726"/>
      <c r="W424" s="726"/>
      <c r="X424" s="726"/>
      <c r="Y424" s="726"/>
      <c r="Z424" s="726"/>
      <c r="AA424" s="726"/>
      <c r="AB424" s="726"/>
      <c r="AC424" s="726"/>
      <c r="AD424" s="726"/>
      <c r="AE424" s="726"/>
      <c r="AF424" s="726"/>
      <c r="AG424" s="726"/>
      <c r="AH424" s="726"/>
      <c r="AI424" s="726"/>
      <c r="AJ424" s="726"/>
      <c r="AK424" s="726"/>
      <c r="AL424" s="726"/>
      <c r="AM424" s="726"/>
      <c r="AN424" s="726"/>
      <c r="AO424" s="726"/>
      <c r="AP424" s="726"/>
      <c r="AQ424" s="726"/>
      <c r="AR424" s="726"/>
      <c r="AS424" s="726"/>
      <c r="AT424" s="726"/>
      <c r="AU424" s="726"/>
      <c r="AV424" s="726"/>
      <c r="AW424" s="726"/>
      <c r="AX424" s="726"/>
      <c r="AY424" s="726"/>
      <c r="AZ424" s="726"/>
      <c r="BA424" s="726"/>
      <c r="BB424" s="726"/>
      <c r="BC424" s="726"/>
      <c r="BD424" s="726"/>
      <c r="BE424" s="726"/>
      <c r="BF424" s="726"/>
      <c r="BG424" s="726"/>
      <c r="BH424" s="726"/>
      <c r="BI424" s="726"/>
      <c r="BJ424" s="726"/>
      <c r="BK424" s="726"/>
      <c r="BL424" s="726"/>
      <c r="BM424" s="726"/>
      <c r="BN424" s="726"/>
      <c r="BO424" s="726"/>
      <c r="BP424" s="726"/>
      <c r="BQ424" s="726"/>
      <c r="BR424" s="726"/>
      <c r="BS424" s="726"/>
    </row>
    <row r="425" spans="1:71" s="563" customFormat="1">
      <c r="A425" s="614"/>
      <c r="E425" s="565"/>
      <c r="F425" s="565"/>
      <c r="Q425" s="726"/>
      <c r="R425" s="726"/>
      <c r="S425" s="726"/>
      <c r="T425" s="726"/>
      <c r="U425" s="726"/>
      <c r="V425" s="726"/>
      <c r="W425" s="726"/>
      <c r="X425" s="726"/>
      <c r="Y425" s="726"/>
      <c r="Z425" s="726"/>
      <c r="AA425" s="726"/>
      <c r="AB425" s="726"/>
      <c r="AC425" s="726"/>
      <c r="AD425" s="726"/>
      <c r="AE425" s="726"/>
      <c r="AF425" s="726"/>
      <c r="AG425" s="726"/>
      <c r="AH425" s="726"/>
      <c r="AI425" s="726"/>
      <c r="AJ425" s="726"/>
      <c r="AK425" s="726"/>
      <c r="AL425" s="726"/>
      <c r="AM425" s="726"/>
      <c r="AN425" s="726"/>
      <c r="AO425" s="726"/>
      <c r="AP425" s="726"/>
      <c r="AQ425" s="726"/>
      <c r="AR425" s="726"/>
      <c r="AS425" s="726"/>
      <c r="AT425" s="726"/>
      <c r="AU425" s="726"/>
      <c r="AV425" s="726"/>
      <c r="AW425" s="726"/>
      <c r="AX425" s="726"/>
      <c r="AY425" s="726"/>
      <c r="AZ425" s="726"/>
      <c r="BA425" s="726"/>
      <c r="BB425" s="726"/>
      <c r="BC425" s="726"/>
      <c r="BD425" s="726"/>
      <c r="BE425" s="726"/>
      <c r="BF425" s="726"/>
      <c r="BG425" s="726"/>
      <c r="BH425" s="726"/>
      <c r="BI425" s="726"/>
      <c r="BJ425" s="726"/>
      <c r="BK425" s="726"/>
      <c r="BL425" s="726"/>
      <c r="BM425" s="726"/>
      <c r="BN425" s="726"/>
      <c r="BO425" s="726"/>
      <c r="BP425" s="726"/>
      <c r="BQ425" s="726"/>
      <c r="BR425" s="726"/>
      <c r="BS425" s="726"/>
    </row>
    <row r="426" spans="1:71" s="563" customFormat="1">
      <c r="A426" s="614"/>
      <c r="E426" s="565"/>
      <c r="F426" s="565"/>
      <c r="Q426" s="726"/>
      <c r="R426" s="726"/>
      <c r="S426" s="726"/>
      <c r="T426" s="726"/>
      <c r="U426" s="726"/>
      <c r="V426" s="726"/>
      <c r="W426" s="726"/>
      <c r="X426" s="726"/>
      <c r="Y426" s="726"/>
      <c r="Z426" s="726"/>
      <c r="AA426" s="726"/>
      <c r="AB426" s="726"/>
      <c r="AC426" s="726"/>
      <c r="AD426" s="726"/>
      <c r="AE426" s="726"/>
      <c r="AF426" s="726"/>
      <c r="AG426" s="726"/>
      <c r="AH426" s="726"/>
      <c r="AI426" s="726"/>
      <c r="AJ426" s="726"/>
      <c r="AK426" s="726"/>
      <c r="AL426" s="726"/>
      <c r="AM426" s="726"/>
      <c r="AN426" s="726"/>
      <c r="AO426" s="726"/>
      <c r="AP426" s="726"/>
      <c r="AQ426" s="726"/>
      <c r="AR426" s="726"/>
      <c r="AS426" s="726"/>
      <c r="AT426" s="726"/>
      <c r="AU426" s="726"/>
      <c r="AV426" s="726"/>
      <c r="AW426" s="726"/>
      <c r="AX426" s="726"/>
      <c r="AY426" s="726"/>
      <c r="AZ426" s="726"/>
      <c r="BA426" s="726"/>
      <c r="BB426" s="726"/>
      <c r="BC426" s="726"/>
      <c r="BD426" s="726"/>
      <c r="BE426" s="726"/>
      <c r="BF426" s="726"/>
      <c r="BG426" s="726"/>
      <c r="BH426" s="726"/>
      <c r="BI426" s="726"/>
      <c r="BJ426" s="726"/>
      <c r="BK426" s="726"/>
      <c r="BL426" s="726"/>
      <c r="BM426" s="726"/>
      <c r="BN426" s="726"/>
      <c r="BO426" s="726"/>
      <c r="BP426" s="726"/>
      <c r="BQ426" s="726"/>
      <c r="BR426" s="726"/>
      <c r="BS426" s="726"/>
    </row>
    <row r="427" spans="1:71" s="563" customFormat="1">
      <c r="A427" s="614"/>
      <c r="E427" s="565"/>
      <c r="F427" s="565"/>
      <c r="Q427" s="726"/>
      <c r="R427" s="726"/>
      <c r="S427" s="726"/>
      <c r="T427" s="726"/>
      <c r="U427" s="726"/>
      <c r="V427" s="726"/>
      <c r="W427" s="726"/>
      <c r="X427" s="726"/>
      <c r="Y427" s="726"/>
      <c r="Z427" s="726"/>
      <c r="AA427" s="726"/>
      <c r="AB427" s="726"/>
      <c r="AC427" s="726"/>
      <c r="AD427" s="726"/>
      <c r="AE427" s="726"/>
      <c r="AF427" s="726"/>
      <c r="AG427" s="726"/>
      <c r="AH427" s="726"/>
      <c r="AI427" s="726"/>
      <c r="AJ427" s="726"/>
      <c r="AK427" s="726"/>
      <c r="AL427" s="726"/>
      <c r="AM427" s="726"/>
      <c r="AN427" s="726"/>
      <c r="AO427" s="726"/>
      <c r="AP427" s="726"/>
      <c r="AQ427" s="726"/>
      <c r="AR427" s="726"/>
      <c r="AS427" s="726"/>
      <c r="AT427" s="726"/>
      <c r="AU427" s="726"/>
      <c r="AV427" s="726"/>
      <c r="AW427" s="726"/>
      <c r="AX427" s="726"/>
      <c r="AY427" s="726"/>
      <c r="AZ427" s="726"/>
      <c r="BA427" s="726"/>
      <c r="BB427" s="726"/>
      <c r="BC427" s="726"/>
      <c r="BD427" s="726"/>
      <c r="BE427" s="726"/>
      <c r="BF427" s="726"/>
      <c r="BG427" s="726"/>
      <c r="BH427" s="726"/>
      <c r="BI427" s="726"/>
      <c r="BJ427" s="726"/>
      <c r="BK427" s="726"/>
      <c r="BL427" s="726"/>
      <c r="BM427" s="726"/>
      <c r="BN427" s="726"/>
      <c r="BO427" s="726"/>
      <c r="BP427" s="726"/>
      <c r="BQ427" s="726"/>
      <c r="BR427" s="726"/>
      <c r="BS427" s="726"/>
    </row>
    <row r="428" spans="1:71" s="563" customFormat="1">
      <c r="A428" s="614"/>
      <c r="E428" s="565"/>
      <c r="F428" s="565"/>
      <c r="Q428" s="726"/>
      <c r="R428" s="726"/>
      <c r="S428" s="726"/>
      <c r="T428" s="726"/>
      <c r="U428" s="726"/>
      <c r="V428" s="726"/>
      <c r="W428" s="726"/>
      <c r="X428" s="726"/>
      <c r="Y428" s="726"/>
      <c r="Z428" s="726"/>
      <c r="AA428" s="726"/>
      <c r="AB428" s="726"/>
      <c r="AC428" s="726"/>
      <c r="AD428" s="726"/>
      <c r="AE428" s="726"/>
      <c r="AF428" s="726"/>
      <c r="AG428" s="726"/>
      <c r="AH428" s="726"/>
      <c r="AI428" s="726"/>
      <c r="AJ428" s="726"/>
      <c r="AK428" s="726"/>
      <c r="AL428" s="726"/>
      <c r="AM428" s="726"/>
      <c r="AN428" s="726"/>
      <c r="AO428" s="726"/>
      <c r="AP428" s="726"/>
      <c r="AQ428" s="726"/>
      <c r="AR428" s="726"/>
      <c r="AS428" s="726"/>
      <c r="AT428" s="726"/>
      <c r="AU428" s="726"/>
      <c r="AV428" s="726"/>
      <c r="AW428" s="726"/>
      <c r="AX428" s="726"/>
      <c r="AY428" s="726"/>
      <c r="AZ428" s="726"/>
      <c r="BA428" s="726"/>
      <c r="BB428" s="726"/>
      <c r="BC428" s="726"/>
      <c r="BD428" s="726"/>
      <c r="BE428" s="726"/>
      <c r="BF428" s="726"/>
      <c r="BG428" s="726"/>
      <c r="BH428" s="726"/>
      <c r="BI428" s="726"/>
      <c r="BJ428" s="726"/>
      <c r="BK428" s="726"/>
      <c r="BL428" s="726"/>
      <c r="BM428" s="726"/>
      <c r="BN428" s="726"/>
      <c r="BO428" s="726"/>
      <c r="BP428" s="726"/>
      <c r="BQ428" s="726"/>
      <c r="BR428" s="726"/>
      <c r="BS428" s="726"/>
    </row>
    <row r="429" spans="1:71" s="563" customFormat="1">
      <c r="A429" s="614"/>
      <c r="E429" s="565"/>
      <c r="F429" s="565"/>
      <c r="Q429" s="726"/>
      <c r="R429" s="726"/>
      <c r="S429" s="726"/>
      <c r="T429" s="726"/>
      <c r="U429" s="726"/>
      <c r="V429" s="726"/>
      <c r="W429" s="726"/>
      <c r="X429" s="726"/>
      <c r="Y429" s="726"/>
      <c r="Z429" s="726"/>
      <c r="AA429" s="726"/>
      <c r="AB429" s="726"/>
      <c r="AC429" s="726"/>
      <c r="AD429" s="726"/>
      <c r="AE429" s="726"/>
      <c r="AF429" s="726"/>
      <c r="AG429" s="726"/>
      <c r="AH429" s="726"/>
      <c r="AI429" s="726"/>
      <c r="AJ429" s="726"/>
      <c r="AK429" s="726"/>
      <c r="AL429" s="726"/>
      <c r="AM429" s="726"/>
      <c r="AN429" s="726"/>
      <c r="AO429" s="726"/>
      <c r="AP429" s="726"/>
      <c r="AQ429" s="726"/>
      <c r="AR429" s="726"/>
      <c r="AS429" s="726"/>
      <c r="AT429" s="726"/>
      <c r="AU429" s="726"/>
      <c r="AV429" s="726"/>
      <c r="AW429" s="726"/>
      <c r="AX429" s="726"/>
      <c r="AY429" s="726"/>
      <c r="AZ429" s="726"/>
      <c r="BA429" s="726"/>
      <c r="BB429" s="726"/>
      <c r="BC429" s="726"/>
      <c r="BD429" s="726"/>
      <c r="BE429" s="726"/>
      <c r="BF429" s="726"/>
      <c r="BG429" s="726"/>
      <c r="BH429" s="726"/>
      <c r="BI429" s="726"/>
      <c r="BJ429" s="726"/>
      <c r="BK429" s="726"/>
      <c r="BL429" s="726"/>
      <c r="BM429" s="726"/>
      <c r="BN429" s="726"/>
      <c r="BO429" s="726"/>
      <c r="BP429" s="726"/>
      <c r="BQ429" s="726"/>
      <c r="BR429" s="726"/>
      <c r="BS429" s="726"/>
    </row>
    <row r="430" spans="1:71" s="563" customFormat="1">
      <c r="A430" s="614"/>
      <c r="E430" s="565"/>
      <c r="F430" s="565"/>
      <c r="Q430" s="726"/>
      <c r="R430" s="726"/>
      <c r="S430" s="726"/>
      <c r="T430" s="726"/>
      <c r="U430" s="726"/>
      <c r="V430" s="726"/>
      <c r="W430" s="726"/>
      <c r="X430" s="726"/>
      <c r="Y430" s="726"/>
      <c r="Z430" s="726"/>
      <c r="AA430" s="726"/>
      <c r="AB430" s="726"/>
      <c r="AC430" s="726"/>
      <c r="AD430" s="726"/>
      <c r="AE430" s="726"/>
      <c r="AF430" s="726"/>
      <c r="AG430" s="726"/>
      <c r="AH430" s="726"/>
      <c r="AI430" s="726"/>
      <c r="AJ430" s="726"/>
      <c r="AK430" s="726"/>
      <c r="AL430" s="726"/>
      <c r="AM430" s="726"/>
      <c r="AN430" s="726"/>
      <c r="AO430" s="726"/>
      <c r="AP430" s="726"/>
      <c r="AQ430" s="726"/>
      <c r="AR430" s="726"/>
      <c r="AS430" s="726"/>
      <c r="AT430" s="726"/>
      <c r="AU430" s="726"/>
      <c r="AV430" s="726"/>
      <c r="AW430" s="726"/>
      <c r="AX430" s="726"/>
      <c r="AY430" s="726"/>
      <c r="AZ430" s="726"/>
      <c r="BA430" s="726"/>
      <c r="BB430" s="726"/>
      <c r="BC430" s="726"/>
      <c r="BD430" s="726"/>
      <c r="BE430" s="726"/>
      <c r="BF430" s="726"/>
      <c r="BG430" s="726"/>
      <c r="BH430" s="726"/>
      <c r="BI430" s="726"/>
      <c r="BJ430" s="726"/>
      <c r="BK430" s="726"/>
      <c r="BL430" s="726"/>
      <c r="BM430" s="726"/>
      <c r="BN430" s="726"/>
      <c r="BO430" s="726"/>
      <c r="BP430" s="726"/>
      <c r="BQ430" s="726"/>
      <c r="BR430" s="726"/>
      <c r="BS430" s="726"/>
    </row>
    <row r="431" spans="1:71" s="563" customFormat="1">
      <c r="A431" s="614"/>
      <c r="E431" s="565"/>
      <c r="F431" s="565"/>
      <c r="Q431" s="726"/>
      <c r="R431" s="726"/>
      <c r="S431" s="726"/>
      <c r="T431" s="726"/>
      <c r="U431" s="726"/>
      <c r="V431" s="726"/>
      <c r="W431" s="726"/>
      <c r="X431" s="726"/>
      <c r="Y431" s="726"/>
      <c r="Z431" s="726"/>
      <c r="AA431" s="726"/>
      <c r="AB431" s="726"/>
      <c r="AC431" s="726"/>
      <c r="AD431" s="726"/>
      <c r="AE431" s="726"/>
      <c r="AF431" s="726"/>
      <c r="AG431" s="726"/>
      <c r="AH431" s="726"/>
      <c r="AI431" s="726"/>
      <c r="AJ431" s="726"/>
      <c r="AK431" s="726"/>
      <c r="AL431" s="726"/>
      <c r="AM431" s="726"/>
      <c r="AN431" s="726"/>
      <c r="AO431" s="726"/>
      <c r="AP431" s="726"/>
      <c r="AQ431" s="726"/>
      <c r="AR431" s="726"/>
      <c r="AS431" s="726"/>
      <c r="AT431" s="726"/>
      <c r="AU431" s="726"/>
      <c r="AV431" s="726"/>
      <c r="AW431" s="726"/>
      <c r="AX431" s="726"/>
      <c r="AY431" s="726"/>
      <c r="AZ431" s="726"/>
      <c r="BA431" s="726"/>
      <c r="BB431" s="726"/>
      <c r="BC431" s="726"/>
      <c r="BD431" s="726"/>
      <c r="BE431" s="726"/>
      <c r="BF431" s="726"/>
      <c r="BG431" s="726"/>
      <c r="BH431" s="726"/>
      <c r="BI431" s="726"/>
      <c r="BJ431" s="726"/>
      <c r="BK431" s="726"/>
      <c r="BL431" s="726"/>
      <c r="BM431" s="726"/>
      <c r="BN431" s="726"/>
      <c r="BO431" s="726"/>
      <c r="BP431" s="726"/>
      <c r="BQ431" s="726"/>
      <c r="BR431" s="726"/>
      <c r="BS431" s="726"/>
    </row>
    <row r="432" spans="1:71" s="563" customFormat="1">
      <c r="A432" s="614"/>
      <c r="E432" s="565"/>
      <c r="F432" s="565"/>
      <c r="Q432" s="726"/>
      <c r="R432" s="726"/>
      <c r="S432" s="726"/>
      <c r="T432" s="726"/>
      <c r="U432" s="726"/>
      <c r="V432" s="726"/>
      <c r="W432" s="726"/>
      <c r="X432" s="726"/>
      <c r="Y432" s="726"/>
      <c r="Z432" s="726"/>
      <c r="AA432" s="726"/>
      <c r="AB432" s="726"/>
      <c r="AC432" s="726"/>
      <c r="AD432" s="726"/>
      <c r="AE432" s="726"/>
      <c r="AF432" s="726"/>
      <c r="AG432" s="726"/>
      <c r="AH432" s="726"/>
      <c r="AI432" s="726"/>
      <c r="AJ432" s="726"/>
      <c r="AK432" s="726"/>
      <c r="AL432" s="726"/>
      <c r="AM432" s="726"/>
      <c r="AN432" s="726"/>
      <c r="AO432" s="726"/>
      <c r="AP432" s="726"/>
      <c r="AQ432" s="726"/>
      <c r="AR432" s="726"/>
      <c r="AS432" s="726"/>
      <c r="AT432" s="726"/>
      <c r="AU432" s="726"/>
      <c r="AV432" s="726"/>
      <c r="AW432" s="726"/>
      <c r="AX432" s="726"/>
      <c r="AY432" s="726"/>
      <c r="AZ432" s="726"/>
      <c r="BA432" s="726"/>
      <c r="BB432" s="726"/>
      <c r="BC432" s="726"/>
      <c r="BD432" s="726"/>
      <c r="BE432" s="726"/>
      <c r="BF432" s="726"/>
      <c r="BG432" s="726"/>
      <c r="BH432" s="726"/>
      <c r="BI432" s="726"/>
      <c r="BJ432" s="726"/>
      <c r="BK432" s="726"/>
      <c r="BL432" s="726"/>
      <c r="BM432" s="726"/>
      <c r="BN432" s="726"/>
      <c r="BO432" s="726"/>
      <c r="BP432" s="726"/>
      <c r="BQ432" s="726"/>
      <c r="BR432" s="726"/>
      <c r="BS432" s="726"/>
    </row>
    <row r="433" spans="1:71" s="563" customFormat="1">
      <c r="A433" s="614"/>
      <c r="E433" s="565"/>
      <c r="F433" s="565"/>
      <c r="Q433" s="726"/>
      <c r="R433" s="726"/>
      <c r="S433" s="726"/>
      <c r="T433" s="726"/>
      <c r="U433" s="726"/>
      <c r="V433" s="726"/>
      <c r="W433" s="726"/>
      <c r="X433" s="726"/>
      <c r="Y433" s="726"/>
      <c r="Z433" s="726"/>
      <c r="AA433" s="726"/>
      <c r="AB433" s="726"/>
      <c r="AC433" s="726"/>
      <c r="AD433" s="726"/>
      <c r="AE433" s="726"/>
      <c r="AF433" s="726"/>
      <c r="AG433" s="726"/>
      <c r="AH433" s="726"/>
      <c r="AI433" s="726"/>
      <c r="AJ433" s="726"/>
      <c r="AK433" s="726"/>
      <c r="AL433" s="726"/>
      <c r="AM433" s="726"/>
      <c r="AN433" s="726"/>
      <c r="AO433" s="726"/>
      <c r="AP433" s="726"/>
      <c r="AQ433" s="726"/>
      <c r="AR433" s="726"/>
      <c r="AS433" s="726"/>
      <c r="AT433" s="726"/>
      <c r="AU433" s="726"/>
      <c r="AV433" s="726"/>
      <c r="AW433" s="726"/>
      <c r="AX433" s="726"/>
      <c r="AY433" s="726"/>
      <c r="AZ433" s="726"/>
      <c r="BA433" s="726"/>
      <c r="BB433" s="726"/>
      <c r="BC433" s="726"/>
      <c r="BD433" s="726"/>
      <c r="BE433" s="726"/>
      <c r="BF433" s="726"/>
      <c r="BG433" s="726"/>
      <c r="BH433" s="726"/>
      <c r="BI433" s="726"/>
      <c r="BJ433" s="726"/>
      <c r="BK433" s="726"/>
      <c r="BL433" s="726"/>
      <c r="BM433" s="726"/>
      <c r="BN433" s="726"/>
      <c r="BO433" s="726"/>
      <c r="BP433" s="726"/>
      <c r="BQ433" s="726"/>
      <c r="BR433" s="726"/>
      <c r="BS433" s="726"/>
    </row>
    <row r="434" spans="1:71" s="563" customFormat="1">
      <c r="A434" s="614"/>
      <c r="E434" s="565"/>
      <c r="F434" s="565"/>
      <c r="Q434" s="726"/>
      <c r="R434" s="726"/>
      <c r="S434" s="726"/>
      <c r="T434" s="726"/>
      <c r="U434" s="726"/>
      <c r="V434" s="726"/>
      <c r="W434" s="726"/>
      <c r="X434" s="726"/>
      <c r="Y434" s="726"/>
      <c r="Z434" s="726"/>
      <c r="AA434" s="726"/>
      <c r="AB434" s="726"/>
      <c r="AC434" s="726"/>
      <c r="AD434" s="726"/>
      <c r="AE434" s="726"/>
      <c r="AF434" s="726"/>
      <c r="AG434" s="726"/>
      <c r="AH434" s="726"/>
      <c r="AI434" s="726"/>
      <c r="AJ434" s="726"/>
      <c r="AK434" s="726"/>
      <c r="AL434" s="726"/>
      <c r="AM434" s="726"/>
      <c r="AN434" s="726"/>
      <c r="AO434" s="726"/>
      <c r="AP434" s="726"/>
      <c r="AQ434" s="726"/>
      <c r="AR434" s="726"/>
      <c r="AS434" s="726"/>
      <c r="AT434" s="726"/>
      <c r="AU434" s="726"/>
      <c r="AV434" s="726"/>
      <c r="AW434" s="726"/>
      <c r="AX434" s="726"/>
      <c r="AY434" s="726"/>
      <c r="AZ434" s="726"/>
      <c r="BA434" s="726"/>
      <c r="BB434" s="726"/>
      <c r="BC434" s="726"/>
      <c r="BD434" s="726"/>
      <c r="BE434" s="726"/>
      <c r="BF434" s="726"/>
      <c r="BG434" s="726"/>
      <c r="BH434" s="726"/>
      <c r="BI434" s="726"/>
      <c r="BJ434" s="726"/>
      <c r="BK434" s="726"/>
      <c r="BL434" s="726"/>
      <c r="BM434" s="726"/>
      <c r="BN434" s="726"/>
      <c r="BO434" s="726"/>
      <c r="BP434" s="726"/>
      <c r="BQ434" s="726"/>
      <c r="BR434" s="726"/>
      <c r="BS434" s="726"/>
    </row>
    <row r="435" spans="1:71" s="563" customFormat="1">
      <c r="A435" s="614"/>
      <c r="E435" s="565"/>
      <c r="F435" s="565"/>
      <c r="Q435" s="726"/>
      <c r="R435" s="726"/>
      <c r="S435" s="726"/>
      <c r="T435" s="726"/>
      <c r="U435" s="726"/>
      <c r="V435" s="726"/>
      <c r="W435" s="726"/>
      <c r="X435" s="726"/>
      <c r="Y435" s="726"/>
      <c r="Z435" s="726"/>
      <c r="AA435" s="726"/>
      <c r="AB435" s="726"/>
      <c r="AC435" s="726"/>
      <c r="AD435" s="726"/>
      <c r="AE435" s="726"/>
      <c r="AF435" s="726"/>
      <c r="AG435" s="726"/>
      <c r="AH435" s="726"/>
      <c r="AI435" s="726"/>
      <c r="AJ435" s="726"/>
      <c r="AK435" s="726"/>
      <c r="AL435" s="726"/>
      <c r="AM435" s="726"/>
      <c r="AN435" s="726"/>
      <c r="AO435" s="726"/>
      <c r="AP435" s="726"/>
      <c r="AQ435" s="726"/>
      <c r="AR435" s="726"/>
      <c r="AS435" s="726"/>
      <c r="AT435" s="726"/>
      <c r="AU435" s="726"/>
      <c r="AV435" s="726"/>
      <c r="AW435" s="726"/>
      <c r="AX435" s="726"/>
      <c r="AY435" s="726"/>
      <c r="AZ435" s="726"/>
      <c r="BA435" s="726"/>
      <c r="BB435" s="726"/>
      <c r="BC435" s="726"/>
      <c r="BD435" s="726"/>
      <c r="BE435" s="726"/>
      <c r="BF435" s="726"/>
      <c r="BG435" s="726"/>
      <c r="BH435" s="726"/>
      <c r="BI435" s="726"/>
      <c r="BJ435" s="726"/>
      <c r="BK435" s="726"/>
      <c r="BL435" s="726"/>
      <c r="BM435" s="726"/>
      <c r="BN435" s="726"/>
      <c r="BO435" s="726"/>
      <c r="BP435" s="726"/>
      <c r="BQ435" s="726"/>
      <c r="BR435" s="726"/>
      <c r="BS435" s="726"/>
    </row>
    <row r="436" spans="1:71" s="563" customFormat="1">
      <c r="A436" s="614"/>
      <c r="E436" s="565"/>
      <c r="F436" s="565"/>
      <c r="Q436" s="726"/>
      <c r="R436" s="726"/>
      <c r="S436" s="726"/>
      <c r="T436" s="726"/>
      <c r="U436" s="726"/>
      <c r="V436" s="726"/>
      <c r="W436" s="726"/>
      <c r="X436" s="726"/>
      <c r="Y436" s="726"/>
      <c r="Z436" s="726"/>
      <c r="AA436" s="726"/>
      <c r="AB436" s="726"/>
      <c r="AC436" s="726"/>
      <c r="AD436" s="726"/>
      <c r="AE436" s="726"/>
      <c r="AF436" s="726"/>
      <c r="AG436" s="726"/>
      <c r="AH436" s="726"/>
      <c r="AI436" s="726"/>
      <c r="AJ436" s="726"/>
      <c r="AK436" s="726"/>
      <c r="AL436" s="726"/>
      <c r="AM436" s="726"/>
      <c r="AN436" s="726"/>
      <c r="AO436" s="726"/>
      <c r="AP436" s="726"/>
      <c r="AQ436" s="726"/>
      <c r="AR436" s="726"/>
      <c r="AS436" s="726"/>
      <c r="AT436" s="726"/>
      <c r="AU436" s="726"/>
      <c r="AV436" s="726"/>
      <c r="AW436" s="726"/>
      <c r="AX436" s="726"/>
      <c r="AY436" s="726"/>
      <c r="AZ436" s="726"/>
      <c r="BA436" s="726"/>
      <c r="BB436" s="726"/>
      <c r="BC436" s="726"/>
      <c r="BD436" s="726"/>
      <c r="BE436" s="726"/>
      <c r="BF436" s="726"/>
      <c r="BG436" s="726"/>
      <c r="BH436" s="726"/>
      <c r="BI436" s="726"/>
      <c r="BJ436" s="726"/>
      <c r="BK436" s="726"/>
      <c r="BL436" s="726"/>
      <c r="BM436" s="726"/>
      <c r="BN436" s="726"/>
      <c r="BO436" s="726"/>
      <c r="BP436" s="726"/>
      <c r="BQ436" s="726"/>
      <c r="BR436" s="726"/>
      <c r="BS436" s="726"/>
    </row>
    <row r="437" spans="1:71" s="563" customFormat="1">
      <c r="A437" s="614"/>
      <c r="E437" s="565"/>
      <c r="F437" s="565"/>
      <c r="Q437" s="726"/>
      <c r="R437" s="726"/>
      <c r="S437" s="726"/>
      <c r="T437" s="726"/>
      <c r="U437" s="726"/>
      <c r="V437" s="726"/>
      <c r="W437" s="726"/>
      <c r="X437" s="726"/>
      <c r="Y437" s="726"/>
      <c r="Z437" s="726"/>
      <c r="AA437" s="726"/>
      <c r="AB437" s="726"/>
      <c r="AC437" s="726"/>
      <c r="AD437" s="726"/>
      <c r="AE437" s="726"/>
      <c r="AF437" s="726"/>
      <c r="AG437" s="726"/>
      <c r="AH437" s="726"/>
      <c r="AI437" s="726"/>
      <c r="AJ437" s="726"/>
      <c r="AK437" s="726"/>
      <c r="AL437" s="726"/>
      <c r="AM437" s="726"/>
      <c r="AN437" s="726"/>
      <c r="AO437" s="726"/>
      <c r="AP437" s="726"/>
      <c r="AQ437" s="726"/>
      <c r="AR437" s="726"/>
      <c r="AS437" s="726"/>
      <c r="AT437" s="726"/>
      <c r="AU437" s="726"/>
      <c r="AV437" s="726"/>
      <c r="AW437" s="726"/>
      <c r="AX437" s="726"/>
      <c r="AY437" s="726"/>
      <c r="AZ437" s="726"/>
      <c r="BA437" s="726"/>
      <c r="BB437" s="726"/>
      <c r="BC437" s="726"/>
      <c r="BD437" s="726"/>
      <c r="BE437" s="726"/>
      <c r="BF437" s="726"/>
      <c r="BG437" s="726"/>
      <c r="BH437" s="726"/>
      <c r="BI437" s="726"/>
      <c r="BJ437" s="726"/>
      <c r="BK437" s="726"/>
      <c r="BL437" s="726"/>
      <c r="BM437" s="726"/>
      <c r="BN437" s="726"/>
      <c r="BO437" s="726"/>
      <c r="BP437" s="726"/>
      <c r="BQ437" s="726"/>
      <c r="BR437" s="726"/>
      <c r="BS437" s="726"/>
    </row>
    <row r="438" spans="1:71" s="563" customFormat="1">
      <c r="A438" s="614"/>
      <c r="E438" s="565"/>
      <c r="F438" s="565"/>
      <c r="Q438" s="726"/>
      <c r="R438" s="726"/>
      <c r="S438" s="726"/>
      <c r="T438" s="726"/>
      <c r="U438" s="726"/>
      <c r="V438" s="726"/>
      <c r="W438" s="726"/>
      <c r="X438" s="726"/>
      <c r="Y438" s="726"/>
      <c r="Z438" s="726"/>
      <c r="AA438" s="726"/>
      <c r="AB438" s="726"/>
      <c r="AC438" s="726"/>
      <c r="AD438" s="726"/>
      <c r="AE438" s="726"/>
      <c r="AF438" s="726"/>
      <c r="AG438" s="726"/>
      <c r="AH438" s="726"/>
      <c r="AI438" s="726"/>
      <c r="AJ438" s="726"/>
      <c r="AK438" s="726"/>
      <c r="AL438" s="726"/>
      <c r="AM438" s="726"/>
      <c r="AN438" s="726"/>
      <c r="AO438" s="726"/>
      <c r="AP438" s="726"/>
      <c r="AQ438" s="726"/>
      <c r="AR438" s="726"/>
      <c r="AS438" s="726"/>
      <c r="AT438" s="726"/>
      <c r="AU438" s="726"/>
      <c r="AV438" s="726"/>
      <c r="AW438" s="726"/>
      <c r="AX438" s="726"/>
      <c r="AY438" s="726"/>
      <c r="AZ438" s="726"/>
      <c r="BA438" s="726"/>
      <c r="BB438" s="726"/>
      <c r="BC438" s="726"/>
      <c r="BD438" s="726"/>
      <c r="BE438" s="726"/>
      <c r="BF438" s="726"/>
      <c r="BG438" s="726"/>
      <c r="BH438" s="726"/>
      <c r="BI438" s="726"/>
      <c r="BJ438" s="726"/>
      <c r="BK438" s="726"/>
      <c r="BL438" s="726"/>
      <c r="BM438" s="726"/>
      <c r="BN438" s="726"/>
      <c r="BO438" s="726"/>
      <c r="BP438" s="726"/>
      <c r="BQ438" s="726"/>
      <c r="BR438" s="726"/>
      <c r="BS438" s="726"/>
    </row>
    <row r="439" spans="1:71" s="563" customFormat="1">
      <c r="A439" s="614"/>
      <c r="E439" s="565"/>
      <c r="F439" s="565"/>
      <c r="Q439" s="726"/>
      <c r="R439" s="726"/>
      <c r="S439" s="726"/>
      <c r="T439" s="726"/>
      <c r="U439" s="726"/>
      <c r="V439" s="726"/>
      <c r="W439" s="726"/>
      <c r="X439" s="726"/>
      <c r="Y439" s="726"/>
      <c r="Z439" s="726"/>
      <c r="AA439" s="726"/>
      <c r="AB439" s="726"/>
      <c r="AC439" s="726"/>
      <c r="AD439" s="726"/>
      <c r="AE439" s="726"/>
      <c r="AF439" s="726"/>
      <c r="AG439" s="726"/>
      <c r="AH439" s="726"/>
      <c r="AI439" s="726"/>
      <c r="AJ439" s="726"/>
      <c r="AK439" s="726"/>
      <c r="AL439" s="726"/>
      <c r="AM439" s="726"/>
      <c r="AN439" s="726"/>
      <c r="AO439" s="726"/>
      <c r="AP439" s="726"/>
      <c r="AQ439" s="726"/>
      <c r="AR439" s="726"/>
      <c r="AS439" s="726"/>
      <c r="AT439" s="726"/>
      <c r="AU439" s="726"/>
      <c r="AV439" s="726"/>
      <c r="AW439" s="726"/>
      <c r="AX439" s="726"/>
      <c r="AY439" s="726"/>
      <c r="AZ439" s="726"/>
      <c r="BA439" s="726"/>
      <c r="BB439" s="726"/>
      <c r="BC439" s="726"/>
      <c r="BD439" s="726"/>
      <c r="BE439" s="726"/>
      <c r="BF439" s="726"/>
      <c r="BG439" s="726"/>
      <c r="BH439" s="726"/>
      <c r="BI439" s="726"/>
      <c r="BJ439" s="726"/>
      <c r="BK439" s="726"/>
      <c r="BL439" s="726"/>
      <c r="BM439" s="726"/>
      <c r="BN439" s="726"/>
      <c r="BO439" s="726"/>
      <c r="BP439" s="726"/>
      <c r="BQ439" s="726"/>
      <c r="BR439" s="726"/>
      <c r="BS439" s="726"/>
    </row>
    <row r="440" spans="1:71" s="563" customFormat="1">
      <c r="A440" s="614"/>
      <c r="E440" s="565"/>
      <c r="F440" s="565"/>
      <c r="Q440" s="726"/>
      <c r="R440" s="726"/>
      <c r="S440" s="726"/>
      <c r="T440" s="726"/>
      <c r="U440" s="726"/>
      <c r="V440" s="726"/>
      <c r="W440" s="726"/>
      <c r="X440" s="726"/>
      <c r="Y440" s="726"/>
      <c r="Z440" s="726"/>
      <c r="AA440" s="726"/>
      <c r="AB440" s="726"/>
      <c r="AC440" s="726"/>
      <c r="AD440" s="726"/>
      <c r="AE440" s="726"/>
      <c r="AF440" s="726"/>
      <c r="AG440" s="726"/>
      <c r="AH440" s="726"/>
      <c r="AI440" s="726"/>
      <c r="AJ440" s="726"/>
      <c r="AK440" s="726"/>
      <c r="AL440" s="726"/>
      <c r="AM440" s="726"/>
      <c r="AN440" s="726"/>
      <c r="AO440" s="726"/>
      <c r="AP440" s="726"/>
      <c r="AQ440" s="726"/>
      <c r="AR440" s="726"/>
      <c r="AS440" s="726"/>
      <c r="AT440" s="726"/>
      <c r="AU440" s="726"/>
      <c r="AV440" s="726"/>
      <c r="AW440" s="726"/>
      <c r="AX440" s="726"/>
      <c r="AY440" s="726"/>
      <c r="AZ440" s="726"/>
      <c r="BA440" s="726"/>
      <c r="BB440" s="726"/>
      <c r="BC440" s="726"/>
      <c r="BD440" s="726"/>
      <c r="BE440" s="726"/>
      <c r="BF440" s="726"/>
      <c r="BG440" s="726"/>
      <c r="BH440" s="726"/>
      <c r="BI440" s="726"/>
      <c r="BJ440" s="726"/>
      <c r="BK440" s="726"/>
      <c r="BL440" s="726"/>
      <c r="BM440" s="726"/>
      <c r="BN440" s="726"/>
      <c r="BO440" s="726"/>
      <c r="BP440" s="726"/>
      <c r="BQ440" s="726"/>
      <c r="BR440" s="726"/>
      <c r="BS440" s="726"/>
    </row>
    <row r="441" spans="1:71" s="563" customFormat="1">
      <c r="A441" s="614"/>
      <c r="E441" s="565"/>
      <c r="F441" s="565"/>
      <c r="Q441" s="726"/>
      <c r="R441" s="726"/>
      <c r="S441" s="726"/>
      <c r="T441" s="726"/>
      <c r="U441" s="726"/>
      <c r="V441" s="726"/>
      <c r="W441" s="726"/>
      <c r="X441" s="726"/>
      <c r="Y441" s="726"/>
      <c r="Z441" s="726"/>
      <c r="AA441" s="726"/>
      <c r="AB441" s="726"/>
      <c r="AC441" s="726"/>
      <c r="AD441" s="726"/>
      <c r="AE441" s="726"/>
      <c r="AF441" s="726"/>
      <c r="AG441" s="726"/>
      <c r="AH441" s="726"/>
      <c r="AI441" s="726"/>
      <c r="AJ441" s="726"/>
      <c r="AK441" s="726"/>
      <c r="AL441" s="726"/>
      <c r="AM441" s="726"/>
      <c r="AN441" s="726"/>
      <c r="AO441" s="726"/>
      <c r="AP441" s="726"/>
      <c r="AQ441" s="726"/>
      <c r="AR441" s="726"/>
      <c r="AS441" s="726"/>
      <c r="AT441" s="726"/>
      <c r="AU441" s="726"/>
      <c r="AV441" s="726"/>
      <c r="AW441" s="726"/>
      <c r="AX441" s="726"/>
      <c r="AY441" s="726"/>
      <c r="AZ441" s="726"/>
      <c r="BA441" s="726"/>
      <c r="BB441" s="726"/>
      <c r="BC441" s="726"/>
      <c r="BD441" s="726"/>
      <c r="BE441" s="726"/>
      <c r="BF441" s="726"/>
      <c r="BG441" s="726"/>
      <c r="BH441" s="726"/>
      <c r="BI441" s="726"/>
      <c r="BJ441" s="726"/>
      <c r="BK441" s="726"/>
      <c r="BL441" s="726"/>
      <c r="BM441" s="726"/>
      <c r="BN441" s="726"/>
      <c r="BO441" s="726"/>
      <c r="BP441" s="726"/>
      <c r="BQ441" s="726"/>
      <c r="BR441" s="726"/>
      <c r="BS441" s="726"/>
    </row>
    <row r="442" spans="1:71" s="563" customFormat="1">
      <c r="A442" s="614"/>
      <c r="E442" s="565"/>
      <c r="F442" s="565"/>
      <c r="Q442" s="726"/>
      <c r="R442" s="726"/>
      <c r="S442" s="726"/>
      <c r="T442" s="726"/>
      <c r="U442" s="726"/>
      <c r="V442" s="726"/>
      <c r="W442" s="726"/>
      <c r="X442" s="726"/>
      <c r="Y442" s="726"/>
      <c r="Z442" s="726"/>
      <c r="AA442" s="726"/>
      <c r="AB442" s="726"/>
      <c r="AC442" s="726"/>
      <c r="AD442" s="726"/>
      <c r="AE442" s="726"/>
      <c r="AF442" s="726"/>
      <c r="AG442" s="726"/>
      <c r="AH442" s="726"/>
      <c r="AI442" s="726"/>
      <c r="AJ442" s="726"/>
      <c r="AK442" s="726"/>
      <c r="AL442" s="726"/>
      <c r="AM442" s="726"/>
      <c r="AN442" s="726"/>
      <c r="AO442" s="726"/>
      <c r="AP442" s="726"/>
      <c r="AQ442" s="726"/>
      <c r="AR442" s="726"/>
      <c r="AS442" s="726"/>
      <c r="AT442" s="726"/>
      <c r="AU442" s="726"/>
      <c r="AV442" s="726"/>
      <c r="AW442" s="726"/>
      <c r="AX442" s="726"/>
      <c r="AY442" s="726"/>
      <c r="AZ442" s="726"/>
      <c r="BA442" s="726"/>
      <c r="BB442" s="726"/>
      <c r="BC442" s="726"/>
      <c r="BD442" s="726"/>
      <c r="BE442" s="726"/>
      <c r="BF442" s="726"/>
      <c r="BG442" s="726"/>
      <c r="BH442" s="726"/>
      <c r="BI442" s="726"/>
      <c r="BJ442" s="726"/>
      <c r="BK442" s="726"/>
      <c r="BL442" s="726"/>
      <c r="BM442" s="726"/>
      <c r="BN442" s="726"/>
      <c r="BO442" s="726"/>
      <c r="BP442" s="726"/>
      <c r="BQ442" s="726"/>
      <c r="BR442" s="726"/>
      <c r="BS442" s="726"/>
    </row>
    <row r="443" spans="1:71" s="563" customFormat="1">
      <c r="A443" s="614"/>
      <c r="E443" s="565"/>
      <c r="F443" s="565"/>
      <c r="Q443" s="726"/>
      <c r="R443" s="726"/>
      <c r="S443" s="726"/>
      <c r="T443" s="726"/>
      <c r="U443" s="726"/>
      <c r="V443" s="726"/>
      <c r="W443" s="726"/>
      <c r="X443" s="726"/>
      <c r="Y443" s="726"/>
      <c r="Z443" s="726"/>
      <c r="AA443" s="726"/>
      <c r="AB443" s="726"/>
      <c r="AC443" s="726"/>
      <c r="AD443" s="726"/>
      <c r="AE443" s="726"/>
      <c r="AF443" s="726"/>
      <c r="AG443" s="726"/>
      <c r="AH443" s="726"/>
      <c r="AI443" s="726"/>
      <c r="AJ443" s="726"/>
      <c r="AK443" s="726"/>
      <c r="AL443" s="726"/>
      <c r="AM443" s="726"/>
      <c r="AN443" s="726"/>
      <c r="AO443" s="726"/>
      <c r="AP443" s="726"/>
      <c r="AQ443" s="726"/>
      <c r="AR443" s="726"/>
      <c r="AS443" s="726"/>
      <c r="AT443" s="726"/>
      <c r="AU443" s="726"/>
      <c r="AV443" s="726"/>
      <c r="AW443" s="726"/>
      <c r="AX443" s="726"/>
      <c r="AY443" s="726"/>
      <c r="AZ443" s="726"/>
      <c r="BA443" s="726"/>
      <c r="BB443" s="726"/>
      <c r="BC443" s="726"/>
      <c r="BD443" s="726"/>
      <c r="BE443" s="726"/>
      <c r="BF443" s="726"/>
      <c r="BG443" s="726"/>
      <c r="BH443" s="726"/>
      <c r="BI443" s="726"/>
      <c r="BJ443" s="726"/>
      <c r="BK443" s="726"/>
      <c r="BL443" s="726"/>
      <c r="BM443" s="726"/>
      <c r="BN443" s="726"/>
      <c r="BO443" s="726"/>
      <c r="BP443" s="726"/>
      <c r="BQ443" s="726"/>
      <c r="BR443" s="726"/>
      <c r="BS443" s="726"/>
    </row>
    <row r="444" spans="1:71" s="563" customFormat="1">
      <c r="A444" s="614"/>
      <c r="E444" s="565"/>
      <c r="F444" s="565"/>
      <c r="Q444" s="726"/>
      <c r="R444" s="726"/>
      <c r="S444" s="726"/>
      <c r="T444" s="726"/>
      <c r="U444" s="726"/>
      <c r="V444" s="726"/>
      <c r="W444" s="726"/>
      <c r="X444" s="726"/>
      <c r="Y444" s="726"/>
      <c r="Z444" s="726"/>
      <c r="AA444" s="726"/>
      <c r="AB444" s="726"/>
      <c r="AC444" s="726"/>
      <c r="AD444" s="726"/>
      <c r="AE444" s="726"/>
      <c r="AF444" s="726"/>
      <c r="AG444" s="726"/>
      <c r="AH444" s="726"/>
      <c r="AI444" s="726"/>
      <c r="AJ444" s="726"/>
      <c r="AK444" s="726"/>
      <c r="AL444" s="726"/>
      <c r="AM444" s="726"/>
      <c r="AN444" s="726"/>
      <c r="AO444" s="726"/>
      <c r="AP444" s="726"/>
      <c r="AQ444" s="726"/>
      <c r="AR444" s="726"/>
      <c r="AS444" s="726"/>
      <c r="AT444" s="726"/>
      <c r="AU444" s="726"/>
      <c r="AV444" s="726"/>
      <c r="AW444" s="726"/>
      <c r="AX444" s="726"/>
      <c r="AY444" s="726"/>
      <c r="AZ444" s="726"/>
      <c r="BA444" s="726"/>
      <c r="BB444" s="726"/>
      <c r="BC444" s="726"/>
      <c r="BD444" s="726"/>
      <c r="BE444" s="726"/>
      <c r="BF444" s="726"/>
      <c r="BG444" s="726"/>
      <c r="BH444" s="726"/>
      <c r="BI444" s="726"/>
      <c r="BJ444" s="726"/>
      <c r="BK444" s="726"/>
      <c r="BL444" s="726"/>
      <c r="BM444" s="726"/>
      <c r="BN444" s="726"/>
      <c r="BO444" s="726"/>
      <c r="BP444" s="726"/>
      <c r="BQ444" s="726"/>
      <c r="BR444" s="726"/>
      <c r="BS444" s="726"/>
    </row>
    <row r="445" spans="1:71" s="563" customFormat="1">
      <c r="A445" s="614"/>
      <c r="E445" s="565"/>
      <c r="F445" s="565"/>
      <c r="Q445" s="726"/>
      <c r="R445" s="726"/>
      <c r="S445" s="726"/>
      <c r="T445" s="726"/>
      <c r="U445" s="726"/>
      <c r="V445" s="726"/>
      <c r="W445" s="726"/>
      <c r="X445" s="726"/>
      <c r="Y445" s="726"/>
      <c r="Z445" s="726"/>
      <c r="AA445" s="726"/>
      <c r="AB445" s="726"/>
      <c r="AC445" s="726"/>
      <c r="AD445" s="726"/>
      <c r="AE445" s="726"/>
      <c r="AF445" s="726"/>
      <c r="AG445" s="726"/>
      <c r="AH445" s="726"/>
      <c r="AI445" s="726"/>
      <c r="AJ445" s="726"/>
      <c r="AK445" s="726"/>
      <c r="AL445" s="726"/>
      <c r="AM445" s="726"/>
      <c r="AN445" s="726"/>
      <c r="AO445" s="726"/>
      <c r="AP445" s="726"/>
      <c r="AQ445" s="726"/>
      <c r="AR445" s="726"/>
      <c r="AS445" s="726"/>
      <c r="AT445" s="726"/>
      <c r="AU445" s="726"/>
      <c r="AV445" s="726"/>
      <c r="AW445" s="726"/>
      <c r="AX445" s="726"/>
      <c r="AY445" s="726"/>
      <c r="AZ445" s="726"/>
      <c r="BA445" s="726"/>
      <c r="BB445" s="726"/>
      <c r="BC445" s="726"/>
      <c r="BD445" s="726"/>
      <c r="BE445" s="726"/>
      <c r="BF445" s="726"/>
      <c r="BG445" s="726"/>
      <c r="BH445" s="726"/>
      <c r="BI445" s="726"/>
      <c r="BJ445" s="726"/>
      <c r="BK445" s="726"/>
      <c r="BL445" s="726"/>
      <c r="BM445" s="726"/>
      <c r="BN445" s="726"/>
      <c r="BO445" s="726"/>
      <c r="BP445" s="726"/>
      <c r="BQ445" s="726"/>
      <c r="BR445" s="726"/>
      <c r="BS445" s="726"/>
    </row>
    <row r="446" spans="1:71" s="563" customFormat="1">
      <c r="A446" s="614"/>
      <c r="E446" s="565"/>
      <c r="F446" s="565"/>
      <c r="Q446" s="726"/>
      <c r="R446" s="726"/>
      <c r="S446" s="726"/>
      <c r="T446" s="726"/>
      <c r="U446" s="726"/>
      <c r="V446" s="726"/>
      <c r="W446" s="726"/>
      <c r="X446" s="726"/>
      <c r="Y446" s="726"/>
      <c r="Z446" s="726"/>
      <c r="AA446" s="726"/>
      <c r="AB446" s="726"/>
      <c r="AC446" s="726"/>
      <c r="AD446" s="726"/>
      <c r="AE446" s="726"/>
      <c r="AF446" s="726"/>
      <c r="AG446" s="726"/>
      <c r="AH446" s="726"/>
      <c r="AI446" s="726"/>
      <c r="AJ446" s="726"/>
      <c r="AK446" s="726"/>
      <c r="AL446" s="726"/>
      <c r="AM446" s="726"/>
      <c r="AN446" s="726"/>
      <c r="AO446" s="726"/>
      <c r="AP446" s="726"/>
      <c r="AQ446" s="726"/>
      <c r="AR446" s="726"/>
      <c r="AS446" s="726"/>
      <c r="AT446" s="726"/>
      <c r="AU446" s="726"/>
      <c r="AV446" s="726"/>
      <c r="AW446" s="726"/>
      <c r="AX446" s="726"/>
      <c r="AY446" s="726"/>
      <c r="AZ446" s="726"/>
      <c r="BA446" s="726"/>
      <c r="BB446" s="726"/>
      <c r="BC446" s="726"/>
      <c r="BD446" s="726"/>
      <c r="BE446" s="726"/>
      <c r="BF446" s="726"/>
      <c r="BG446" s="726"/>
      <c r="BH446" s="726"/>
      <c r="BI446" s="726"/>
      <c r="BJ446" s="726"/>
      <c r="BK446" s="726"/>
      <c r="BL446" s="726"/>
      <c r="BM446" s="726"/>
      <c r="BN446" s="726"/>
      <c r="BO446" s="726"/>
      <c r="BP446" s="726"/>
      <c r="BQ446" s="726"/>
      <c r="BR446" s="726"/>
      <c r="BS446" s="726"/>
    </row>
    <row r="447" spans="1:71" s="563" customFormat="1">
      <c r="A447" s="614"/>
      <c r="E447" s="565"/>
      <c r="F447" s="565"/>
      <c r="Q447" s="726"/>
      <c r="R447" s="726"/>
      <c r="S447" s="726"/>
      <c r="T447" s="726"/>
      <c r="U447" s="726"/>
      <c r="V447" s="726"/>
      <c r="W447" s="726"/>
      <c r="X447" s="726"/>
      <c r="Y447" s="726"/>
      <c r="Z447" s="726"/>
      <c r="AA447" s="726"/>
      <c r="AB447" s="726"/>
      <c r="AC447" s="726"/>
      <c r="AD447" s="726"/>
      <c r="AE447" s="726"/>
      <c r="AF447" s="726"/>
      <c r="AG447" s="726"/>
      <c r="AH447" s="726"/>
      <c r="AI447" s="726"/>
      <c r="AJ447" s="726"/>
      <c r="AK447" s="726"/>
      <c r="AL447" s="726"/>
      <c r="AM447" s="726"/>
      <c r="AN447" s="726"/>
      <c r="AO447" s="726"/>
      <c r="AP447" s="726"/>
      <c r="AQ447" s="726"/>
      <c r="AR447" s="726"/>
      <c r="AS447" s="726"/>
      <c r="AT447" s="726"/>
      <c r="AU447" s="726"/>
      <c r="AV447" s="726"/>
      <c r="AW447" s="726"/>
      <c r="AX447" s="726"/>
      <c r="AY447" s="726"/>
      <c r="AZ447" s="726"/>
      <c r="BA447" s="726"/>
      <c r="BB447" s="726"/>
      <c r="BC447" s="726"/>
      <c r="BD447" s="726"/>
      <c r="BE447" s="726"/>
      <c r="BF447" s="726"/>
      <c r="BG447" s="726"/>
      <c r="BH447" s="726"/>
      <c r="BI447" s="726"/>
      <c r="BJ447" s="726"/>
      <c r="BK447" s="726"/>
      <c r="BL447" s="726"/>
      <c r="BM447" s="726"/>
      <c r="BN447" s="726"/>
      <c r="BO447" s="726"/>
      <c r="BP447" s="726"/>
      <c r="BQ447" s="726"/>
      <c r="BR447" s="726"/>
      <c r="BS447" s="726"/>
    </row>
    <row r="448" spans="1:71" s="563" customFormat="1">
      <c r="A448" s="614"/>
      <c r="E448" s="565"/>
      <c r="F448" s="565"/>
      <c r="Q448" s="726"/>
      <c r="R448" s="726"/>
      <c r="S448" s="726"/>
      <c r="T448" s="726"/>
      <c r="U448" s="726"/>
      <c r="V448" s="726"/>
      <c r="W448" s="726"/>
      <c r="X448" s="726"/>
      <c r="Y448" s="726"/>
      <c r="Z448" s="726"/>
      <c r="AA448" s="726"/>
      <c r="AB448" s="726"/>
      <c r="AC448" s="726"/>
      <c r="AD448" s="726"/>
      <c r="AE448" s="726"/>
      <c r="AF448" s="726"/>
      <c r="AG448" s="726"/>
      <c r="AH448" s="726"/>
      <c r="AI448" s="726"/>
      <c r="AJ448" s="726"/>
      <c r="AK448" s="726"/>
      <c r="AL448" s="726"/>
      <c r="AM448" s="726"/>
      <c r="AN448" s="726"/>
      <c r="AO448" s="726"/>
      <c r="AP448" s="726"/>
      <c r="AQ448" s="726"/>
      <c r="AR448" s="726"/>
      <c r="AS448" s="726"/>
      <c r="AT448" s="726"/>
      <c r="AU448" s="726"/>
      <c r="AV448" s="726"/>
      <c r="AW448" s="726"/>
      <c r="AX448" s="726"/>
      <c r="AY448" s="726"/>
      <c r="AZ448" s="726"/>
      <c r="BA448" s="726"/>
      <c r="BB448" s="726"/>
      <c r="BC448" s="726"/>
      <c r="BD448" s="726"/>
      <c r="BE448" s="726"/>
      <c r="BF448" s="726"/>
      <c r="BG448" s="726"/>
      <c r="BH448" s="726"/>
      <c r="BI448" s="726"/>
      <c r="BJ448" s="726"/>
      <c r="BK448" s="726"/>
      <c r="BL448" s="726"/>
      <c r="BM448" s="726"/>
      <c r="BN448" s="726"/>
      <c r="BO448" s="726"/>
      <c r="BP448" s="726"/>
      <c r="BQ448" s="726"/>
      <c r="BR448" s="726"/>
      <c r="BS448" s="726"/>
    </row>
    <row r="449" spans="1:71" s="563" customFormat="1">
      <c r="A449" s="614"/>
      <c r="E449" s="565"/>
      <c r="F449" s="565"/>
      <c r="Q449" s="726"/>
      <c r="R449" s="726"/>
      <c r="S449" s="726"/>
      <c r="T449" s="726"/>
      <c r="U449" s="726"/>
      <c r="V449" s="726"/>
      <c r="W449" s="726"/>
      <c r="X449" s="726"/>
      <c r="Y449" s="726"/>
      <c r="Z449" s="726"/>
      <c r="AA449" s="726"/>
      <c r="AB449" s="726"/>
      <c r="AC449" s="726"/>
      <c r="AD449" s="726"/>
      <c r="AE449" s="726"/>
      <c r="AF449" s="726"/>
      <c r="AG449" s="726"/>
      <c r="AH449" s="726"/>
      <c r="AI449" s="726"/>
      <c r="AJ449" s="726"/>
      <c r="AK449" s="726"/>
      <c r="AL449" s="726"/>
      <c r="AM449" s="726"/>
      <c r="AN449" s="726"/>
      <c r="AO449" s="726"/>
      <c r="AP449" s="726"/>
      <c r="AQ449" s="726"/>
      <c r="AR449" s="726"/>
      <c r="AS449" s="726"/>
      <c r="AT449" s="726"/>
      <c r="AU449" s="726"/>
      <c r="AV449" s="726"/>
      <c r="AW449" s="726"/>
      <c r="AX449" s="726"/>
      <c r="AY449" s="726"/>
      <c r="AZ449" s="726"/>
      <c r="BA449" s="726"/>
      <c r="BB449" s="726"/>
      <c r="BC449" s="726"/>
      <c r="BD449" s="726"/>
      <c r="BE449" s="726"/>
      <c r="BF449" s="726"/>
      <c r="BG449" s="726"/>
      <c r="BH449" s="726"/>
      <c r="BI449" s="726"/>
      <c r="BJ449" s="726"/>
      <c r="BK449" s="726"/>
      <c r="BL449" s="726"/>
      <c r="BM449" s="726"/>
      <c r="BN449" s="726"/>
      <c r="BO449" s="726"/>
      <c r="BP449" s="726"/>
      <c r="BQ449" s="726"/>
      <c r="BR449" s="726"/>
      <c r="BS449" s="726"/>
    </row>
    <row r="450" spans="1:71" s="563" customFormat="1">
      <c r="A450" s="614"/>
      <c r="E450" s="565"/>
      <c r="F450" s="565"/>
      <c r="Q450" s="726"/>
      <c r="R450" s="726"/>
      <c r="S450" s="726"/>
      <c r="T450" s="726"/>
      <c r="U450" s="726"/>
      <c r="V450" s="726"/>
      <c r="W450" s="726"/>
      <c r="X450" s="726"/>
      <c r="Y450" s="726"/>
      <c r="Z450" s="726"/>
      <c r="AA450" s="726"/>
      <c r="AB450" s="726"/>
      <c r="AC450" s="726"/>
      <c r="AD450" s="726"/>
      <c r="AE450" s="726"/>
      <c r="AF450" s="726"/>
      <c r="AG450" s="726"/>
      <c r="AH450" s="726"/>
      <c r="AI450" s="726"/>
      <c r="AJ450" s="726"/>
      <c r="AK450" s="726"/>
      <c r="AL450" s="726"/>
      <c r="AM450" s="726"/>
      <c r="AN450" s="726"/>
      <c r="AO450" s="726"/>
      <c r="AP450" s="726"/>
      <c r="AQ450" s="726"/>
      <c r="AR450" s="726"/>
      <c r="AS450" s="726"/>
      <c r="AT450" s="726"/>
      <c r="AU450" s="726"/>
      <c r="AV450" s="726"/>
      <c r="AW450" s="726"/>
      <c r="AX450" s="726"/>
      <c r="AY450" s="726"/>
      <c r="AZ450" s="726"/>
      <c r="BA450" s="726"/>
      <c r="BB450" s="726"/>
      <c r="BC450" s="726"/>
      <c r="BD450" s="726"/>
      <c r="BE450" s="726"/>
      <c r="BF450" s="726"/>
      <c r="BG450" s="726"/>
      <c r="BH450" s="726"/>
      <c r="BI450" s="726"/>
      <c r="BJ450" s="726"/>
      <c r="BK450" s="726"/>
      <c r="BL450" s="726"/>
      <c r="BM450" s="726"/>
      <c r="BN450" s="726"/>
      <c r="BO450" s="726"/>
      <c r="BP450" s="726"/>
      <c r="BQ450" s="726"/>
      <c r="BR450" s="726"/>
      <c r="BS450" s="726"/>
    </row>
    <row r="451" spans="1:71" s="563" customFormat="1">
      <c r="A451" s="614"/>
      <c r="E451" s="565"/>
      <c r="F451" s="565"/>
      <c r="Q451" s="726"/>
      <c r="R451" s="726"/>
      <c r="S451" s="726"/>
      <c r="T451" s="726"/>
      <c r="U451" s="726"/>
      <c r="V451" s="726"/>
      <c r="W451" s="726"/>
      <c r="X451" s="726"/>
      <c r="Y451" s="726"/>
      <c r="Z451" s="726"/>
      <c r="AA451" s="726"/>
      <c r="AB451" s="726"/>
      <c r="AC451" s="726"/>
      <c r="AD451" s="726"/>
      <c r="AE451" s="726"/>
      <c r="AF451" s="726"/>
      <c r="AG451" s="726"/>
      <c r="AH451" s="726"/>
      <c r="AI451" s="726"/>
      <c r="AJ451" s="726"/>
      <c r="AK451" s="726"/>
      <c r="AL451" s="726"/>
      <c r="AM451" s="726"/>
      <c r="AN451" s="726"/>
      <c r="AO451" s="726"/>
      <c r="AP451" s="726"/>
      <c r="AQ451" s="726"/>
      <c r="AR451" s="726"/>
      <c r="AS451" s="726"/>
      <c r="AT451" s="726"/>
      <c r="AU451" s="726"/>
      <c r="AV451" s="726"/>
      <c r="AW451" s="726"/>
      <c r="AX451" s="726"/>
      <c r="AY451" s="726"/>
      <c r="AZ451" s="726"/>
      <c r="BA451" s="726"/>
      <c r="BB451" s="726"/>
      <c r="BC451" s="726"/>
      <c r="BD451" s="726"/>
      <c r="BE451" s="726"/>
      <c r="BF451" s="726"/>
      <c r="BG451" s="726"/>
      <c r="BH451" s="726"/>
      <c r="BI451" s="726"/>
      <c r="BJ451" s="726"/>
      <c r="BK451" s="726"/>
      <c r="BL451" s="726"/>
      <c r="BM451" s="726"/>
      <c r="BN451" s="726"/>
      <c r="BO451" s="726"/>
      <c r="BP451" s="726"/>
      <c r="BQ451" s="726"/>
      <c r="BR451" s="726"/>
      <c r="BS451" s="726"/>
    </row>
    <row r="452" spans="1:71" s="563" customFormat="1">
      <c r="A452" s="614"/>
      <c r="E452" s="565"/>
      <c r="F452" s="565"/>
      <c r="Q452" s="726"/>
      <c r="R452" s="726"/>
      <c r="S452" s="726"/>
      <c r="T452" s="726"/>
      <c r="U452" s="726"/>
      <c r="V452" s="726"/>
      <c r="W452" s="726"/>
      <c r="X452" s="726"/>
      <c r="Y452" s="726"/>
      <c r="Z452" s="726"/>
      <c r="AA452" s="726"/>
      <c r="AB452" s="726"/>
      <c r="AC452" s="726"/>
      <c r="AD452" s="726"/>
      <c r="AE452" s="726"/>
      <c r="AF452" s="726"/>
      <c r="AG452" s="726"/>
      <c r="AH452" s="726"/>
      <c r="AI452" s="726"/>
      <c r="AJ452" s="726"/>
      <c r="AK452" s="726"/>
      <c r="AL452" s="726"/>
      <c r="AM452" s="726"/>
      <c r="AN452" s="726"/>
      <c r="AO452" s="726"/>
      <c r="AP452" s="726"/>
      <c r="AQ452" s="726"/>
      <c r="AR452" s="726"/>
      <c r="AS452" s="726"/>
      <c r="AT452" s="726"/>
      <c r="AU452" s="726"/>
      <c r="AV452" s="726"/>
      <c r="AW452" s="726"/>
      <c r="AX452" s="726"/>
      <c r="AY452" s="726"/>
      <c r="AZ452" s="726"/>
      <c r="BA452" s="726"/>
      <c r="BB452" s="726"/>
      <c r="BC452" s="726"/>
      <c r="BD452" s="726"/>
      <c r="BE452" s="726"/>
      <c r="BF452" s="726"/>
      <c r="BG452" s="726"/>
      <c r="BH452" s="726"/>
      <c r="BI452" s="726"/>
      <c r="BJ452" s="726"/>
      <c r="BK452" s="726"/>
      <c r="BL452" s="726"/>
      <c r="BM452" s="726"/>
      <c r="BN452" s="726"/>
      <c r="BO452" s="726"/>
      <c r="BP452" s="726"/>
      <c r="BQ452" s="726"/>
      <c r="BR452" s="726"/>
      <c r="BS452" s="726"/>
    </row>
    <row r="453" spans="1:71" s="563" customFormat="1">
      <c r="A453" s="614"/>
      <c r="E453" s="565"/>
      <c r="F453" s="565"/>
      <c r="Q453" s="726"/>
      <c r="R453" s="726"/>
      <c r="S453" s="726"/>
      <c r="T453" s="726"/>
      <c r="U453" s="726"/>
      <c r="V453" s="726"/>
      <c r="W453" s="726"/>
      <c r="X453" s="726"/>
      <c r="Y453" s="726"/>
      <c r="Z453" s="726"/>
      <c r="AA453" s="726"/>
      <c r="AB453" s="726"/>
      <c r="AC453" s="726"/>
      <c r="AD453" s="726"/>
      <c r="AE453" s="726"/>
      <c r="AF453" s="726"/>
      <c r="AG453" s="726"/>
      <c r="AH453" s="726"/>
      <c r="AI453" s="726"/>
      <c r="AJ453" s="726"/>
      <c r="AK453" s="726"/>
      <c r="AL453" s="726"/>
      <c r="AM453" s="726"/>
      <c r="AN453" s="726"/>
      <c r="AO453" s="726"/>
      <c r="AP453" s="726"/>
      <c r="AQ453" s="726"/>
      <c r="AR453" s="726"/>
      <c r="AS453" s="726"/>
      <c r="AT453" s="726"/>
      <c r="AU453" s="726"/>
      <c r="AV453" s="726"/>
      <c r="AW453" s="726"/>
      <c r="AX453" s="726"/>
      <c r="AY453" s="726"/>
      <c r="AZ453" s="726"/>
      <c r="BA453" s="726"/>
      <c r="BB453" s="726"/>
      <c r="BC453" s="726"/>
      <c r="BD453" s="726"/>
      <c r="BE453" s="726"/>
      <c r="BF453" s="726"/>
      <c r="BG453" s="726"/>
      <c r="BH453" s="726"/>
      <c r="BI453" s="726"/>
      <c r="BJ453" s="726"/>
      <c r="BK453" s="726"/>
      <c r="BL453" s="726"/>
      <c r="BM453" s="726"/>
      <c r="BN453" s="726"/>
      <c r="BO453" s="726"/>
      <c r="BP453" s="726"/>
      <c r="BQ453" s="726"/>
      <c r="BR453" s="726"/>
      <c r="BS453" s="726"/>
    </row>
    <row r="454" spans="1:71" s="563" customFormat="1">
      <c r="A454" s="614"/>
      <c r="E454" s="565"/>
      <c r="F454" s="565"/>
      <c r="Q454" s="726"/>
      <c r="R454" s="726"/>
      <c r="S454" s="726"/>
      <c r="T454" s="726"/>
      <c r="U454" s="726"/>
      <c r="V454" s="726"/>
      <c r="W454" s="726"/>
      <c r="X454" s="726"/>
      <c r="Y454" s="726"/>
      <c r="Z454" s="726"/>
      <c r="AA454" s="726"/>
      <c r="AB454" s="726"/>
      <c r="AC454" s="726"/>
      <c r="AD454" s="726"/>
      <c r="AE454" s="726"/>
      <c r="AF454" s="726"/>
      <c r="AG454" s="726"/>
      <c r="AH454" s="726"/>
      <c r="AI454" s="726"/>
      <c r="AJ454" s="726"/>
      <c r="AK454" s="726"/>
      <c r="AL454" s="726"/>
      <c r="AM454" s="726"/>
      <c r="AN454" s="726"/>
      <c r="AO454" s="726"/>
      <c r="AP454" s="726"/>
      <c r="AQ454" s="726"/>
      <c r="AR454" s="726"/>
      <c r="AS454" s="726"/>
      <c r="AT454" s="726"/>
      <c r="AU454" s="726"/>
      <c r="AV454" s="726"/>
      <c r="AW454" s="726"/>
      <c r="AX454" s="726"/>
      <c r="AY454" s="726"/>
      <c r="AZ454" s="726"/>
      <c r="BA454" s="726"/>
      <c r="BB454" s="726"/>
      <c r="BC454" s="726"/>
      <c r="BD454" s="726"/>
      <c r="BE454" s="726"/>
      <c r="BF454" s="726"/>
      <c r="BG454" s="726"/>
      <c r="BH454" s="726"/>
      <c r="BI454" s="726"/>
      <c r="BJ454" s="726"/>
      <c r="BK454" s="726"/>
      <c r="BL454" s="726"/>
      <c r="BM454" s="726"/>
      <c r="BN454" s="726"/>
      <c r="BO454" s="726"/>
      <c r="BP454" s="726"/>
      <c r="BQ454" s="726"/>
      <c r="BR454" s="726"/>
      <c r="BS454" s="726"/>
    </row>
    <row r="455" spans="1:71" s="563" customFormat="1">
      <c r="A455" s="614"/>
      <c r="E455" s="565"/>
      <c r="F455" s="565"/>
      <c r="Q455" s="726"/>
      <c r="R455" s="726"/>
      <c r="S455" s="726"/>
      <c r="T455" s="726"/>
      <c r="U455" s="726"/>
      <c r="V455" s="726"/>
      <c r="W455" s="726"/>
      <c r="X455" s="726"/>
      <c r="Y455" s="726"/>
      <c r="Z455" s="726"/>
      <c r="AA455" s="726"/>
      <c r="AB455" s="726"/>
      <c r="AC455" s="726"/>
      <c r="AD455" s="726"/>
      <c r="AE455" s="726"/>
      <c r="AF455" s="726"/>
      <c r="AG455" s="726"/>
      <c r="AH455" s="726"/>
      <c r="AI455" s="726"/>
      <c r="AJ455" s="726"/>
      <c r="AK455" s="726"/>
      <c r="AL455" s="726"/>
      <c r="AM455" s="726"/>
      <c r="AN455" s="726"/>
      <c r="AO455" s="726"/>
      <c r="AP455" s="726"/>
      <c r="AQ455" s="726"/>
      <c r="AR455" s="726"/>
      <c r="AS455" s="726"/>
      <c r="AT455" s="726"/>
      <c r="AU455" s="726"/>
      <c r="AV455" s="726"/>
      <c r="AW455" s="726"/>
      <c r="AX455" s="726"/>
      <c r="AY455" s="726"/>
      <c r="AZ455" s="726"/>
      <c r="BA455" s="726"/>
      <c r="BB455" s="726"/>
      <c r="BC455" s="726"/>
      <c r="BD455" s="726"/>
      <c r="BE455" s="726"/>
      <c r="BF455" s="726"/>
      <c r="BG455" s="726"/>
      <c r="BH455" s="726"/>
      <c r="BI455" s="726"/>
      <c r="BJ455" s="726"/>
      <c r="BK455" s="726"/>
      <c r="BL455" s="726"/>
      <c r="BM455" s="726"/>
      <c r="BN455" s="726"/>
      <c r="BO455" s="726"/>
      <c r="BP455" s="726"/>
      <c r="BQ455" s="726"/>
      <c r="BR455" s="726"/>
      <c r="BS455" s="726"/>
    </row>
    <row r="456" spans="1:71" s="563" customFormat="1">
      <c r="A456" s="614"/>
      <c r="E456" s="565"/>
      <c r="F456" s="565"/>
      <c r="Q456" s="726"/>
      <c r="R456" s="726"/>
      <c r="S456" s="726"/>
      <c r="T456" s="726"/>
      <c r="U456" s="726"/>
      <c r="V456" s="726"/>
      <c r="W456" s="726"/>
      <c r="X456" s="726"/>
      <c r="Y456" s="726"/>
      <c r="Z456" s="726"/>
      <c r="AA456" s="726"/>
      <c r="AB456" s="726"/>
      <c r="AC456" s="726"/>
      <c r="AD456" s="726"/>
      <c r="AE456" s="726"/>
      <c r="AF456" s="726"/>
      <c r="AG456" s="726"/>
      <c r="AH456" s="726"/>
      <c r="AI456" s="726"/>
      <c r="AJ456" s="726"/>
      <c r="AK456" s="726"/>
      <c r="AL456" s="726"/>
      <c r="AM456" s="726"/>
      <c r="AN456" s="726"/>
      <c r="AO456" s="726"/>
      <c r="AP456" s="726"/>
      <c r="AQ456" s="726"/>
      <c r="AR456" s="726"/>
      <c r="AS456" s="726"/>
      <c r="AT456" s="726"/>
      <c r="AU456" s="726"/>
      <c r="AV456" s="726"/>
      <c r="AW456" s="726"/>
      <c r="AX456" s="726"/>
      <c r="AY456" s="726"/>
      <c r="AZ456" s="726"/>
      <c r="BA456" s="726"/>
      <c r="BB456" s="726"/>
      <c r="BC456" s="726"/>
      <c r="BD456" s="726"/>
      <c r="BE456" s="726"/>
      <c r="BF456" s="726"/>
      <c r="BG456" s="726"/>
      <c r="BH456" s="726"/>
      <c r="BI456" s="726"/>
      <c r="BJ456" s="726"/>
      <c r="BK456" s="726"/>
      <c r="BL456" s="726"/>
      <c r="BM456" s="726"/>
      <c r="BN456" s="726"/>
      <c r="BO456" s="726"/>
      <c r="BP456" s="726"/>
      <c r="BQ456" s="726"/>
      <c r="BR456" s="726"/>
      <c r="BS456" s="726"/>
    </row>
    <row r="457" spans="1:71" s="563" customFormat="1">
      <c r="A457" s="614"/>
      <c r="E457" s="565"/>
      <c r="F457" s="565"/>
      <c r="Q457" s="726"/>
      <c r="R457" s="726"/>
      <c r="S457" s="726"/>
      <c r="T457" s="726"/>
      <c r="U457" s="726"/>
      <c r="V457" s="726"/>
      <c r="W457" s="726"/>
      <c r="X457" s="726"/>
      <c r="Y457" s="726"/>
      <c r="Z457" s="726"/>
      <c r="AA457" s="726"/>
      <c r="AB457" s="726"/>
      <c r="AC457" s="726"/>
      <c r="AD457" s="726"/>
      <c r="AE457" s="726"/>
      <c r="AF457" s="726"/>
      <c r="AG457" s="726"/>
      <c r="AH457" s="726"/>
      <c r="AI457" s="726"/>
      <c r="AJ457" s="726"/>
      <c r="AK457" s="726"/>
      <c r="AL457" s="726"/>
      <c r="AM457" s="726"/>
      <c r="AN457" s="726"/>
      <c r="AO457" s="726"/>
      <c r="AP457" s="726"/>
      <c r="AQ457" s="726"/>
      <c r="AR457" s="726"/>
      <c r="AS457" s="726"/>
      <c r="AT457" s="726"/>
      <c r="AU457" s="726"/>
      <c r="AV457" s="726"/>
      <c r="AW457" s="726"/>
      <c r="AX457" s="726"/>
      <c r="AY457" s="726"/>
      <c r="AZ457" s="726"/>
      <c r="BA457" s="726"/>
      <c r="BB457" s="726"/>
      <c r="BC457" s="726"/>
      <c r="BD457" s="726"/>
      <c r="BE457" s="726"/>
      <c r="BF457" s="726"/>
      <c r="BG457" s="726"/>
      <c r="BH457" s="726"/>
      <c r="BI457" s="726"/>
      <c r="BJ457" s="726"/>
      <c r="BK457" s="726"/>
      <c r="BL457" s="726"/>
      <c r="BM457" s="726"/>
      <c r="BN457" s="726"/>
      <c r="BO457" s="726"/>
      <c r="BP457" s="726"/>
      <c r="BQ457" s="726"/>
      <c r="BR457" s="726"/>
      <c r="BS457" s="726"/>
    </row>
    <row r="458" spans="1:71" s="563" customFormat="1">
      <c r="A458" s="614"/>
      <c r="E458" s="565"/>
      <c r="F458" s="565"/>
      <c r="Q458" s="726"/>
      <c r="R458" s="726"/>
      <c r="S458" s="726"/>
      <c r="T458" s="726"/>
      <c r="U458" s="726"/>
      <c r="V458" s="726"/>
      <c r="W458" s="726"/>
      <c r="X458" s="726"/>
      <c r="Y458" s="726"/>
      <c r="Z458" s="726"/>
      <c r="AA458" s="726"/>
      <c r="AB458" s="726"/>
      <c r="AC458" s="726"/>
      <c r="AD458" s="726"/>
      <c r="AE458" s="726"/>
      <c r="AF458" s="726"/>
      <c r="AG458" s="726"/>
      <c r="AH458" s="726"/>
      <c r="AI458" s="726"/>
      <c r="AJ458" s="726"/>
      <c r="AK458" s="726"/>
      <c r="AL458" s="726"/>
      <c r="AM458" s="726"/>
      <c r="AN458" s="726"/>
      <c r="AO458" s="726"/>
      <c r="AP458" s="726"/>
      <c r="AQ458" s="726"/>
      <c r="AR458" s="726"/>
      <c r="AS458" s="726"/>
      <c r="AT458" s="726"/>
      <c r="AU458" s="726"/>
      <c r="AV458" s="726"/>
      <c r="AW458" s="726"/>
      <c r="AX458" s="726"/>
      <c r="AY458" s="726"/>
      <c r="AZ458" s="726"/>
      <c r="BA458" s="726"/>
      <c r="BB458" s="726"/>
      <c r="BC458" s="726"/>
      <c r="BD458" s="726"/>
      <c r="BE458" s="726"/>
      <c r="BF458" s="726"/>
      <c r="BG458" s="726"/>
      <c r="BH458" s="726"/>
      <c r="BI458" s="726"/>
      <c r="BJ458" s="726"/>
      <c r="BK458" s="726"/>
      <c r="BL458" s="726"/>
      <c r="BM458" s="726"/>
      <c r="BN458" s="726"/>
      <c r="BO458" s="726"/>
      <c r="BP458" s="726"/>
      <c r="BQ458" s="726"/>
      <c r="BR458" s="726"/>
      <c r="BS458" s="726"/>
    </row>
    <row r="459" spans="1:71" s="563" customFormat="1">
      <c r="A459" s="614"/>
      <c r="E459" s="565"/>
      <c r="F459" s="565"/>
      <c r="Q459" s="726"/>
      <c r="R459" s="726"/>
      <c r="S459" s="726"/>
      <c r="T459" s="726"/>
      <c r="U459" s="726"/>
      <c r="V459" s="726"/>
      <c r="W459" s="726"/>
      <c r="X459" s="726"/>
      <c r="Y459" s="726"/>
      <c r="Z459" s="726"/>
      <c r="AA459" s="726"/>
      <c r="AB459" s="726"/>
      <c r="AC459" s="726"/>
      <c r="AD459" s="726"/>
      <c r="AE459" s="726"/>
      <c r="AF459" s="726"/>
      <c r="AG459" s="726"/>
      <c r="AH459" s="726"/>
      <c r="AI459" s="726"/>
      <c r="AJ459" s="726"/>
      <c r="AK459" s="726"/>
      <c r="AL459" s="726"/>
      <c r="AM459" s="726"/>
      <c r="AN459" s="726"/>
      <c r="AO459" s="726"/>
      <c r="AP459" s="726"/>
      <c r="AQ459" s="726"/>
      <c r="AR459" s="726"/>
      <c r="AS459" s="726"/>
      <c r="AT459" s="726"/>
      <c r="AU459" s="726"/>
      <c r="AV459" s="726"/>
      <c r="AW459" s="726"/>
      <c r="AX459" s="726"/>
      <c r="AY459" s="726"/>
      <c r="AZ459" s="726"/>
      <c r="BA459" s="726"/>
      <c r="BB459" s="726"/>
      <c r="BC459" s="726"/>
      <c r="BD459" s="726"/>
      <c r="BE459" s="726"/>
      <c r="BF459" s="726"/>
      <c r="BG459" s="726"/>
      <c r="BH459" s="726"/>
      <c r="BI459" s="726"/>
      <c r="BJ459" s="726"/>
      <c r="BK459" s="726"/>
      <c r="BL459" s="726"/>
      <c r="BM459" s="726"/>
      <c r="BN459" s="726"/>
      <c r="BO459" s="726"/>
      <c r="BP459" s="726"/>
      <c r="BQ459" s="726"/>
      <c r="BR459" s="726"/>
      <c r="BS459" s="726"/>
    </row>
    <row r="460" spans="1:71" s="563" customFormat="1">
      <c r="A460" s="614"/>
      <c r="E460" s="565"/>
      <c r="F460" s="565"/>
      <c r="Q460" s="726"/>
      <c r="R460" s="726"/>
      <c r="S460" s="726"/>
      <c r="T460" s="726"/>
      <c r="U460" s="726"/>
      <c r="V460" s="726"/>
      <c r="W460" s="726"/>
      <c r="X460" s="726"/>
      <c r="Y460" s="726"/>
      <c r="Z460" s="726"/>
      <c r="AA460" s="726"/>
      <c r="AB460" s="726"/>
      <c r="AC460" s="726"/>
      <c r="AD460" s="726"/>
      <c r="AE460" s="726"/>
      <c r="AF460" s="726"/>
      <c r="AG460" s="726"/>
      <c r="AH460" s="726"/>
      <c r="AI460" s="726"/>
      <c r="AJ460" s="726"/>
      <c r="AK460" s="726"/>
      <c r="AL460" s="726"/>
      <c r="AM460" s="726"/>
      <c r="AN460" s="726"/>
      <c r="AO460" s="726"/>
      <c r="AP460" s="726"/>
      <c r="AQ460" s="726"/>
      <c r="AR460" s="726"/>
      <c r="AS460" s="726"/>
      <c r="AT460" s="726"/>
      <c r="AU460" s="726"/>
      <c r="AV460" s="726"/>
      <c r="AW460" s="726"/>
      <c r="AX460" s="726"/>
      <c r="AY460" s="726"/>
      <c r="AZ460" s="726"/>
      <c r="BA460" s="726"/>
      <c r="BB460" s="726"/>
      <c r="BC460" s="726"/>
      <c r="BD460" s="726"/>
      <c r="BE460" s="726"/>
      <c r="BF460" s="726"/>
      <c r="BG460" s="726"/>
      <c r="BH460" s="726"/>
      <c r="BI460" s="726"/>
      <c r="BJ460" s="726"/>
      <c r="BK460" s="726"/>
      <c r="BL460" s="726"/>
      <c r="BM460" s="726"/>
      <c r="BN460" s="726"/>
      <c r="BO460" s="726"/>
      <c r="BP460" s="726"/>
      <c r="BQ460" s="726"/>
      <c r="BR460" s="726"/>
      <c r="BS460" s="726"/>
    </row>
    <row r="461" spans="1:71" s="563" customFormat="1">
      <c r="A461" s="614"/>
      <c r="E461" s="565"/>
      <c r="F461" s="565"/>
      <c r="Q461" s="726"/>
      <c r="R461" s="726"/>
      <c r="S461" s="726"/>
      <c r="T461" s="726"/>
      <c r="U461" s="726"/>
      <c r="V461" s="726"/>
      <c r="W461" s="726"/>
      <c r="X461" s="726"/>
      <c r="Y461" s="726"/>
      <c r="Z461" s="726"/>
      <c r="AA461" s="726"/>
      <c r="AB461" s="726"/>
      <c r="AC461" s="726"/>
      <c r="AD461" s="726"/>
      <c r="AE461" s="726"/>
      <c r="AF461" s="726"/>
      <c r="AG461" s="726"/>
      <c r="AH461" s="726"/>
      <c r="AI461" s="726"/>
      <c r="AJ461" s="726"/>
      <c r="AK461" s="726"/>
      <c r="AL461" s="726"/>
      <c r="AM461" s="726"/>
      <c r="AN461" s="726"/>
      <c r="AO461" s="726"/>
      <c r="AP461" s="726"/>
      <c r="AQ461" s="726"/>
      <c r="AR461" s="726"/>
      <c r="AS461" s="726"/>
      <c r="AT461" s="726"/>
      <c r="AU461" s="726"/>
      <c r="AV461" s="726"/>
      <c r="AW461" s="726"/>
      <c r="AX461" s="726"/>
      <c r="AY461" s="726"/>
      <c r="AZ461" s="726"/>
      <c r="BA461" s="726"/>
      <c r="BB461" s="726"/>
      <c r="BC461" s="726"/>
      <c r="BD461" s="726"/>
      <c r="BE461" s="726"/>
      <c r="BF461" s="726"/>
      <c r="BG461" s="726"/>
      <c r="BH461" s="726"/>
      <c r="BI461" s="726"/>
      <c r="BJ461" s="726"/>
      <c r="BK461" s="726"/>
      <c r="BL461" s="726"/>
      <c r="BM461" s="726"/>
      <c r="BN461" s="726"/>
      <c r="BO461" s="726"/>
      <c r="BP461" s="726"/>
      <c r="BQ461" s="726"/>
      <c r="BR461" s="726"/>
      <c r="BS461" s="726"/>
    </row>
    <row r="462" spans="1:71" s="563" customFormat="1">
      <c r="A462" s="614"/>
      <c r="E462" s="565"/>
      <c r="F462" s="565"/>
      <c r="Q462" s="726"/>
      <c r="R462" s="726"/>
      <c r="S462" s="726"/>
      <c r="T462" s="726"/>
      <c r="U462" s="726"/>
      <c r="V462" s="726"/>
      <c r="W462" s="726"/>
      <c r="X462" s="726"/>
      <c r="Y462" s="726"/>
      <c r="Z462" s="726"/>
      <c r="AA462" s="726"/>
      <c r="AB462" s="726"/>
      <c r="AC462" s="726"/>
      <c r="AD462" s="726"/>
      <c r="AE462" s="726"/>
      <c r="AF462" s="726"/>
      <c r="AG462" s="726"/>
      <c r="AH462" s="726"/>
      <c r="AI462" s="726"/>
      <c r="AJ462" s="726"/>
      <c r="AK462" s="726"/>
      <c r="AL462" s="726"/>
      <c r="AM462" s="726"/>
      <c r="AN462" s="726"/>
      <c r="AO462" s="726"/>
      <c r="AP462" s="726"/>
      <c r="AQ462" s="726"/>
      <c r="AR462" s="726"/>
      <c r="AS462" s="726"/>
      <c r="AT462" s="726"/>
      <c r="AU462" s="726"/>
      <c r="AV462" s="726"/>
      <c r="AW462" s="726"/>
      <c r="AX462" s="726"/>
      <c r="AY462" s="726"/>
      <c r="AZ462" s="726"/>
      <c r="BA462" s="726"/>
      <c r="BB462" s="726"/>
      <c r="BC462" s="726"/>
      <c r="BD462" s="726"/>
      <c r="BE462" s="726"/>
      <c r="BF462" s="726"/>
      <c r="BG462" s="726"/>
      <c r="BH462" s="726"/>
      <c r="BI462" s="726"/>
      <c r="BJ462" s="726"/>
      <c r="BK462" s="726"/>
      <c r="BL462" s="726"/>
      <c r="BM462" s="726"/>
      <c r="BN462" s="726"/>
      <c r="BO462" s="726"/>
      <c r="BP462" s="726"/>
      <c r="BQ462" s="726"/>
      <c r="BR462" s="726"/>
      <c r="BS462" s="726"/>
    </row>
    <row r="463" spans="1:71" s="563" customFormat="1">
      <c r="A463" s="614"/>
      <c r="E463" s="565"/>
      <c r="F463" s="565"/>
      <c r="Q463" s="726"/>
      <c r="R463" s="726"/>
      <c r="S463" s="726"/>
      <c r="T463" s="726"/>
      <c r="U463" s="726"/>
      <c r="V463" s="726"/>
      <c r="W463" s="726"/>
      <c r="X463" s="726"/>
      <c r="Y463" s="726"/>
      <c r="Z463" s="726"/>
      <c r="AA463" s="726"/>
      <c r="AB463" s="726"/>
      <c r="AC463" s="726"/>
      <c r="AD463" s="726"/>
      <c r="AE463" s="726"/>
      <c r="AF463" s="726"/>
      <c r="AG463" s="726"/>
      <c r="AH463" s="726"/>
      <c r="AI463" s="726"/>
      <c r="AJ463" s="726"/>
      <c r="AK463" s="726"/>
      <c r="AL463" s="726"/>
      <c r="AM463" s="726"/>
      <c r="AN463" s="726"/>
      <c r="AO463" s="726"/>
      <c r="AP463" s="726"/>
      <c r="AQ463" s="726"/>
      <c r="AR463" s="726"/>
      <c r="AS463" s="726"/>
      <c r="AT463" s="726"/>
      <c r="AU463" s="726"/>
      <c r="AV463" s="726"/>
      <c r="AW463" s="726"/>
      <c r="AX463" s="726"/>
      <c r="AY463" s="726"/>
      <c r="AZ463" s="726"/>
      <c r="BA463" s="726"/>
      <c r="BB463" s="726"/>
      <c r="BC463" s="726"/>
      <c r="BD463" s="726"/>
      <c r="BE463" s="726"/>
      <c r="BF463" s="726"/>
      <c r="BG463" s="726"/>
      <c r="BH463" s="726"/>
      <c r="BI463" s="726"/>
      <c r="BJ463" s="726"/>
      <c r="BK463" s="726"/>
      <c r="BL463" s="726"/>
      <c r="BM463" s="726"/>
      <c r="BN463" s="726"/>
      <c r="BO463" s="726"/>
      <c r="BP463" s="726"/>
      <c r="BQ463" s="726"/>
      <c r="BR463" s="726"/>
      <c r="BS463" s="726"/>
    </row>
    <row r="464" spans="1:71" s="563" customFormat="1">
      <c r="A464" s="614"/>
      <c r="E464" s="565"/>
      <c r="F464" s="565"/>
      <c r="Q464" s="726"/>
      <c r="R464" s="726"/>
      <c r="S464" s="726"/>
      <c r="T464" s="726"/>
      <c r="U464" s="726"/>
      <c r="V464" s="726"/>
      <c r="W464" s="726"/>
      <c r="X464" s="726"/>
      <c r="Y464" s="726"/>
      <c r="Z464" s="726"/>
      <c r="AA464" s="726"/>
      <c r="AB464" s="726"/>
      <c r="AC464" s="726"/>
      <c r="AD464" s="726"/>
      <c r="AE464" s="726"/>
      <c r="AF464" s="726"/>
      <c r="AG464" s="726"/>
      <c r="AH464" s="726"/>
      <c r="AI464" s="726"/>
      <c r="AJ464" s="726"/>
      <c r="AK464" s="726"/>
      <c r="AL464" s="726"/>
      <c r="AM464" s="726"/>
      <c r="AN464" s="726"/>
      <c r="AO464" s="726"/>
      <c r="AP464" s="726"/>
      <c r="AQ464" s="726"/>
      <c r="AR464" s="726"/>
      <c r="AS464" s="726"/>
      <c r="AT464" s="726"/>
      <c r="AU464" s="726"/>
      <c r="AV464" s="726"/>
      <c r="AW464" s="726"/>
      <c r="AX464" s="726"/>
      <c r="AY464" s="726"/>
      <c r="AZ464" s="726"/>
      <c r="BA464" s="726"/>
      <c r="BB464" s="726"/>
      <c r="BC464" s="726"/>
      <c r="BD464" s="726"/>
      <c r="BE464" s="726"/>
      <c r="BF464" s="726"/>
      <c r="BG464" s="726"/>
      <c r="BH464" s="726"/>
      <c r="BI464" s="726"/>
      <c r="BJ464" s="726"/>
      <c r="BK464" s="726"/>
      <c r="BL464" s="726"/>
      <c r="BM464" s="726"/>
      <c r="BN464" s="726"/>
      <c r="BO464" s="726"/>
      <c r="BP464" s="726"/>
      <c r="BQ464" s="726"/>
      <c r="BR464" s="726"/>
      <c r="BS464" s="726"/>
    </row>
    <row r="465" spans="1:71" s="563" customFormat="1">
      <c r="A465" s="614"/>
      <c r="E465" s="565"/>
      <c r="F465" s="565"/>
      <c r="Q465" s="726"/>
      <c r="R465" s="726"/>
      <c r="S465" s="726"/>
      <c r="T465" s="726"/>
      <c r="U465" s="726"/>
      <c r="V465" s="726"/>
      <c r="W465" s="726"/>
      <c r="X465" s="726"/>
      <c r="Y465" s="726"/>
      <c r="Z465" s="726"/>
      <c r="AA465" s="726"/>
      <c r="AB465" s="726"/>
      <c r="AC465" s="726"/>
      <c r="AD465" s="726"/>
      <c r="AE465" s="726"/>
      <c r="AF465" s="726"/>
      <c r="AG465" s="726"/>
      <c r="AH465" s="726"/>
      <c r="AI465" s="726"/>
      <c r="AJ465" s="726"/>
      <c r="AK465" s="726"/>
      <c r="AL465" s="726"/>
      <c r="AM465" s="726"/>
      <c r="AN465" s="726"/>
      <c r="AO465" s="726"/>
      <c r="AP465" s="726"/>
      <c r="AQ465" s="726"/>
      <c r="AR465" s="726"/>
      <c r="AS465" s="726"/>
      <c r="AT465" s="726"/>
      <c r="AU465" s="726"/>
      <c r="AV465" s="726"/>
      <c r="AW465" s="726"/>
      <c r="AX465" s="726"/>
      <c r="AY465" s="726"/>
      <c r="AZ465" s="726"/>
      <c r="BA465" s="726"/>
      <c r="BB465" s="726"/>
      <c r="BC465" s="726"/>
      <c r="BD465" s="726"/>
      <c r="BE465" s="726"/>
      <c r="BF465" s="726"/>
      <c r="BG465" s="726"/>
      <c r="BH465" s="726"/>
      <c r="BI465" s="726"/>
      <c r="BJ465" s="726"/>
      <c r="BK465" s="726"/>
      <c r="BL465" s="726"/>
      <c r="BM465" s="726"/>
      <c r="BN465" s="726"/>
      <c r="BO465" s="726"/>
      <c r="BP465" s="726"/>
      <c r="BQ465" s="726"/>
      <c r="BR465" s="726"/>
      <c r="BS465" s="726"/>
    </row>
    <row r="466" spans="1:71" s="563" customFormat="1">
      <c r="A466" s="614"/>
      <c r="E466" s="565"/>
      <c r="F466" s="565"/>
      <c r="Q466" s="726"/>
      <c r="R466" s="726"/>
      <c r="S466" s="726"/>
      <c r="T466" s="726"/>
      <c r="U466" s="726"/>
      <c r="V466" s="726"/>
      <c r="W466" s="726"/>
      <c r="X466" s="726"/>
      <c r="Y466" s="726"/>
      <c r="Z466" s="726"/>
      <c r="AA466" s="726"/>
      <c r="AB466" s="726"/>
      <c r="AC466" s="726"/>
      <c r="AD466" s="726"/>
      <c r="AE466" s="726"/>
      <c r="AF466" s="726"/>
      <c r="AG466" s="726"/>
      <c r="AH466" s="726"/>
      <c r="AI466" s="726"/>
      <c r="AJ466" s="726"/>
      <c r="AK466" s="726"/>
      <c r="AL466" s="726"/>
      <c r="AM466" s="726"/>
      <c r="AN466" s="726"/>
      <c r="AO466" s="726"/>
      <c r="AP466" s="726"/>
      <c r="AQ466" s="726"/>
      <c r="AR466" s="726"/>
      <c r="AS466" s="726"/>
      <c r="AT466" s="726"/>
      <c r="AU466" s="726"/>
      <c r="AV466" s="726"/>
      <c r="AW466" s="726"/>
      <c r="AX466" s="726"/>
      <c r="AY466" s="726"/>
      <c r="AZ466" s="726"/>
      <c r="BA466" s="726"/>
      <c r="BB466" s="726"/>
      <c r="BC466" s="726"/>
      <c r="BD466" s="726"/>
      <c r="BE466" s="726"/>
      <c r="BF466" s="726"/>
      <c r="BG466" s="726"/>
      <c r="BH466" s="726"/>
      <c r="BI466" s="726"/>
      <c r="BJ466" s="726"/>
      <c r="BK466" s="726"/>
      <c r="BL466" s="726"/>
      <c r="BM466" s="726"/>
      <c r="BN466" s="726"/>
      <c r="BO466" s="726"/>
      <c r="BP466" s="726"/>
      <c r="BQ466" s="726"/>
      <c r="BR466" s="726"/>
      <c r="BS466" s="726"/>
    </row>
    <row r="467" spans="1:71" s="563" customFormat="1">
      <c r="A467" s="614"/>
      <c r="E467" s="565"/>
      <c r="F467" s="565"/>
      <c r="Q467" s="726"/>
      <c r="R467" s="726"/>
      <c r="S467" s="726"/>
      <c r="T467" s="726"/>
      <c r="U467" s="726"/>
      <c r="V467" s="726"/>
      <c r="W467" s="726"/>
      <c r="X467" s="726"/>
      <c r="Y467" s="726"/>
      <c r="Z467" s="726"/>
      <c r="AA467" s="726"/>
      <c r="AB467" s="726"/>
      <c r="AC467" s="726"/>
      <c r="AD467" s="726"/>
      <c r="AE467" s="726"/>
      <c r="AF467" s="726"/>
      <c r="AG467" s="726"/>
      <c r="AH467" s="726"/>
      <c r="AI467" s="726"/>
      <c r="AJ467" s="726"/>
      <c r="AK467" s="726"/>
      <c r="AL467" s="726"/>
      <c r="AM467" s="726"/>
      <c r="AN467" s="726"/>
      <c r="AO467" s="726"/>
      <c r="AP467" s="726"/>
      <c r="AQ467" s="726"/>
      <c r="AR467" s="726"/>
      <c r="AS467" s="726"/>
      <c r="AT467" s="726"/>
      <c r="AU467" s="726"/>
      <c r="AV467" s="726"/>
      <c r="AW467" s="726"/>
      <c r="AX467" s="726"/>
      <c r="AY467" s="726"/>
      <c r="AZ467" s="726"/>
      <c r="BA467" s="726"/>
      <c r="BB467" s="726"/>
      <c r="BC467" s="726"/>
      <c r="BD467" s="726"/>
      <c r="BE467" s="726"/>
      <c r="BF467" s="726"/>
      <c r="BG467" s="726"/>
      <c r="BH467" s="726"/>
      <c r="BI467" s="726"/>
      <c r="BJ467" s="726"/>
      <c r="BK467" s="726"/>
      <c r="BL467" s="726"/>
      <c r="BM467" s="726"/>
      <c r="BN467" s="726"/>
      <c r="BO467" s="726"/>
      <c r="BP467" s="726"/>
      <c r="BQ467" s="726"/>
      <c r="BR467" s="726"/>
      <c r="BS467" s="726"/>
    </row>
    <row r="468" spans="1:71" s="563" customFormat="1">
      <c r="A468" s="614"/>
      <c r="E468" s="565"/>
      <c r="F468" s="565"/>
      <c r="Q468" s="726"/>
      <c r="R468" s="726"/>
      <c r="S468" s="726"/>
      <c r="T468" s="726"/>
      <c r="U468" s="726"/>
      <c r="V468" s="726"/>
      <c r="W468" s="726"/>
      <c r="X468" s="726"/>
      <c r="Y468" s="726"/>
      <c r="Z468" s="726"/>
      <c r="AA468" s="726"/>
      <c r="AB468" s="726"/>
      <c r="AC468" s="726"/>
      <c r="AD468" s="726"/>
      <c r="AE468" s="726"/>
      <c r="AF468" s="726"/>
      <c r="AG468" s="726"/>
      <c r="AH468" s="726"/>
      <c r="AI468" s="726"/>
      <c r="AJ468" s="726"/>
      <c r="AK468" s="726"/>
      <c r="AL468" s="726"/>
      <c r="AM468" s="726"/>
      <c r="AN468" s="726"/>
      <c r="AO468" s="726"/>
      <c r="AP468" s="726"/>
      <c r="AQ468" s="726"/>
      <c r="AR468" s="726"/>
      <c r="AS468" s="726"/>
      <c r="AT468" s="726"/>
      <c r="AU468" s="726"/>
      <c r="AV468" s="726"/>
      <c r="AW468" s="726"/>
      <c r="AX468" s="726"/>
      <c r="AY468" s="726"/>
      <c r="AZ468" s="726"/>
      <c r="BA468" s="726"/>
      <c r="BB468" s="726"/>
      <c r="BC468" s="726"/>
      <c r="BD468" s="726"/>
      <c r="BE468" s="726"/>
      <c r="BF468" s="726"/>
      <c r="BG468" s="726"/>
      <c r="BH468" s="726"/>
      <c r="BI468" s="726"/>
      <c r="BJ468" s="726"/>
      <c r="BK468" s="726"/>
      <c r="BL468" s="726"/>
      <c r="BM468" s="726"/>
      <c r="BN468" s="726"/>
      <c r="BO468" s="726"/>
      <c r="BP468" s="726"/>
      <c r="BQ468" s="726"/>
      <c r="BR468" s="726"/>
      <c r="BS468" s="726"/>
    </row>
    <row r="469" spans="1:71" s="563" customFormat="1">
      <c r="A469" s="614"/>
      <c r="E469" s="565"/>
      <c r="F469" s="565"/>
      <c r="Q469" s="726"/>
      <c r="R469" s="726"/>
      <c r="S469" s="726"/>
      <c r="T469" s="726"/>
      <c r="U469" s="726"/>
      <c r="V469" s="726"/>
      <c r="W469" s="726"/>
      <c r="X469" s="726"/>
      <c r="Y469" s="726"/>
      <c r="Z469" s="726"/>
      <c r="AA469" s="726"/>
      <c r="AB469" s="726"/>
      <c r="AC469" s="726"/>
      <c r="AD469" s="726"/>
      <c r="AE469" s="726"/>
      <c r="AF469" s="726"/>
      <c r="AG469" s="726"/>
      <c r="AH469" s="726"/>
      <c r="AI469" s="726"/>
      <c r="AJ469" s="726"/>
      <c r="AK469" s="726"/>
      <c r="AL469" s="726"/>
      <c r="AM469" s="726"/>
      <c r="AN469" s="726"/>
      <c r="AO469" s="726"/>
      <c r="AP469" s="726"/>
      <c r="AQ469" s="726"/>
      <c r="AR469" s="726"/>
      <c r="AS469" s="726"/>
      <c r="AT469" s="726"/>
      <c r="AU469" s="726"/>
      <c r="AV469" s="726"/>
      <c r="AW469" s="726"/>
      <c r="AX469" s="726"/>
      <c r="AY469" s="726"/>
      <c r="AZ469" s="726"/>
      <c r="BA469" s="726"/>
      <c r="BB469" s="726"/>
      <c r="BC469" s="726"/>
      <c r="BD469" s="726"/>
      <c r="BE469" s="726"/>
      <c r="BF469" s="726"/>
      <c r="BG469" s="726"/>
      <c r="BH469" s="726"/>
      <c r="BI469" s="726"/>
      <c r="BJ469" s="726"/>
      <c r="BK469" s="726"/>
      <c r="BL469" s="726"/>
      <c r="BM469" s="726"/>
      <c r="BN469" s="726"/>
      <c r="BO469" s="726"/>
      <c r="BP469" s="726"/>
      <c r="BQ469" s="726"/>
      <c r="BR469" s="726"/>
      <c r="BS469" s="726"/>
    </row>
    <row r="470" spans="1:71" s="563" customFormat="1">
      <c r="A470" s="614"/>
      <c r="E470" s="565"/>
      <c r="F470" s="565"/>
      <c r="Q470" s="726"/>
      <c r="R470" s="726"/>
      <c r="S470" s="726"/>
      <c r="T470" s="726"/>
      <c r="U470" s="726"/>
      <c r="V470" s="726"/>
      <c r="W470" s="726"/>
      <c r="X470" s="726"/>
      <c r="Y470" s="726"/>
      <c r="Z470" s="726"/>
      <c r="AA470" s="726"/>
      <c r="AB470" s="726"/>
      <c r="AC470" s="726"/>
      <c r="AD470" s="726"/>
      <c r="AE470" s="726"/>
      <c r="AF470" s="726"/>
      <c r="AG470" s="726"/>
      <c r="AH470" s="726"/>
      <c r="AI470" s="726"/>
      <c r="AJ470" s="726"/>
      <c r="AK470" s="726"/>
      <c r="AL470" s="726"/>
      <c r="AM470" s="726"/>
      <c r="AN470" s="726"/>
      <c r="AO470" s="726"/>
      <c r="AP470" s="726"/>
      <c r="AQ470" s="726"/>
      <c r="AR470" s="726"/>
      <c r="AS470" s="726"/>
      <c r="AT470" s="726"/>
      <c r="AU470" s="726"/>
      <c r="AV470" s="726"/>
      <c r="AW470" s="726"/>
      <c r="AX470" s="726"/>
      <c r="AY470" s="726"/>
      <c r="AZ470" s="726"/>
      <c r="BA470" s="726"/>
      <c r="BB470" s="726"/>
      <c r="BC470" s="726"/>
      <c r="BD470" s="726"/>
      <c r="BE470" s="726"/>
      <c r="BF470" s="726"/>
      <c r="BG470" s="726"/>
      <c r="BH470" s="726"/>
      <c r="BI470" s="726"/>
      <c r="BJ470" s="726"/>
      <c r="BK470" s="726"/>
      <c r="BL470" s="726"/>
      <c r="BM470" s="726"/>
      <c r="BN470" s="726"/>
      <c r="BO470" s="726"/>
      <c r="BP470" s="726"/>
      <c r="BQ470" s="726"/>
      <c r="BR470" s="726"/>
      <c r="BS470" s="726"/>
    </row>
    <row r="471" spans="1:71" s="563" customFormat="1">
      <c r="A471" s="614"/>
      <c r="E471" s="565"/>
      <c r="F471" s="565"/>
      <c r="Q471" s="726"/>
      <c r="R471" s="726"/>
      <c r="S471" s="726"/>
      <c r="T471" s="726"/>
      <c r="U471" s="726"/>
      <c r="V471" s="726"/>
      <c r="W471" s="726"/>
      <c r="X471" s="726"/>
      <c r="Y471" s="726"/>
      <c r="Z471" s="726"/>
      <c r="AA471" s="726"/>
      <c r="AB471" s="726"/>
      <c r="AC471" s="726"/>
      <c r="AD471" s="726"/>
      <c r="AE471" s="726"/>
      <c r="AF471" s="726"/>
      <c r="AG471" s="726"/>
      <c r="AH471" s="726"/>
      <c r="AI471" s="726"/>
      <c r="AJ471" s="726"/>
      <c r="AK471" s="726"/>
      <c r="AL471" s="726"/>
      <c r="AM471" s="726"/>
      <c r="AN471" s="726"/>
      <c r="AO471" s="726"/>
      <c r="AP471" s="726"/>
      <c r="AQ471" s="726"/>
      <c r="AR471" s="726"/>
      <c r="AS471" s="726"/>
      <c r="AT471" s="726"/>
      <c r="AU471" s="726"/>
      <c r="AV471" s="726"/>
      <c r="AW471" s="726"/>
      <c r="AX471" s="726"/>
      <c r="AY471" s="726"/>
      <c r="AZ471" s="726"/>
      <c r="BA471" s="726"/>
      <c r="BB471" s="726"/>
      <c r="BC471" s="726"/>
      <c r="BD471" s="726"/>
      <c r="BE471" s="726"/>
      <c r="BF471" s="726"/>
      <c r="BG471" s="726"/>
      <c r="BH471" s="726"/>
      <c r="BI471" s="726"/>
      <c r="BJ471" s="726"/>
      <c r="BK471" s="726"/>
      <c r="BL471" s="726"/>
      <c r="BM471" s="726"/>
      <c r="BN471" s="726"/>
      <c r="BO471" s="726"/>
      <c r="BP471" s="726"/>
      <c r="BQ471" s="726"/>
      <c r="BR471" s="726"/>
      <c r="BS471" s="726"/>
    </row>
    <row r="472" spans="1:71" s="563" customFormat="1">
      <c r="A472" s="614"/>
      <c r="E472" s="565"/>
      <c r="F472" s="565"/>
      <c r="Q472" s="726"/>
      <c r="R472" s="726"/>
      <c r="S472" s="726"/>
      <c r="T472" s="726"/>
      <c r="U472" s="726"/>
      <c r="V472" s="726"/>
      <c r="W472" s="726"/>
      <c r="X472" s="726"/>
      <c r="Y472" s="726"/>
      <c r="Z472" s="726"/>
      <c r="AA472" s="726"/>
      <c r="AB472" s="726"/>
      <c r="AC472" s="726"/>
      <c r="AD472" s="726"/>
      <c r="AE472" s="726"/>
      <c r="AF472" s="726"/>
      <c r="AG472" s="726"/>
      <c r="AH472" s="726"/>
      <c r="AI472" s="726"/>
      <c r="AJ472" s="726"/>
      <c r="AK472" s="726"/>
      <c r="AL472" s="726"/>
      <c r="AM472" s="726"/>
      <c r="AN472" s="726"/>
      <c r="AO472" s="726"/>
      <c r="AP472" s="726"/>
      <c r="AQ472" s="726"/>
      <c r="AR472" s="726"/>
      <c r="AS472" s="726"/>
      <c r="AT472" s="726"/>
      <c r="AU472" s="726"/>
      <c r="AV472" s="726"/>
      <c r="AW472" s="726"/>
      <c r="AX472" s="726"/>
      <c r="AY472" s="726"/>
      <c r="AZ472" s="726"/>
      <c r="BA472" s="726"/>
      <c r="BB472" s="726"/>
      <c r="BC472" s="726"/>
      <c r="BD472" s="726"/>
      <c r="BE472" s="726"/>
      <c r="BF472" s="726"/>
      <c r="BG472" s="726"/>
      <c r="BH472" s="726"/>
      <c r="BI472" s="726"/>
      <c r="BJ472" s="726"/>
      <c r="BK472" s="726"/>
      <c r="BL472" s="726"/>
      <c r="BM472" s="726"/>
      <c r="BN472" s="726"/>
      <c r="BO472" s="726"/>
      <c r="BP472" s="726"/>
      <c r="BQ472" s="726"/>
      <c r="BR472" s="726"/>
      <c r="BS472" s="726"/>
    </row>
    <row r="473" spans="1:71" s="563" customFormat="1">
      <c r="A473" s="614"/>
      <c r="E473" s="565"/>
      <c r="F473" s="565"/>
      <c r="Q473" s="726"/>
      <c r="R473" s="726"/>
      <c r="S473" s="726"/>
      <c r="T473" s="726"/>
      <c r="U473" s="726"/>
      <c r="V473" s="726"/>
      <c r="W473" s="726"/>
      <c r="X473" s="726"/>
      <c r="Y473" s="726"/>
      <c r="Z473" s="726"/>
      <c r="AA473" s="726"/>
      <c r="AB473" s="726"/>
      <c r="AC473" s="726"/>
      <c r="AD473" s="726"/>
      <c r="AE473" s="726"/>
      <c r="AF473" s="726"/>
      <c r="AG473" s="726"/>
      <c r="AH473" s="726"/>
      <c r="AI473" s="726"/>
      <c r="AJ473" s="726"/>
      <c r="AK473" s="726"/>
      <c r="AL473" s="726"/>
      <c r="AM473" s="726"/>
      <c r="AN473" s="726"/>
      <c r="AO473" s="726"/>
      <c r="AP473" s="726"/>
      <c r="AQ473" s="726"/>
      <c r="AR473" s="726"/>
      <c r="AS473" s="726"/>
      <c r="AT473" s="726"/>
      <c r="AU473" s="726"/>
      <c r="AV473" s="726"/>
      <c r="AW473" s="726"/>
      <c r="AX473" s="726"/>
      <c r="AY473" s="726"/>
      <c r="AZ473" s="726"/>
      <c r="BA473" s="726"/>
      <c r="BB473" s="726"/>
      <c r="BC473" s="726"/>
      <c r="BD473" s="726"/>
      <c r="BE473" s="726"/>
      <c r="BF473" s="726"/>
      <c r="BG473" s="726"/>
      <c r="BH473" s="726"/>
      <c r="BI473" s="726"/>
      <c r="BJ473" s="726"/>
      <c r="BK473" s="726"/>
      <c r="BL473" s="726"/>
      <c r="BM473" s="726"/>
      <c r="BN473" s="726"/>
      <c r="BO473" s="726"/>
      <c r="BP473" s="726"/>
      <c r="BQ473" s="726"/>
      <c r="BR473" s="726"/>
      <c r="BS473" s="726"/>
    </row>
    <row r="474" spans="1:71" s="563" customFormat="1">
      <c r="A474" s="614"/>
      <c r="E474" s="565"/>
      <c r="F474" s="565"/>
      <c r="Q474" s="726"/>
      <c r="R474" s="726"/>
      <c r="S474" s="726"/>
      <c r="T474" s="726"/>
      <c r="U474" s="726"/>
      <c r="V474" s="726"/>
      <c r="W474" s="726"/>
      <c r="X474" s="726"/>
      <c r="Y474" s="726"/>
      <c r="Z474" s="726"/>
      <c r="AA474" s="726"/>
      <c r="AB474" s="726"/>
      <c r="AC474" s="726"/>
      <c r="AD474" s="726"/>
      <c r="AE474" s="726"/>
      <c r="AF474" s="726"/>
      <c r="AG474" s="726"/>
      <c r="AH474" s="726"/>
      <c r="AI474" s="726"/>
      <c r="AJ474" s="726"/>
      <c r="AK474" s="726"/>
      <c r="AL474" s="726"/>
      <c r="AM474" s="726"/>
      <c r="AN474" s="726"/>
      <c r="AO474" s="726"/>
      <c r="AP474" s="726"/>
      <c r="AQ474" s="726"/>
      <c r="AR474" s="726"/>
      <c r="AS474" s="726"/>
      <c r="AT474" s="726"/>
      <c r="AU474" s="726"/>
      <c r="AV474" s="726"/>
      <c r="AW474" s="726"/>
      <c r="AX474" s="726"/>
      <c r="AY474" s="726"/>
      <c r="AZ474" s="726"/>
      <c r="BA474" s="726"/>
      <c r="BB474" s="726"/>
      <c r="BC474" s="726"/>
      <c r="BD474" s="726"/>
      <c r="BE474" s="726"/>
      <c r="BF474" s="726"/>
      <c r="BG474" s="726"/>
      <c r="BH474" s="726"/>
      <c r="BI474" s="726"/>
      <c r="BJ474" s="726"/>
      <c r="BK474" s="726"/>
      <c r="BL474" s="726"/>
      <c r="BM474" s="726"/>
      <c r="BN474" s="726"/>
      <c r="BO474" s="726"/>
      <c r="BP474" s="726"/>
      <c r="BQ474" s="726"/>
      <c r="BR474" s="726"/>
      <c r="BS474" s="726"/>
    </row>
    <row r="475" spans="1:71" s="563" customFormat="1">
      <c r="A475" s="614"/>
      <c r="E475" s="565"/>
      <c r="F475" s="565"/>
      <c r="Q475" s="726"/>
      <c r="R475" s="726"/>
      <c r="S475" s="726"/>
      <c r="T475" s="726"/>
      <c r="U475" s="726"/>
      <c r="V475" s="726"/>
      <c r="W475" s="726"/>
      <c r="X475" s="726"/>
      <c r="Y475" s="726"/>
      <c r="Z475" s="726"/>
      <c r="AA475" s="726"/>
      <c r="AB475" s="726"/>
      <c r="AC475" s="726"/>
      <c r="AD475" s="726"/>
      <c r="AE475" s="726"/>
      <c r="AF475" s="726"/>
      <c r="AG475" s="726"/>
      <c r="AH475" s="726"/>
      <c r="AI475" s="726"/>
      <c r="AJ475" s="726"/>
      <c r="AK475" s="726"/>
      <c r="AL475" s="726"/>
      <c r="AM475" s="726"/>
      <c r="AN475" s="726"/>
      <c r="AO475" s="726"/>
      <c r="AP475" s="726"/>
      <c r="AQ475" s="726"/>
      <c r="AR475" s="726"/>
      <c r="AS475" s="726"/>
      <c r="AT475" s="726"/>
      <c r="AU475" s="726"/>
      <c r="AV475" s="726"/>
      <c r="AW475" s="726"/>
      <c r="AX475" s="726"/>
      <c r="AY475" s="726"/>
      <c r="AZ475" s="726"/>
      <c r="BA475" s="726"/>
      <c r="BB475" s="726"/>
      <c r="BC475" s="726"/>
      <c r="BD475" s="726"/>
      <c r="BE475" s="726"/>
      <c r="BF475" s="726"/>
      <c r="BG475" s="726"/>
      <c r="BH475" s="726"/>
      <c r="BI475" s="726"/>
      <c r="BJ475" s="726"/>
      <c r="BK475" s="726"/>
      <c r="BL475" s="726"/>
      <c r="BM475" s="726"/>
      <c r="BN475" s="726"/>
      <c r="BO475" s="726"/>
      <c r="BP475" s="726"/>
      <c r="BQ475" s="726"/>
      <c r="BR475" s="726"/>
      <c r="BS475" s="726"/>
    </row>
    <row r="476" spans="1:71" s="563" customFormat="1">
      <c r="A476" s="614"/>
      <c r="E476" s="565"/>
      <c r="F476" s="565"/>
      <c r="Q476" s="726"/>
      <c r="R476" s="726"/>
      <c r="S476" s="726"/>
      <c r="T476" s="726"/>
      <c r="U476" s="726"/>
      <c r="V476" s="726"/>
      <c r="W476" s="726"/>
      <c r="X476" s="726"/>
      <c r="Y476" s="726"/>
      <c r="Z476" s="726"/>
      <c r="AA476" s="726"/>
      <c r="AB476" s="726"/>
      <c r="AC476" s="726"/>
      <c r="AD476" s="726"/>
      <c r="AE476" s="726"/>
      <c r="AF476" s="726"/>
      <c r="AG476" s="726"/>
      <c r="AH476" s="726"/>
      <c r="AI476" s="726"/>
      <c r="AJ476" s="726"/>
      <c r="AK476" s="726"/>
      <c r="AL476" s="726"/>
      <c r="AM476" s="726"/>
      <c r="AN476" s="726"/>
      <c r="AO476" s="726"/>
      <c r="AP476" s="726"/>
      <c r="AQ476" s="726"/>
      <c r="AR476" s="726"/>
      <c r="AS476" s="726"/>
      <c r="AT476" s="726"/>
      <c r="AU476" s="726"/>
      <c r="AV476" s="726"/>
      <c r="AW476" s="726"/>
      <c r="AX476" s="726"/>
      <c r="AY476" s="726"/>
      <c r="AZ476" s="726"/>
      <c r="BA476" s="726"/>
      <c r="BB476" s="726"/>
      <c r="BC476" s="726"/>
      <c r="BD476" s="726"/>
      <c r="BE476" s="726"/>
      <c r="BF476" s="726"/>
      <c r="BG476" s="726"/>
      <c r="BH476" s="726"/>
      <c r="BI476" s="726"/>
      <c r="BJ476" s="726"/>
      <c r="BK476" s="726"/>
      <c r="BL476" s="726"/>
      <c r="BM476" s="726"/>
      <c r="BN476" s="726"/>
      <c r="BO476" s="726"/>
      <c r="BP476" s="726"/>
      <c r="BQ476" s="726"/>
      <c r="BR476" s="726"/>
      <c r="BS476" s="726"/>
    </row>
    <row r="477" spans="1:71" s="563" customFormat="1">
      <c r="A477" s="614"/>
      <c r="E477" s="565"/>
      <c r="F477" s="565"/>
      <c r="Q477" s="726"/>
      <c r="R477" s="726"/>
      <c r="S477" s="726"/>
      <c r="T477" s="726"/>
      <c r="U477" s="726"/>
      <c r="V477" s="726"/>
      <c r="W477" s="726"/>
      <c r="X477" s="726"/>
      <c r="Y477" s="726"/>
      <c r="Z477" s="726"/>
      <c r="AA477" s="726"/>
      <c r="AB477" s="726"/>
      <c r="AC477" s="726"/>
      <c r="AD477" s="726"/>
      <c r="AE477" s="726"/>
      <c r="AF477" s="726"/>
      <c r="AG477" s="726"/>
      <c r="AH477" s="726"/>
      <c r="AI477" s="726"/>
      <c r="AJ477" s="726"/>
      <c r="AK477" s="726"/>
      <c r="AL477" s="726"/>
      <c r="AM477" s="726"/>
      <c r="AN477" s="726"/>
      <c r="AO477" s="726"/>
      <c r="AP477" s="726"/>
      <c r="AQ477" s="726"/>
      <c r="AR477" s="726"/>
      <c r="AS477" s="726"/>
      <c r="AT477" s="726"/>
      <c r="AU477" s="726"/>
      <c r="AV477" s="726"/>
      <c r="AW477" s="726"/>
      <c r="AX477" s="726"/>
      <c r="AY477" s="726"/>
      <c r="AZ477" s="726"/>
      <c r="BA477" s="726"/>
      <c r="BB477" s="726"/>
      <c r="BC477" s="726"/>
      <c r="BD477" s="726"/>
      <c r="BE477" s="726"/>
      <c r="BF477" s="726"/>
      <c r="BG477" s="726"/>
      <c r="BH477" s="726"/>
      <c r="BI477" s="726"/>
      <c r="BJ477" s="726"/>
      <c r="BK477" s="726"/>
      <c r="BL477" s="726"/>
      <c r="BM477" s="726"/>
      <c r="BN477" s="726"/>
      <c r="BO477" s="726"/>
      <c r="BP477" s="726"/>
      <c r="BQ477" s="726"/>
      <c r="BR477" s="726"/>
      <c r="BS477" s="726"/>
    </row>
    <row r="478" spans="1:71" s="563" customFormat="1">
      <c r="A478" s="614"/>
      <c r="E478" s="565"/>
      <c r="F478" s="565"/>
      <c r="Q478" s="726"/>
      <c r="R478" s="726"/>
      <c r="S478" s="726"/>
      <c r="T478" s="726"/>
      <c r="U478" s="726"/>
      <c r="V478" s="726"/>
      <c r="W478" s="726"/>
      <c r="X478" s="726"/>
      <c r="Y478" s="726"/>
      <c r="Z478" s="726"/>
      <c r="AA478" s="726"/>
      <c r="AB478" s="726"/>
      <c r="AC478" s="726"/>
      <c r="AD478" s="726"/>
      <c r="AE478" s="726"/>
      <c r="AF478" s="726"/>
      <c r="AG478" s="726"/>
      <c r="AH478" s="726"/>
      <c r="AI478" s="726"/>
      <c r="AJ478" s="726"/>
      <c r="AK478" s="726"/>
      <c r="AL478" s="726"/>
      <c r="AM478" s="726"/>
      <c r="AN478" s="726"/>
      <c r="AO478" s="726"/>
      <c r="AP478" s="726"/>
      <c r="AQ478" s="726"/>
      <c r="AR478" s="726"/>
      <c r="AS478" s="726"/>
      <c r="AT478" s="726"/>
      <c r="AU478" s="726"/>
      <c r="AV478" s="726"/>
      <c r="AW478" s="726"/>
      <c r="AX478" s="726"/>
      <c r="AY478" s="726"/>
      <c r="AZ478" s="726"/>
      <c r="BA478" s="726"/>
      <c r="BB478" s="726"/>
      <c r="BC478" s="726"/>
      <c r="BD478" s="726"/>
      <c r="BE478" s="726"/>
      <c r="BF478" s="726"/>
      <c r="BG478" s="726"/>
      <c r="BH478" s="726"/>
      <c r="BI478" s="726"/>
      <c r="BJ478" s="726"/>
      <c r="BK478" s="726"/>
      <c r="BL478" s="726"/>
      <c r="BM478" s="726"/>
      <c r="BN478" s="726"/>
      <c r="BO478" s="726"/>
      <c r="BP478" s="726"/>
      <c r="BQ478" s="726"/>
      <c r="BR478" s="726"/>
      <c r="BS478" s="726"/>
    </row>
    <row r="479" spans="1:71" s="563" customFormat="1">
      <c r="A479" s="614"/>
      <c r="E479" s="565"/>
      <c r="F479" s="565"/>
      <c r="Q479" s="726"/>
      <c r="R479" s="726"/>
      <c r="S479" s="726"/>
      <c r="T479" s="726"/>
      <c r="U479" s="726"/>
      <c r="V479" s="726"/>
      <c r="W479" s="726"/>
      <c r="X479" s="726"/>
      <c r="Y479" s="726"/>
      <c r="Z479" s="726"/>
      <c r="AA479" s="726"/>
      <c r="AB479" s="726"/>
      <c r="AC479" s="726"/>
      <c r="AD479" s="726"/>
      <c r="AE479" s="726"/>
      <c r="AF479" s="726"/>
      <c r="AG479" s="726"/>
      <c r="AH479" s="726"/>
      <c r="AI479" s="726"/>
      <c r="AJ479" s="726"/>
      <c r="AK479" s="726"/>
      <c r="AL479" s="726"/>
      <c r="AM479" s="726"/>
      <c r="AN479" s="726"/>
      <c r="AO479" s="726"/>
      <c r="AP479" s="726"/>
      <c r="AQ479" s="726"/>
      <c r="AR479" s="726"/>
      <c r="AS479" s="726"/>
      <c r="AT479" s="726"/>
      <c r="AU479" s="726"/>
      <c r="AV479" s="726"/>
      <c r="AW479" s="726"/>
      <c r="AX479" s="726"/>
      <c r="AY479" s="726"/>
      <c r="AZ479" s="726"/>
      <c r="BA479" s="726"/>
      <c r="BB479" s="726"/>
      <c r="BC479" s="726"/>
      <c r="BD479" s="726"/>
      <c r="BE479" s="726"/>
      <c r="BF479" s="726"/>
      <c r="BG479" s="726"/>
      <c r="BH479" s="726"/>
      <c r="BI479" s="726"/>
      <c r="BJ479" s="726"/>
      <c r="BK479" s="726"/>
      <c r="BL479" s="726"/>
      <c r="BM479" s="726"/>
      <c r="BN479" s="726"/>
      <c r="BO479" s="726"/>
      <c r="BP479" s="726"/>
      <c r="BQ479" s="726"/>
      <c r="BR479" s="726"/>
      <c r="BS479" s="726"/>
    </row>
    <row r="480" spans="1:71" s="563" customFormat="1">
      <c r="A480" s="614"/>
      <c r="E480" s="565"/>
      <c r="F480" s="565"/>
      <c r="Q480" s="726"/>
      <c r="R480" s="726"/>
      <c r="S480" s="726"/>
      <c r="T480" s="726"/>
      <c r="U480" s="726"/>
      <c r="V480" s="726"/>
      <c r="W480" s="726"/>
      <c r="X480" s="726"/>
      <c r="Y480" s="726"/>
      <c r="Z480" s="726"/>
      <c r="AA480" s="726"/>
      <c r="AB480" s="726"/>
      <c r="AC480" s="726"/>
      <c r="AD480" s="726"/>
      <c r="AE480" s="726"/>
      <c r="AF480" s="726"/>
      <c r="AG480" s="726"/>
      <c r="AH480" s="726"/>
      <c r="AI480" s="726"/>
      <c r="AJ480" s="726"/>
      <c r="AK480" s="726"/>
      <c r="AL480" s="726"/>
      <c r="AM480" s="726"/>
      <c r="AN480" s="726"/>
      <c r="AO480" s="726"/>
      <c r="AP480" s="726"/>
      <c r="AQ480" s="726"/>
      <c r="AR480" s="726"/>
      <c r="AS480" s="726"/>
      <c r="AT480" s="726"/>
      <c r="AU480" s="726"/>
      <c r="AV480" s="726"/>
      <c r="AW480" s="726"/>
      <c r="AX480" s="726"/>
      <c r="AY480" s="726"/>
      <c r="AZ480" s="726"/>
      <c r="BA480" s="726"/>
      <c r="BB480" s="726"/>
      <c r="BC480" s="726"/>
      <c r="BD480" s="726"/>
      <c r="BE480" s="726"/>
      <c r="BF480" s="726"/>
      <c r="BG480" s="726"/>
      <c r="BH480" s="726"/>
      <c r="BI480" s="726"/>
      <c r="BJ480" s="726"/>
      <c r="BK480" s="726"/>
      <c r="BL480" s="726"/>
      <c r="BM480" s="726"/>
      <c r="BN480" s="726"/>
      <c r="BO480" s="726"/>
      <c r="BP480" s="726"/>
      <c r="BQ480" s="726"/>
      <c r="BR480" s="726"/>
      <c r="BS480" s="726"/>
    </row>
    <row r="481" spans="1:71" s="563" customFormat="1">
      <c r="A481" s="614"/>
      <c r="E481" s="565"/>
      <c r="F481" s="565"/>
      <c r="Q481" s="726"/>
      <c r="R481" s="726"/>
      <c r="S481" s="726"/>
      <c r="T481" s="726"/>
      <c r="U481" s="726"/>
      <c r="V481" s="726"/>
      <c r="W481" s="726"/>
      <c r="X481" s="726"/>
      <c r="Y481" s="726"/>
      <c r="Z481" s="726"/>
      <c r="AA481" s="726"/>
      <c r="AB481" s="726"/>
      <c r="AC481" s="726"/>
      <c r="AD481" s="726"/>
      <c r="AE481" s="726"/>
      <c r="AF481" s="726"/>
      <c r="AG481" s="726"/>
      <c r="AH481" s="726"/>
      <c r="AI481" s="726"/>
      <c r="AJ481" s="726"/>
      <c r="AK481" s="726"/>
      <c r="AL481" s="726"/>
      <c r="AM481" s="726"/>
      <c r="AN481" s="726"/>
      <c r="AO481" s="726"/>
      <c r="AP481" s="726"/>
      <c r="AQ481" s="726"/>
      <c r="AR481" s="726"/>
      <c r="AS481" s="726"/>
      <c r="AT481" s="726"/>
      <c r="AU481" s="726"/>
      <c r="AV481" s="726"/>
      <c r="AW481" s="726"/>
      <c r="AX481" s="726"/>
      <c r="AY481" s="726"/>
      <c r="AZ481" s="726"/>
      <c r="BA481" s="726"/>
      <c r="BB481" s="726"/>
      <c r="BC481" s="726"/>
      <c r="BD481" s="726"/>
      <c r="BE481" s="726"/>
      <c r="BF481" s="726"/>
      <c r="BG481" s="726"/>
      <c r="BH481" s="726"/>
      <c r="BI481" s="726"/>
      <c r="BJ481" s="726"/>
      <c r="BK481" s="726"/>
      <c r="BL481" s="726"/>
      <c r="BM481" s="726"/>
      <c r="BN481" s="726"/>
      <c r="BO481" s="726"/>
      <c r="BP481" s="726"/>
      <c r="BQ481" s="726"/>
      <c r="BR481" s="726"/>
      <c r="BS481" s="726"/>
    </row>
    <row r="482" spans="1:71" s="563" customFormat="1">
      <c r="A482" s="614"/>
      <c r="E482" s="565"/>
      <c r="F482" s="565"/>
      <c r="Q482" s="726"/>
      <c r="R482" s="726"/>
      <c r="S482" s="726"/>
      <c r="T482" s="726"/>
      <c r="U482" s="726"/>
      <c r="V482" s="726"/>
      <c r="W482" s="726"/>
      <c r="X482" s="726"/>
      <c r="Y482" s="726"/>
      <c r="Z482" s="726"/>
      <c r="AA482" s="726"/>
      <c r="AB482" s="726"/>
      <c r="AC482" s="726"/>
      <c r="AD482" s="726"/>
      <c r="AE482" s="726"/>
      <c r="AF482" s="726"/>
      <c r="AG482" s="726"/>
      <c r="AH482" s="726"/>
      <c r="AI482" s="726"/>
      <c r="AJ482" s="726"/>
      <c r="AK482" s="726"/>
      <c r="AL482" s="726"/>
      <c r="AM482" s="726"/>
      <c r="AN482" s="726"/>
      <c r="AO482" s="726"/>
      <c r="AP482" s="726"/>
      <c r="AQ482" s="726"/>
      <c r="AR482" s="726"/>
      <c r="AS482" s="726"/>
      <c r="AT482" s="726"/>
      <c r="AU482" s="726"/>
      <c r="AV482" s="726"/>
      <c r="AW482" s="726"/>
      <c r="AX482" s="726"/>
      <c r="AY482" s="726"/>
      <c r="AZ482" s="726"/>
      <c r="BA482" s="726"/>
      <c r="BB482" s="726"/>
      <c r="BC482" s="726"/>
      <c r="BD482" s="726"/>
      <c r="BE482" s="726"/>
      <c r="BF482" s="726"/>
      <c r="BG482" s="726"/>
      <c r="BH482" s="726"/>
      <c r="BI482" s="726"/>
      <c r="BJ482" s="726"/>
      <c r="BK482" s="726"/>
      <c r="BL482" s="726"/>
      <c r="BM482" s="726"/>
      <c r="BN482" s="726"/>
      <c r="BO482" s="726"/>
      <c r="BP482" s="726"/>
      <c r="BQ482" s="726"/>
      <c r="BR482" s="726"/>
      <c r="BS482" s="726"/>
    </row>
    <row r="483" spans="1:71" s="563" customFormat="1">
      <c r="A483" s="614"/>
      <c r="E483" s="565"/>
      <c r="F483" s="565"/>
      <c r="Q483" s="726"/>
      <c r="R483" s="726"/>
      <c r="S483" s="726"/>
      <c r="T483" s="726"/>
      <c r="U483" s="726"/>
      <c r="V483" s="726"/>
      <c r="W483" s="726"/>
      <c r="X483" s="726"/>
      <c r="Y483" s="726"/>
      <c r="Z483" s="726"/>
      <c r="AA483" s="726"/>
      <c r="AB483" s="726"/>
      <c r="AC483" s="726"/>
      <c r="AD483" s="726"/>
      <c r="AE483" s="726"/>
      <c r="AF483" s="726"/>
      <c r="AG483" s="726"/>
      <c r="AH483" s="726"/>
      <c r="AI483" s="726"/>
      <c r="AJ483" s="726"/>
      <c r="AK483" s="726"/>
      <c r="AL483" s="726"/>
      <c r="AM483" s="726"/>
      <c r="AN483" s="726"/>
      <c r="AO483" s="726"/>
      <c r="AP483" s="726"/>
      <c r="AQ483" s="726"/>
      <c r="AR483" s="726"/>
      <c r="AS483" s="726"/>
      <c r="AT483" s="726"/>
      <c r="AU483" s="726"/>
      <c r="AV483" s="726"/>
      <c r="AW483" s="726"/>
      <c r="AX483" s="726"/>
      <c r="AY483" s="726"/>
      <c r="AZ483" s="726"/>
      <c r="BA483" s="726"/>
      <c r="BB483" s="726"/>
      <c r="BC483" s="726"/>
      <c r="BD483" s="726"/>
      <c r="BE483" s="726"/>
      <c r="BF483" s="726"/>
      <c r="BG483" s="726"/>
      <c r="BH483" s="726"/>
      <c r="BI483" s="726"/>
      <c r="BJ483" s="726"/>
      <c r="BK483" s="726"/>
      <c r="BL483" s="726"/>
      <c r="BM483" s="726"/>
      <c r="BN483" s="726"/>
      <c r="BO483" s="726"/>
      <c r="BP483" s="726"/>
      <c r="BQ483" s="726"/>
      <c r="BR483" s="726"/>
      <c r="BS483" s="726"/>
    </row>
    <row r="484" spans="1:71" s="563" customFormat="1">
      <c r="A484" s="614"/>
      <c r="E484" s="565"/>
      <c r="F484" s="565"/>
      <c r="Q484" s="726"/>
      <c r="R484" s="726"/>
      <c r="S484" s="726"/>
      <c r="T484" s="726"/>
      <c r="U484" s="726"/>
      <c r="V484" s="726"/>
      <c r="W484" s="726"/>
      <c r="X484" s="726"/>
      <c r="Y484" s="726"/>
      <c r="Z484" s="726"/>
      <c r="AA484" s="726"/>
      <c r="AB484" s="726"/>
      <c r="AC484" s="726"/>
      <c r="AD484" s="726"/>
      <c r="AE484" s="726"/>
      <c r="AF484" s="726"/>
      <c r="AG484" s="726"/>
      <c r="AH484" s="726"/>
      <c r="AI484" s="726"/>
      <c r="AJ484" s="726"/>
      <c r="AK484" s="726"/>
      <c r="AL484" s="726"/>
      <c r="AM484" s="726"/>
      <c r="AN484" s="726"/>
      <c r="AO484" s="726"/>
      <c r="AP484" s="726"/>
      <c r="AQ484" s="726"/>
      <c r="AR484" s="726"/>
      <c r="AS484" s="726"/>
      <c r="AT484" s="726"/>
      <c r="AU484" s="726"/>
      <c r="AV484" s="726"/>
      <c r="AW484" s="726"/>
      <c r="AX484" s="726"/>
      <c r="AY484" s="726"/>
      <c r="AZ484" s="726"/>
      <c r="BA484" s="726"/>
      <c r="BB484" s="726"/>
      <c r="BC484" s="726"/>
      <c r="BD484" s="726"/>
      <c r="BE484" s="726"/>
      <c r="BF484" s="726"/>
      <c r="BG484" s="726"/>
      <c r="BH484" s="726"/>
      <c r="BI484" s="726"/>
      <c r="BJ484" s="726"/>
      <c r="BK484" s="726"/>
      <c r="BL484" s="726"/>
      <c r="BM484" s="726"/>
      <c r="BN484" s="726"/>
      <c r="BO484" s="726"/>
      <c r="BP484" s="726"/>
      <c r="BQ484" s="726"/>
      <c r="BR484" s="726"/>
      <c r="BS484" s="726"/>
    </row>
    <row r="485" spans="1:71" s="563" customFormat="1">
      <c r="A485" s="614"/>
      <c r="E485" s="565"/>
      <c r="F485" s="565"/>
      <c r="Q485" s="726"/>
      <c r="R485" s="726"/>
      <c r="S485" s="726"/>
      <c r="T485" s="726"/>
      <c r="U485" s="726"/>
      <c r="V485" s="726"/>
      <c r="W485" s="726"/>
      <c r="X485" s="726"/>
      <c r="Y485" s="726"/>
      <c r="Z485" s="726"/>
      <c r="AA485" s="726"/>
      <c r="AB485" s="726"/>
      <c r="AC485" s="726"/>
      <c r="AD485" s="726"/>
      <c r="AE485" s="726"/>
      <c r="AF485" s="726"/>
      <c r="AG485" s="726"/>
      <c r="AH485" s="726"/>
      <c r="AI485" s="726"/>
      <c r="AJ485" s="726"/>
      <c r="AK485" s="726"/>
      <c r="AL485" s="726"/>
      <c r="AM485" s="726"/>
      <c r="AN485" s="726"/>
      <c r="AO485" s="726"/>
      <c r="AP485" s="726"/>
      <c r="AQ485" s="726"/>
      <c r="AR485" s="726"/>
      <c r="AS485" s="726"/>
      <c r="AT485" s="726"/>
      <c r="AU485" s="726"/>
      <c r="AV485" s="726"/>
      <c r="AW485" s="726"/>
      <c r="AX485" s="726"/>
      <c r="AY485" s="726"/>
      <c r="AZ485" s="726"/>
      <c r="BA485" s="726"/>
      <c r="BB485" s="726"/>
      <c r="BC485" s="726"/>
      <c r="BD485" s="726"/>
      <c r="BE485" s="726"/>
      <c r="BF485" s="726"/>
      <c r="BG485" s="726"/>
      <c r="BH485" s="726"/>
      <c r="BI485" s="726"/>
      <c r="BJ485" s="726"/>
      <c r="BK485" s="726"/>
      <c r="BL485" s="726"/>
      <c r="BM485" s="726"/>
      <c r="BN485" s="726"/>
      <c r="BO485" s="726"/>
      <c r="BP485" s="726"/>
      <c r="BQ485" s="726"/>
      <c r="BR485" s="726"/>
      <c r="BS485" s="726"/>
    </row>
    <row r="486" spans="1:71" s="563" customFormat="1">
      <c r="A486" s="614"/>
      <c r="E486" s="565"/>
      <c r="F486" s="565"/>
      <c r="Q486" s="726"/>
      <c r="R486" s="726"/>
      <c r="S486" s="726"/>
      <c r="T486" s="726"/>
      <c r="U486" s="726"/>
      <c r="V486" s="726"/>
      <c r="W486" s="726"/>
      <c r="X486" s="726"/>
      <c r="Y486" s="726"/>
      <c r="Z486" s="726"/>
      <c r="AA486" s="726"/>
      <c r="AB486" s="726"/>
      <c r="AC486" s="726"/>
      <c r="AD486" s="726"/>
      <c r="AE486" s="726"/>
      <c r="AF486" s="726"/>
      <c r="AG486" s="726"/>
      <c r="AH486" s="726"/>
      <c r="AI486" s="726"/>
      <c r="AJ486" s="726"/>
      <c r="AK486" s="726"/>
      <c r="AL486" s="726"/>
      <c r="AM486" s="726"/>
      <c r="AN486" s="726"/>
      <c r="AO486" s="726"/>
      <c r="AP486" s="726"/>
      <c r="AQ486" s="726"/>
      <c r="AR486" s="726"/>
      <c r="AS486" s="726"/>
      <c r="AT486" s="726"/>
      <c r="AU486" s="726"/>
      <c r="AV486" s="726"/>
      <c r="AW486" s="726"/>
      <c r="AX486" s="726"/>
      <c r="AY486" s="726"/>
      <c r="AZ486" s="726"/>
      <c r="BA486" s="726"/>
      <c r="BB486" s="726"/>
      <c r="BC486" s="726"/>
      <c r="BD486" s="726"/>
      <c r="BE486" s="726"/>
      <c r="BF486" s="726"/>
      <c r="BG486" s="726"/>
      <c r="BH486" s="726"/>
      <c r="BI486" s="726"/>
      <c r="BJ486" s="726"/>
      <c r="BK486" s="726"/>
      <c r="BL486" s="726"/>
      <c r="BM486" s="726"/>
      <c r="BN486" s="726"/>
      <c r="BO486" s="726"/>
      <c r="BP486" s="726"/>
      <c r="BQ486" s="726"/>
      <c r="BR486" s="726"/>
      <c r="BS486" s="726"/>
    </row>
    <row r="487" spans="1:71" s="563" customFormat="1">
      <c r="A487" s="614"/>
      <c r="E487" s="565"/>
      <c r="F487" s="565"/>
      <c r="Q487" s="726"/>
      <c r="R487" s="726"/>
      <c r="S487" s="726"/>
      <c r="T487" s="726"/>
      <c r="U487" s="726"/>
      <c r="V487" s="726"/>
      <c r="W487" s="726"/>
      <c r="X487" s="726"/>
      <c r="Y487" s="726"/>
      <c r="Z487" s="726"/>
      <c r="AA487" s="726"/>
      <c r="AB487" s="726"/>
      <c r="AC487" s="726"/>
      <c r="AD487" s="726"/>
      <c r="AE487" s="726"/>
      <c r="AF487" s="726"/>
      <c r="AG487" s="726"/>
      <c r="AH487" s="726"/>
      <c r="AI487" s="726"/>
      <c r="AJ487" s="726"/>
      <c r="AK487" s="726"/>
      <c r="AL487" s="726"/>
      <c r="AM487" s="726"/>
      <c r="AN487" s="726"/>
      <c r="AO487" s="726"/>
      <c r="AP487" s="726"/>
      <c r="AQ487" s="726"/>
      <c r="AR487" s="726"/>
      <c r="AS487" s="726"/>
      <c r="AT487" s="726"/>
      <c r="AU487" s="726"/>
      <c r="AV487" s="726"/>
      <c r="AW487" s="726"/>
      <c r="AX487" s="726"/>
      <c r="AY487" s="726"/>
      <c r="AZ487" s="726"/>
      <c r="BA487" s="726"/>
      <c r="BB487" s="726"/>
      <c r="BC487" s="726"/>
      <c r="BD487" s="726"/>
      <c r="BE487" s="726"/>
      <c r="BF487" s="726"/>
      <c r="BG487" s="726"/>
      <c r="BH487" s="726"/>
      <c r="BI487" s="726"/>
      <c r="BJ487" s="726"/>
      <c r="BK487" s="726"/>
      <c r="BL487" s="726"/>
      <c r="BM487" s="726"/>
      <c r="BN487" s="726"/>
      <c r="BO487" s="726"/>
      <c r="BP487" s="726"/>
      <c r="BQ487" s="726"/>
      <c r="BR487" s="726"/>
      <c r="BS487" s="726"/>
    </row>
    <row r="488" spans="1:71" s="563" customFormat="1">
      <c r="A488" s="614"/>
      <c r="E488" s="565"/>
      <c r="F488" s="565"/>
      <c r="Q488" s="726"/>
      <c r="R488" s="726"/>
      <c r="S488" s="726"/>
      <c r="T488" s="726"/>
      <c r="U488" s="726"/>
      <c r="V488" s="726"/>
      <c r="W488" s="726"/>
      <c r="X488" s="726"/>
      <c r="Y488" s="726"/>
      <c r="Z488" s="726"/>
      <c r="AA488" s="726"/>
      <c r="AB488" s="726"/>
      <c r="AC488" s="726"/>
      <c r="AD488" s="726"/>
      <c r="AE488" s="726"/>
      <c r="AF488" s="726"/>
      <c r="AG488" s="726"/>
      <c r="AH488" s="726"/>
      <c r="AI488" s="726"/>
      <c r="AJ488" s="726"/>
      <c r="AK488" s="726"/>
      <c r="AL488" s="726"/>
      <c r="AM488" s="726"/>
      <c r="AN488" s="726"/>
      <c r="AO488" s="726"/>
      <c r="AP488" s="726"/>
      <c r="AQ488" s="726"/>
      <c r="AR488" s="726"/>
      <c r="AS488" s="726"/>
      <c r="AT488" s="726"/>
      <c r="AU488" s="726"/>
      <c r="AV488" s="726"/>
      <c r="AW488" s="726"/>
      <c r="AX488" s="726"/>
      <c r="AY488" s="726"/>
      <c r="AZ488" s="726"/>
      <c r="BA488" s="726"/>
      <c r="BB488" s="726"/>
      <c r="BC488" s="726"/>
      <c r="BD488" s="726"/>
      <c r="BE488" s="726"/>
      <c r="BF488" s="726"/>
      <c r="BG488" s="726"/>
      <c r="BH488" s="726"/>
      <c r="BI488" s="726"/>
      <c r="BJ488" s="726"/>
      <c r="BK488" s="726"/>
      <c r="BL488" s="726"/>
      <c r="BM488" s="726"/>
      <c r="BN488" s="726"/>
      <c r="BO488" s="726"/>
      <c r="BP488" s="726"/>
      <c r="BQ488" s="726"/>
      <c r="BR488" s="726"/>
      <c r="BS488" s="726"/>
    </row>
    <row r="489" spans="1:71" s="563" customFormat="1">
      <c r="A489" s="614"/>
      <c r="E489" s="565"/>
      <c r="F489" s="565"/>
      <c r="Q489" s="726"/>
      <c r="R489" s="726"/>
      <c r="S489" s="726"/>
      <c r="T489" s="726"/>
      <c r="U489" s="726"/>
      <c r="V489" s="726"/>
      <c r="W489" s="726"/>
      <c r="X489" s="726"/>
      <c r="Y489" s="726"/>
      <c r="Z489" s="726"/>
      <c r="AA489" s="726"/>
      <c r="AB489" s="726"/>
      <c r="AC489" s="726"/>
      <c r="AD489" s="726"/>
      <c r="AE489" s="726"/>
      <c r="AF489" s="726"/>
      <c r="AG489" s="726"/>
      <c r="AH489" s="726"/>
      <c r="AI489" s="726"/>
      <c r="AJ489" s="726"/>
      <c r="AK489" s="726"/>
      <c r="AL489" s="726"/>
      <c r="AM489" s="726"/>
      <c r="AN489" s="726"/>
      <c r="AO489" s="726"/>
      <c r="AP489" s="726"/>
      <c r="AQ489" s="726"/>
      <c r="AR489" s="726"/>
      <c r="AS489" s="726"/>
      <c r="AT489" s="726"/>
      <c r="AU489" s="726"/>
      <c r="AV489" s="726"/>
      <c r="AW489" s="726"/>
      <c r="AX489" s="726"/>
      <c r="AY489" s="726"/>
      <c r="AZ489" s="726"/>
      <c r="BA489" s="726"/>
      <c r="BB489" s="726"/>
      <c r="BC489" s="726"/>
      <c r="BD489" s="726"/>
      <c r="BE489" s="726"/>
      <c r="BF489" s="726"/>
      <c r="BG489" s="726"/>
      <c r="BH489" s="726"/>
      <c r="BI489" s="726"/>
      <c r="BJ489" s="726"/>
      <c r="BK489" s="726"/>
      <c r="BL489" s="726"/>
      <c r="BM489" s="726"/>
      <c r="BN489" s="726"/>
      <c r="BO489" s="726"/>
      <c r="BP489" s="726"/>
      <c r="BQ489" s="726"/>
      <c r="BR489" s="726"/>
      <c r="BS489" s="726"/>
    </row>
    <row r="490" spans="1:71" s="563" customFormat="1">
      <c r="A490" s="614"/>
      <c r="E490" s="565"/>
      <c r="F490" s="565"/>
      <c r="Q490" s="726"/>
      <c r="R490" s="726"/>
      <c r="S490" s="726"/>
      <c r="T490" s="726"/>
      <c r="U490" s="726"/>
      <c r="V490" s="726"/>
      <c r="W490" s="726"/>
      <c r="X490" s="726"/>
      <c r="Y490" s="726"/>
      <c r="Z490" s="726"/>
      <c r="AA490" s="726"/>
      <c r="AB490" s="726"/>
      <c r="AC490" s="726"/>
      <c r="AD490" s="726"/>
      <c r="AE490" s="726"/>
      <c r="AF490" s="726"/>
      <c r="AG490" s="726"/>
      <c r="AH490" s="726"/>
      <c r="AI490" s="726"/>
      <c r="AJ490" s="726"/>
      <c r="AK490" s="726"/>
      <c r="AL490" s="726"/>
      <c r="AM490" s="726"/>
      <c r="AN490" s="726"/>
      <c r="AO490" s="726"/>
      <c r="AP490" s="726"/>
      <c r="AQ490" s="726"/>
      <c r="AR490" s="726"/>
      <c r="AS490" s="726"/>
      <c r="AT490" s="726"/>
      <c r="AU490" s="726"/>
      <c r="AV490" s="726"/>
      <c r="AW490" s="726"/>
      <c r="AX490" s="726"/>
      <c r="AY490" s="726"/>
      <c r="AZ490" s="726"/>
      <c r="BA490" s="726"/>
      <c r="BB490" s="726"/>
      <c r="BC490" s="726"/>
      <c r="BD490" s="726"/>
      <c r="BE490" s="726"/>
      <c r="BF490" s="726"/>
      <c r="BG490" s="726"/>
      <c r="BH490" s="726"/>
      <c r="BI490" s="726"/>
      <c r="BJ490" s="726"/>
      <c r="BK490" s="726"/>
      <c r="BL490" s="726"/>
      <c r="BM490" s="726"/>
      <c r="BN490" s="726"/>
      <c r="BO490" s="726"/>
      <c r="BP490" s="726"/>
      <c r="BQ490" s="726"/>
      <c r="BR490" s="726"/>
      <c r="BS490" s="726"/>
    </row>
    <row r="491" spans="1:71" s="563" customFormat="1">
      <c r="A491" s="614"/>
      <c r="E491" s="565"/>
      <c r="F491" s="565"/>
      <c r="Q491" s="726"/>
      <c r="R491" s="726"/>
      <c r="S491" s="726"/>
      <c r="T491" s="726"/>
      <c r="U491" s="726"/>
      <c r="V491" s="726"/>
      <c r="W491" s="726"/>
      <c r="X491" s="726"/>
      <c r="Y491" s="726"/>
      <c r="Z491" s="726"/>
      <c r="AA491" s="726"/>
      <c r="AB491" s="726"/>
      <c r="AC491" s="726"/>
      <c r="AD491" s="726"/>
      <c r="AE491" s="726"/>
      <c r="AF491" s="726"/>
      <c r="AG491" s="726"/>
      <c r="AH491" s="726"/>
      <c r="AI491" s="726"/>
      <c r="AJ491" s="726"/>
      <c r="AK491" s="726"/>
      <c r="AL491" s="726"/>
      <c r="AM491" s="726"/>
      <c r="AN491" s="726"/>
      <c r="AO491" s="726"/>
      <c r="AP491" s="726"/>
      <c r="AQ491" s="726"/>
      <c r="AR491" s="726"/>
      <c r="AS491" s="726"/>
      <c r="AT491" s="726"/>
      <c r="AU491" s="726"/>
      <c r="AV491" s="726"/>
      <c r="AW491" s="726"/>
      <c r="AX491" s="726"/>
      <c r="AY491" s="726"/>
      <c r="AZ491" s="726"/>
      <c r="BA491" s="726"/>
      <c r="BB491" s="726"/>
      <c r="BC491" s="726"/>
      <c r="BD491" s="726"/>
      <c r="BE491" s="726"/>
      <c r="BF491" s="726"/>
      <c r="BG491" s="726"/>
      <c r="BH491" s="726"/>
      <c r="BI491" s="726"/>
      <c r="BJ491" s="726"/>
      <c r="BK491" s="726"/>
      <c r="BL491" s="726"/>
      <c r="BM491" s="726"/>
      <c r="BN491" s="726"/>
      <c r="BO491" s="726"/>
      <c r="BP491" s="726"/>
      <c r="BQ491" s="726"/>
      <c r="BR491" s="726"/>
      <c r="BS491" s="726"/>
    </row>
    <row r="492" spans="1:71" s="563" customFormat="1">
      <c r="A492" s="614"/>
      <c r="E492" s="565"/>
      <c r="F492" s="565"/>
      <c r="Q492" s="726"/>
      <c r="R492" s="726"/>
      <c r="S492" s="726"/>
      <c r="T492" s="726"/>
      <c r="U492" s="726"/>
      <c r="V492" s="726"/>
      <c r="W492" s="726"/>
      <c r="X492" s="726"/>
      <c r="Y492" s="726"/>
      <c r="Z492" s="726"/>
      <c r="AA492" s="726"/>
      <c r="AB492" s="726"/>
      <c r="AC492" s="726"/>
      <c r="AD492" s="726"/>
      <c r="AE492" s="726"/>
      <c r="AF492" s="726"/>
      <c r="AG492" s="726"/>
      <c r="AH492" s="726"/>
      <c r="AI492" s="726"/>
      <c r="AJ492" s="726"/>
      <c r="AK492" s="726"/>
      <c r="AL492" s="726"/>
      <c r="AM492" s="726"/>
      <c r="AN492" s="726"/>
      <c r="AO492" s="726"/>
      <c r="AP492" s="726"/>
      <c r="AQ492" s="726"/>
      <c r="AR492" s="726"/>
      <c r="AS492" s="726"/>
      <c r="AT492" s="726"/>
      <c r="AU492" s="726"/>
      <c r="AV492" s="726"/>
      <c r="AW492" s="726"/>
      <c r="AX492" s="726"/>
      <c r="AY492" s="726"/>
      <c r="AZ492" s="726"/>
      <c r="BA492" s="726"/>
      <c r="BB492" s="726"/>
      <c r="BC492" s="726"/>
      <c r="BD492" s="726"/>
      <c r="BE492" s="726"/>
      <c r="BF492" s="726"/>
      <c r="BG492" s="726"/>
      <c r="BH492" s="726"/>
      <c r="BI492" s="726"/>
      <c r="BJ492" s="726"/>
      <c r="BK492" s="726"/>
      <c r="BL492" s="726"/>
      <c r="BM492" s="726"/>
      <c r="BN492" s="726"/>
      <c r="BO492" s="726"/>
      <c r="BP492" s="726"/>
      <c r="BQ492" s="726"/>
      <c r="BR492" s="726"/>
      <c r="BS492" s="726"/>
    </row>
    <row r="493" spans="1:71" s="563" customFormat="1">
      <c r="A493" s="614"/>
      <c r="E493" s="565"/>
      <c r="F493" s="565"/>
      <c r="Q493" s="726"/>
      <c r="R493" s="726"/>
      <c r="S493" s="726"/>
      <c r="T493" s="726"/>
      <c r="U493" s="726"/>
      <c r="V493" s="726"/>
      <c r="W493" s="726"/>
      <c r="X493" s="726"/>
      <c r="Y493" s="726"/>
      <c r="Z493" s="726"/>
      <c r="AA493" s="726"/>
      <c r="AB493" s="726"/>
      <c r="AC493" s="726"/>
      <c r="AD493" s="726"/>
      <c r="AE493" s="726"/>
      <c r="AF493" s="726"/>
      <c r="AG493" s="726"/>
      <c r="AH493" s="726"/>
      <c r="AI493" s="726"/>
      <c r="AJ493" s="726"/>
      <c r="AK493" s="726"/>
      <c r="AL493" s="726"/>
      <c r="AM493" s="726"/>
      <c r="AN493" s="726"/>
      <c r="AO493" s="726"/>
      <c r="AP493" s="726"/>
      <c r="AQ493" s="726"/>
      <c r="AR493" s="726"/>
      <c r="AS493" s="726"/>
      <c r="AT493" s="726"/>
      <c r="AU493" s="726"/>
      <c r="AV493" s="726"/>
      <c r="AW493" s="726"/>
      <c r="AX493" s="726"/>
      <c r="AY493" s="726"/>
      <c r="AZ493" s="726"/>
      <c r="BA493" s="726"/>
      <c r="BB493" s="726"/>
      <c r="BC493" s="726"/>
      <c r="BD493" s="726"/>
      <c r="BE493" s="726"/>
      <c r="BF493" s="726"/>
      <c r="BG493" s="726"/>
      <c r="BH493" s="726"/>
      <c r="BI493" s="726"/>
      <c r="BJ493" s="726"/>
      <c r="BK493" s="726"/>
      <c r="BL493" s="726"/>
      <c r="BM493" s="726"/>
      <c r="BN493" s="726"/>
      <c r="BO493" s="726"/>
      <c r="BP493" s="726"/>
      <c r="BQ493" s="726"/>
      <c r="BR493" s="726"/>
      <c r="BS493" s="726"/>
    </row>
    <row r="494" spans="1:71" s="563" customFormat="1">
      <c r="A494" s="614"/>
      <c r="E494" s="565"/>
      <c r="F494" s="565"/>
      <c r="Q494" s="726"/>
      <c r="R494" s="726"/>
      <c r="S494" s="726"/>
      <c r="T494" s="726"/>
      <c r="U494" s="726"/>
      <c r="V494" s="726"/>
      <c r="W494" s="726"/>
      <c r="X494" s="726"/>
      <c r="Y494" s="726"/>
      <c r="Z494" s="726"/>
      <c r="AA494" s="726"/>
      <c r="AB494" s="726"/>
      <c r="AC494" s="726"/>
      <c r="AD494" s="726"/>
      <c r="AE494" s="726"/>
      <c r="AF494" s="726"/>
      <c r="AG494" s="726"/>
      <c r="AH494" s="726"/>
      <c r="AI494" s="726"/>
      <c r="AJ494" s="726"/>
      <c r="AK494" s="726"/>
      <c r="AL494" s="726"/>
      <c r="AM494" s="726"/>
      <c r="AN494" s="726"/>
      <c r="AO494" s="726"/>
      <c r="AP494" s="726"/>
      <c r="AQ494" s="726"/>
      <c r="AR494" s="726"/>
      <c r="AS494" s="726"/>
      <c r="AT494" s="726"/>
      <c r="AU494" s="726"/>
      <c r="AV494" s="726"/>
      <c r="AW494" s="726"/>
      <c r="AX494" s="726"/>
      <c r="AY494" s="726"/>
      <c r="AZ494" s="726"/>
      <c r="BA494" s="726"/>
      <c r="BB494" s="726"/>
      <c r="BC494" s="726"/>
      <c r="BD494" s="726"/>
      <c r="BE494" s="726"/>
      <c r="BF494" s="726"/>
      <c r="BG494" s="726"/>
      <c r="BH494" s="726"/>
      <c r="BI494" s="726"/>
      <c r="BJ494" s="726"/>
      <c r="BK494" s="726"/>
      <c r="BL494" s="726"/>
      <c r="BM494" s="726"/>
      <c r="BN494" s="726"/>
      <c r="BO494" s="726"/>
      <c r="BP494" s="726"/>
      <c r="BQ494" s="726"/>
      <c r="BR494" s="726"/>
      <c r="BS494" s="726"/>
    </row>
    <row r="495" spans="1:71" s="563" customFormat="1">
      <c r="A495" s="614"/>
      <c r="E495" s="565"/>
      <c r="F495" s="565"/>
      <c r="Q495" s="726"/>
      <c r="R495" s="726"/>
      <c r="S495" s="726"/>
      <c r="T495" s="726"/>
      <c r="U495" s="726"/>
      <c r="V495" s="726"/>
      <c r="W495" s="726"/>
      <c r="X495" s="726"/>
      <c r="Y495" s="726"/>
      <c r="Z495" s="726"/>
      <c r="AA495" s="726"/>
      <c r="AB495" s="726"/>
      <c r="AC495" s="726"/>
      <c r="AD495" s="726"/>
      <c r="AE495" s="726"/>
      <c r="AF495" s="726"/>
      <c r="AG495" s="726"/>
      <c r="AH495" s="726"/>
      <c r="AI495" s="726"/>
      <c r="AJ495" s="726"/>
      <c r="AK495" s="726"/>
      <c r="AL495" s="726"/>
      <c r="AM495" s="726"/>
      <c r="AN495" s="726"/>
      <c r="AO495" s="726"/>
      <c r="AP495" s="726"/>
      <c r="AQ495" s="726"/>
      <c r="AR495" s="726"/>
      <c r="AS495" s="726"/>
      <c r="AT495" s="726"/>
      <c r="AU495" s="726"/>
      <c r="AV495" s="726"/>
      <c r="AW495" s="726"/>
      <c r="AX495" s="726"/>
      <c r="AY495" s="726"/>
      <c r="AZ495" s="726"/>
      <c r="BA495" s="726"/>
      <c r="BB495" s="726"/>
      <c r="BC495" s="726"/>
      <c r="BD495" s="726"/>
      <c r="BE495" s="726"/>
      <c r="BF495" s="726"/>
      <c r="BG495" s="726"/>
      <c r="BH495" s="726"/>
      <c r="BI495" s="726"/>
      <c r="BJ495" s="726"/>
      <c r="BK495" s="726"/>
      <c r="BL495" s="726"/>
      <c r="BM495" s="726"/>
      <c r="BN495" s="726"/>
      <c r="BO495" s="726"/>
      <c r="BP495" s="726"/>
      <c r="BQ495" s="726"/>
      <c r="BR495" s="726"/>
      <c r="BS495" s="726"/>
    </row>
    <row r="496" spans="1:71" s="563" customFormat="1">
      <c r="A496" s="614"/>
      <c r="E496" s="565"/>
      <c r="F496" s="565"/>
      <c r="Q496" s="726"/>
      <c r="R496" s="726"/>
      <c r="S496" s="726"/>
      <c r="T496" s="726"/>
      <c r="U496" s="726"/>
      <c r="V496" s="726"/>
      <c r="W496" s="726"/>
      <c r="X496" s="726"/>
      <c r="Y496" s="726"/>
      <c r="Z496" s="726"/>
      <c r="AA496" s="726"/>
      <c r="AB496" s="726"/>
      <c r="AC496" s="726"/>
      <c r="AD496" s="726"/>
      <c r="AE496" s="726"/>
      <c r="AF496" s="726"/>
      <c r="AG496" s="726"/>
      <c r="AH496" s="726"/>
      <c r="AI496" s="726"/>
      <c r="AJ496" s="726"/>
      <c r="AK496" s="726"/>
      <c r="AL496" s="726"/>
      <c r="AM496" s="726"/>
      <c r="AN496" s="726"/>
      <c r="AO496" s="726"/>
      <c r="AP496" s="726"/>
      <c r="AQ496" s="726"/>
      <c r="AR496" s="726"/>
      <c r="AS496" s="726"/>
      <c r="AT496" s="726"/>
      <c r="AU496" s="726"/>
      <c r="AV496" s="726"/>
      <c r="AW496" s="726"/>
      <c r="AX496" s="726"/>
      <c r="AY496" s="726"/>
      <c r="AZ496" s="726"/>
      <c r="BA496" s="726"/>
      <c r="BB496" s="726"/>
      <c r="BC496" s="726"/>
      <c r="BD496" s="726"/>
      <c r="BE496" s="726"/>
      <c r="BF496" s="726"/>
      <c r="BG496" s="726"/>
      <c r="BH496" s="726"/>
      <c r="BI496" s="726"/>
      <c r="BJ496" s="726"/>
      <c r="BK496" s="726"/>
      <c r="BL496" s="726"/>
      <c r="BM496" s="726"/>
      <c r="BN496" s="726"/>
      <c r="BO496" s="726"/>
      <c r="BP496" s="726"/>
      <c r="BQ496" s="726"/>
      <c r="BR496" s="726"/>
      <c r="BS496" s="726"/>
    </row>
    <row r="497" spans="1:71" s="563" customFormat="1">
      <c r="A497" s="614"/>
      <c r="E497" s="565"/>
      <c r="F497" s="565"/>
      <c r="Q497" s="726"/>
      <c r="R497" s="726"/>
      <c r="S497" s="726"/>
      <c r="T497" s="726"/>
      <c r="U497" s="726"/>
      <c r="V497" s="726"/>
      <c r="W497" s="726"/>
      <c r="X497" s="726"/>
      <c r="Y497" s="726"/>
      <c r="Z497" s="726"/>
      <c r="AA497" s="726"/>
      <c r="AB497" s="726"/>
      <c r="AC497" s="726"/>
      <c r="AD497" s="726"/>
      <c r="AE497" s="726"/>
      <c r="AF497" s="726"/>
      <c r="AG497" s="726"/>
      <c r="AH497" s="726"/>
      <c r="AI497" s="726"/>
      <c r="AJ497" s="726"/>
      <c r="AK497" s="726"/>
      <c r="AL497" s="726"/>
      <c r="AM497" s="726"/>
      <c r="AN497" s="726"/>
      <c r="AO497" s="726"/>
      <c r="AP497" s="726"/>
      <c r="AQ497" s="726"/>
      <c r="AR497" s="726"/>
      <c r="AS497" s="726"/>
      <c r="AT497" s="726"/>
      <c r="AU497" s="726"/>
      <c r="AV497" s="726"/>
      <c r="AW497" s="726"/>
      <c r="AX497" s="726"/>
      <c r="AY497" s="726"/>
      <c r="AZ497" s="726"/>
      <c r="BA497" s="726"/>
      <c r="BB497" s="726"/>
      <c r="BC497" s="726"/>
      <c r="BD497" s="726"/>
      <c r="BE497" s="726"/>
      <c r="BF497" s="726"/>
      <c r="BG497" s="726"/>
      <c r="BH497" s="726"/>
      <c r="BI497" s="726"/>
      <c r="BJ497" s="726"/>
      <c r="BK497" s="726"/>
      <c r="BL497" s="726"/>
      <c r="BM497" s="726"/>
      <c r="BN497" s="726"/>
      <c r="BO497" s="726"/>
      <c r="BP497" s="726"/>
      <c r="BQ497" s="726"/>
      <c r="BR497" s="726"/>
      <c r="BS497" s="726"/>
    </row>
    <row r="498" spans="1:71" s="563" customFormat="1">
      <c r="A498" s="614"/>
      <c r="E498" s="565"/>
      <c r="F498" s="565"/>
      <c r="Q498" s="726"/>
      <c r="R498" s="726"/>
      <c r="S498" s="726"/>
      <c r="T498" s="726"/>
      <c r="U498" s="726"/>
      <c r="V498" s="726"/>
      <c r="W498" s="726"/>
      <c r="X498" s="726"/>
      <c r="Y498" s="726"/>
      <c r="Z498" s="726"/>
      <c r="AA498" s="726"/>
      <c r="AB498" s="726"/>
      <c r="AC498" s="726"/>
      <c r="AD498" s="726"/>
      <c r="AE498" s="726"/>
      <c r="AF498" s="726"/>
      <c r="AG498" s="726"/>
      <c r="AH498" s="726"/>
      <c r="AI498" s="726"/>
      <c r="AJ498" s="726"/>
      <c r="AK498" s="726"/>
      <c r="AL498" s="726"/>
      <c r="AM498" s="726"/>
      <c r="AN498" s="726"/>
      <c r="AO498" s="726"/>
      <c r="AP498" s="726"/>
      <c r="AQ498" s="726"/>
      <c r="AR498" s="726"/>
      <c r="AS498" s="726"/>
      <c r="AT498" s="726"/>
      <c r="AU498" s="726"/>
      <c r="AV498" s="726"/>
      <c r="AW498" s="726"/>
      <c r="AX498" s="726"/>
      <c r="AY498" s="726"/>
      <c r="AZ498" s="726"/>
      <c r="BA498" s="726"/>
      <c r="BB498" s="726"/>
      <c r="BC498" s="726"/>
      <c r="BD498" s="726"/>
      <c r="BE498" s="726"/>
      <c r="BF498" s="726"/>
      <c r="BG498" s="726"/>
      <c r="BH498" s="726"/>
      <c r="BI498" s="726"/>
      <c r="BJ498" s="726"/>
      <c r="BK498" s="726"/>
      <c r="BL498" s="726"/>
      <c r="BM498" s="726"/>
      <c r="BN498" s="726"/>
      <c r="BO498" s="726"/>
      <c r="BP498" s="726"/>
      <c r="BQ498" s="726"/>
      <c r="BR498" s="726"/>
      <c r="BS498" s="726"/>
    </row>
    <row r="499" spans="1:71" s="563" customFormat="1">
      <c r="A499" s="614"/>
      <c r="E499" s="565"/>
      <c r="F499" s="565"/>
      <c r="Q499" s="726"/>
      <c r="R499" s="726"/>
      <c r="S499" s="726"/>
      <c r="T499" s="726"/>
      <c r="U499" s="726"/>
      <c r="V499" s="726"/>
      <c r="W499" s="726"/>
      <c r="X499" s="726"/>
      <c r="Y499" s="726"/>
      <c r="Z499" s="726"/>
      <c r="AA499" s="726"/>
      <c r="AB499" s="726"/>
      <c r="AC499" s="726"/>
      <c r="AD499" s="726"/>
      <c r="AE499" s="726"/>
      <c r="AF499" s="726"/>
      <c r="AG499" s="726"/>
      <c r="AH499" s="726"/>
      <c r="AI499" s="726"/>
      <c r="AJ499" s="726"/>
      <c r="AK499" s="726"/>
      <c r="AL499" s="726"/>
      <c r="AM499" s="726"/>
      <c r="AN499" s="726"/>
      <c r="AO499" s="726"/>
      <c r="AP499" s="726"/>
      <c r="AQ499" s="726"/>
      <c r="AR499" s="726"/>
      <c r="AS499" s="726"/>
      <c r="AT499" s="726"/>
      <c r="AU499" s="726"/>
      <c r="AV499" s="726"/>
      <c r="AW499" s="726"/>
      <c r="AX499" s="726"/>
      <c r="AY499" s="726"/>
      <c r="AZ499" s="726"/>
      <c r="BA499" s="726"/>
      <c r="BB499" s="726"/>
      <c r="BC499" s="726"/>
      <c r="BD499" s="726"/>
      <c r="BE499" s="726"/>
      <c r="BF499" s="726"/>
      <c r="BG499" s="726"/>
      <c r="BH499" s="726"/>
      <c r="BI499" s="726"/>
      <c r="BJ499" s="726"/>
      <c r="BK499" s="726"/>
      <c r="BL499" s="726"/>
      <c r="BM499" s="726"/>
      <c r="BN499" s="726"/>
      <c r="BO499" s="726"/>
      <c r="BP499" s="726"/>
      <c r="BQ499" s="726"/>
      <c r="BR499" s="726"/>
      <c r="BS499" s="726"/>
    </row>
    <row r="500" spans="1:71" s="563" customFormat="1">
      <c r="A500" s="614"/>
      <c r="E500" s="565"/>
      <c r="F500" s="565"/>
      <c r="Q500" s="726"/>
      <c r="R500" s="726"/>
      <c r="S500" s="726"/>
      <c r="T500" s="726"/>
      <c r="U500" s="726"/>
      <c r="V500" s="726"/>
      <c r="W500" s="726"/>
      <c r="X500" s="726"/>
      <c r="Y500" s="726"/>
      <c r="Z500" s="726"/>
      <c r="AA500" s="726"/>
      <c r="AB500" s="726"/>
      <c r="AC500" s="726"/>
      <c r="AD500" s="726"/>
      <c r="AE500" s="726"/>
      <c r="AF500" s="726"/>
      <c r="AG500" s="726"/>
      <c r="AH500" s="726"/>
      <c r="AI500" s="726"/>
      <c r="AJ500" s="726"/>
      <c r="AK500" s="726"/>
      <c r="AL500" s="726"/>
      <c r="AM500" s="726"/>
      <c r="AN500" s="726"/>
      <c r="AO500" s="726"/>
      <c r="AP500" s="726"/>
      <c r="AQ500" s="726"/>
      <c r="AR500" s="726"/>
      <c r="AS500" s="726"/>
      <c r="AT500" s="726"/>
      <c r="AU500" s="726"/>
      <c r="AV500" s="726"/>
      <c r="AW500" s="726"/>
      <c r="AX500" s="726"/>
      <c r="AY500" s="726"/>
      <c r="AZ500" s="726"/>
      <c r="BA500" s="726"/>
      <c r="BB500" s="726"/>
      <c r="BC500" s="726"/>
      <c r="BD500" s="726"/>
      <c r="BE500" s="726"/>
      <c r="BF500" s="726"/>
      <c r="BG500" s="726"/>
      <c r="BH500" s="726"/>
      <c r="BI500" s="726"/>
      <c r="BJ500" s="726"/>
      <c r="BK500" s="726"/>
      <c r="BL500" s="726"/>
      <c r="BM500" s="726"/>
      <c r="BN500" s="726"/>
      <c r="BO500" s="726"/>
      <c r="BP500" s="726"/>
      <c r="BQ500" s="726"/>
      <c r="BR500" s="726"/>
      <c r="BS500" s="726"/>
    </row>
    <row r="501" spans="1:71" s="563" customFormat="1">
      <c r="A501" s="614"/>
      <c r="E501" s="565"/>
      <c r="F501" s="565"/>
      <c r="Q501" s="726"/>
      <c r="R501" s="726"/>
      <c r="S501" s="726"/>
      <c r="T501" s="726"/>
      <c r="U501" s="726"/>
      <c r="V501" s="726"/>
      <c r="W501" s="726"/>
      <c r="X501" s="726"/>
      <c r="Y501" s="726"/>
      <c r="Z501" s="726"/>
      <c r="AA501" s="726"/>
      <c r="AB501" s="726"/>
      <c r="AC501" s="726"/>
      <c r="AD501" s="726"/>
      <c r="AE501" s="726"/>
      <c r="AF501" s="726"/>
      <c r="AG501" s="726"/>
      <c r="AH501" s="726"/>
      <c r="AI501" s="726"/>
      <c r="AJ501" s="726"/>
      <c r="AK501" s="726"/>
      <c r="AL501" s="726"/>
      <c r="AM501" s="726"/>
      <c r="AN501" s="726"/>
      <c r="AO501" s="726"/>
      <c r="AP501" s="726"/>
      <c r="AQ501" s="726"/>
      <c r="AR501" s="726"/>
      <c r="AS501" s="726"/>
      <c r="AT501" s="726"/>
      <c r="AU501" s="726"/>
      <c r="AV501" s="726"/>
      <c r="AW501" s="726"/>
      <c r="AX501" s="726"/>
      <c r="AY501" s="726"/>
      <c r="AZ501" s="726"/>
      <c r="BA501" s="726"/>
      <c r="BB501" s="726"/>
      <c r="BC501" s="726"/>
      <c r="BD501" s="726"/>
      <c r="BE501" s="726"/>
      <c r="BF501" s="726"/>
      <c r="BG501" s="726"/>
      <c r="BH501" s="726"/>
      <c r="BI501" s="726"/>
      <c r="BJ501" s="726"/>
      <c r="BK501" s="726"/>
      <c r="BL501" s="726"/>
      <c r="BM501" s="726"/>
      <c r="BN501" s="726"/>
      <c r="BO501" s="726"/>
      <c r="BP501" s="726"/>
      <c r="BQ501" s="726"/>
      <c r="BR501" s="726"/>
      <c r="BS501" s="726"/>
    </row>
    <row r="502" spans="1:71" s="563" customFormat="1">
      <c r="A502" s="614"/>
      <c r="E502" s="565"/>
      <c r="F502" s="565"/>
      <c r="Q502" s="726"/>
      <c r="R502" s="726"/>
      <c r="S502" s="726"/>
      <c r="T502" s="726"/>
      <c r="U502" s="726"/>
      <c r="V502" s="726"/>
      <c r="W502" s="726"/>
      <c r="X502" s="726"/>
      <c r="Y502" s="726"/>
      <c r="Z502" s="726"/>
      <c r="AA502" s="726"/>
      <c r="AB502" s="726"/>
      <c r="AC502" s="726"/>
      <c r="AD502" s="726"/>
      <c r="AE502" s="726"/>
      <c r="AF502" s="726"/>
      <c r="AG502" s="726"/>
      <c r="AH502" s="726"/>
      <c r="AI502" s="726"/>
      <c r="AJ502" s="726"/>
      <c r="AK502" s="726"/>
      <c r="AL502" s="726"/>
      <c r="AM502" s="726"/>
      <c r="AN502" s="726"/>
      <c r="AO502" s="726"/>
      <c r="AP502" s="726"/>
      <c r="AQ502" s="726"/>
      <c r="AR502" s="726"/>
      <c r="AS502" s="726"/>
      <c r="AT502" s="726"/>
      <c r="AU502" s="726"/>
      <c r="AV502" s="726"/>
      <c r="AW502" s="726"/>
      <c r="AX502" s="726"/>
      <c r="AY502" s="726"/>
      <c r="AZ502" s="726"/>
      <c r="BA502" s="726"/>
      <c r="BB502" s="726"/>
      <c r="BC502" s="726"/>
      <c r="BD502" s="726"/>
      <c r="BE502" s="726"/>
      <c r="BF502" s="726"/>
      <c r="BG502" s="726"/>
      <c r="BH502" s="726"/>
      <c r="BI502" s="726"/>
      <c r="BJ502" s="726"/>
      <c r="BK502" s="726"/>
      <c r="BL502" s="726"/>
      <c r="BM502" s="726"/>
      <c r="BN502" s="726"/>
      <c r="BO502" s="726"/>
      <c r="BP502" s="726"/>
      <c r="BQ502" s="726"/>
      <c r="BR502" s="726"/>
      <c r="BS502" s="726"/>
    </row>
    <row r="503" spans="1:71" s="563" customFormat="1">
      <c r="A503" s="614"/>
      <c r="E503" s="565"/>
      <c r="F503" s="565"/>
      <c r="Q503" s="726"/>
      <c r="R503" s="726"/>
      <c r="S503" s="726"/>
      <c r="T503" s="726"/>
      <c r="U503" s="726"/>
      <c r="V503" s="726"/>
      <c r="W503" s="726"/>
      <c r="X503" s="726"/>
      <c r="Y503" s="726"/>
      <c r="Z503" s="726"/>
      <c r="AA503" s="726"/>
      <c r="AB503" s="726"/>
      <c r="AC503" s="726"/>
      <c r="AD503" s="726"/>
      <c r="AE503" s="726"/>
      <c r="AF503" s="726"/>
      <c r="AG503" s="726"/>
      <c r="AH503" s="726"/>
      <c r="AI503" s="726"/>
      <c r="AJ503" s="726"/>
      <c r="AK503" s="726"/>
      <c r="AL503" s="726"/>
      <c r="AM503" s="726"/>
      <c r="AN503" s="726"/>
      <c r="AO503" s="726"/>
      <c r="AP503" s="726"/>
      <c r="AQ503" s="726"/>
      <c r="AR503" s="726"/>
      <c r="AS503" s="726"/>
      <c r="AT503" s="726"/>
      <c r="AU503" s="726"/>
      <c r="AV503" s="726"/>
      <c r="AW503" s="726"/>
      <c r="AX503" s="726"/>
      <c r="AY503" s="726"/>
      <c r="AZ503" s="726"/>
      <c r="BA503" s="726"/>
      <c r="BB503" s="726"/>
      <c r="BC503" s="726"/>
      <c r="BD503" s="726"/>
      <c r="BE503" s="726"/>
      <c r="BF503" s="726"/>
      <c r="BG503" s="726"/>
      <c r="BH503" s="726"/>
      <c r="BI503" s="726"/>
      <c r="BJ503" s="726"/>
      <c r="BK503" s="726"/>
      <c r="BL503" s="726"/>
      <c r="BM503" s="726"/>
      <c r="BN503" s="726"/>
      <c r="BO503" s="726"/>
      <c r="BP503" s="726"/>
      <c r="BQ503" s="726"/>
      <c r="BR503" s="726"/>
      <c r="BS503" s="726"/>
    </row>
    <row r="504" spans="1:71" s="563" customFormat="1">
      <c r="A504" s="614"/>
      <c r="E504" s="565"/>
      <c r="F504" s="565"/>
      <c r="Q504" s="726"/>
      <c r="R504" s="726"/>
      <c r="S504" s="726"/>
      <c r="T504" s="726"/>
      <c r="U504" s="726"/>
      <c r="V504" s="726"/>
      <c r="W504" s="726"/>
      <c r="X504" s="726"/>
      <c r="Y504" s="726"/>
      <c r="Z504" s="726"/>
      <c r="AA504" s="726"/>
      <c r="AB504" s="726"/>
      <c r="AC504" s="726"/>
      <c r="AD504" s="726"/>
      <c r="AE504" s="726"/>
      <c r="AF504" s="726"/>
      <c r="AG504" s="726"/>
      <c r="AH504" s="726"/>
      <c r="AI504" s="726"/>
      <c r="AJ504" s="726"/>
      <c r="AK504" s="726"/>
      <c r="AL504" s="726"/>
      <c r="AM504" s="726"/>
      <c r="AN504" s="726"/>
      <c r="AO504" s="726"/>
      <c r="AP504" s="726"/>
      <c r="AQ504" s="726"/>
      <c r="AR504" s="726"/>
      <c r="AS504" s="726"/>
      <c r="AT504" s="726"/>
      <c r="AU504" s="726"/>
      <c r="AV504" s="726"/>
      <c r="AW504" s="726"/>
      <c r="AX504" s="726"/>
      <c r="AY504" s="726"/>
      <c r="AZ504" s="726"/>
      <c r="BA504" s="726"/>
      <c r="BB504" s="726"/>
      <c r="BC504" s="726"/>
      <c r="BD504" s="726"/>
      <c r="BE504" s="726"/>
      <c r="BF504" s="726"/>
      <c r="BG504" s="726"/>
      <c r="BH504" s="726"/>
      <c r="BI504" s="726"/>
      <c r="BJ504" s="726"/>
      <c r="BK504" s="726"/>
      <c r="BL504" s="726"/>
      <c r="BM504" s="726"/>
      <c r="BN504" s="726"/>
      <c r="BO504" s="726"/>
      <c r="BP504" s="726"/>
      <c r="BQ504" s="726"/>
      <c r="BR504" s="726"/>
      <c r="BS504" s="726"/>
    </row>
    <row r="505" spans="1:71" s="563" customFormat="1">
      <c r="A505" s="614"/>
      <c r="E505" s="565"/>
      <c r="F505" s="565"/>
      <c r="Q505" s="726"/>
      <c r="R505" s="726"/>
      <c r="S505" s="726"/>
      <c r="T505" s="726"/>
      <c r="U505" s="726"/>
      <c r="V505" s="726"/>
      <c r="W505" s="726"/>
      <c r="X505" s="726"/>
      <c r="Y505" s="726"/>
      <c r="Z505" s="726"/>
      <c r="AA505" s="726"/>
      <c r="AB505" s="726"/>
      <c r="AC505" s="726"/>
      <c r="AD505" s="726"/>
      <c r="AE505" s="726"/>
      <c r="AF505" s="726"/>
      <c r="AG505" s="726"/>
      <c r="AH505" s="726"/>
      <c r="AI505" s="726"/>
      <c r="AJ505" s="726"/>
      <c r="AK505" s="726"/>
      <c r="AL505" s="726"/>
      <c r="AM505" s="726"/>
      <c r="AN505" s="726"/>
      <c r="AO505" s="726"/>
      <c r="AP505" s="726"/>
      <c r="AQ505" s="726"/>
      <c r="AR505" s="726"/>
      <c r="AS505" s="726"/>
      <c r="AT505" s="726"/>
      <c r="AU505" s="726"/>
      <c r="AV505" s="726"/>
      <c r="AW505" s="726"/>
      <c r="AX505" s="726"/>
      <c r="AY505" s="726"/>
      <c r="AZ505" s="726"/>
      <c r="BA505" s="726"/>
      <c r="BB505" s="726"/>
      <c r="BC505" s="726"/>
      <c r="BD505" s="726"/>
      <c r="BE505" s="726"/>
      <c r="BF505" s="726"/>
      <c r="BG505" s="726"/>
      <c r="BH505" s="726"/>
      <c r="BI505" s="726"/>
      <c r="BJ505" s="726"/>
      <c r="BK505" s="726"/>
      <c r="BL505" s="726"/>
      <c r="BM505" s="726"/>
      <c r="BN505" s="726"/>
      <c r="BO505" s="726"/>
      <c r="BP505" s="726"/>
      <c r="BQ505" s="726"/>
      <c r="BR505" s="726"/>
      <c r="BS505" s="726"/>
    </row>
    <row r="506" spans="1:71" s="563" customFormat="1">
      <c r="A506" s="614"/>
      <c r="E506" s="565"/>
      <c r="F506" s="565"/>
      <c r="Q506" s="726"/>
      <c r="R506" s="726"/>
      <c r="S506" s="726"/>
      <c r="T506" s="726"/>
      <c r="U506" s="726"/>
      <c r="V506" s="726"/>
      <c r="W506" s="726"/>
      <c r="X506" s="726"/>
      <c r="Y506" s="726"/>
      <c r="Z506" s="726"/>
      <c r="AA506" s="726"/>
      <c r="AB506" s="726"/>
      <c r="AC506" s="726"/>
      <c r="AD506" s="726"/>
      <c r="AE506" s="726"/>
      <c r="AF506" s="726"/>
      <c r="AG506" s="726"/>
      <c r="AH506" s="726"/>
      <c r="AI506" s="726"/>
      <c r="AJ506" s="726"/>
      <c r="AK506" s="726"/>
      <c r="AL506" s="726"/>
      <c r="AM506" s="726"/>
      <c r="AN506" s="726"/>
      <c r="AO506" s="726"/>
      <c r="AP506" s="726"/>
      <c r="AQ506" s="726"/>
      <c r="AR506" s="726"/>
      <c r="AS506" s="726"/>
      <c r="AT506" s="726"/>
      <c r="AU506" s="726"/>
      <c r="AV506" s="726"/>
      <c r="AW506" s="726"/>
      <c r="AX506" s="726"/>
      <c r="AY506" s="726"/>
      <c r="AZ506" s="726"/>
      <c r="BA506" s="726"/>
      <c r="BB506" s="726"/>
      <c r="BC506" s="726"/>
      <c r="BD506" s="726"/>
      <c r="BE506" s="726"/>
      <c r="BF506" s="726"/>
      <c r="BG506" s="726"/>
      <c r="BH506" s="726"/>
      <c r="BI506" s="726"/>
      <c r="BJ506" s="726"/>
      <c r="BK506" s="726"/>
      <c r="BL506" s="726"/>
      <c r="BM506" s="726"/>
      <c r="BN506" s="726"/>
      <c r="BO506" s="726"/>
      <c r="BP506" s="726"/>
      <c r="BQ506" s="726"/>
      <c r="BR506" s="726"/>
      <c r="BS506" s="726"/>
    </row>
    <row r="507" spans="1:71" s="563" customFormat="1">
      <c r="A507" s="614"/>
      <c r="E507" s="565"/>
      <c r="F507" s="565"/>
      <c r="Q507" s="726"/>
      <c r="R507" s="726"/>
      <c r="S507" s="726"/>
      <c r="T507" s="726"/>
      <c r="U507" s="726"/>
      <c r="V507" s="726"/>
      <c r="W507" s="726"/>
      <c r="X507" s="726"/>
      <c r="Y507" s="726"/>
      <c r="Z507" s="726"/>
      <c r="AA507" s="726"/>
      <c r="AB507" s="726"/>
      <c r="AC507" s="726"/>
      <c r="AD507" s="726"/>
      <c r="AE507" s="726"/>
      <c r="AF507" s="726"/>
      <c r="AG507" s="726"/>
      <c r="AH507" s="726"/>
      <c r="AI507" s="726"/>
      <c r="AJ507" s="726"/>
      <c r="AK507" s="726"/>
      <c r="AL507" s="726"/>
      <c r="AM507" s="726"/>
      <c r="AN507" s="726"/>
      <c r="AO507" s="726"/>
      <c r="AP507" s="726"/>
      <c r="AQ507" s="726"/>
      <c r="AR507" s="726"/>
      <c r="AS507" s="726"/>
      <c r="AT507" s="726"/>
      <c r="AU507" s="726"/>
      <c r="AV507" s="726"/>
      <c r="AW507" s="726"/>
      <c r="AX507" s="726"/>
      <c r="AY507" s="726"/>
      <c r="AZ507" s="726"/>
      <c r="BA507" s="726"/>
      <c r="BB507" s="726"/>
      <c r="BC507" s="726"/>
      <c r="BD507" s="726"/>
      <c r="BE507" s="726"/>
      <c r="BF507" s="726"/>
      <c r="BG507" s="726"/>
      <c r="BH507" s="726"/>
      <c r="BI507" s="726"/>
      <c r="BJ507" s="726"/>
      <c r="BK507" s="726"/>
      <c r="BL507" s="726"/>
      <c r="BM507" s="726"/>
      <c r="BN507" s="726"/>
      <c r="BO507" s="726"/>
      <c r="BP507" s="726"/>
      <c r="BQ507" s="726"/>
      <c r="BR507" s="726"/>
      <c r="BS507" s="726"/>
    </row>
    <row r="508" spans="1:71" s="563" customFormat="1">
      <c r="A508" s="614"/>
      <c r="E508" s="565"/>
      <c r="F508" s="565"/>
      <c r="Q508" s="726"/>
      <c r="R508" s="726"/>
      <c r="S508" s="726"/>
      <c r="T508" s="726"/>
      <c r="U508" s="726"/>
      <c r="V508" s="726"/>
      <c r="W508" s="726"/>
      <c r="X508" s="726"/>
      <c r="Y508" s="726"/>
      <c r="Z508" s="726"/>
      <c r="AA508" s="726"/>
      <c r="AB508" s="726"/>
      <c r="AC508" s="726"/>
      <c r="AD508" s="726"/>
      <c r="AE508" s="726"/>
      <c r="AF508" s="726"/>
      <c r="AG508" s="726"/>
      <c r="AH508" s="726"/>
      <c r="AI508" s="726"/>
      <c r="AJ508" s="726"/>
      <c r="AK508" s="726"/>
      <c r="AL508" s="726"/>
      <c r="AM508" s="726"/>
      <c r="AN508" s="726"/>
      <c r="AO508" s="726"/>
      <c r="AP508" s="726"/>
      <c r="AQ508" s="726"/>
      <c r="AR508" s="726"/>
      <c r="AS508" s="726"/>
      <c r="AT508" s="726"/>
      <c r="AU508" s="726"/>
      <c r="AV508" s="726"/>
      <c r="AW508" s="726"/>
      <c r="AX508" s="726"/>
      <c r="AY508" s="726"/>
      <c r="AZ508" s="726"/>
      <c r="BA508" s="726"/>
      <c r="BB508" s="726"/>
      <c r="BC508" s="726"/>
      <c r="BD508" s="726"/>
      <c r="BE508" s="726"/>
      <c r="BF508" s="726"/>
      <c r="BG508" s="726"/>
      <c r="BH508" s="726"/>
      <c r="BI508" s="726"/>
      <c r="BJ508" s="726"/>
      <c r="BK508" s="726"/>
      <c r="BL508" s="726"/>
      <c r="BM508" s="726"/>
      <c r="BN508" s="726"/>
      <c r="BO508" s="726"/>
      <c r="BP508" s="726"/>
      <c r="BQ508" s="726"/>
      <c r="BR508" s="726"/>
      <c r="BS508" s="726"/>
    </row>
    <row r="509" spans="1:71" s="563" customFormat="1">
      <c r="A509" s="614"/>
      <c r="E509" s="565"/>
      <c r="F509" s="565"/>
      <c r="Q509" s="726"/>
      <c r="R509" s="726"/>
      <c r="S509" s="726"/>
      <c r="T509" s="726"/>
      <c r="U509" s="726"/>
      <c r="V509" s="726"/>
      <c r="W509" s="726"/>
      <c r="X509" s="726"/>
      <c r="Y509" s="726"/>
      <c r="Z509" s="726"/>
      <c r="AA509" s="726"/>
      <c r="AB509" s="726"/>
      <c r="AC509" s="726"/>
      <c r="AD509" s="726"/>
      <c r="AE509" s="726"/>
      <c r="AF509" s="726"/>
      <c r="AG509" s="726"/>
      <c r="AH509" s="726"/>
      <c r="AI509" s="726"/>
      <c r="AJ509" s="726"/>
      <c r="AK509" s="726"/>
      <c r="AL509" s="726"/>
      <c r="AM509" s="726"/>
      <c r="AN509" s="726"/>
      <c r="AO509" s="726"/>
      <c r="AP509" s="726"/>
      <c r="AQ509" s="726"/>
      <c r="AR509" s="726"/>
      <c r="AS509" s="726"/>
      <c r="AT509" s="726"/>
      <c r="AU509" s="726"/>
      <c r="AV509" s="726"/>
      <c r="AW509" s="726"/>
      <c r="AX509" s="726"/>
      <c r="AY509" s="726"/>
      <c r="AZ509" s="726"/>
      <c r="BA509" s="726"/>
      <c r="BB509" s="726"/>
      <c r="BC509" s="726"/>
      <c r="BD509" s="726"/>
      <c r="BE509" s="726"/>
      <c r="BF509" s="726"/>
      <c r="BG509" s="726"/>
      <c r="BH509" s="726"/>
      <c r="BI509" s="726"/>
      <c r="BJ509" s="726"/>
      <c r="BK509" s="726"/>
      <c r="BL509" s="726"/>
      <c r="BM509" s="726"/>
      <c r="BN509" s="726"/>
      <c r="BO509" s="726"/>
      <c r="BP509" s="726"/>
      <c r="BQ509" s="726"/>
      <c r="BR509" s="726"/>
      <c r="BS509" s="726"/>
    </row>
    <row r="510" spans="1:71" s="563" customFormat="1">
      <c r="A510" s="614"/>
      <c r="E510" s="565"/>
      <c r="F510" s="565"/>
      <c r="Q510" s="726"/>
      <c r="R510" s="726"/>
      <c r="S510" s="726"/>
      <c r="T510" s="726"/>
      <c r="U510" s="726"/>
      <c r="V510" s="726"/>
      <c r="W510" s="726"/>
      <c r="X510" s="726"/>
      <c r="Y510" s="726"/>
      <c r="Z510" s="726"/>
      <c r="AA510" s="726"/>
      <c r="AB510" s="726"/>
      <c r="AC510" s="726"/>
      <c r="AD510" s="726"/>
      <c r="AE510" s="726"/>
      <c r="AF510" s="726"/>
      <c r="AG510" s="726"/>
      <c r="AH510" s="726"/>
      <c r="AI510" s="726"/>
      <c r="AJ510" s="726"/>
      <c r="AK510" s="726"/>
      <c r="AL510" s="726"/>
      <c r="AM510" s="726"/>
      <c r="AN510" s="726"/>
      <c r="AO510" s="726"/>
      <c r="AP510" s="726"/>
      <c r="AQ510" s="726"/>
      <c r="AR510" s="726"/>
      <c r="AS510" s="726"/>
      <c r="AT510" s="726"/>
      <c r="AU510" s="726"/>
      <c r="AV510" s="726"/>
      <c r="AW510" s="726"/>
      <c r="AX510" s="726"/>
      <c r="AY510" s="726"/>
      <c r="AZ510" s="726"/>
      <c r="BA510" s="726"/>
      <c r="BB510" s="726"/>
      <c r="BC510" s="726"/>
      <c r="BD510" s="726"/>
      <c r="BE510" s="726"/>
      <c r="BF510" s="726"/>
      <c r="BG510" s="726"/>
      <c r="BH510" s="726"/>
      <c r="BI510" s="726"/>
      <c r="BJ510" s="726"/>
      <c r="BK510" s="726"/>
      <c r="BL510" s="726"/>
      <c r="BM510" s="726"/>
      <c r="BN510" s="726"/>
      <c r="BO510" s="726"/>
      <c r="BP510" s="726"/>
      <c r="BQ510" s="726"/>
      <c r="BR510" s="726"/>
      <c r="BS510" s="726"/>
    </row>
    <row r="511" spans="1:71" s="563" customFormat="1">
      <c r="A511" s="614"/>
      <c r="E511" s="565"/>
      <c r="F511" s="565"/>
      <c r="Q511" s="726"/>
      <c r="R511" s="726"/>
      <c r="S511" s="726"/>
      <c r="T511" s="726"/>
      <c r="U511" s="726"/>
      <c r="V511" s="726"/>
      <c r="W511" s="726"/>
      <c r="X511" s="726"/>
      <c r="Y511" s="726"/>
      <c r="Z511" s="726"/>
      <c r="AA511" s="726"/>
      <c r="AB511" s="726"/>
      <c r="AC511" s="726"/>
      <c r="AD511" s="726"/>
      <c r="AE511" s="726"/>
      <c r="AF511" s="726"/>
      <c r="AG511" s="726"/>
      <c r="AH511" s="726"/>
      <c r="AI511" s="726"/>
      <c r="AJ511" s="726"/>
      <c r="AK511" s="726"/>
      <c r="AL511" s="726"/>
      <c r="AM511" s="726"/>
      <c r="AN511" s="726"/>
      <c r="AO511" s="726"/>
      <c r="AP511" s="726"/>
      <c r="AQ511" s="726"/>
      <c r="AR511" s="726"/>
      <c r="AS511" s="726"/>
      <c r="AT511" s="726"/>
      <c r="AU511" s="726"/>
      <c r="AV511" s="726"/>
      <c r="AW511" s="726"/>
      <c r="AX511" s="726"/>
      <c r="AY511" s="726"/>
      <c r="AZ511" s="726"/>
      <c r="BA511" s="726"/>
      <c r="BB511" s="726"/>
      <c r="BC511" s="726"/>
      <c r="BD511" s="726"/>
      <c r="BE511" s="726"/>
      <c r="BF511" s="726"/>
      <c r="BG511" s="726"/>
      <c r="BH511" s="726"/>
      <c r="BI511" s="726"/>
      <c r="BJ511" s="726"/>
      <c r="BK511" s="726"/>
      <c r="BL511" s="726"/>
      <c r="BM511" s="726"/>
      <c r="BN511" s="726"/>
      <c r="BO511" s="726"/>
      <c r="BP511" s="726"/>
      <c r="BQ511" s="726"/>
      <c r="BR511" s="726"/>
      <c r="BS511" s="726"/>
    </row>
    <row r="512" spans="1:71" s="563" customFormat="1">
      <c r="A512" s="614"/>
      <c r="E512" s="565"/>
      <c r="F512" s="565"/>
      <c r="Q512" s="726"/>
      <c r="R512" s="726"/>
      <c r="S512" s="726"/>
      <c r="T512" s="726"/>
      <c r="U512" s="726"/>
      <c r="V512" s="726"/>
      <c r="W512" s="726"/>
      <c r="X512" s="726"/>
      <c r="Y512" s="726"/>
      <c r="Z512" s="726"/>
      <c r="AA512" s="726"/>
      <c r="AB512" s="726"/>
      <c r="AC512" s="726"/>
      <c r="AD512" s="726"/>
      <c r="AE512" s="726"/>
      <c r="AF512" s="726"/>
      <c r="AG512" s="726"/>
      <c r="AH512" s="726"/>
      <c r="AI512" s="726"/>
      <c r="AJ512" s="726"/>
      <c r="AK512" s="726"/>
      <c r="AL512" s="726"/>
      <c r="AM512" s="726"/>
      <c r="AN512" s="726"/>
      <c r="AO512" s="726"/>
      <c r="AP512" s="726"/>
      <c r="AQ512" s="726"/>
      <c r="AR512" s="726"/>
      <c r="AS512" s="726"/>
      <c r="AT512" s="726"/>
      <c r="AU512" s="726"/>
      <c r="AV512" s="726"/>
      <c r="AW512" s="726"/>
      <c r="AX512" s="726"/>
      <c r="AY512" s="726"/>
      <c r="AZ512" s="726"/>
      <c r="BA512" s="726"/>
      <c r="BB512" s="726"/>
      <c r="BC512" s="726"/>
      <c r="BD512" s="726"/>
      <c r="BE512" s="726"/>
      <c r="BF512" s="726"/>
      <c r="BG512" s="726"/>
      <c r="BH512" s="726"/>
      <c r="BI512" s="726"/>
      <c r="BJ512" s="726"/>
      <c r="BK512" s="726"/>
      <c r="BL512" s="726"/>
      <c r="BM512" s="726"/>
      <c r="BN512" s="726"/>
      <c r="BO512" s="726"/>
      <c r="BP512" s="726"/>
      <c r="BQ512" s="726"/>
      <c r="BR512" s="726"/>
      <c r="BS512" s="726"/>
    </row>
    <row r="513" spans="1:71" s="563" customFormat="1">
      <c r="A513" s="614"/>
      <c r="E513" s="565"/>
      <c r="F513" s="565"/>
      <c r="Q513" s="726"/>
      <c r="R513" s="726"/>
      <c r="S513" s="726"/>
      <c r="T513" s="726"/>
      <c r="U513" s="726"/>
      <c r="V513" s="726"/>
      <c r="W513" s="726"/>
      <c r="X513" s="726"/>
      <c r="Y513" s="726"/>
      <c r="Z513" s="726"/>
      <c r="AA513" s="726"/>
      <c r="AB513" s="726"/>
      <c r="AC513" s="726"/>
      <c r="AD513" s="726"/>
      <c r="AE513" s="726"/>
      <c r="AF513" s="726"/>
      <c r="AG513" s="726"/>
      <c r="AH513" s="726"/>
      <c r="AI513" s="726"/>
      <c r="AJ513" s="726"/>
      <c r="AK513" s="726"/>
      <c r="AL513" s="726"/>
      <c r="AM513" s="726"/>
      <c r="AN513" s="726"/>
      <c r="AO513" s="726"/>
      <c r="AP513" s="726"/>
      <c r="AQ513" s="726"/>
      <c r="AR513" s="726"/>
      <c r="AS513" s="726"/>
      <c r="AT513" s="726"/>
      <c r="AU513" s="726"/>
      <c r="AV513" s="726"/>
      <c r="AW513" s="726"/>
      <c r="AX513" s="726"/>
      <c r="AY513" s="726"/>
      <c r="AZ513" s="726"/>
      <c r="BA513" s="726"/>
      <c r="BB513" s="726"/>
      <c r="BC513" s="726"/>
      <c r="BD513" s="726"/>
      <c r="BE513" s="726"/>
      <c r="BF513" s="726"/>
      <c r="BG513" s="726"/>
      <c r="BH513" s="726"/>
      <c r="BI513" s="726"/>
      <c r="BJ513" s="726"/>
      <c r="BK513" s="726"/>
      <c r="BL513" s="726"/>
      <c r="BM513" s="726"/>
      <c r="BN513" s="726"/>
      <c r="BO513" s="726"/>
      <c r="BP513" s="726"/>
      <c r="BQ513" s="726"/>
      <c r="BR513" s="726"/>
      <c r="BS513" s="726"/>
    </row>
    <row r="514" spans="1:71" s="563" customFormat="1">
      <c r="A514" s="614"/>
      <c r="E514" s="565"/>
      <c r="F514" s="565"/>
      <c r="Q514" s="726"/>
      <c r="R514" s="726"/>
      <c r="S514" s="726"/>
      <c r="T514" s="726"/>
      <c r="U514" s="726"/>
      <c r="V514" s="726"/>
      <c r="W514" s="726"/>
      <c r="X514" s="726"/>
      <c r="Y514" s="726"/>
      <c r="Z514" s="726"/>
      <c r="AA514" s="726"/>
      <c r="AB514" s="726"/>
      <c r="AC514" s="726"/>
      <c r="AD514" s="726"/>
      <c r="AE514" s="726"/>
      <c r="AF514" s="726"/>
      <c r="AG514" s="726"/>
      <c r="AH514" s="726"/>
      <c r="AI514" s="726"/>
      <c r="AJ514" s="726"/>
      <c r="AK514" s="726"/>
      <c r="AL514" s="726"/>
      <c r="AM514" s="726"/>
      <c r="AN514" s="726"/>
      <c r="AO514" s="726"/>
      <c r="AP514" s="726"/>
      <c r="AQ514" s="726"/>
      <c r="AR514" s="726"/>
      <c r="AS514" s="726"/>
      <c r="AT514" s="726"/>
      <c r="AU514" s="726"/>
      <c r="AV514" s="726"/>
      <c r="AW514" s="726"/>
      <c r="AX514" s="726"/>
      <c r="AY514" s="726"/>
      <c r="AZ514" s="726"/>
      <c r="BA514" s="726"/>
      <c r="BB514" s="726"/>
      <c r="BC514" s="726"/>
      <c r="BD514" s="726"/>
      <c r="BE514" s="726"/>
      <c r="BF514" s="726"/>
      <c r="BG514" s="726"/>
      <c r="BH514" s="726"/>
      <c r="BI514" s="726"/>
      <c r="BJ514" s="726"/>
      <c r="BK514" s="726"/>
      <c r="BL514" s="726"/>
      <c r="BM514" s="726"/>
      <c r="BN514" s="726"/>
      <c r="BO514" s="726"/>
      <c r="BP514" s="726"/>
      <c r="BQ514" s="726"/>
      <c r="BR514" s="726"/>
      <c r="BS514" s="726"/>
    </row>
    <row r="515" spans="1:71" s="563" customFormat="1">
      <c r="A515" s="614"/>
      <c r="E515" s="565"/>
      <c r="F515" s="565"/>
      <c r="Q515" s="726"/>
      <c r="R515" s="726"/>
      <c r="S515" s="726"/>
      <c r="T515" s="726"/>
      <c r="U515" s="726"/>
      <c r="V515" s="726"/>
      <c r="W515" s="726"/>
      <c r="X515" s="726"/>
      <c r="Y515" s="726"/>
      <c r="Z515" s="726"/>
      <c r="AA515" s="726"/>
      <c r="AB515" s="726"/>
      <c r="AC515" s="726"/>
      <c r="AD515" s="726"/>
      <c r="AE515" s="726"/>
      <c r="AF515" s="726"/>
      <c r="AG515" s="726"/>
      <c r="AH515" s="726"/>
      <c r="AI515" s="726"/>
      <c r="AJ515" s="726"/>
      <c r="AK515" s="726"/>
      <c r="AL515" s="726"/>
      <c r="AM515" s="726"/>
      <c r="AN515" s="726"/>
      <c r="AO515" s="726"/>
      <c r="AP515" s="726"/>
      <c r="AQ515" s="726"/>
      <c r="AR515" s="726"/>
      <c r="AS515" s="726"/>
      <c r="AT515" s="726"/>
      <c r="AU515" s="726"/>
      <c r="AV515" s="726"/>
      <c r="AW515" s="726"/>
      <c r="AX515" s="726"/>
      <c r="AY515" s="726"/>
      <c r="AZ515" s="726"/>
      <c r="BA515" s="726"/>
      <c r="BB515" s="726"/>
      <c r="BC515" s="726"/>
      <c r="BD515" s="726"/>
      <c r="BE515" s="726"/>
      <c r="BF515" s="726"/>
      <c r="BG515" s="726"/>
      <c r="BH515" s="726"/>
      <c r="BI515" s="726"/>
      <c r="BJ515" s="726"/>
      <c r="BK515" s="726"/>
      <c r="BL515" s="726"/>
      <c r="BM515" s="726"/>
      <c r="BN515" s="726"/>
      <c r="BO515" s="726"/>
      <c r="BP515" s="726"/>
      <c r="BQ515" s="726"/>
      <c r="BR515" s="726"/>
      <c r="BS515" s="726"/>
    </row>
    <row r="516" spans="1:71" s="563" customFormat="1">
      <c r="A516" s="614"/>
      <c r="E516" s="565"/>
      <c r="F516" s="565"/>
      <c r="Q516" s="726"/>
      <c r="R516" s="726"/>
      <c r="S516" s="726"/>
      <c r="T516" s="726"/>
      <c r="U516" s="726"/>
      <c r="V516" s="726"/>
      <c r="W516" s="726"/>
      <c r="X516" s="726"/>
      <c r="Y516" s="726"/>
      <c r="Z516" s="726"/>
      <c r="AA516" s="726"/>
      <c r="AB516" s="726"/>
      <c r="AC516" s="726"/>
      <c r="AD516" s="726"/>
      <c r="AE516" s="726"/>
      <c r="AF516" s="726"/>
      <c r="AG516" s="726"/>
      <c r="AH516" s="726"/>
      <c r="AI516" s="726"/>
      <c r="AJ516" s="726"/>
      <c r="AK516" s="726"/>
      <c r="AL516" s="726"/>
      <c r="AM516" s="726"/>
      <c r="AN516" s="726"/>
      <c r="AO516" s="726"/>
      <c r="AP516" s="726"/>
      <c r="AQ516" s="726"/>
      <c r="AR516" s="726"/>
      <c r="AS516" s="726"/>
      <c r="AT516" s="726"/>
      <c r="AU516" s="726"/>
      <c r="AV516" s="726"/>
      <c r="AW516" s="726"/>
      <c r="AX516" s="726"/>
      <c r="AY516" s="726"/>
      <c r="AZ516" s="726"/>
      <c r="BA516" s="726"/>
      <c r="BB516" s="726"/>
      <c r="BC516" s="726"/>
      <c r="BD516" s="726"/>
      <c r="BE516" s="726"/>
      <c r="BF516" s="726"/>
      <c r="BG516" s="726"/>
      <c r="BH516" s="726"/>
      <c r="BI516" s="726"/>
      <c r="BJ516" s="726"/>
      <c r="BK516" s="726"/>
      <c r="BL516" s="726"/>
      <c r="BM516" s="726"/>
      <c r="BN516" s="726"/>
      <c r="BO516" s="726"/>
      <c r="BP516" s="726"/>
      <c r="BQ516" s="726"/>
      <c r="BR516" s="726"/>
      <c r="BS516" s="726"/>
    </row>
    <row r="517" spans="1:71" s="563" customFormat="1">
      <c r="A517" s="614"/>
      <c r="E517" s="565"/>
      <c r="F517" s="565"/>
      <c r="Q517" s="726"/>
      <c r="R517" s="726"/>
      <c r="S517" s="726"/>
      <c r="T517" s="726"/>
      <c r="U517" s="726"/>
      <c r="V517" s="726"/>
      <c r="W517" s="726"/>
      <c r="X517" s="726"/>
      <c r="Y517" s="726"/>
      <c r="Z517" s="726"/>
      <c r="AA517" s="726"/>
      <c r="AB517" s="726"/>
      <c r="AC517" s="726"/>
      <c r="AD517" s="726"/>
      <c r="AE517" s="726"/>
      <c r="AF517" s="726"/>
      <c r="AG517" s="726"/>
      <c r="AH517" s="726"/>
      <c r="AI517" s="726"/>
      <c r="AJ517" s="726"/>
      <c r="AK517" s="726"/>
      <c r="AL517" s="726"/>
      <c r="AM517" s="726"/>
      <c r="AN517" s="726"/>
      <c r="AO517" s="726"/>
      <c r="AP517" s="726"/>
      <c r="AQ517" s="726"/>
      <c r="AR517" s="726"/>
      <c r="AS517" s="726"/>
      <c r="AT517" s="726"/>
      <c r="AU517" s="726"/>
      <c r="AV517" s="726"/>
      <c r="AW517" s="726"/>
      <c r="AX517" s="726"/>
      <c r="AY517" s="726"/>
      <c r="AZ517" s="726"/>
      <c r="BA517" s="726"/>
      <c r="BB517" s="726"/>
      <c r="BC517" s="726"/>
      <c r="BD517" s="726"/>
      <c r="BE517" s="726"/>
      <c r="BF517" s="726"/>
      <c r="BG517" s="726"/>
      <c r="BH517" s="726"/>
      <c r="BI517" s="726"/>
      <c r="BJ517" s="726"/>
      <c r="BK517" s="726"/>
      <c r="BL517" s="726"/>
      <c r="BM517" s="726"/>
      <c r="BN517" s="726"/>
      <c r="BO517" s="726"/>
      <c r="BP517" s="726"/>
      <c r="BQ517" s="726"/>
      <c r="BR517" s="726"/>
      <c r="BS517" s="726"/>
    </row>
    <row r="518" spans="1:71" s="563" customFormat="1">
      <c r="A518" s="614"/>
      <c r="E518" s="565"/>
      <c r="F518" s="565"/>
      <c r="Q518" s="726"/>
      <c r="R518" s="726"/>
      <c r="S518" s="726"/>
      <c r="T518" s="726"/>
      <c r="U518" s="726"/>
      <c r="V518" s="726"/>
      <c r="W518" s="726"/>
      <c r="X518" s="726"/>
      <c r="Y518" s="726"/>
      <c r="Z518" s="726"/>
      <c r="AA518" s="726"/>
      <c r="AB518" s="726"/>
      <c r="AC518" s="726"/>
      <c r="AD518" s="726"/>
      <c r="AE518" s="726"/>
      <c r="AF518" s="726"/>
      <c r="AG518" s="726"/>
      <c r="AH518" s="726"/>
      <c r="AI518" s="726"/>
      <c r="AJ518" s="726"/>
      <c r="AK518" s="726"/>
      <c r="AL518" s="726"/>
      <c r="AM518" s="726"/>
      <c r="AN518" s="726"/>
      <c r="AO518" s="726"/>
      <c r="AP518" s="726"/>
      <c r="AQ518" s="726"/>
      <c r="AR518" s="726"/>
      <c r="AS518" s="726"/>
      <c r="AT518" s="726"/>
      <c r="AU518" s="726"/>
      <c r="AV518" s="726"/>
      <c r="AW518" s="726"/>
      <c r="AX518" s="726"/>
      <c r="AY518" s="726"/>
      <c r="AZ518" s="726"/>
      <c r="BA518" s="726"/>
      <c r="BB518" s="726"/>
      <c r="BC518" s="726"/>
      <c r="BD518" s="726"/>
      <c r="BE518" s="726"/>
      <c r="BF518" s="726"/>
      <c r="BG518" s="726"/>
      <c r="BH518" s="726"/>
      <c r="BI518" s="726"/>
      <c r="BJ518" s="726"/>
      <c r="BK518" s="726"/>
      <c r="BL518" s="726"/>
      <c r="BM518" s="726"/>
      <c r="BN518" s="726"/>
      <c r="BO518" s="726"/>
      <c r="BP518" s="726"/>
      <c r="BQ518" s="726"/>
      <c r="BR518" s="726"/>
      <c r="BS518" s="726"/>
    </row>
    <row r="519" spans="1:71" s="563" customFormat="1">
      <c r="A519" s="614"/>
      <c r="E519" s="565"/>
      <c r="F519" s="565"/>
      <c r="Q519" s="726"/>
      <c r="R519" s="726"/>
      <c r="S519" s="726"/>
      <c r="T519" s="726"/>
      <c r="U519" s="726"/>
      <c r="V519" s="726"/>
      <c r="W519" s="726"/>
      <c r="X519" s="726"/>
      <c r="Y519" s="726"/>
      <c r="Z519" s="726"/>
      <c r="AA519" s="726"/>
      <c r="AB519" s="726"/>
      <c r="AC519" s="726"/>
      <c r="AD519" s="726"/>
      <c r="AE519" s="726"/>
      <c r="AF519" s="726"/>
      <c r="AG519" s="726"/>
      <c r="AH519" s="726"/>
      <c r="AI519" s="726"/>
      <c r="AJ519" s="726"/>
      <c r="AK519" s="726"/>
      <c r="AL519" s="726"/>
      <c r="AM519" s="726"/>
      <c r="AN519" s="726"/>
      <c r="AO519" s="726"/>
      <c r="AP519" s="726"/>
      <c r="AQ519" s="726"/>
      <c r="AR519" s="726"/>
      <c r="AS519" s="726"/>
      <c r="AT519" s="726"/>
      <c r="AU519" s="726"/>
      <c r="AV519" s="726"/>
      <c r="AW519" s="726"/>
      <c r="AX519" s="726"/>
      <c r="AY519" s="726"/>
      <c r="AZ519" s="726"/>
      <c r="BA519" s="726"/>
      <c r="BB519" s="726"/>
      <c r="BC519" s="726"/>
      <c r="BD519" s="726"/>
      <c r="BE519" s="726"/>
      <c r="BF519" s="726"/>
      <c r="BG519" s="726"/>
      <c r="BH519" s="726"/>
      <c r="BI519" s="726"/>
      <c r="BJ519" s="726"/>
      <c r="BK519" s="726"/>
      <c r="BL519" s="726"/>
      <c r="BM519" s="726"/>
      <c r="BN519" s="726"/>
      <c r="BO519" s="726"/>
      <c r="BP519" s="726"/>
      <c r="BQ519" s="726"/>
      <c r="BR519" s="726"/>
      <c r="BS519" s="726"/>
    </row>
    <row r="520" spans="1:71" s="563" customFormat="1">
      <c r="A520" s="614"/>
      <c r="E520" s="565"/>
      <c r="F520" s="565"/>
      <c r="Q520" s="726"/>
      <c r="R520" s="726"/>
      <c r="S520" s="726"/>
      <c r="T520" s="726"/>
      <c r="U520" s="726"/>
      <c r="V520" s="726"/>
      <c r="W520" s="726"/>
      <c r="X520" s="726"/>
      <c r="Y520" s="726"/>
      <c r="Z520" s="726"/>
      <c r="AA520" s="726"/>
      <c r="AB520" s="726"/>
      <c r="AC520" s="726"/>
      <c r="AD520" s="726"/>
      <c r="AE520" s="726"/>
      <c r="AF520" s="726"/>
      <c r="AG520" s="726"/>
      <c r="AH520" s="726"/>
      <c r="AI520" s="726"/>
      <c r="AJ520" s="726"/>
      <c r="AK520" s="726"/>
      <c r="AL520" s="726"/>
      <c r="AM520" s="726"/>
      <c r="AN520" s="726"/>
      <c r="AO520" s="726"/>
      <c r="AP520" s="726"/>
      <c r="AQ520" s="726"/>
      <c r="AR520" s="726"/>
      <c r="AS520" s="726"/>
      <c r="AT520" s="726"/>
      <c r="AU520" s="726"/>
      <c r="AV520" s="726"/>
      <c r="AW520" s="726"/>
      <c r="AX520" s="726"/>
      <c r="AY520" s="726"/>
      <c r="AZ520" s="726"/>
      <c r="BA520" s="726"/>
      <c r="BB520" s="726"/>
      <c r="BC520" s="726"/>
      <c r="BD520" s="726"/>
      <c r="BE520" s="726"/>
      <c r="BF520" s="726"/>
      <c r="BG520" s="726"/>
      <c r="BH520" s="726"/>
      <c r="BI520" s="726"/>
      <c r="BJ520" s="726"/>
      <c r="BK520" s="726"/>
      <c r="BL520" s="726"/>
      <c r="BM520" s="726"/>
      <c r="BN520" s="726"/>
      <c r="BO520" s="726"/>
      <c r="BP520" s="726"/>
      <c r="BQ520" s="726"/>
      <c r="BR520" s="726"/>
      <c r="BS520" s="726"/>
    </row>
    <row r="521" spans="1:71" s="563" customFormat="1">
      <c r="A521" s="614"/>
      <c r="E521" s="565"/>
      <c r="F521" s="565"/>
      <c r="Q521" s="726"/>
      <c r="R521" s="726"/>
      <c r="S521" s="726"/>
      <c r="T521" s="726"/>
      <c r="U521" s="726"/>
      <c r="V521" s="726"/>
      <c r="W521" s="726"/>
      <c r="X521" s="726"/>
      <c r="Y521" s="726"/>
      <c r="Z521" s="726"/>
      <c r="AA521" s="726"/>
      <c r="AB521" s="726"/>
      <c r="AC521" s="726"/>
      <c r="AD521" s="726"/>
      <c r="AE521" s="726"/>
      <c r="AF521" s="726"/>
      <c r="AG521" s="726"/>
      <c r="AH521" s="726"/>
      <c r="AI521" s="726"/>
      <c r="AJ521" s="726"/>
      <c r="AK521" s="726"/>
      <c r="AL521" s="726"/>
      <c r="AM521" s="726"/>
      <c r="AN521" s="726"/>
      <c r="AO521" s="726"/>
      <c r="AP521" s="726"/>
      <c r="AQ521" s="726"/>
      <c r="AR521" s="726"/>
      <c r="AS521" s="726"/>
      <c r="AT521" s="726"/>
      <c r="AU521" s="726"/>
      <c r="AV521" s="726"/>
      <c r="AW521" s="726"/>
      <c r="AX521" s="726"/>
      <c r="AY521" s="726"/>
      <c r="AZ521" s="726"/>
      <c r="BA521" s="726"/>
      <c r="BB521" s="726"/>
      <c r="BC521" s="726"/>
      <c r="BD521" s="726"/>
      <c r="BE521" s="726"/>
      <c r="BF521" s="726"/>
      <c r="BG521" s="726"/>
      <c r="BH521" s="726"/>
      <c r="BI521" s="726"/>
      <c r="BJ521" s="726"/>
      <c r="BK521" s="726"/>
      <c r="BL521" s="726"/>
      <c r="BM521" s="726"/>
      <c r="BN521" s="726"/>
      <c r="BO521" s="726"/>
      <c r="BP521" s="726"/>
      <c r="BQ521" s="726"/>
      <c r="BR521" s="726"/>
      <c r="BS521" s="726"/>
    </row>
    <row r="522" spans="1:71" s="563" customFormat="1">
      <c r="A522" s="614"/>
      <c r="E522" s="565"/>
      <c r="F522" s="565"/>
      <c r="Q522" s="726"/>
      <c r="R522" s="726"/>
      <c r="S522" s="726"/>
      <c r="T522" s="726"/>
      <c r="U522" s="726"/>
      <c r="V522" s="726"/>
      <c r="W522" s="726"/>
      <c r="X522" s="726"/>
      <c r="Y522" s="726"/>
      <c r="Z522" s="726"/>
      <c r="AA522" s="726"/>
      <c r="AB522" s="726"/>
      <c r="AC522" s="726"/>
      <c r="AD522" s="726"/>
      <c r="AE522" s="726"/>
      <c r="AF522" s="726"/>
      <c r="AG522" s="726"/>
      <c r="AH522" s="726"/>
      <c r="AI522" s="726"/>
      <c r="AJ522" s="726"/>
      <c r="AK522" s="726"/>
      <c r="AL522" s="726"/>
      <c r="AM522" s="726"/>
      <c r="AN522" s="726"/>
      <c r="AO522" s="726"/>
      <c r="AP522" s="726"/>
      <c r="AQ522" s="726"/>
      <c r="AR522" s="726"/>
      <c r="AS522" s="726"/>
      <c r="AT522" s="726"/>
      <c r="AU522" s="726"/>
      <c r="AV522" s="726"/>
      <c r="AW522" s="726"/>
      <c r="AX522" s="726"/>
      <c r="AY522" s="726"/>
      <c r="AZ522" s="726"/>
      <c r="BA522" s="726"/>
      <c r="BB522" s="726"/>
      <c r="BC522" s="726"/>
      <c r="BD522" s="726"/>
      <c r="BE522" s="726"/>
      <c r="BF522" s="726"/>
      <c r="BG522" s="726"/>
      <c r="BH522" s="726"/>
      <c r="BI522" s="726"/>
      <c r="BJ522" s="726"/>
      <c r="BK522" s="726"/>
      <c r="BL522" s="726"/>
      <c r="BM522" s="726"/>
      <c r="BN522" s="726"/>
      <c r="BO522" s="726"/>
      <c r="BP522" s="726"/>
      <c r="BQ522" s="726"/>
      <c r="BR522" s="726"/>
      <c r="BS522" s="726"/>
    </row>
    <row r="523" spans="1:71" s="563" customFormat="1">
      <c r="A523" s="614"/>
      <c r="E523" s="565"/>
      <c r="F523" s="565"/>
      <c r="Q523" s="726"/>
      <c r="R523" s="726"/>
      <c r="S523" s="726"/>
      <c r="T523" s="726"/>
      <c r="U523" s="726"/>
      <c r="V523" s="726"/>
      <c r="W523" s="726"/>
      <c r="X523" s="726"/>
      <c r="Y523" s="726"/>
      <c r="Z523" s="726"/>
      <c r="AA523" s="726"/>
      <c r="AB523" s="726"/>
      <c r="AC523" s="726"/>
      <c r="AD523" s="726"/>
      <c r="AE523" s="726"/>
      <c r="AF523" s="726"/>
      <c r="AG523" s="726"/>
      <c r="AH523" s="726"/>
      <c r="AI523" s="726"/>
      <c r="AJ523" s="726"/>
      <c r="AK523" s="726"/>
      <c r="AL523" s="726"/>
      <c r="AM523" s="726"/>
      <c r="AN523" s="726"/>
      <c r="AO523" s="726"/>
      <c r="AP523" s="726"/>
      <c r="AQ523" s="726"/>
      <c r="AR523" s="726"/>
      <c r="AS523" s="726"/>
      <c r="AT523" s="726"/>
      <c r="AU523" s="726"/>
      <c r="AV523" s="726"/>
      <c r="AW523" s="726"/>
      <c r="AX523" s="726"/>
      <c r="AY523" s="726"/>
      <c r="AZ523" s="726"/>
      <c r="BA523" s="726"/>
      <c r="BB523" s="726"/>
      <c r="BC523" s="726"/>
      <c r="BD523" s="726"/>
      <c r="BE523" s="726"/>
      <c r="BF523" s="726"/>
      <c r="BG523" s="726"/>
      <c r="BH523" s="726"/>
      <c r="BI523" s="726"/>
      <c r="BJ523" s="726"/>
      <c r="BK523" s="726"/>
      <c r="BL523" s="726"/>
      <c r="BM523" s="726"/>
      <c r="BN523" s="726"/>
      <c r="BO523" s="726"/>
      <c r="BP523" s="726"/>
      <c r="BQ523" s="726"/>
      <c r="BR523" s="726"/>
      <c r="BS523" s="726"/>
    </row>
    <row r="524" spans="1:71" s="563" customFormat="1">
      <c r="A524" s="614"/>
      <c r="E524" s="565"/>
      <c r="F524" s="565"/>
      <c r="Q524" s="726"/>
      <c r="R524" s="726"/>
      <c r="S524" s="726"/>
      <c r="T524" s="726"/>
      <c r="U524" s="726"/>
      <c r="V524" s="726"/>
      <c r="W524" s="726"/>
      <c r="X524" s="726"/>
      <c r="Y524" s="726"/>
      <c r="Z524" s="726"/>
      <c r="AA524" s="726"/>
      <c r="AB524" s="726"/>
      <c r="AC524" s="726"/>
      <c r="AD524" s="726"/>
      <c r="AE524" s="726"/>
      <c r="AF524" s="726"/>
      <c r="AG524" s="726"/>
      <c r="AH524" s="726"/>
      <c r="AI524" s="726"/>
      <c r="AJ524" s="726"/>
      <c r="AK524" s="726"/>
      <c r="AL524" s="726"/>
      <c r="AM524" s="726"/>
      <c r="AN524" s="726"/>
      <c r="AO524" s="726"/>
      <c r="AP524" s="726"/>
      <c r="AQ524" s="726"/>
      <c r="AR524" s="726"/>
      <c r="AS524" s="726"/>
      <c r="AT524" s="726"/>
      <c r="AU524" s="726"/>
      <c r="AV524" s="726"/>
      <c r="AW524" s="726"/>
      <c r="AX524" s="726"/>
      <c r="AY524" s="726"/>
      <c r="AZ524" s="726"/>
      <c r="BA524" s="726"/>
      <c r="BB524" s="726"/>
      <c r="BC524" s="726"/>
      <c r="BD524" s="726"/>
      <c r="BE524" s="726"/>
      <c r="BF524" s="726"/>
      <c r="BG524" s="726"/>
      <c r="BH524" s="726"/>
      <c r="BI524" s="726"/>
      <c r="BJ524" s="726"/>
      <c r="BK524" s="726"/>
      <c r="BL524" s="726"/>
      <c r="BM524" s="726"/>
      <c r="BN524" s="726"/>
      <c r="BO524" s="726"/>
      <c r="BP524" s="726"/>
      <c r="BQ524" s="726"/>
      <c r="BR524" s="726"/>
      <c r="BS524" s="726"/>
    </row>
    <row r="525" spans="1:71" s="563" customFormat="1">
      <c r="A525" s="614"/>
      <c r="E525" s="565"/>
      <c r="F525" s="565"/>
      <c r="Q525" s="726"/>
      <c r="R525" s="726"/>
      <c r="S525" s="726"/>
      <c r="T525" s="726"/>
      <c r="U525" s="726"/>
      <c r="V525" s="726"/>
      <c r="W525" s="726"/>
      <c r="X525" s="726"/>
      <c r="Y525" s="726"/>
      <c r="Z525" s="726"/>
      <c r="AA525" s="726"/>
      <c r="AB525" s="726"/>
      <c r="AC525" s="726"/>
      <c r="AD525" s="726"/>
      <c r="AE525" s="726"/>
      <c r="AF525" s="726"/>
      <c r="AG525" s="726"/>
      <c r="AH525" s="726"/>
      <c r="AI525" s="726"/>
      <c r="AJ525" s="726"/>
      <c r="AK525" s="726"/>
      <c r="AL525" s="726"/>
      <c r="AM525" s="726"/>
      <c r="AN525" s="726"/>
      <c r="AO525" s="726"/>
      <c r="AP525" s="726"/>
      <c r="AQ525" s="726"/>
      <c r="AR525" s="726"/>
      <c r="AS525" s="726"/>
      <c r="AT525" s="726"/>
      <c r="AU525" s="726"/>
      <c r="AV525" s="726"/>
      <c r="AW525" s="726"/>
      <c r="AX525" s="726"/>
      <c r="AY525" s="726"/>
      <c r="AZ525" s="726"/>
      <c r="BA525" s="726"/>
      <c r="BB525" s="726"/>
      <c r="BC525" s="726"/>
      <c r="BD525" s="726"/>
      <c r="BE525" s="726"/>
      <c r="BF525" s="726"/>
      <c r="BG525" s="726"/>
      <c r="BH525" s="726"/>
      <c r="BI525" s="726"/>
      <c r="BJ525" s="726"/>
      <c r="BK525" s="726"/>
      <c r="BL525" s="726"/>
      <c r="BM525" s="726"/>
      <c r="BN525" s="726"/>
      <c r="BO525" s="726"/>
      <c r="BP525" s="726"/>
      <c r="BQ525" s="726"/>
      <c r="BR525" s="726"/>
      <c r="BS525" s="726"/>
    </row>
    <row r="526" spans="1:71" s="563" customFormat="1">
      <c r="A526" s="614"/>
      <c r="E526" s="565"/>
      <c r="F526" s="565"/>
      <c r="Q526" s="726"/>
      <c r="R526" s="726"/>
      <c r="S526" s="726"/>
      <c r="T526" s="726"/>
      <c r="U526" s="726"/>
      <c r="V526" s="726"/>
      <c r="W526" s="726"/>
      <c r="X526" s="726"/>
      <c r="Y526" s="726"/>
      <c r="Z526" s="726"/>
      <c r="AA526" s="726"/>
      <c r="AB526" s="726"/>
      <c r="AC526" s="726"/>
      <c r="AD526" s="726"/>
      <c r="AE526" s="726"/>
      <c r="AF526" s="726"/>
      <c r="AG526" s="726"/>
      <c r="AH526" s="726"/>
      <c r="AI526" s="726"/>
      <c r="AJ526" s="726"/>
      <c r="AK526" s="726"/>
      <c r="AL526" s="726"/>
      <c r="AM526" s="726"/>
      <c r="AN526" s="726"/>
      <c r="AO526" s="726"/>
      <c r="AP526" s="726"/>
      <c r="AQ526" s="726"/>
      <c r="AR526" s="726"/>
      <c r="AS526" s="726"/>
      <c r="AT526" s="726"/>
      <c r="AU526" s="726"/>
      <c r="AV526" s="726"/>
      <c r="AW526" s="726"/>
      <c r="AX526" s="726"/>
      <c r="AY526" s="726"/>
      <c r="AZ526" s="726"/>
      <c r="BA526" s="726"/>
      <c r="BB526" s="726"/>
      <c r="BC526" s="726"/>
      <c r="BD526" s="726"/>
      <c r="BE526" s="726"/>
      <c r="BF526" s="726"/>
      <c r="BG526" s="726"/>
      <c r="BH526" s="726"/>
      <c r="BI526" s="726"/>
      <c r="BJ526" s="726"/>
      <c r="BK526" s="726"/>
      <c r="BL526" s="726"/>
      <c r="BM526" s="726"/>
      <c r="BN526" s="726"/>
      <c r="BO526" s="726"/>
      <c r="BP526" s="726"/>
      <c r="BQ526" s="726"/>
      <c r="BR526" s="726"/>
      <c r="BS526" s="726"/>
    </row>
    <row r="527" spans="1:71" s="563" customFormat="1">
      <c r="A527" s="614"/>
      <c r="E527" s="565"/>
      <c r="F527" s="565"/>
      <c r="Q527" s="726"/>
      <c r="R527" s="726"/>
      <c r="S527" s="726"/>
      <c r="T527" s="726"/>
      <c r="U527" s="726"/>
      <c r="V527" s="726"/>
      <c r="W527" s="726"/>
      <c r="X527" s="726"/>
      <c r="Y527" s="726"/>
      <c r="Z527" s="726"/>
      <c r="AA527" s="726"/>
      <c r="AB527" s="726"/>
      <c r="AC527" s="726"/>
      <c r="AD527" s="726"/>
      <c r="AE527" s="726"/>
      <c r="AF527" s="726"/>
      <c r="AG527" s="726"/>
      <c r="AH527" s="726"/>
      <c r="AI527" s="726"/>
      <c r="AJ527" s="726"/>
      <c r="AK527" s="726"/>
      <c r="AL527" s="726"/>
      <c r="AM527" s="726"/>
      <c r="AN527" s="726"/>
      <c r="AO527" s="726"/>
      <c r="AP527" s="726"/>
      <c r="AQ527" s="726"/>
      <c r="AR527" s="726"/>
      <c r="AS527" s="726"/>
      <c r="AT527" s="726"/>
      <c r="AU527" s="726"/>
      <c r="AV527" s="726"/>
      <c r="AW527" s="726"/>
      <c r="AX527" s="726"/>
      <c r="AY527" s="726"/>
      <c r="AZ527" s="726"/>
      <c r="BA527" s="726"/>
      <c r="BB527" s="726"/>
      <c r="BC527" s="726"/>
      <c r="BD527" s="726"/>
      <c r="BE527" s="726"/>
      <c r="BF527" s="726"/>
      <c r="BG527" s="726"/>
      <c r="BH527" s="726"/>
      <c r="BI527" s="726"/>
      <c r="BJ527" s="726"/>
      <c r="BK527" s="726"/>
      <c r="BL527" s="726"/>
      <c r="BM527" s="726"/>
      <c r="BN527" s="726"/>
      <c r="BO527" s="726"/>
      <c r="BP527" s="726"/>
      <c r="BQ527" s="726"/>
      <c r="BR527" s="726"/>
      <c r="BS527" s="726"/>
    </row>
    <row r="528" spans="1:71" s="563" customFormat="1">
      <c r="A528" s="614"/>
      <c r="E528" s="565"/>
      <c r="F528" s="565"/>
      <c r="Q528" s="726"/>
      <c r="R528" s="726"/>
      <c r="S528" s="726"/>
      <c r="T528" s="726"/>
      <c r="U528" s="726"/>
      <c r="V528" s="726"/>
      <c r="W528" s="726"/>
      <c r="X528" s="726"/>
      <c r="Y528" s="726"/>
      <c r="Z528" s="726"/>
      <c r="AA528" s="726"/>
      <c r="AB528" s="726"/>
      <c r="AC528" s="726"/>
      <c r="AD528" s="726"/>
      <c r="AE528" s="726"/>
      <c r="AF528" s="726"/>
      <c r="AG528" s="726"/>
      <c r="AH528" s="726"/>
      <c r="AI528" s="726"/>
      <c r="AJ528" s="726"/>
      <c r="AK528" s="726"/>
      <c r="AL528" s="726"/>
      <c r="AM528" s="726"/>
      <c r="AN528" s="726"/>
      <c r="AO528" s="726"/>
      <c r="AP528" s="726"/>
      <c r="AQ528" s="726"/>
      <c r="AR528" s="726"/>
      <c r="AS528" s="726"/>
      <c r="AT528" s="726"/>
      <c r="AU528" s="726"/>
      <c r="AV528" s="726"/>
      <c r="AW528" s="726"/>
      <c r="AX528" s="726"/>
      <c r="AY528" s="726"/>
      <c r="AZ528" s="726"/>
      <c r="BA528" s="726"/>
      <c r="BB528" s="726"/>
      <c r="BC528" s="726"/>
      <c r="BD528" s="726"/>
      <c r="BE528" s="726"/>
      <c r="BF528" s="726"/>
      <c r="BG528" s="726"/>
      <c r="BH528" s="726"/>
      <c r="BI528" s="726"/>
      <c r="BJ528" s="726"/>
      <c r="BK528" s="726"/>
      <c r="BL528" s="726"/>
      <c r="BM528" s="726"/>
      <c r="BN528" s="726"/>
      <c r="BO528" s="726"/>
      <c r="BP528" s="726"/>
      <c r="BQ528" s="726"/>
      <c r="BR528" s="726"/>
      <c r="BS528" s="726"/>
    </row>
    <row r="529" spans="1:71" s="563" customFormat="1">
      <c r="A529" s="614"/>
      <c r="E529" s="565"/>
      <c r="F529" s="565"/>
      <c r="Q529" s="726"/>
      <c r="R529" s="726"/>
      <c r="S529" s="726"/>
      <c r="T529" s="726"/>
      <c r="U529" s="726"/>
      <c r="V529" s="726"/>
      <c r="W529" s="726"/>
      <c r="X529" s="726"/>
      <c r="Y529" s="726"/>
      <c r="Z529" s="726"/>
      <c r="AA529" s="726"/>
      <c r="AB529" s="726"/>
      <c r="AC529" s="726"/>
      <c r="AD529" s="726"/>
      <c r="AE529" s="726"/>
      <c r="AF529" s="726"/>
      <c r="AG529" s="726"/>
      <c r="AH529" s="726"/>
      <c r="AI529" s="726"/>
      <c r="AJ529" s="726"/>
      <c r="AK529" s="726"/>
      <c r="AL529" s="726"/>
      <c r="AM529" s="726"/>
      <c r="AN529" s="726"/>
      <c r="AO529" s="726"/>
      <c r="AP529" s="726"/>
      <c r="AQ529" s="726"/>
      <c r="AR529" s="726"/>
      <c r="AS529" s="726"/>
      <c r="AT529" s="726"/>
      <c r="AU529" s="726"/>
      <c r="AV529" s="726"/>
      <c r="AW529" s="726"/>
      <c r="AX529" s="726"/>
      <c r="AY529" s="726"/>
      <c r="AZ529" s="726"/>
      <c r="BA529" s="726"/>
      <c r="BB529" s="726"/>
      <c r="BC529" s="726"/>
      <c r="BD529" s="726"/>
      <c r="BE529" s="726"/>
      <c r="BF529" s="726"/>
      <c r="BG529" s="726"/>
      <c r="BH529" s="726"/>
      <c r="BI529" s="726"/>
      <c r="BJ529" s="726"/>
      <c r="BK529" s="726"/>
      <c r="BL529" s="726"/>
      <c r="BM529" s="726"/>
      <c r="BN529" s="726"/>
      <c r="BO529" s="726"/>
      <c r="BP529" s="726"/>
      <c r="BQ529" s="726"/>
      <c r="BR529" s="726"/>
      <c r="BS529" s="726"/>
    </row>
    <row r="530" spans="1:71" s="563" customFormat="1">
      <c r="A530" s="614"/>
      <c r="E530" s="565"/>
      <c r="F530" s="565"/>
      <c r="Q530" s="726"/>
      <c r="R530" s="726"/>
      <c r="S530" s="726"/>
      <c r="T530" s="726"/>
      <c r="U530" s="726"/>
      <c r="V530" s="726"/>
      <c r="W530" s="726"/>
      <c r="X530" s="726"/>
      <c r="Y530" s="726"/>
      <c r="Z530" s="726"/>
      <c r="AA530" s="726"/>
      <c r="AB530" s="726"/>
      <c r="AC530" s="726"/>
      <c r="AD530" s="726"/>
      <c r="AE530" s="726"/>
      <c r="AF530" s="726"/>
      <c r="AG530" s="726"/>
      <c r="AH530" s="726"/>
      <c r="AI530" s="726"/>
      <c r="AJ530" s="726"/>
      <c r="AK530" s="726"/>
      <c r="AL530" s="726"/>
      <c r="AM530" s="726"/>
      <c r="AN530" s="726"/>
      <c r="AO530" s="726"/>
      <c r="AP530" s="726"/>
      <c r="AQ530" s="726"/>
      <c r="AR530" s="726"/>
      <c r="AS530" s="726"/>
      <c r="AT530" s="726"/>
      <c r="AU530" s="726"/>
      <c r="AV530" s="726"/>
      <c r="AW530" s="726"/>
      <c r="AX530" s="726"/>
      <c r="AY530" s="726"/>
      <c r="AZ530" s="726"/>
      <c r="BA530" s="726"/>
      <c r="BB530" s="726"/>
      <c r="BC530" s="726"/>
      <c r="BD530" s="726"/>
      <c r="BE530" s="726"/>
      <c r="BF530" s="726"/>
      <c r="BG530" s="726"/>
      <c r="BH530" s="726"/>
      <c r="BI530" s="726"/>
      <c r="BJ530" s="726"/>
      <c r="BK530" s="726"/>
      <c r="BL530" s="726"/>
      <c r="BM530" s="726"/>
      <c r="BN530" s="726"/>
      <c r="BO530" s="726"/>
      <c r="BP530" s="726"/>
      <c r="BQ530" s="726"/>
      <c r="BR530" s="726"/>
      <c r="BS530" s="726"/>
    </row>
    <row r="531" spans="1:71" s="563" customFormat="1">
      <c r="A531" s="614"/>
      <c r="E531" s="565"/>
      <c r="F531" s="565"/>
      <c r="Q531" s="726"/>
      <c r="R531" s="726"/>
      <c r="S531" s="726"/>
      <c r="T531" s="726"/>
      <c r="U531" s="726"/>
      <c r="V531" s="726"/>
      <c r="W531" s="726"/>
      <c r="X531" s="726"/>
      <c r="Y531" s="726"/>
      <c r="Z531" s="726"/>
      <c r="AA531" s="726"/>
      <c r="AB531" s="726"/>
      <c r="AC531" s="726"/>
      <c r="AD531" s="726"/>
      <c r="AE531" s="726"/>
      <c r="AF531" s="726"/>
      <c r="AG531" s="726"/>
      <c r="AH531" s="726"/>
      <c r="AI531" s="726"/>
      <c r="AJ531" s="726"/>
      <c r="AK531" s="726"/>
      <c r="AL531" s="726"/>
      <c r="AM531" s="726"/>
      <c r="AN531" s="726"/>
      <c r="AO531" s="726"/>
      <c r="AP531" s="726"/>
      <c r="AQ531" s="726"/>
      <c r="AR531" s="726"/>
      <c r="AS531" s="726"/>
      <c r="AT531" s="726"/>
      <c r="AU531" s="726"/>
      <c r="AV531" s="726"/>
      <c r="AW531" s="726"/>
      <c r="AX531" s="726"/>
      <c r="AY531" s="726"/>
      <c r="AZ531" s="726"/>
      <c r="BA531" s="726"/>
      <c r="BB531" s="726"/>
      <c r="BC531" s="726"/>
      <c r="BD531" s="726"/>
      <c r="BE531" s="726"/>
      <c r="BF531" s="726"/>
      <c r="BG531" s="726"/>
      <c r="BH531" s="726"/>
      <c r="BI531" s="726"/>
      <c r="BJ531" s="726"/>
      <c r="BK531" s="726"/>
      <c r="BL531" s="726"/>
      <c r="BM531" s="726"/>
      <c r="BN531" s="726"/>
      <c r="BO531" s="726"/>
      <c r="BP531" s="726"/>
      <c r="BQ531" s="726"/>
      <c r="BR531" s="726"/>
      <c r="BS531" s="726"/>
    </row>
    <row r="532" spans="1:71" s="563" customFormat="1">
      <c r="A532" s="614"/>
      <c r="E532" s="565"/>
      <c r="F532" s="565"/>
      <c r="Q532" s="726"/>
      <c r="R532" s="726"/>
      <c r="S532" s="726"/>
      <c r="T532" s="726"/>
      <c r="U532" s="726"/>
      <c r="V532" s="726"/>
      <c r="W532" s="726"/>
      <c r="X532" s="726"/>
      <c r="Y532" s="726"/>
      <c r="Z532" s="726"/>
      <c r="AA532" s="726"/>
      <c r="AB532" s="726"/>
      <c r="AC532" s="726"/>
      <c r="AD532" s="726"/>
      <c r="AE532" s="726"/>
      <c r="AF532" s="726"/>
      <c r="AG532" s="726"/>
      <c r="AH532" s="726"/>
      <c r="AI532" s="726"/>
      <c r="AJ532" s="726"/>
      <c r="AK532" s="726"/>
      <c r="AL532" s="726"/>
      <c r="AM532" s="726"/>
      <c r="AN532" s="726"/>
      <c r="AO532" s="726"/>
      <c r="AP532" s="726"/>
      <c r="AQ532" s="726"/>
      <c r="AR532" s="726"/>
      <c r="AS532" s="726"/>
      <c r="AT532" s="726"/>
      <c r="AU532" s="726"/>
      <c r="AV532" s="726"/>
      <c r="AW532" s="726"/>
      <c r="AX532" s="726"/>
      <c r="AY532" s="726"/>
      <c r="AZ532" s="726"/>
      <c r="BA532" s="726"/>
      <c r="BB532" s="726"/>
      <c r="BC532" s="726"/>
      <c r="BD532" s="726"/>
      <c r="BE532" s="726"/>
      <c r="BF532" s="726"/>
      <c r="BG532" s="726"/>
      <c r="BH532" s="726"/>
      <c r="BI532" s="726"/>
      <c r="BJ532" s="726"/>
      <c r="BK532" s="726"/>
      <c r="BL532" s="726"/>
      <c r="BM532" s="726"/>
      <c r="BN532" s="726"/>
      <c r="BO532" s="726"/>
      <c r="BP532" s="726"/>
      <c r="BQ532" s="726"/>
      <c r="BR532" s="726"/>
      <c r="BS532" s="726"/>
    </row>
    <row r="533" spans="1:71" s="563" customFormat="1">
      <c r="A533" s="614"/>
      <c r="E533" s="565"/>
      <c r="F533" s="565"/>
      <c r="Q533" s="726"/>
      <c r="R533" s="726"/>
      <c r="S533" s="726"/>
      <c r="T533" s="726"/>
      <c r="U533" s="726"/>
      <c r="V533" s="726"/>
      <c r="W533" s="726"/>
      <c r="X533" s="726"/>
      <c r="Y533" s="726"/>
      <c r="Z533" s="726"/>
      <c r="AA533" s="726"/>
      <c r="AB533" s="726"/>
      <c r="AC533" s="726"/>
      <c r="AD533" s="726"/>
      <c r="AE533" s="726"/>
      <c r="AF533" s="726"/>
      <c r="AG533" s="726"/>
      <c r="AH533" s="726"/>
      <c r="AI533" s="726"/>
      <c r="AJ533" s="726"/>
      <c r="AK533" s="726"/>
      <c r="AL533" s="726"/>
      <c r="AM533" s="726"/>
      <c r="AN533" s="726"/>
      <c r="AO533" s="726"/>
      <c r="AP533" s="726"/>
      <c r="AQ533" s="726"/>
      <c r="AR533" s="726"/>
      <c r="AS533" s="726"/>
      <c r="AT533" s="726"/>
      <c r="AU533" s="726"/>
      <c r="AV533" s="726"/>
      <c r="AW533" s="726"/>
      <c r="AX533" s="726"/>
      <c r="AY533" s="726"/>
      <c r="AZ533" s="726"/>
      <c r="BA533" s="726"/>
      <c r="BB533" s="726"/>
      <c r="BC533" s="726"/>
      <c r="BD533" s="726"/>
      <c r="BE533" s="726"/>
      <c r="BF533" s="726"/>
      <c r="BG533" s="726"/>
      <c r="BH533" s="726"/>
      <c r="BI533" s="726"/>
      <c r="BJ533" s="726"/>
      <c r="BK533" s="726"/>
      <c r="BL533" s="726"/>
      <c r="BM533" s="726"/>
      <c r="BN533" s="726"/>
      <c r="BO533" s="726"/>
      <c r="BP533" s="726"/>
      <c r="BQ533" s="726"/>
      <c r="BR533" s="726"/>
      <c r="BS533" s="726"/>
    </row>
    <row r="534" spans="1:71" s="563" customFormat="1">
      <c r="A534" s="614"/>
      <c r="E534" s="565"/>
      <c r="F534" s="565"/>
      <c r="Q534" s="726"/>
      <c r="R534" s="726"/>
      <c r="S534" s="726"/>
      <c r="T534" s="726"/>
      <c r="U534" s="726"/>
      <c r="V534" s="726"/>
      <c r="W534" s="726"/>
      <c r="X534" s="726"/>
      <c r="Y534" s="726"/>
      <c r="Z534" s="726"/>
      <c r="AA534" s="726"/>
      <c r="AB534" s="726"/>
      <c r="AC534" s="726"/>
      <c r="AD534" s="726"/>
      <c r="AE534" s="726"/>
      <c r="AF534" s="726"/>
      <c r="AG534" s="726"/>
      <c r="AH534" s="726"/>
      <c r="AI534" s="726"/>
      <c r="AJ534" s="726"/>
      <c r="AK534" s="726"/>
      <c r="AL534" s="726"/>
      <c r="AM534" s="726"/>
      <c r="AN534" s="726"/>
      <c r="AO534" s="726"/>
      <c r="AP534" s="726"/>
      <c r="AQ534" s="726"/>
      <c r="AR534" s="726"/>
      <c r="AS534" s="726"/>
      <c r="AT534" s="726"/>
      <c r="AU534" s="726"/>
      <c r="AV534" s="726"/>
      <c r="AW534" s="726"/>
      <c r="AX534" s="726"/>
      <c r="AY534" s="726"/>
      <c r="AZ534" s="726"/>
      <c r="BA534" s="726"/>
      <c r="BB534" s="726"/>
      <c r="BC534" s="726"/>
      <c r="BD534" s="726"/>
      <c r="BE534" s="726"/>
      <c r="BF534" s="726"/>
      <c r="BG534" s="726"/>
      <c r="BH534" s="726"/>
      <c r="BI534" s="726"/>
      <c r="BJ534" s="726"/>
      <c r="BK534" s="726"/>
      <c r="BL534" s="726"/>
      <c r="BM534" s="726"/>
      <c r="BN534" s="726"/>
      <c r="BO534" s="726"/>
      <c r="BP534" s="726"/>
      <c r="BQ534" s="726"/>
      <c r="BR534" s="726"/>
      <c r="BS534" s="726"/>
    </row>
    <row r="535" spans="1:71" s="563" customFormat="1">
      <c r="A535" s="614"/>
      <c r="E535" s="565"/>
      <c r="F535" s="565"/>
      <c r="Q535" s="726"/>
      <c r="R535" s="726"/>
      <c r="S535" s="726"/>
      <c r="T535" s="726"/>
      <c r="U535" s="726"/>
      <c r="V535" s="726"/>
      <c r="W535" s="726"/>
      <c r="X535" s="726"/>
      <c r="Y535" s="726"/>
      <c r="Z535" s="726"/>
      <c r="AA535" s="726"/>
      <c r="AB535" s="726"/>
      <c r="AC535" s="726"/>
      <c r="AD535" s="726"/>
      <c r="AE535" s="726"/>
      <c r="AF535" s="726"/>
      <c r="AG535" s="726"/>
      <c r="AH535" s="726"/>
      <c r="AI535" s="726"/>
      <c r="AJ535" s="726"/>
      <c r="AK535" s="726"/>
      <c r="AL535" s="726"/>
      <c r="AM535" s="726"/>
      <c r="AN535" s="726"/>
      <c r="AO535" s="726"/>
      <c r="AP535" s="726"/>
      <c r="AQ535" s="726"/>
      <c r="AR535" s="726"/>
      <c r="AS535" s="726"/>
      <c r="AT535" s="726"/>
      <c r="AU535" s="726"/>
      <c r="AV535" s="726"/>
      <c r="AW535" s="726"/>
      <c r="AX535" s="726"/>
      <c r="AY535" s="726"/>
      <c r="AZ535" s="726"/>
      <c r="BA535" s="726"/>
      <c r="BB535" s="726"/>
      <c r="BC535" s="726"/>
      <c r="BD535" s="726"/>
      <c r="BE535" s="726"/>
      <c r="BF535" s="726"/>
      <c r="BG535" s="726"/>
      <c r="BH535" s="726"/>
      <c r="BI535" s="726"/>
      <c r="BJ535" s="726"/>
      <c r="BK535" s="726"/>
      <c r="BL535" s="726"/>
      <c r="BM535" s="726"/>
      <c r="BN535" s="726"/>
      <c r="BO535" s="726"/>
      <c r="BP535" s="726"/>
      <c r="BQ535" s="726"/>
      <c r="BR535" s="726"/>
      <c r="BS535" s="726"/>
    </row>
    <row r="536" spans="1:71" s="563" customFormat="1">
      <c r="A536" s="614"/>
      <c r="E536" s="565"/>
      <c r="F536" s="565"/>
      <c r="Q536" s="726"/>
      <c r="R536" s="726"/>
      <c r="S536" s="726"/>
      <c r="T536" s="726"/>
      <c r="U536" s="726"/>
      <c r="V536" s="726"/>
      <c r="W536" s="726"/>
      <c r="X536" s="726"/>
      <c r="Y536" s="726"/>
      <c r="Z536" s="726"/>
      <c r="AA536" s="726"/>
      <c r="AB536" s="726"/>
      <c r="AC536" s="726"/>
      <c r="AD536" s="726"/>
      <c r="AE536" s="726"/>
      <c r="AF536" s="726"/>
      <c r="AG536" s="726"/>
      <c r="AH536" s="726"/>
      <c r="AI536" s="726"/>
      <c r="AJ536" s="726"/>
      <c r="AK536" s="726"/>
      <c r="AL536" s="726"/>
      <c r="AM536" s="726"/>
      <c r="AN536" s="726"/>
      <c r="AO536" s="726"/>
      <c r="AP536" s="726"/>
      <c r="AQ536" s="726"/>
      <c r="AR536" s="726"/>
      <c r="AS536" s="726"/>
      <c r="AT536" s="726"/>
      <c r="AU536" s="726"/>
      <c r="AV536" s="726"/>
      <c r="AW536" s="726"/>
      <c r="AX536" s="726"/>
      <c r="AY536" s="726"/>
      <c r="AZ536" s="726"/>
      <c r="BA536" s="726"/>
      <c r="BB536" s="726"/>
      <c r="BC536" s="726"/>
      <c r="BD536" s="726"/>
      <c r="BE536" s="726"/>
      <c r="BF536" s="726"/>
      <c r="BG536" s="726"/>
      <c r="BH536" s="726"/>
      <c r="BI536" s="726"/>
      <c r="BJ536" s="726"/>
      <c r="BK536" s="726"/>
      <c r="BL536" s="726"/>
      <c r="BM536" s="726"/>
      <c r="BN536" s="726"/>
      <c r="BO536" s="726"/>
      <c r="BP536" s="726"/>
      <c r="BQ536" s="726"/>
      <c r="BR536" s="726"/>
      <c r="BS536" s="726"/>
    </row>
    <row r="537" spans="1:71" s="563" customFormat="1">
      <c r="A537" s="614"/>
      <c r="E537" s="565"/>
      <c r="F537" s="565"/>
      <c r="Q537" s="726"/>
      <c r="R537" s="726"/>
      <c r="S537" s="726"/>
      <c r="T537" s="726"/>
      <c r="U537" s="726"/>
      <c r="V537" s="726"/>
      <c r="W537" s="726"/>
      <c r="X537" s="726"/>
      <c r="Y537" s="726"/>
      <c r="Z537" s="726"/>
      <c r="AA537" s="726"/>
      <c r="AB537" s="726"/>
      <c r="AC537" s="726"/>
      <c r="AD537" s="726"/>
      <c r="AE537" s="726"/>
      <c r="AF537" s="726"/>
      <c r="AG537" s="726"/>
      <c r="AH537" s="726"/>
      <c r="AI537" s="726"/>
      <c r="AJ537" s="726"/>
      <c r="AK537" s="726"/>
      <c r="AL537" s="726"/>
      <c r="AM537" s="726"/>
      <c r="AN537" s="726"/>
      <c r="AO537" s="726"/>
      <c r="AP537" s="726"/>
      <c r="AQ537" s="726"/>
      <c r="AR537" s="726"/>
      <c r="AS537" s="726"/>
      <c r="AT537" s="726"/>
      <c r="AU537" s="726"/>
      <c r="AV537" s="726"/>
      <c r="AW537" s="726"/>
      <c r="AX537" s="726"/>
      <c r="AY537" s="726"/>
      <c r="AZ537" s="726"/>
      <c r="BA537" s="726"/>
      <c r="BB537" s="726"/>
      <c r="BC537" s="726"/>
      <c r="BD537" s="726"/>
      <c r="BE537" s="726"/>
      <c r="BF537" s="726"/>
      <c r="BG537" s="726"/>
      <c r="BH537" s="726"/>
      <c r="BI537" s="726"/>
      <c r="BJ537" s="726"/>
      <c r="BK537" s="726"/>
      <c r="BL537" s="726"/>
      <c r="BM537" s="726"/>
      <c r="BN537" s="726"/>
      <c r="BO537" s="726"/>
      <c r="BP537" s="726"/>
      <c r="BQ537" s="726"/>
      <c r="BR537" s="726"/>
      <c r="BS537" s="726"/>
    </row>
    <row r="538" spans="1:71" s="563" customFormat="1">
      <c r="A538" s="614"/>
      <c r="E538" s="565"/>
      <c r="F538" s="565"/>
      <c r="Q538" s="726"/>
      <c r="R538" s="726"/>
      <c r="S538" s="726"/>
      <c r="T538" s="726"/>
      <c r="U538" s="726"/>
      <c r="V538" s="726"/>
      <c r="W538" s="726"/>
      <c r="X538" s="726"/>
      <c r="Y538" s="726"/>
      <c r="Z538" s="726"/>
      <c r="AA538" s="726"/>
      <c r="AB538" s="726"/>
      <c r="AC538" s="726"/>
      <c r="AD538" s="726"/>
      <c r="AE538" s="726"/>
      <c r="AF538" s="726"/>
      <c r="AG538" s="726"/>
      <c r="AH538" s="726"/>
      <c r="AI538" s="726"/>
      <c r="AJ538" s="726"/>
      <c r="AK538" s="726"/>
      <c r="AL538" s="726"/>
      <c r="AM538" s="726"/>
      <c r="AN538" s="726"/>
      <c r="AO538" s="726"/>
      <c r="AP538" s="726"/>
      <c r="AQ538" s="726"/>
      <c r="AR538" s="726"/>
      <c r="AS538" s="726"/>
      <c r="AT538" s="726"/>
      <c r="AU538" s="726"/>
      <c r="AV538" s="726"/>
      <c r="AW538" s="726"/>
      <c r="AX538" s="726"/>
      <c r="AY538" s="726"/>
      <c r="AZ538" s="726"/>
      <c r="BA538" s="726"/>
      <c r="BB538" s="726"/>
      <c r="BC538" s="726"/>
      <c r="BD538" s="726"/>
      <c r="BE538" s="726"/>
      <c r="BF538" s="726"/>
      <c r="BG538" s="726"/>
      <c r="BH538" s="726"/>
      <c r="BI538" s="726"/>
      <c r="BJ538" s="726"/>
      <c r="BK538" s="726"/>
      <c r="BL538" s="726"/>
      <c r="BM538" s="726"/>
      <c r="BN538" s="726"/>
      <c r="BO538" s="726"/>
      <c r="BP538" s="726"/>
      <c r="BQ538" s="726"/>
      <c r="BR538" s="726"/>
      <c r="BS538" s="726"/>
    </row>
    <row r="539" spans="1:71" s="563" customFormat="1">
      <c r="A539" s="614"/>
      <c r="E539" s="565"/>
      <c r="F539" s="565"/>
      <c r="Q539" s="726"/>
      <c r="R539" s="726"/>
      <c r="S539" s="726"/>
      <c r="T539" s="726"/>
      <c r="U539" s="726"/>
      <c r="V539" s="726"/>
      <c r="W539" s="726"/>
      <c r="X539" s="726"/>
      <c r="Y539" s="726"/>
      <c r="Z539" s="726"/>
      <c r="AA539" s="726"/>
      <c r="AB539" s="726"/>
      <c r="AC539" s="726"/>
      <c r="AD539" s="726"/>
      <c r="AE539" s="726"/>
      <c r="AF539" s="726"/>
      <c r="AG539" s="726"/>
      <c r="AH539" s="726"/>
      <c r="AI539" s="726"/>
      <c r="AJ539" s="726"/>
      <c r="AK539" s="726"/>
      <c r="AL539" s="726"/>
      <c r="AM539" s="726"/>
      <c r="AN539" s="726"/>
      <c r="AO539" s="726"/>
      <c r="AP539" s="726"/>
      <c r="AQ539" s="726"/>
      <c r="AR539" s="726"/>
      <c r="AS539" s="726"/>
      <c r="AT539" s="726"/>
      <c r="AU539" s="726"/>
      <c r="AV539" s="726"/>
      <c r="AW539" s="726"/>
      <c r="AX539" s="726"/>
      <c r="AY539" s="726"/>
      <c r="AZ539" s="726"/>
      <c r="BA539" s="726"/>
      <c r="BB539" s="726"/>
      <c r="BC539" s="726"/>
      <c r="BD539" s="726"/>
      <c r="BE539" s="726"/>
      <c r="BF539" s="726"/>
      <c r="BG539" s="726"/>
      <c r="BH539" s="726"/>
      <c r="BI539" s="726"/>
      <c r="BJ539" s="726"/>
      <c r="BK539" s="726"/>
      <c r="BL539" s="726"/>
      <c r="BM539" s="726"/>
      <c r="BN539" s="726"/>
      <c r="BO539" s="726"/>
      <c r="BP539" s="726"/>
      <c r="BQ539" s="726"/>
      <c r="BR539" s="726"/>
      <c r="BS539" s="726"/>
    </row>
    <row r="540" spans="1:71" s="563" customFormat="1">
      <c r="A540" s="614"/>
      <c r="E540" s="565"/>
      <c r="F540" s="565"/>
      <c r="Q540" s="726"/>
      <c r="R540" s="726"/>
      <c r="S540" s="726"/>
      <c r="T540" s="726"/>
      <c r="U540" s="726"/>
      <c r="V540" s="726"/>
      <c r="W540" s="726"/>
      <c r="X540" s="726"/>
      <c r="Y540" s="726"/>
      <c r="Z540" s="726"/>
      <c r="AA540" s="726"/>
      <c r="AB540" s="726"/>
      <c r="AC540" s="726"/>
      <c r="AD540" s="726"/>
      <c r="AE540" s="726"/>
      <c r="AF540" s="726"/>
      <c r="AG540" s="726"/>
      <c r="AH540" s="726"/>
      <c r="AI540" s="726"/>
      <c r="AJ540" s="726"/>
      <c r="AK540" s="726"/>
      <c r="AL540" s="726"/>
      <c r="AM540" s="726"/>
      <c r="AN540" s="726"/>
      <c r="AO540" s="726"/>
      <c r="AP540" s="726"/>
      <c r="AQ540" s="726"/>
      <c r="AR540" s="726"/>
      <c r="AS540" s="726"/>
      <c r="AT540" s="726"/>
      <c r="AU540" s="726"/>
      <c r="AV540" s="726"/>
      <c r="AW540" s="726"/>
      <c r="AX540" s="726"/>
      <c r="AY540" s="726"/>
      <c r="AZ540" s="726"/>
      <c r="BA540" s="726"/>
      <c r="BB540" s="726"/>
      <c r="BC540" s="726"/>
      <c r="BD540" s="726"/>
      <c r="BE540" s="726"/>
      <c r="BF540" s="726"/>
      <c r="BG540" s="726"/>
      <c r="BH540" s="726"/>
      <c r="BI540" s="726"/>
      <c r="BJ540" s="726"/>
      <c r="BK540" s="726"/>
      <c r="BL540" s="726"/>
      <c r="BM540" s="726"/>
      <c r="BN540" s="726"/>
      <c r="BO540" s="726"/>
      <c r="BP540" s="726"/>
      <c r="BQ540" s="726"/>
      <c r="BR540" s="726"/>
      <c r="BS540" s="726"/>
    </row>
    <row r="541" spans="1:71" s="563" customFormat="1">
      <c r="A541" s="614"/>
      <c r="E541" s="565"/>
      <c r="F541" s="565"/>
      <c r="Q541" s="726"/>
      <c r="R541" s="726"/>
      <c r="S541" s="726"/>
      <c r="T541" s="726"/>
      <c r="U541" s="726"/>
      <c r="V541" s="726"/>
      <c r="W541" s="726"/>
      <c r="X541" s="726"/>
      <c r="Y541" s="726"/>
      <c r="Z541" s="726"/>
      <c r="AA541" s="726"/>
      <c r="AB541" s="726"/>
      <c r="AC541" s="726"/>
      <c r="AD541" s="726"/>
      <c r="AE541" s="726"/>
      <c r="AF541" s="726"/>
      <c r="AG541" s="726"/>
      <c r="AH541" s="726"/>
      <c r="AI541" s="726"/>
      <c r="AJ541" s="726"/>
      <c r="AK541" s="726"/>
      <c r="AL541" s="726"/>
      <c r="AM541" s="726"/>
      <c r="AN541" s="726"/>
      <c r="AO541" s="726"/>
      <c r="AP541" s="726"/>
      <c r="AQ541" s="726"/>
      <c r="AR541" s="726"/>
      <c r="AS541" s="726"/>
      <c r="AT541" s="726"/>
      <c r="AU541" s="726"/>
      <c r="AV541" s="726"/>
      <c r="AW541" s="726"/>
      <c r="AX541" s="726"/>
      <c r="AY541" s="726"/>
      <c r="AZ541" s="726"/>
      <c r="BA541" s="726"/>
      <c r="BB541" s="726"/>
      <c r="BC541" s="726"/>
      <c r="BD541" s="726"/>
      <c r="BE541" s="726"/>
      <c r="BF541" s="726"/>
      <c r="BG541" s="726"/>
      <c r="BH541" s="726"/>
      <c r="BI541" s="726"/>
      <c r="BJ541" s="726"/>
      <c r="BK541" s="726"/>
      <c r="BL541" s="726"/>
      <c r="BM541" s="726"/>
      <c r="BN541" s="726"/>
      <c r="BO541" s="726"/>
      <c r="BP541" s="726"/>
      <c r="BQ541" s="726"/>
      <c r="BR541" s="726"/>
      <c r="BS541" s="726"/>
    </row>
    <row r="542" spans="1:71" s="563" customFormat="1">
      <c r="A542" s="614"/>
      <c r="E542" s="565"/>
      <c r="F542" s="565"/>
      <c r="Q542" s="726"/>
      <c r="R542" s="726"/>
      <c r="S542" s="726"/>
      <c r="T542" s="726"/>
      <c r="U542" s="726"/>
      <c r="V542" s="726"/>
      <c r="W542" s="726"/>
      <c r="X542" s="726"/>
      <c r="Y542" s="726"/>
      <c r="Z542" s="726"/>
      <c r="AA542" s="726"/>
      <c r="AB542" s="726"/>
      <c r="AC542" s="726"/>
      <c r="AD542" s="726"/>
      <c r="AE542" s="726"/>
      <c r="AF542" s="726"/>
      <c r="AG542" s="726"/>
      <c r="AH542" s="726"/>
      <c r="AI542" s="726"/>
      <c r="AJ542" s="726"/>
      <c r="AK542" s="726"/>
      <c r="AL542" s="726"/>
      <c r="AM542" s="726"/>
      <c r="AN542" s="726"/>
      <c r="AO542" s="726"/>
      <c r="AP542" s="726"/>
      <c r="AQ542" s="726"/>
      <c r="AR542" s="726"/>
      <c r="AS542" s="726"/>
      <c r="AT542" s="726"/>
      <c r="AU542" s="726"/>
      <c r="AV542" s="726"/>
      <c r="AW542" s="726"/>
      <c r="AX542" s="726"/>
      <c r="AY542" s="726"/>
      <c r="AZ542" s="726"/>
      <c r="BA542" s="726"/>
      <c r="BB542" s="726"/>
      <c r="BC542" s="726"/>
      <c r="BD542" s="726"/>
      <c r="BE542" s="726"/>
      <c r="BF542" s="726"/>
      <c r="BG542" s="726"/>
      <c r="BH542" s="726"/>
      <c r="BI542" s="726"/>
      <c r="BJ542" s="726"/>
      <c r="BK542" s="726"/>
      <c r="BL542" s="726"/>
      <c r="BM542" s="726"/>
      <c r="BN542" s="726"/>
      <c r="BO542" s="726"/>
      <c r="BP542" s="726"/>
      <c r="BQ542" s="726"/>
      <c r="BR542" s="726"/>
      <c r="BS542" s="726"/>
    </row>
    <row r="543" spans="1:71" s="563" customFormat="1">
      <c r="A543" s="614"/>
      <c r="E543" s="565"/>
      <c r="F543" s="565"/>
      <c r="Q543" s="726"/>
      <c r="R543" s="726"/>
      <c r="S543" s="726"/>
      <c r="T543" s="726"/>
      <c r="U543" s="726"/>
      <c r="V543" s="726"/>
      <c r="W543" s="726"/>
      <c r="X543" s="726"/>
      <c r="Y543" s="726"/>
      <c r="Z543" s="726"/>
      <c r="AA543" s="726"/>
      <c r="AB543" s="726"/>
      <c r="AC543" s="726"/>
      <c r="AD543" s="726"/>
      <c r="AE543" s="726"/>
      <c r="AF543" s="726"/>
      <c r="AG543" s="726"/>
      <c r="AH543" s="726"/>
      <c r="AI543" s="726"/>
      <c r="AJ543" s="726"/>
      <c r="AK543" s="726"/>
      <c r="AL543" s="726"/>
      <c r="AM543" s="726"/>
      <c r="AN543" s="726"/>
      <c r="AO543" s="726"/>
      <c r="AP543" s="726"/>
      <c r="AQ543" s="726"/>
      <c r="AR543" s="726"/>
      <c r="AS543" s="726"/>
      <c r="AT543" s="726"/>
      <c r="AU543" s="726"/>
      <c r="AV543" s="726"/>
      <c r="AW543" s="726"/>
      <c r="AX543" s="726"/>
      <c r="AY543" s="726"/>
      <c r="AZ543" s="726"/>
      <c r="BA543" s="726"/>
      <c r="BB543" s="726"/>
      <c r="BC543" s="726"/>
      <c r="BD543" s="726"/>
      <c r="BE543" s="726"/>
      <c r="BF543" s="726"/>
      <c r="BG543" s="726"/>
      <c r="BH543" s="726"/>
      <c r="BI543" s="726"/>
      <c r="BJ543" s="726"/>
      <c r="BK543" s="726"/>
      <c r="BL543" s="726"/>
      <c r="BM543" s="726"/>
      <c r="BN543" s="726"/>
      <c r="BO543" s="726"/>
      <c r="BP543" s="726"/>
      <c r="BQ543" s="726"/>
      <c r="BR543" s="726"/>
      <c r="BS543" s="726"/>
    </row>
    <row r="544" spans="1:71" s="563" customFormat="1">
      <c r="A544" s="614"/>
      <c r="E544" s="565"/>
      <c r="F544" s="565"/>
      <c r="Q544" s="726"/>
      <c r="R544" s="726"/>
      <c r="S544" s="726"/>
      <c r="T544" s="726"/>
      <c r="U544" s="726"/>
      <c r="V544" s="726"/>
      <c r="W544" s="726"/>
      <c r="X544" s="726"/>
      <c r="Y544" s="726"/>
      <c r="Z544" s="726"/>
      <c r="AA544" s="726"/>
      <c r="AB544" s="726"/>
      <c r="AC544" s="726"/>
      <c r="AD544" s="726"/>
      <c r="AE544" s="726"/>
      <c r="AF544" s="726"/>
      <c r="AG544" s="726"/>
      <c r="AH544" s="726"/>
      <c r="AI544" s="726"/>
      <c r="AJ544" s="726"/>
      <c r="AK544" s="726"/>
      <c r="AL544" s="726"/>
      <c r="AM544" s="726"/>
      <c r="AN544" s="726"/>
      <c r="AO544" s="726"/>
      <c r="AP544" s="726"/>
      <c r="AQ544" s="726"/>
      <c r="AR544" s="726"/>
      <c r="AS544" s="726"/>
      <c r="AT544" s="726"/>
      <c r="AU544" s="726"/>
      <c r="AV544" s="726"/>
      <c r="AW544" s="726"/>
      <c r="AX544" s="726"/>
      <c r="AY544" s="726"/>
      <c r="AZ544" s="726"/>
      <c r="BA544" s="726"/>
      <c r="BB544" s="726"/>
      <c r="BC544" s="726"/>
      <c r="BD544" s="726"/>
      <c r="BE544" s="726"/>
      <c r="BF544" s="726"/>
      <c r="BG544" s="726"/>
      <c r="BH544" s="726"/>
      <c r="BI544" s="726"/>
      <c r="BJ544" s="726"/>
      <c r="BK544" s="726"/>
      <c r="BL544" s="726"/>
      <c r="BM544" s="726"/>
      <c r="BN544" s="726"/>
      <c r="BO544" s="726"/>
      <c r="BP544" s="726"/>
      <c r="BQ544" s="726"/>
      <c r="BR544" s="726"/>
      <c r="BS544" s="726"/>
    </row>
    <row r="545" spans="1:71" s="563" customFormat="1">
      <c r="A545" s="614"/>
      <c r="E545" s="565"/>
      <c r="F545" s="565"/>
      <c r="Q545" s="726"/>
      <c r="R545" s="726"/>
      <c r="S545" s="726"/>
      <c r="T545" s="726"/>
      <c r="U545" s="726"/>
      <c r="V545" s="726"/>
      <c r="W545" s="726"/>
      <c r="X545" s="726"/>
      <c r="Y545" s="726"/>
      <c r="Z545" s="726"/>
      <c r="AA545" s="726"/>
      <c r="AB545" s="726"/>
      <c r="AC545" s="726"/>
      <c r="AD545" s="726"/>
      <c r="AE545" s="726"/>
      <c r="AF545" s="726"/>
      <c r="AG545" s="726"/>
      <c r="AH545" s="726"/>
      <c r="AI545" s="726"/>
      <c r="AJ545" s="726"/>
      <c r="AK545" s="726"/>
      <c r="AL545" s="726"/>
      <c r="AM545" s="726"/>
      <c r="AN545" s="726"/>
      <c r="AO545" s="726"/>
      <c r="AP545" s="726"/>
      <c r="AQ545" s="726"/>
      <c r="AR545" s="726"/>
      <c r="AS545" s="726"/>
      <c r="AT545" s="726"/>
      <c r="AU545" s="726"/>
      <c r="AV545" s="726"/>
      <c r="AW545" s="726"/>
      <c r="AX545" s="726"/>
      <c r="AY545" s="726"/>
      <c r="AZ545" s="726"/>
      <c r="BA545" s="726"/>
      <c r="BB545" s="726"/>
      <c r="BC545" s="726"/>
      <c r="BD545" s="726"/>
      <c r="BE545" s="726"/>
      <c r="BF545" s="726"/>
      <c r="BG545" s="726"/>
      <c r="BH545" s="726"/>
      <c r="BI545" s="726"/>
      <c r="BJ545" s="726"/>
      <c r="BK545" s="726"/>
      <c r="BL545" s="726"/>
      <c r="BM545" s="726"/>
      <c r="BN545" s="726"/>
      <c r="BO545" s="726"/>
      <c r="BP545" s="726"/>
      <c r="BQ545" s="726"/>
      <c r="BR545" s="726"/>
      <c r="BS545" s="726"/>
    </row>
    <row r="546" spans="1:71" s="563" customFormat="1">
      <c r="A546" s="614"/>
      <c r="E546" s="565"/>
      <c r="F546" s="565"/>
      <c r="Q546" s="726"/>
      <c r="R546" s="726"/>
      <c r="S546" s="726"/>
      <c r="T546" s="726"/>
      <c r="U546" s="726"/>
      <c r="V546" s="726"/>
      <c r="W546" s="726"/>
      <c r="X546" s="726"/>
      <c r="Y546" s="726"/>
      <c r="Z546" s="726"/>
      <c r="AA546" s="726"/>
      <c r="AB546" s="726"/>
      <c r="AC546" s="726"/>
      <c r="AD546" s="726"/>
      <c r="AE546" s="726"/>
      <c r="AF546" s="726"/>
      <c r="AG546" s="726"/>
      <c r="AH546" s="726"/>
      <c r="AI546" s="726"/>
      <c r="AJ546" s="726"/>
      <c r="AK546" s="726"/>
      <c r="AL546" s="726"/>
      <c r="AM546" s="726"/>
      <c r="AN546" s="726"/>
      <c r="AO546" s="726"/>
      <c r="AP546" s="726"/>
      <c r="AQ546" s="726"/>
      <c r="AR546" s="726"/>
      <c r="AS546" s="726"/>
      <c r="AT546" s="726"/>
      <c r="AU546" s="726"/>
      <c r="AV546" s="726"/>
      <c r="AW546" s="726"/>
      <c r="AX546" s="726"/>
      <c r="AY546" s="726"/>
      <c r="AZ546" s="726"/>
      <c r="BA546" s="726"/>
      <c r="BB546" s="726"/>
      <c r="BC546" s="726"/>
      <c r="BD546" s="726"/>
      <c r="BE546" s="726"/>
      <c r="BF546" s="726"/>
      <c r="BG546" s="726"/>
      <c r="BH546" s="726"/>
      <c r="BI546" s="726"/>
      <c r="BJ546" s="726"/>
      <c r="BK546" s="726"/>
      <c r="BL546" s="726"/>
      <c r="BM546" s="726"/>
      <c r="BN546" s="726"/>
      <c r="BO546" s="726"/>
      <c r="BP546" s="726"/>
      <c r="BQ546" s="726"/>
      <c r="BR546" s="726"/>
      <c r="BS546" s="726"/>
    </row>
    <row r="547" spans="1:71" s="563" customFormat="1">
      <c r="A547" s="614"/>
      <c r="E547" s="565"/>
      <c r="F547" s="565"/>
      <c r="Q547" s="726"/>
      <c r="R547" s="726"/>
      <c r="S547" s="726"/>
      <c r="T547" s="726"/>
      <c r="U547" s="726"/>
      <c r="V547" s="726"/>
      <c r="W547" s="726"/>
      <c r="X547" s="726"/>
      <c r="Y547" s="726"/>
      <c r="Z547" s="726"/>
      <c r="AA547" s="726"/>
      <c r="AB547" s="726"/>
      <c r="AC547" s="726"/>
      <c r="AD547" s="726"/>
      <c r="AE547" s="726"/>
      <c r="AF547" s="726"/>
      <c r="AG547" s="726"/>
      <c r="AH547" s="726"/>
      <c r="AI547" s="726"/>
      <c r="AJ547" s="726"/>
      <c r="AK547" s="726"/>
      <c r="AL547" s="726"/>
      <c r="AM547" s="726"/>
      <c r="AN547" s="726"/>
      <c r="AO547" s="726"/>
      <c r="AP547" s="726"/>
      <c r="AQ547" s="726"/>
      <c r="AR547" s="726"/>
      <c r="AS547" s="726"/>
      <c r="AT547" s="726"/>
      <c r="AU547" s="726"/>
      <c r="AV547" s="726"/>
      <c r="AW547" s="726"/>
      <c r="AX547" s="726"/>
      <c r="AY547" s="726"/>
      <c r="AZ547" s="726"/>
      <c r="BA547" s="726"/>
      <c r="BB547" s="726"/>
      <c r="BC547" s="726"/>
      <c r="BD547" s="726"/>
      <c r="BE547" s="726"/>
      <c r="BF547" s="726"/>
      <c r="BG547" s="726"/>
      <c r="BH547" s="726"/>
      <c r="BI547" s="726"/>
      <c r="BJ547" s="726"/>
      <c r="BK547" s="726"/>
      <c r="BL547" s="726"/>
      <c r="BM547" s="726"/>
      <c r="BN547" s="726"/>
      <c r="BO547" s="726"/>
      <c r="BP547" s="726"/>
      <c r="BQ547" s="726"/>
      <c r="BR547" s="726"/>
      <c r="BS547" s="726"/>
    </row>
    <row r="548" spans="1:71" s="563" customFormat="1">
      <c r="A548" s="614"/>
      <c r="E548" s="565"/>
      <c r="F548" s="565"/>
      <c r="Q548" s="726"/>
      <c r="R548" s="726"/>
      <c r="S548" s="726"/>
      <c r="T548" s="726"/>
      <c r="U548" s="726"/>
      <c r="V548" s="726"/>
      <c r="W548" s="726"/>
      <c r="X548" s="726"/>
      <c r="Y548" s="726"/>
      <c r="Z548" s="726"/>
      <c r="AA548" s="726"/>
      <c r="AB548" s="726"/>
      <c r="AC548" s="726"/>
      <c r="AD548" s="726"/>
      <c r="AE548" s="726"/>
      <c r="AF548" s="726"/>
      <c r="AG548" s="726"/>
      <c r="AH548" s="726"/>
      <c r="AI548" s="726"/>
      <c r="AJ548" s="726"/>
      <c r="AK548" s="726"/>
      <c r="AL548" s="726"/>
      <c r="AM548" s="726"/>
      <c r="AN548" s="726"/>
      <c r="AO548" s="726"/>
      <c r="AP548" s="726"/>
      <c r="AQ548" s="726"/>
      <c r="AR548" s="726"/>
      <c r="AS548" s="726"/>
      <c r="AT548" s="726"/>
      <c r="AU548" s="726"/>
      <c r="AV548" s="726"/>
      <c r="AW548" s="726"/>
      <c r="AX548" s="726"/>
      <c r="AY548" s="726"/>
      <c r="AZ548" s="726"/>
      <c r="BA548" s="726"/>
      <c r="BB548" s="726"/>
      <c r="BC548" s="726"/>
      <c r="BD548" s="726"/>
      <c r="BE548" s="726"/>
      <c r="BF548" s="726"/>
      <c r="BG548" s="726"/>
      <c r="BH548" s="726"/>
      <c r="BI548" s="726"/>
      <c r="BJ548" s="726"/>
      <c r="BK548" s="726"/>
      <c r="BL548" s="726"/>
      <c r="BM548" s="726"/>
      <c r="BN548" s="726"/>
      <c r="BO548" s="726"/>
      <c r="BP548" s="726"/>
      <c r="BQ548" s="726"/>
      <c r="BR548" s="726"/>
      <c r="BS548" s="726"/>
    </row>
    <row r="549" spans="1:71" s="563" customFormat="1">
      <c r="A549" s="614"/>
      <c r="E549" s="565"/>
      <c r="F549" s="565"/>
      <c r="Q549" s="726"/>
      <c r="R549" s="726"/>
      <c r="S549" s="726"/>
      <c r="T549" s="726"/>
      <c r="U549" s="726"/>
      <c r="V549" s="726"/>
      <c r="W549" s="726"/>
      <c r="X549" s="726"/>
      <c r="Y549" s="726"/>
      <c r="Z549" s="726"/>
      <c r="AA549" s="726"/>
      <c r="AB549" s="726"/>
      <c r="AC549" s="726"/>
      <c r="AD549" s="726"/>
      <c r="AE549" s="726"/>
      <c r="AF549" s="726"/>
      <c r="AG549" s="726"/>
      <c r="AH549" s="726"/>
      <c r="AI549" s="726"/>
      <c r="AJ549" s="726"/>
      <c r="AK549" s="726"/>
      <c r="AL549" s="726"/>
      <c r="AM549" s="726"/>
      <c r="AN549" s="726"/>
      <c r="AO549" s="726"/>
      <c r="AP549" s="726"/>
      <c r="AQ549" s="726"/>
      <c r="AR549" s="726"/>
      <c r="AS549" s="726"/>
      <c r="AT549" s="726"/>
      <c r="AU549" s="726"/>
      <c r="AV549" s="726"/>
      <c r="AW549" s="726"/>
      <c r="AX549" s="726"/>
      <c r="AY549" s="726"/>
      <c r="AZ549" s="726"/>
      <c r="BA549" s="726"/>
      <c r="BB549" s="726"/>
      <c r="BC549" s="726"/>
      <c r="BD549" s="726"/>
      <c r="BE549" s="726"/>
      <c r="BF549" s="726"/>
      <c r="BG549" s="726"/>
      <c r="BH549" s="726"/>
      <c r="BI549" s="726"/>
      <c r="BJ549" s="726"/>
      <c r="BK549" s="726"/>
      <c r="BL549" s="726"/>
      <c r="BM549" s="726"/>
      <c r="BN549" s="726"/>
      <c r="BO549" s="726"/>
      <c r="BP549" s="726"/>
      <c r="BQ549" s="726"/>
      <c r="BR549" s="726"/>
      <c r="BS549" s="726"/>
    </row>
    <row r="550" spans="1:71" s="563" customFormat="1">
      <c r="A550" s="614"/>
      <c r="E550" s="565"/>
      <c r="F550" s="565"/>
      <c r="Q550" s="726"/>
      <c r="R550" s="726"/>
      <c r="S550" s="726"/>
      <c r="T550" s="726"/>
      <c r="U550" s="726"/>
      <c r="V550" s="726"/>
      <c r="W550" s="726"/>
      <c r="X550" s="726"/>
      <c r="Y550" s="726"/>
      <c r="Z550" s="726"/>
      <c r="AA550" s="726"/>
      <c r="AB550" s="726"/>
      <c r="AC550" s="726"/>
      <c r="AD550" s="726"/>
      <c r="AE550" s="726"/>
      <c r="AF550" s="726"/>
      <c r="AG550" s="726"/>
      <c r="AH550" s="726"/>
      <c r="AI550" s="726"/>
      <c r="AJ550" s="726"/>
      <c r="AK550" s="726"/>
      <c r="AL550" s="726"/>
      <c r="AM550" s="726"/>
      <c r="AN550" s="726"/>
      <c r="AO550" s="726"/>
      <c r="AP550" s="726"/>
      <c r="AQ550" s="726"/>
      <c r="AR550" s="726"/>
      <c r="AS550" s="726"/>
      <c r="AT550" s="726"/>
      <c r="AU550" s="726"/>
      <c r="AV550" s="726"/>
      <c r="AW550" s="726"/>
      <c r="AX550" s="726"/>
      <c r="AY550" s="726"/>
      <c r="AZ550" s="726"/>
      <c r="BA550" s="726"/>
      <c r="BB550" s="726"/>
      <c r="BC550" s="726"/>
      <c r="BD550" s="726"/>
      <c r="BE550" s="726"/>
      <c r="BF550" s="726"/>
      <c r="BG550" s="726"/>
      <c r="BH550" s="726"/>
      <c r="BI550" s="726"/>
      <c r="BJ550" s="726"/>
      <c r="BK550" s="726"/>
      <c r="BL550" s="726"/>
      <c r="BM550" s="726"/>
      <c r="BN550" s="726"/>
      <c r="BO550" s="726"/>
      <c r="BP550" s="726"/>
      <c r="BQ550" s="726"/>
      <c r="BR550" s="726"/>
      <c r="BS550" s="726"/>
    </row>
    <row r="551" spans="1:71" s="563" customFormat="1">
      <c r="A551" s="614"/>
      <c r="E551" s="565"/>
      <c r="F551" s="565"/>
      <c r="Q551" s="726"/>
      <c r="R551" s="726"/>
      <c r="S551" s="726"/>
      <c r="T551" s="726"/>
      <c r="U551" s="726"/>
      <c r="V551" s="726"/>
      <c r="W551" s="726"/>
      <c r="X551" s="726"/>
      <c r="Y551" s="726"/>
      <c r="Z551" s="726"/>
      <c r="AA551" s="726"/>
      <c r="AB551" s="726"/>
      <c r="AC551" s="726"/>
      <c r="AD551" s="726"/>
      <c r="AE551" s="726"/>
      <c r="AF551" s="726"/>
      <c r="AG551" s="726"/>
      <c r="AH551" s="726"/>
      <c r="AI551" s="726"/>
      <c r="AJ551" s="726"/>
      <c r="AK551" s="726"/>
      <c r="AL551" s="726"/>
      <c r="AM551" s="726"/>
      <c r="AN551" s="726"/>
      <c r="AO551" s="726"/>
      <c r="AP551" s="726"/>
      <c r="AQ551" s="726"/>
      <c r="AR551" s="726"/>
      <c r="AS551" s="726"/>
      <c r="AT551" s="726"/>
      <c r="AU551" s="726"/>
      <c r="AV551" s="726"/>
      <c r="AW551" s="726"/>
      <c r="AX551" s="726"/>
      <c r="AY551" s="726"/>
      <c r="AZ551" s="726"/>
      <c r="BA551" s="726"/>
      <c r="BB551" s="726"/>
      <c r="BC551" s="726"/>
      <c r="BD551" s="726"/>
      <c r="BE551" s="726"/>
      <c r="BF551" s="726"/>
      <c r="BG551" s="726"/>
      <c r="BH551" s="726"/>
      <c r="BI551" s="726"/>
      <c r="BJ551" s="726"/>
      <c r="BK551" s="726"/>
      <c r="BL551" s="726"/>
      <c r="BM551" s="726"/>
      <c r="BN551" s="726"/>
      <c r="BO551" s="726"/>
      <c r="BP551" s="726"/>
      <c r="BQ551" s="726"/>
      <c r="BR551" s="726"/>
      <c r="BS551" s="726"/>
    </row>
    <row r="552" spans="1:71" s="563" customFormat="1">
      <c r="A552" s="614"/>
      <c r="E552" s="565"/>
      <c r="F552" s="565"/>
      <c r="Q552" s="726"/>
      <c r="R552" s="726"/>
      <c r="S552" s="726"/>
      <c r="T552" s="726"/>
      <c r="U552" s="726"/>
      <c r="V552" s="726"/>
      <c r="W552" s="726"/>
      <c r="X552" s="726"/>
      <c r="Y552" s="726"/>
      <c r="Z552" s="726"/>
      <c r="AA552" s="726"/>
      <c r="AB552" s="726"/>
      <c r="AC552" s="726"/>
      <c r="AD552" s="726"/>
      <c r="AE552" s="726"/>
      <c r="AF552" s="726"/>
      <c r="AG552" s="726"/>
      <c r="AH552" s="726"/>
      <c r="AI552" s="726"/>
      <c r="AJ552" s="726"/>
      <c r="AK552" s="726"/>
      <c r="AL552" s="726"/>
      <c r="AM552" s="726"/>
      <c r="AN552" s="726"/>
      <c r="AO552" s="726"/>
      <c r="AP552" s="726"/>
      <c r="AQ552" s="726"/>
      <c r="AR552" s="726"/>
      <c r="AS552" s="726"/>
      <c r="AT552" s="726"/>
      <c r="AU552" s="726"/>
      <c r="AV552" s="726"/>
      <c r="AW552" s="726"/>
      <c r="AX552" s="726"/>
      <c r="AY552" s="726"/>
      <c r="AZ552" s="726"/>
      <c r="BA552" s="726"/>
      <c r="BB552" s="726"/>
      <c r="BC552" s="726"/>
      <c r="BD552" s="726"/>
      <c r="BE552" s="726"/>
      <c r="BF552" s="726"/>
      <c r="BG552" s="726"/>
      <c r="BH552" s="726"/>
      <c r="BI552" s="726"/>
      <c r="BJ552" s="726"/>
      <c r="BK552" s="726"/>
      <c r="BL552" s="726"/>
      <c r="BM552" s="726"/>
      <c r="BN552" s="726"/>
      <c r="BO552" s="726"/>
      <c r="BP552" s="726"/>
      <c r="BQ552" s="726"/>
      <c r="BR552" s="726"/>
      <c r="BS552" s="726"/>
    </row>
    <row r="553" spans="1:71" s="563" customFormat="1">
      <c r="A553" s="614"/>
      <c r="E553" s="565"/>
      <c r="F553" s="565"/>
      <c r="Q553" s="726"/>
      <c r="R553" s="726"/>
      <c r="S553" s="726"/>
      <c r="T553" s="726"/>
      <c r="U553" s="726"/>
      <c r="V553" s="726"/>
      <c r="W553" s="726"/>
      <c r="X553" s="726"/>
      <c r="Y553" s="726"/>
      <c r="Z553" s="726"/>
      <c r="AA553" s="726"/>
      <c r="AB553" s="726"/>
      <c r="AC553" s="726"/>
      <c r="AD553" s="726"/>
      <c r="AE553" s="726"/>
      <c r="AF553" s="726"/>
      <c r="AG553" s="726"/>
      <c r="AH553" s="726"/>
      <c r="AI553" s="726"/>
      <c r="AJ553" s="726"/>
      <c r="AK553" s="726"/>
      <c r="AL553" s="726"/>
      <c r="AM553" s="726"/>
      <c r="AN553" s="726"/>
      <c r="AO553" s="726"/>
      <c r="AP553" s="726"/>
      <c r="AQ553" s="726"/>
      <c r="AR553" s="726"/>
      <c r="AS553" s="726"/>
      <c r="AT553" s="726"/>
      <c r="AU553" s="726"/>
      <c r="AV553" s="726"/>
      <c r="AW553" s="726"/>
      <c r="AX553" s="726"/>
      <c r="AY553" s="726"/>
      <c r="AZ553" s="726"/>
      <c r="BA553" s="726"/>
      <c r="BB553" s="726"/>
      <c r="BC553" s="726"/>
      <c r="BD553" s="726"/>
      <c r="BE553" s="726"/>
      <c r="BF553" s="726"/>
      <c r="BG553" s="726"/>
      <c r="BH553" s="726"/>
      <c r="BI553" s="726"/>
      <c r="BJ553" s="726"/>
      <c r="BK553" s="726"/>
      <c r="BL553" s="726"/>
      <c r="BM553" s="726"/>
      <c r="BN553" s="726"/>
      <c r="BO553" s="726"/>
      <c r="BP553" s="726"/>
      <c r="BQ553" s="726"/>
      <c r="BR553" s="726"/>
      <c r="BS553" s="726"/>
    </row>
    <row r="554" spans="1:71" s="563" customFormat="1">
      <c r="A554" s="614"/>
      <c r="E554" s="565"/>
      <c r="F554" s="565"/>
      <c r="Q554" s="726"/>
      <c r="R554" s="726"/>
      <c r="S554" s="726"/>
      <c r="T554" s="726"/>
      <c r="U554" s="726"/>
      <c r="V554" s="726"/>
      <c r="W554" s="726"/>
      <c r="X554" s="726"/>
      <c r="Y554" s="726"/>
      <c r="Z554" s="726"/>
      <c r="AA554" s="726"/>
      <c r="AB554" s="726"/>
      <c r="AC554" s="726"/>
      <c r="AD554" s="726"/>
      <c r="AE554" s="726"/>
      <c r="AF554" s="726"/>
      <c r="AG554" s="726"/>
      <c r="AH554" s="726"/>
      <c r="AI554" s="726"/>
      <c r="AJ554" s="726"/>
      <c r="AK554" s="726"/>
      <c r="AL554" s="726"/>
      <c r="AM554" s="726"/>
      <c r="AN554" s="726"/>
      <c r="AO554" s="726"/>
      <c r="AP554" s="726"/>
      <c r="AQ554" s="726"/>
      <c r="AR554" s="726"/>
      <c r="AS554" s="726"/>
      <c r="AT554" s="726"/>
      <c r="AU554" s="726"/>
      <c r="AV554" s="726"/>
      <c r="AW554" s="726"/>
      <c r="AX554" s="726"/>
      <c r="AY554" s="726"/>
      <c r="AZ554" s="726"/>
      <c r="BA554" s="726"/>
      <c r="BB554" s="726"/>
      <c r="BC554" s="726"/>
      <c r="BD554" s="726"/>
      <c r="BE554" s="726"/>
      <c r="BF554" s="726"/>
      <c r="BG554" s="726"/>
      <c r="BH554" s="726"/>
      <c r="BI554" s="726"/>
      <c r="BJ554" s="726"/>
      <c r="BK554" s="726"/>
      <c r="BL554" s="726"/>
      <c r="BM554" s="726"/>
      <c r="BN554" s="726"/>
      <c r="BO554" s="726"/>
      <c r="BP554" s="726"/>
      <c r="BQ554" s="726"/>
      <c r="BR554" s="726"/>
      <c r="BS554" s="726"/>
    </row>
    <row r="555" spans="1:71" s="563" customFormat="1">
      <c r="A555" s="614"/>
      <c r="E555" s="565"/>
      <c r="F555" s="565"/>
      <c r="Q555" s="726"/>
      <c r="R555" s="726"/>
      <c r="S555" s="726"/>
      <c r="T555" s="726"/>
      <c r="U555" s="726"/>
      <c r="V555" s="726"/>
      <c r="W555" s="726"/>
      <c r="X555" s="726"/>
      <c r="Y555" s="726"/>
      <c r="Z555" s="726"/>
      <c r="AA555" s="726"/>
      <c r="AB555" s="726"/>
      <c r="AC555" s="726"/>
      <c r="AD555" s="726"/>
      <c r="AE555" s="726"/>
      <c r="AF555" s="726"/>
      <c r="AG555" s="726"/>
      <c r="AH555" s="726"/>
      <c r="AI555" s="726"/>
      <c r="AJ555" s="726"/>
      <c r="AK555" s="726"/>
      <c r="AL555" s="726"/>
      <c r="AM555" s="726"/>
      <c r="AN555" s="726"/>
      <c r="AO555" s="726"/>
      <c r="AP555" s="726"/>
      <c r="AQ555" s="726"/>
      <c r="AR555" s="726"/>
      <c r="AS555" s="726"/>
      <c r="AT555" s="726"/>
      <c r="AU555" s="726"/>
      <c r="AV555" s="726"/>
      <c r="AW555" s="726"/>
      <c r="AX555" s="726"/>
      <c r="AY555" s="726"/>
      <c r="AZ555" s="726"/>
      <c r="BA555" s="726"/>
      <c r="BB555" s="726"/>
      <c r="BC555" s="726"/>
      <c r="BD555" s="726"/>
      <c r="BE555" s="726"/>
      <c r="BF555" s="726"/>
      <c r="BG555" s="726"/>
      <c r="BH555" s="726"/>
      <c r="BI555" s="726"/>
      <c r="BJ555" s="726"/>
      <c r="BK555" s="726"/>
      <c r="BL555" s="726"/>
      <c r="BM555" s="726"/>
      <c r="BN555" s="726"/>
      <c r="BO555" s="726"/>
      <c r="BP555" s="726"/>
      <c r="BQ555" s="726"/>
      <c r="BR555" s="726"/>
      <c r="BS555" s="726"/>
    </row>
    <row r="556" spans="1:71" s="563" customFormat="1">
      <c r="A556" s="614"/>
      <c r="E556" s="565"/>
      <c r="F556" s="565"/>
      <c r="Q556" s="726"/>
      <c r="R556" s="726"/>
      <c r="S556" s="726"/>
      <c r="T556" s="726"/>
      <c r="U556" s="726"/>
      <c r="V556" s="726"/>
      <c r="W556" s="726"/>
      <c r="X556" s="726"/>
      <c r="Y556" s="726"/>
      <c r="Z556" s="726"/>
      <c r="AA556" s="726"/>
      <c r="AB556" s="726"/>
      <c r="AC556" s="726"/>
      <c r="AD556" s="726"/>
      <c r="AE556" s="726"/>
      <c r="AF556" s="726"/>
      <c r="AG556" s="726"/>
      <c r="AH556" s="726"/>
      <c r="AI556" s="726"/>
      <c r="AJ556" s="726"/>
      <c r="AK556" s="726"/>
      <c r="AL556" s="726"/>
      <c r="AM556" s="726"/>
      <c r="AN556" s="726"/>
      <c r="AO556" s="726"/>
      <c r="AP556" s="726"/>
      <c r="AQ556" s="726"/>
      <c r="AR556" s="726"/>
      <c r="AS556" s="726"/>
      <c r="AT556" s="726"/>
      <c r="AU556" s="726"/>
      <c r="AV556" s="726"/>
      <c r="AW556" s="726"/>
      <c r="AX556" s="726"/>
      <c r="AY556" s="726"/>
      <c r="AZ556" s="726"/>
      <c r="BA556" s="726"/>
      <c r="BB556" s="726"/>
      <c r="BC556" s="726"/>
      <c r="BD556" s="726"/>
      <c r="BE556" s="726"/>
      <c r="BF556" s="726"/>
      <c r="BG556" s="726"/>
      <c r="BH556" s="726"/>
      <c r="BI556" s="726"/>
      <c r="BJ556" s="726"/>
      <c r="BK556" s="726"/>
      <c r="BL556" s="726"/>
      <c r="BM556" s="726"/>
      <c r="BN556" s="726"/>
      <c r="BO556" s="726"/>
      <c r="BP556" s="726"/>
      <c r="BQ556" s="726"/>
      <c r="BR556" s="726"/>
      <c r="BS556" s="726"/>
    </row>
    <row r="557" spans="1:71" s="563" customFormat="1">
      <c r="A557" s="614"/>
      <c r="E557" s="565"/>
      <c r="F557" s="565"/>
      <c r="Q557" s="726"/>
      <c r="R557" s="726"/>
      <c r="S557" s="726"/>
      <c r="T557" s="726"/>
      <c r="U557" s="726"/>
      <c r="V557" s="726"/>
      <c r="W557" s="726"/>
      <c r="X557" s="726"/>
      <c r="Y557" s="726"/>
      <c r="Z557" s="726"/>
      <c r="AA557" s="726"/>
      <c r="AB557" s="726"/>
      <c r="AC557" s="726"/>
      <c r="AD557" s="726"/>
      <c r="AE557" s="726"/>
      <c r="AF557" s="726"/>
      <c r="AG557" s="726"/>
      <c r="AH557" s="726"/>
      <c r="AI557" s="726"/>
      <c r="AJ557" s="726"/>
      <c r="AK557" s="726"/>
      <c r="AL557" s="726"/>
      <c r="AM557" s="726"/>
      <c r="AN557" s="726"/>
      <c r="AO557" s="726"/>
      <c r="AP557" s="726"/>
      <c r="AQ557" s="726"/>
      <c r="AR557" s="726"/>
      <c r="AS557" s="726"/>
      <c r="AT557" s="726"/>
      <c r="AU557" s="726"/>
      <c r="AV557" s="726"/>
      <c r="AW557" s="726"/>
      <c r="AX557" s="726"/>
      <c r="AY557" s="726"/>
      <c r="AZ557" s="726"/>
      <c r="BA557" s="726"/>
      <c r="BB557" s="726"/>
      <c r="BC557" s="726"/>
      <c r="BD557" s="726"/>
      <c r="BE557" s="726"/>
      <c r="BF557" s="726"/>
      <c r="BG557" s="726"/>
      <c r="BH557" s="726"/>
      <c r="BI557" s="726"/>
      <c r="BJ557" s="726"/>
      <c r="BK557" s="726"/>
      <c r="BL557" s="726"/>
      <c r="BM557" s="726"/>
      <c r="BN557" s="726"/>
      <c r="BO557" s="726"/>
      <c r="BP557" s="726"/>
      <c r="BQ557" s="726"/>
      <c r="BR557" s="726"/>
      <c r="BS557" s="726"/>
    </row>
    <row r="558" spans="1:71" s="563" customFormat="1">
      <c r="A558" s="614"/>
      <c r="E558" s="565"/>
      <c r="F558" s="565"/>
      <c r="Q558" s="726"/>
      <c r="R558" s="726"/>
      <c r="S558" s="726"/>
      <c r="T558" s="726"/>
      <c r="U558" s="726"/>
      <c r="V558" s="726"/>
      <c r="W558" s="726"/>
      <c r="X558" s="726"/>
      <c r="Y558" s="726"/>
      <c r="Z558" s="726"/>
      <c r="AA558" s="726"/>
      <c r="AB558" s="726"/>
      <c r="AC558" s="726"/>
      <c r="AD558" s="726"/>
      <c r="AE558" s="726"/>
      <c r="AF558" s="726"/>
      <c r="AG558" s="726"/>
      <c r="AH558" s="726"/>
      <c r="AI558" s="726"/>
      <c r="AJ558" s="726"/>
      <c r="AK558" s="726"/>
      <c r="AL558" s="726"/>
      <c r="AM558" s="726"/>
      <c r="AN558" s="726"/>
      <c r="AO558" s="726"/>
      <c r="AP558" s="726"/>
      <c r="AQ558" s="726"/>
      <c r="AR558" s="726"/>
      <c r="AS558" s="726"/>
      <c r="AT558" s="726"/>
      <c r="AU558" s="726"/>
      <c r="AV558" s="726"/>
      <c r="AW558" s="726"/>
      <c r="AX558" s="726"/>
      <c r="AY558" s="726"/>
      <c r="AZ558" s="726"/>
      <c r="BA558" s="726"/>
      <c r="BB558" s="726"/>
      <c r="BC558" s="726"/>
      <c r="BD558" s="726"/>
      <c r="BE558" s="726"/>
      <c r="BF558" s="726"/>
      <c r="BG558" s="726"/>
      <c r="BH558" s="726"/>
      <c r="BI558" s="726"/>
      <c r="BJ558" s="726"/>
      <c r="BK558" s="726"/>
      <c r="BL558" s="726"/>
      <c r="BM558" s="726"/>
      <c r="BN558" s="726"/>
      <c r="BO558" s="726"/>
      <c r="BP558" s="726"/>
      <c r="BQ558" s="726"/>
      <c r="BR558" s="726"/>
      <c r="BS558" s="726"/>
    </row>
    <row r="559" spans="1:71" s="563" customFormat="1">
      <c r="A559" s="614"/>
      <c r="E559" s="565"/>
      <c r="F559" s="565"/>
      <c r="Q559" s="726"/>
      <c r="R559" s="726"/>
      <c r="S559" s="726"/>
      <c r="T559" s="726"/>
      <c r="U559" s="726"/>
      <c r="V559" s="726"/>
      <c r="W559" s="726"/>
      <c r="X559" s="726"/>
      <c r="Y559" s="726"/>
      <c r="Z559" s="726"/>
      <c r="AA559" s="726"/>
      <c r="AB559" s="726"/>
      <c r="AC559" s="726"/>
      <c r="AD559" s="726"/>
      <c r="AE559" s="726"/>
      <c r="AF559" s="726"/>
      <c r="AG559" s="726"/>
      <c r="AH559" s="726"/>
      <c r="AI559" s="726"/>
      <c r="AJ559" s="726"/>
      <c r="AK559" s="726"/>
      <c r="AL559" s="726"/>
      <c r="AM559" s="726"/>
      <c r="AN559" s="726"/>
      <c r="AO559" s="726"/>
      <c r="AP559" s="726"/>
      <c r="AQ559" s="726"/>
      <c r="AR559" s="726"/>
      <c r="AS559" s="726"/>
      <c r="AT559" s="726"/>
      <c r="AU559" s="726"/>
      <c r="AV559" s="726"/>
      <c r="AW559" s="726"/>
      <c r="AX559" s="726"/>
      <c r="AY559" s="726"/>
      <c r="AZ559" s="726"/>
      <c r="BA559" s="726"/>
      <c r="BB559" s="726"/>
      <c r="BC559" s="726"/>
      <c r="BD559" s="726"/>
      <c r="BE559" s="726"/>
      <c r="BF559" s="726"/>
      <c r="BG559" s="726"/>
      <c r="BH559" s="726"/>
      <c r="BI559" s="726"/>
      <c r="BJ559" s="726"/>
      <c r="BK559" s="726"/>
      <c r="BL559" s="726"/>
      <c r="BM559" s="726"/>
      <c r="BN559" s="726"/>
      <c r="BO559" s="726"/>
      <c r="BP559" s="726"/>
      <c r="BQ559" s="726"/>
      <c r="BR559" s="726"/>
      <c r="BS559" s="726"/>
    </row>
    <row r="560" spans="1:71" s="563" customFormat="1">
      <c r="A560" s="614"/>
      <c r="E560" s="565"/>
      <c r="F560" s="565"/>
      <c r="Q560" s="726"/>
      <c r="R560" s="726"/>
      <c r="S560" s="726"/>
      <c r="T560" s="726"/>
      <c r="U560" s="726"/>
      <c r="V560" s="726"/>
      <c r="W560" s="726"/>
      <c r="X560" s="726"/>
      <c r="Y560" s="726"/>
      <c r="Z560" s="726"/>
      <c r="AA560" s="726"/>
      <c r="AB560" s="726"/>
      <c r="AC560" s="726"/>
      <c r="AD560" s="726"/>
      <c r="AE560" s="726"/>
      <c r="AF560" s="726"/>
      <c r="AG560" s="726"/>
      <c r="AH560" s="726"/>
      <c r="AI560" s="726"/>
      <c r="AJ560" s="726"/>
      <c r="AK560" s="726"/>
      <c r="AL560" s="726"/>
      <c r="AM560" s="726"/>
      <c r="AN560" s="726"/>
      <c r="AO560" s="726"/>
      <c r="AP560" s="726"/>
      <c r="AQ560" s="726"/>
      <c r="AR560" s="726"/>
      <c r="AS560" s="726"/>
      <c r="AT560" s="726"/>
      <c r="AU560" s="726"/>
      <c r="AV560" s="726"/>
      <c r="AW560" s="726"/>
      <c r="AX560" s="726"/>
      <c r="AY560" s="726"/>
      <c r="AZ560" s="726"/>
      <c r="BA560" s="726"/>
      <c r="BB560" s="726"/>
      <c r="BC560" s="726"/>
      <c r="BD560" s="726"/>
      <c r="BE560" s="726"/>
      <c r="BF560" s="726"/>
      <c r="BG560" s="726"/>
      <c r="BH560" s="726"/>
      <c r="BI560" s="726"/>
      <c r="BJ560" s="726"/>
      <c r="BK560" s="726"/>
      <c r="BL560" s="726"/>
      <c r="BM560" s="726"/>
      <c r="BN560" s="726"/>
      <c r="BO560" s="726"/>
      <c r="BP560" s="726"/>
      <c r="BQ560" s="726"/>
      <c r="BR560" s="726"/>
      <c r="BS560" s="726"/>
    </row>
    <row r="561" spans="1:71" s="563" customFormat="1">
      <c r="A561" s="614"/>
      <c r="E561" s="565"/>
      <c r="F561" s="565"/>
      <c r="Q561" s="726"/>
      <c r="R561" s="726"/>
      <c r="S561" s="726"/>
      <c r="T561" s="726"/>
      <c r="U561" s="726"/>
      <c r="V561" s="726"/>
      <c r="W561" s="726"/>
      <c r="X561" s="726"/>
      <c r="Y561" s="726"/>
      <c r="Z561" s="726"/>
      <c r="AA561" s="726"/>
      <c r="AB561" s="726"/>
      <c r="AC561" s="726"/>
      <c r="AD561" s="726"/>
      <c r="AE561" s="726"/>
      <c r="AF561" s="726"/>
      <c r="AG561" s="726"/>
      <c r="AH561" s="726"/>
      <c r="AI561" s="726"/>
      <c r="AJ561" s="726"/>
      <c r="AK561" s="726"/>
      <c r="AL561" s="726"/>
      <c r="AM561" s="726"/>
      <c r="AN561" s="726"/>
      <c r="AO561" s="726"/>
      <c r="AP561" s="726"/>
      <c r="AQ561" s="726"/>
      <c r="AR561" s="726"/>
      <c r="AS561" s="726"/>
      <c r="AT561" s="726"/>
      <c r="AU561" s="726"/>
      <c r="AV561" s="726"/>
      <c r="AW561" s="726"/>
      <c r="AX561" s="726"/>
      <c r="AY561" s="726"/>
      <c r="AZ561" s="726"/>
      <c r="BA561" s="726"/>
      <c r="BB561" s="726"/>
      <c r="BC561" s="726"/>
      <c r="BD561" s="726"/>
      <c r="BE561" s="726"/>
      <c r="BF561" s="726"/>
      <c r="BG561" s="726"/>
      <c r="BH561" s="726"/>
      <c r="BI561" s="726"/>
      <c r="BJ561" s="726"/>
      <c r="BK561" s="726"/>
      <c r="BL561" s="726"/>
      <c r="BM561" s="726"/>
      <c r="BN561" s="726"/>
      <c r="BO561" s="726"/>
      <c r="BP561" s="726"/>
      <c r="BQ561" s="726"/>
      <c r="BR561" s="726"/>
      <c r="BS561" s="726"/>
    </row>
    <row r="562" spans="1:71" s="563" customFormat="1">
      <c r="A562" s="614"/>
      <c r="E562" s="565"/>
      <c r="F562" s="565"/>
      <c r="Q562" s="726"/>
      <c r="R562" s="726"/>
      <c r="S562" s="726"/>
      <c r="T562" s="726"/>
      <c r="U562" s="726"/>
      <c r="V562" s="726"/>
      <c r="W562" s="726"/>
      <c r="X562" s="726"/>
      <c r="Y562" s="726"/>
      <c r="Z562" s="726"/>
      <c r="AA562" s="726"/>
      <c r="AB562" s="726"/>
      <c r="AC562" s="726"/>
      <c r="AD562" s="726"/>
      <c r="AE562" s="726"/>
      <c r="AF562" s="726"/>
      <c r="AG562" s="726"/>
      <c r="AH562" s="726"/>
      <c r="AI562" s="726"/>
      <c r="AJ562" s="726"/>
      <c r="AK562" s="726"/>
      <c r="AL562" s="726"/>
      <c r="AM562" s="726"/>
      <c r="AN562" s="726"/>
      <c r="AO562" s="726"/>
      <c r="AP562" s="726"/>
      <c r="AQ562" s="726"/>
      <c r="AR562" s="726"/>
      <c r="AS562" s="726"/>
      <c r="AT562" s="726"/>
      <c r="AU562" s="726"/>
      <c r="AV562" s="726"/>
      <c r="AW562" s="726"/>
      <c r="AX562" s="726"/>
      <c r="AY562" s="726"/>
      <c r="AZ562" s="726"/>
      <c r="BA562" s="726"/>
      <c r="BB562" s="726"/>
      <c r="BC562" s="726"/>
      <c r="BD562" s="726"/>
      <c r="BE562" s="726"/>
      <c r="BF562" s="726"/>
      <c r="BG562" s="726"/>
      <c r="BH562" s="726"/>
      <c r="BI562" s="726"/>
      <c r="BJ562" s="726"/>
      <c r="BK562" s="726"/>
      <c r="BL562" s="726"/>
      <c r="BM562" s="726"/>
      <c r="BN562" s="726"/>
      <c r="BO562" s="726"/>
      <c r="BP562" s="726"/>
      <c r="BQ562" s="726"/>
      <c r="BR562" s="726"/>
      <c r="BS562" s="726"/>
    </row>
    <row r="563" spans="1:71" s="563" customFormat="1">
      <c r="A563" s="614"/>
      <c r="E563" s="565"/>
      <c r="F563" s="565"/>
      <c r="Q563" s="726"/>
      <c r="R563" s="726"/>
      <c r="S563" s="726"/>
      <c r="T563" s="726"/>
      <c r="U563" s="726"/>
      <c r="V563" s="726"/>
      <c r="W563" s="726"/>
      <c r="X563" s="726"/>
      <c r="Y563" s="726"/>
      <c r="Z563" s="726"/>
      <c r="AA563" s="726"/>
      <c r="AB563" s="726"/>
      <c r="AC563" s="726"/>
      <c r="AD563" s="726"/>
      <c r="AE563" s="726"/>
      <c r="AF563" s="726"/>
      <c r="AG563" s="726"/>
      <c r="AH563" s="726"/>
      <c r="AI563" s="726"/>
      <c r="AJ563" s="726"/>
      <c r="AK563" s="726"/>
      <c r="AL563" s="726"/>
      <c r="AM563" s="726"/>
      <c r="AN563" s="726"/>
      <c r="AO563" s="726"/>
      <c r="AP563" s="726"/>
      <c r="AQ563" s="726"/>
      <c r="AR563" s="726"/>
      <c r="AS563" s="726"/>
      <c r="AT563" s="726"/>
      <c r="AU563" s="726"/>
      <c r="AV563" s="726"/>
      <c r="AW563" s="726"/>
      <c r="AX563" s="726"/>
      <c r="AY563" s="726"/>
      <c r="AZ563" s="726"/>
      <c r="BA563" s="726"/>
      <c r="BB563" s="726"/>
      <c r="BC563" s="726"/>
      <c r="BD563" s="726"/>
      <c r="BE563" s="726"/>
      <c r="BF563" s="726"/>
      <c r="BG563" s="726"/>
      <c r="BH563" s="726"/>
      <c r="BI563" s="726"/>
      <c r="BJ563" s="726"/>
      <c r="BK563" s="726"/>
      <c r="BL563" s="726"/>
      <c r="BM563" s="726"/>
      <c r="BN563" s="726"/>
      <c r="BO563" s="726"/>
      <c r="BP563" s="726"/>
      <c r="BQ563" s="726"/>
      <c r="BR563" s="726"/>
      <c r="BS563" s="726"/>
    </row>
    <row r="564" spans="1:71" s="563" customFormat="1">
      <c r="A564" s="614"/>
      <c r="E564" s="565"/>
      <c r="F564" s="565"/>
      <c r="Q564" s="726"/>
      <c r="R564" s="726"/>
      <c r="S564" s="726"/>
      <c r="T564" s="726"/>
      <c r="U564" s="726"/>
      <c r="V564" s="726"/>
      <c r="W564" s="726"/>
      <c r="X564" s="726"/>
      <c r="Y564" s="726"/>
      <c r="Z564" s="726"/>
      <c r="AA564" s="726"/>
      <c r="AB564" s="726"/>
      <c r="AC564" s="726"/>
      <c r="AD564" s="726"/>
      <c r="AE564" s="726"/>
      <c r="AF564" s="726"/>
      <c r="AG564" s="726"/>
      <c r="AH564" s="726"/>
      <c r="AI564" s="726"/>
      <c r="AJ564" s="726"/>
      <c r="AK564" s="726"/>
      <c r="AL564" s="726"/>
      <c r="AM564" s="726"/>
      <c r="AN564" s="726"/>
      <c r="AO564" s="726"/>
      <c r="AP564" s="726"/>
      <c r="AQ564" s="726"/>
      <c r="AR564" s="726"/>
      <c r="AS564" s="726"/>
      <c r="AT564" s="726"/>
      <c r="AU564" s="726"/>
      <c r="AV564" s="726"/>
      <c r="AW564" s="726"/>
      <c r="AX564" s="726"/>
      <c r="AY564" s="726"/>
      <c r="AZ564" s="726"/>
      <c r="BA564" s="726"/>
      <c r="BB564" s="726"/>
      <c r="BC564" s="726"/>
      <c r="BD564" s="726"/>
      <c r="BE564" s="726"/>
      <c r="BF564" s="726"/>
      <c r="BG564" s="726"/>
      <c r="BH564" s="726"/>
      <c r="BI564" s="726"/>
      <c r="BJ564" s="726"/>
      <c r="BK564" s="726"/>
      <c r="BL564" s="726"/>
      <c r="BM564" s="726"/>
      <c r="BN564" s="726"/>
      <c r="BO564" s="726"/>
      <c r="BP564" s="726"/>
      <c r="BQ564" s="726"/>
      <c r="BR564" s="726"/>
      <c r="BS564" s="726"/>
    </row>
    <row r="565" spans="1:71" s="563" customFormat="1">
      <c r="A565" s="614"/>
      <c r="E565" s="565"/>
      <c r="F565" s="565"/>
      <c r="Q565" s="726"/>
      <c r="R565" s="726"/>
      <c r="S565" s="726"/>
      <c r="T565" s="726"/>
      <c r="U565" s="726"/>
      <c r="V565" s="726"/>
      <c r="W565" s="726"/>
      <c r="X565" s="726"/>
      <c r="Y565" s="726"/>
      <c r="Z565" s="726"/>
      <c r="AA565" s="726"/>
      <c r="AB565" s="726"/>
      <c r="AC565" s="726"/>
      <c r="AD565" s="726"/>
      <c r="AE565" s="726"/>
      <c r="AF565" s="726"/>
      <c r="AG565" s="726"/>
      <c r="AH565" s="726"/>
      <c r="AI565" s="726"/>
      <c r="AJ565" s="726"/>
      <c r="AK565" s="726"/>
      <c r="AL565" s="726"/>
      <c r="AM565" s="726"/>
      <c r="AN565" s="726"/>
      <c r="AO565" s="726"/>
      <c r="AP565" s="726"/>
      <c r="AQ565" s="726"/>
      <c r="AR565" s="726"/>
      <c r="AS565" s="726"/>
      <c r="AT565" s="726"/>
      <c r="AU565" s="726"/>
      <c r="AV565" s="726"/>
      <c r="AW565" s="726"/>
      <c r="AX565" s="726"/>
      <c r="AY565" s="726"/>
      <c r="AZ565" s="726"/>
      <c r="BA565" s="726"/>
      <c r="BB565" s="726"/>
      <c r="BC565" s="726"/>
      <c r="BD565" s="726"/>
      <c r="BE565" s="726"/>
      <c r="BF565" s="726"/>
      <c r="BG565" s="726"/>
      <c r="BH565" s="726"/>
      <c r="BI565" s="726"/>
      <c r="BJ565" s="726"/>
      <c r="BK565" s="726"/>
      <c r="BL565" s="726"/>
      <c r="BM565" s="726"/>
      <c r="BN565" s="726"/>
      <c r="BO565" s="726"/>
      <c r="BP565" s="726"/>
      <c r="BQ565" s="726"/>
      <c r="BR565" s="726"/>
      <c r="BS565" s="726"/>
    </row>
    <row r="566" spans="1:71" s="563" customFormat="1">
      <c r="A566" s="614"/>
      <c r="E566" s="565"/>
      <c r="F566" s="565"/>
      <c r="Q566" s="726"/>
      <c r="R566" s="726"/>
      <c r="S566" s="726"/>
      <c r="T566" s="726"/>
      <c r="U566" s="726"/>
      <c r="V566" s="726"/>
      <c r="W566" s="726"/>
      <c r="X566" s="726"/>
      <c r="Y566" s="726"/>
      <c r="Z566" s="726"/>
      <c r="AA566" s="726"/>
      <c r="AB566" s="726"/>
      <c r="AC566" s="726"/>
      <c r="AD566" s="726"/>
      <c r="AE566" s="726"/>
      <c r="AF566" s="726"/>
      <c r="AG566" s="726"/>
      <c r="AH566" s="726"/>
      <c r="AI566" s="726"/>
      <c r="AJ566" s="726"/>
      <c r="AK566" s="726"/>
      <c r="AL566" s="726"/>
      <c r="AM566" s="726"/>
      <c r="AN566" s="726"/>
      <c r="AO566" s="726"/>
      <c r="AP566" s="726"/>
      <c r="AQ566" s="726"/>
      <c r="AR566" s="726"/>
      <c r="AS566" s="726"/>
      <c r="AT566" s="726"/>
      <c r="AU566" s="726"/>
      <c r="AV566" s="726"/>
      <c r="AW566" s="726"/>
      <c r="AX566" s="726"/>
      <c r="AY566" s="726"/>
      <c r="AZ566" s="726"/>
      <c r="BA566" s="726"/>
      <c r="BB566" s="726"/>
      <c r="BC566" s="726"/>
      <c r="BD566" s="726"/>
      <c r="BE566" s="726"/>
      <c r="BF566" s="726"/>
      <c r="BG566" s="726"/>
      <c r="BH566" s="726"/>
      <c r="BI566" s="726"/>
      <c r="BJ566" s="726"/>
      <c r="BK566" s="726"/>
      <c r="BL566" s="726"/>
      <c r="BM566" s="726"/>
      <c r="BN566" s="726"/>
      <c r="BO566" s="726"/>
      <c r="BP566" s="726"/>
      <c r="BQ566" s="726"/>
      <c r="BR566" s="726"/>
      <c r="BS566" s="726"/>
    </row>
    <row r="567" spans="1:71" s="563" customFormat="1">
      <c r="A567" s="614"/>
      <c r="E567" s="565"/>
      <c r="F567" s="565"/>
      <c r="Q567" s="726"/>
      <c r="R567" s="726"/>
      <c r="S567" s="726"/>
      <c r="T567" s="726"/>
      <c r="U567" s="726"/>
      <c r="V567" s="726"/>
      <c r="W567" s="726"/>
      <c r="X567" s="726"/>
      <c r="Y567" s="726"/>
      <c r="Z567" s="726"/>
      <c r="AA567" s="726"/>
      <c r="AB567" s="726"/>
      <c r="AC567" s="726"/>
      <c r="AD567" s="726"/>
      <c r="AE567" s="726"/>
      <c r="AF567" s="726"/>
      <c r="AG567" s="726"/>
      <c r="AH567" s="726"/>
      <c r="AI567" s="726"/>
      <c r="AJ567" s="726"/>
      <c r="AK567" s="726"/>
      <c r="AL567" s="726"/>
      <c r="AM567" s="726"/>
      <c r="AN567" s="726"/>
      <c r="AO567" s="726"/>
      <c r="AP567" s="726"/>
      <c r="AQ567" s="726"/>
      <c r="AR567" s="726"/>
      <c r="AS567" s="726"/>
      <c r="AT567" s="726"/>
      <c r="AU567" s="726"/>
      <c r="AV567" s="726"/>
      <c r="AW567" s="726"/>
      <c r="AX567" s="726"/>
      <c r="AY567" s="726"/>
      <c r="AZ567" s="726"/>
      <c r="BA567" s="726"/>
      <c r="BB567" s="726"/>
      <c r="BC567" s="726"/>
      <c r="BD567" s="726"/>
      <c r="BE567" s="726"/>
      <c r="BF567" s="726"/>
      <c r="BG567" s="726"/>
      <c r="BH567" s="726"/>
      <c r="BI567" s="726"/>
      <c r="BJ567" s="726"/>
      <c r="BK567" s="726"/>
      <c r="BL567" s="726"/>
      <c r="BM567" s="726"/>
      <c r="BN567" s="726"/>
      <c r="BO567" s="726"/>
      <c r="BP567" s="726"/>
      <c r="BQ567" s="726"/>
      <c r="BR567" s="726"/>
      <c r="BS567" s="726"/>
    </row>
    <row r="568" spans="1:71" s="563" customFormat="1">
      <c r="A568" s="614"/>
      <c r="E568" s="565"/>
      <c r="F568" s="565"/>
      <c r="Q568" s="726"/>
      <c r="R568" s="726"/>
      <c r="S568" s="726"/>
      <c r="T568" s="726"/>
      <c r="U568" s="726"/>
      <c r="V568" s="726"/>
      <c r="W568" s="726"/>
      <c r="X568" s="726"/>
      <c r="Y568" s="726"/>
      <c r="Z568" s="726"/>
      <c r="AA568" s="726"/>
      <c r="AB568" s="726"/>
      <c r="AC568" s="726"/>
      <c r="AD568" s="726"/>
      <c r="AE568" s="726"/>
      <c r="AF568" s="726"/>
      <c r="AG568" s="726"/>
      <c r="AH568" s="726"/>
      <c r="AI568" s="726"/>
      <c r="AJ568" s="726"/>
      <c r="AK568" s="726"/>
      <c r="AL568" s="726"/>
      <c r="AM568" s="726"/>
      <c r="AN568" s="726"/>
      <c r="AO568" s="726"/>
      <c r="AP568" s="726"/>
      <c r="AQ568" s="726"/>
      <c r="AR568" s="726"/>
      <c r="AS568" s="726"/>
      <c r="AT568" s="726"/>
      <c r="AU568" s="726"/>
      <c r="AV568" s="726"/>
      <c r="AW568" s="726"/>
      <c r="AX568" s="726"/>
      <c r="AY568" s="726"/>
      <c r="AZ568" s="726"/>
      <c r="BA568" s="726"/>
      <c r="BB568" s="726"/>
      <c r="BC568" s="726"/>
      <c r="BD568" s="726"/>
      <c r="BE568" s="726"/>
      <c r="BF568" s="726"/>
      <c r="BG568" s="726"/>
      <c r="BH568" s="726"/>
      <c r="BI568" s="726"/>
      <c r="BJ568" s="726"/>
      <c r="BK568" s="726"/>
      <c r="BL568" s="726"/>
      <c r="BM568" s="726"/>
      <c r="BN568" s="726"/>
      <c r="BO568" s="726"/>
      <c r="BP568" s="726"/>
      <c r="BQ568" s="726"/>
      <c r="BR568" s="726"/>
      <c r="BS568" s="726"/>
    </row>
    <row r="569" spans="1:71" s="563" customFormat="1">
      <c r="A569" s="614"/>
      <c r="E569" s="565"/>
      <c r="F569" s="565"/>
      <c r="Q569" s="726"/>
      <c r="R569" s="726"/>
      <c r="S569" s="726"/>
      <c r="T569" s="726"/>
      <c r="U569" s="726"/>
      <c r="V569" s="726"/>
      <c r="W569" s="726"/>
      <c r="X569" s="726"/>
      <c r="Y569" s="726"/>
      <c r="Z569" s="726"/>
      <c r="AA569" s="726"/>
      <c r="AB569" s="726"/>
      <c r="AC569" s="726"/>
      <c r="AD569" s="726"/>
      <c r="AE569" s="726"/>
      <c r="AF569" s="726"/>
      <c r="AG569" s="726"/>
      <c r="AH569" s="726"/>
      <c r="AI569" s="726"/>
      <c r="AJ569" s="726"/>
      <c r="AK569" s="726"/>
      <c r="AL569" s="726"/>
      <c r="AM569" s="726"/>
      <c r="AN569" s="726"/>
      <c r="AO569" s="726"/>
      <c r="AP569" s="726"/>
      <c r="AQ569" s="726"/>
      <c r="AR569" s="726"/>
      <c r="AS569" s="726"/>
      <c r="AT569" s="726"/>
      <c r="AU569" s="726"/>
      <c r="AV569" s="726"/>
      <c r="AW569" s="726"/>
      <c r="AX569" s="726"/>
      <c r="AY569" s="726"/>
      <c r="AZ569" s="726"/>
      <c r="BA569" s="726"/>
      <c r="BB569" s="726"/>
      <c r="BC569" s="726"/>
      <c r="BD569" s="726"/>
      <c r="BE569" s="726"/>
      <c r="BF569" s="726"/>
      <c r="BG569" s="726"/>
      <c r="BH569" s="726"/>
      <c r="BI569" s="726"/>
      <c r="BJ569" s="726"/>
      <c r="BK569" s="726"/>
      <c r="BL569" s="726"/>
      <c r="BM569" s="726"/>
      <c r="BN569" s="726"/>
      <c r="BO569" s="726"/>
      <c r="BP569" s="726"/>
      <c r="BQ569" s="726"/>
      <c r="BR569" s="726"/>
      <c r="BS569" s="726"/>
    </row>
    <row r="570" spans="1:71" s="563" customFormat="1">
      <c r="A570" s="614"/>
      <c r="E570" s="565"/>
      <c r="F570" s="565"/>
      <c r="Q570" s="726"/>
      <c r="R570" s="726"/>
      <c r="S570" s="726"/>
      <c r="T570" s="726"/>
      <c r="U570" s="726"/>
      <c r="V570" s="726"/>
      <c r="W570" s="726"/>
      <c r="X570" s="726"/>
      <c r="Y570" s="726"/>
      <c r="Z570" s="726"/>
      <c r="AA570" s="726"/>
      <c r="AB570" s="726"/>
      <c r="AC570" s="726"/>
      <c r="AD570" s="726"/>
      <c r="AE570" s="726"/>
      <c r="AF570" s="726"/>
      <c r="AG570" s="726"/>
      <c r="AH570" s="726"/>
      <c r="AI570" s="726"/>
      <c r="AJ570" s="726"/>
      <c r="AK570" s="726"/>
      <c r="AL570" s="726"/>
      <c r="AM570" s="726"/>
      <c r="AN570" s="726"/>
      <c r="AO570" s="726"/>
      <c r="AP570" s="726"/>
      <c r="AQ570" s="726"/>
      <c r="AR570" s="726"/>
      <c r="AS570" s="726"/>
      <c r="AT570" s="726"/>
      <c r="AU570" s="726"/>
      <c r="AV570" s="726"/>
      <c r="AW570" s="726"/>
      <c r="AX570" s="726"/>
      <c r="AY570" s="726"/>
      <c r="AZ570" s="726"/>
      <c r="BA570" s="726"/>
      <c r="BB570" s="726"/>
      <c r="BC570" s="726"/>
      <c r="BD570" s="726"/>
      <c r="BE570" s="726"/>
      <c r="BF570" s="726"/>
      <c r="BG570" s="726"/>
      <c r="BH570" s="726"/>
      <c r="BI570" s="726"/>
      <c r="BJ570" s="726"/>
      <c r="BK570" s="726"/>
      <c r="BL570" s="726"/>
      <c r="BM570" s="726"/>
      <c r="BN570" s="726"/>
      <c r="BO570" s="726"/>
      <c r="BP570" s="726"/>
      <c r="BQ570" s="726"/>
      <c r="BR570" s="726"/>
      <c r="BS570" s="726"/>
    </row>
    <row r="571" spans="1:71" s="563" customFormat="1">
      <c r="A571" s="614"/>
      <c r="E571" s="565"/>
      <c r="F571" s="565"/>
      <c r="Q571" s="726"/>
      <c r="R571" s="726"/>
      <c r="S571" s="726"/>
      <c r="T571" s="726"/>
      <c r="U571" s="726"/>
      <c r="V571" s="726"/>
      <c r="W571" s="726"/>
      <c r="X571" s="726"/>
      <c r="Y571" s="726"/>
      <c r="Z571" s="726"/>
      <c r="AA571" s="726"/>
      <c r="AB571" s="726"/>
      <c r="AC571" s="726"/>
      <c r="AD571" s="726"/>
      <c r="AE571" s="726"/>
      <c r="AF571" s="726"/>
      <c r="AG571" s="726"/>
      <c r="AH571" s="726"/>
      <c r="AI571" s="726"/>
      <c r="AJ571" s="726"/>
      <c r="AK571" s="726"/>
      <c r="AL571" s="726"/>
      <c r="AM571" s="726"/>
      <c r="AN571" s="726"/>
      <c r="AO571" s="726"/>
      <c r="AP571" s="726"/>
      <c r="AQ571" s="726"/>
      <c r="AR571" s="726"/>
      <c r="AS571" s="726"/>
      <c r="AT571" s="726"/>
      <c r="AU571" s="726"/>
      <c r="AV571" s="726"/>
      <c r="AW571" s="726"/>
      <c r="AX571" s="726"/>
      <c r="AY571" s="726"/>
      <c r="AZ571" s="726"/>
      <c r="BA571" s="726"/>
      <c r="BB571" s="726"/>
      <c r="BC571" s="726"/>
      <c r="BD571" s="726"/>
      <c r="BE571" s="726"/>
      <c r="BF571" s="726"/>
      <c r="BG571" s="726"/>
      <c r="BH571" s="726"/>
      <c r="BI571" s="726"/>
      <c r="BJ571" s="726"/>
      <c r="BK571" s="726"/>
      <c r="BL571" s="726"/>
      <c r="BM571" s="726"/>
      <c r="BN571" s="726"/>
      <c r="BO571" s="726"/>
      <c r="BP571" s="726"/>
      <c r="BQ571" s="726"/>
      <c r="BR571" s="726"/>
      <c r="BS571" s="726"/>
    </row>
    <row r="572" spans="1:71" s="563" customFormat="1">
      <c r="A572" s="614"/>
      <c r="E572" s="565"/>
      <c r="F572" s="565"/>
      <c r="Q572" s="726"/>
      <c r="R572" s="726"/>
      <c r="S572" s="726"/>
      <c r="T572" s="726"/>
      <c r="U572" s="726"/>
      <c r="V572" s="726"/>
      <c r="W572" s="726"/>
      <c r="X572" s="726"/>
      <c r="Y572" s="726"/>
      <c r="Z572" s="726"/>
      <c r="AA572" s="726"/>
      <c r="AB572" s="726"/>
      <c r="AC572" s="726"/>
      <c r="AD572" s="726"/>
      <c r="AE572" s="726"/>
      <c r="AF572" s="726"/>
      <c r="AG572" s="726"/>
      <c r="AH572" s="726"/>
      <c r="AI572" s="726"/>
      <c r="AJ572" s="726"/>
      <c r="AK572" s="726"/>
      <c r="AL572" s="726"/>
      <c r="AM572" s="726"/>
      <c r="AN572" s="726"/>
      <c r="AO572" s="726"/>
      <c r="AP572" s="726"/>
      <c r="AQ572" s="726"/>
      <c r="AR572" s="726"/>
      <c r="AS572" s="726"/>
      <c r="AT572" s="726"/>
      <c r="AU572" s="726"/>
      <c r="AV572" s="726"/>
      <c r="AW572" s="726"/>
      <c r="AX572" s="726"/>
      <c r="AY572" s="726"/>
      <c r="AZ572" s="726"/>
      <c r="BA572" s="726"/>
      <c r="BB572" s="726"/>
      <c r="BC572" s="726"/>
      <c r="BD572" s="726"/>
      <c r="BE572" s="726"/>
      <c r="BF572" s="726"/>
      <c r="BG572" s="726"/>
      <c r="BH572" s="726"/>
      <c r="BI572" s="726"/>
      <c r="BJ572" s="726"/>
      <c r="BK572" s="726"/>
      <c r="BL572" s="726"/>
      <c r="BM572" s="726"/>
      <c r="BN572" s="726"/>
      <c r="BO572" s="726"/>
      <c r="BP572" s="726"/>
      <c r="BQ572" s="726"/>
      <c r="BR572" s="726"/>
      <c r="BS572" s="726"/>
    </row>
    <row r="573" spans="1:71" s="563" customFormat="1">
      <c r="A573" s="614"/>
      <c r="E573" s="565"/>
      <c r="F573" s="565"/>
      <c r="Q573" s="726"/>
      <c r="R573" s="726"/>
      <c r="S573" s="726"/>
      <c r="T573" s="726"/>
      <c r="U573" s="726"/>
      <c r="V573" s="726"/>
      <c r="W573" s="726"/>
      <c r="X573" s="726"/>
      <c r="Y573" s="726"/>
      <c r="Z573" s="726"/>
      <c r="AA573" s="726"/>
      <c r="AB573" s="726"/>
      <c r="AC573" s="726"/>
      <c r="AD573" s="726"/>
      <c r="AE573" s="726"/>
      <c r="AF573" s="726"/>
      <c r="AG573" s="726"/>
      <c r="AH573" s="726"/>
      <c r="AI573" s="726"/>
      <c r="AJ573" s="726"/>
      <c r="AK573" s="726"/>
      <c r="AL573" s="726"/>
      <c r="AM573" s="726"/>
      <c r="AN573" s="726"/>
      <c r="AO573" s="726"/>
      <c r="AP573" s="726"/>
      <c r="AQ573" s="726"/>
      <c r="AR573" s="726"/>
      <c r="AS573" s="726"/>
      <c r="AT573" s="726"/>
      <c r="AU573" s="726"/>
      <c r="AV573" s="726"/>
      <c r="AW573" s="726"/>
      <c r="AX573" s="726"/>
      <c r="AY573" s="726"/>
      <c r="AZ573" s="726"/>
      <c r="BA573" s="726"/>
      <c r="BB573" s="726"/>
      <c r="BC573" s="726"/>
      <c r="BD573" s="726"/>
      <c r="BE573" s="726"/>
      <c r="BF573" s="726"/>
      <c r="BG573" s="726"/>
      <c r="BH573" s="726"/>
      <c r="BI573" s="726"/>
      <c r="BJ573" s="726"/>
      <c r="BK573" s="726"/>
      <c r="BL573" s="726"/>
      <c r="BM573" s="726"/>
      <c r="BN573" s="726"/>
      <c r="BO573" s="726"/>
      <c r="BP573" s="726"/>
      <c r="BQ573" s="726"/>
      <c r="BR573" s="726"/>
      <c r="BS573" s="726"/>
    </row>
    <row r="574" spans="1:71" s="563" customFormat="1">
      <c r="A574" s="614"/>
      <c r="E574" s="565"/>
      <c r="F574" s="565"/>
      <c r="Q574" s="726"/>
      <c r="R574" s="726"/>
      <c r="S574" s="726"/>
      <c r="T574" s="726"/>
      <c r="U574" s="726"/>
      <c r="V574" s="726"/>
      <c r="W574" s="726"/>
      <c r="X574" s="726"/>
      <c r="Y574" s="726"/>
      <c r="Z574" s="726"/>
      <c r="AA574" s="726"/>
      <c r="AB574" s="726"/>
      <c r="AC574" s="726"/>
      <c r="AD574" s="726"/>
      <c r="AE574" s="726"/>
      <c r="AF574" s="726"/>
      <c r="AG574" s="726"/>
      <c r="AH574" s="726"/>
      <c r="AI574" s="726"/>
      <c r="AJ574" s="726"/>
      <c r="AK574" s="726"/>
      <c r="AL574" s="726"/>
      <c r="AM574" s="726"/>
      <c r="AN574" s="726"/>
      <c r="AO574" s="726"/>
      <c r="AP574" s="726"/>
      <c r="AQ574" s="726"/>
      <c r="AR574" s="726"/>
      <c r="AS574" s="726"/>
      <c r="AT574" s="726"/>
      <c r="AU574" s="726"/>
      <c r="AV574" s="726"/>
      <c r="AW574" s="726"/>
      <c r="AX574" s="726"/>
      <c r="AY574" s="726"/>
      <c r="AZ574" s="726"/>
      <c r="BA574" s="726"/>
      <c r="BB574" s="726"/>
      <c r="BC574" s="726"/>
      <c r="BD574" s="726"/>
      <c r="BE574" s="726"/>
      <c r="BF574" s="726"/>
      <c r="BG574" s="726"/>
      <c r="BH574" s="726"/>
      <c r="BI574" s="726"/>
      <c r="BJ574" s="726"/>
      <c r="BK574" s="726"/>
      <c r="BL574" s="726"/>
      <c r="BM574" s="726"/>
      <c r="BN574" s="726"/>
      <c r="BO574" s="726"/>
      <c r="BP574" s="726"/>
      <c r="BQ574" s="726"/>
      <c r="BR574" s="726"/>
      <c r="BS574" s="726"/>
    </row>
    <row r="575" spans="1:71" s="563" customFormat="1">
      <c r="A575" s="614"/>
      <c r="E575" s="565"/>
      <c r="F575" s="565"/>
      <c r="Q575" s="726"/>
      <c r="R575" s="726"/>
      <c r="S575" s="726"/>
      <c r="T575" s="726"/>
      <c r="U575" s="726"/>
      <c r="V575" s="726"/>
      <c r="W575" s="726"/>
      <c r="X575" s="726"/>
      <c r="Y575" s="726"/>
      <c r="Z575" s="726"/>
      <c r="AA575" s="726"/>
      <c r="AB575" s="726"/>
      <c r="AC575" s="726"/>
      <c r="AD575" s="726"/>
      <c r="AE575" s="726"/>
      <c r="AF575" s="726"/>
      <c r="AG575" s="726"/>
      <c r="AH575" s="726"/>
      <c r="AI575" s="726"/>
      <c r="AJ575" s="726"/>
      <c r="AK575" s="726"/>
      <c r="AL575" s="726"/>
      <c r="AM575" s="726"/>
      <c r="AN575" s="726"/>
      <c r="AO575" s="726"/>
      <c r="AP575" s="726"/>
      <c r="AQ575" s="726"/>
      <c r="AR575" s="726"/>
      <c r="AS575" s="726"/>
      <c r="AT575" s="726"/>
      <c r="AU575" s="726"/>
      <c r="AV575" s="726"/>
      <c r="AW575" s="726"/>
      <c r="AX575" s="726"/>
      <c r="AY575" s="726"/>
      <c r="AZ575" s="726"/>
      <c r="BA575" s="726"/>
      <c r="BB575" s="726"/>
      <c r="BC575" s="726"/>
      <c r="BD575" s="726"/>
      <c r="BE575" s="726"/>
      <c r="BF575" s="726"/>
      <c r="BG575" s="726"/>
      <c r="BH575" s="726"/>
      <c r="BI575" s="726"/>
      <c r="BJ575" s="726"/>
      <c r="BK575" s="726"/>
      <c r="BL575" s="726"/>
      <c r="BM575" s="726"/>
      <c r="BN575" s="726"/>
      <c r="BO575" s="726"/>
      <c r="BP575" s="726"/>
      <c r="BQ575" s="726"/>
      <c r="BR575" s="726"/>
      <c r="BS575" s="726"/>
    </row>
    <row r="576" spans="1:71" s="563" customFormat="1">
      <c r="A576" s="614"/>
      <c r="E576" s="565"/>
      <c r="F576" s="565"/>
      <c r="Q576" s="726"/>
      <c r="R576" s="726"/>
      <c r="S576" s="726"/>
      <c r="T576" s="726"/>
      <c r="U576" s="726"/>
      <c r="V576" s="726"/>
      <c r="W576" s="726"/>
      <c r="X576" s="726"/>
      <c r="Y576" s="726"/>
      <c r="Z576" s="726"/>
      <c r="AA576" s="726"/>
      <c r="AB576" s="726"/>
      <c r="AC576" s="726"/>
      <c r="AD576" s="726"/>
      <c r="AE576" s="726"/>
      <c r="AF576" s="726"/>
      <c r="AG576" s="726"/>
      <c r="AH576" s="726"/>
      <c r="AI576" s="726"/>
      <c r="AJ576" s="726"/>
      <c r="AK576" s="726"/>
      <c r="AL576" s="726"/>
      <c r="AM576" s="726"/>
      <c r="AN576" s="726"/>
      <c r="AO576" s="726"/>
      <c r="AP576" s="726"/>
      <c r="AQ576" s="726"/>
      <c r="AR576" s="726"/>
      <c r="AS576" s="726"/>
      <c r="AT576" s="726"/>
      <c r="AU576" s="726"/>
      <c r="AV576" s="726"/>
      <c r="AW576" s="726"/>
      <c r="AX576" s="726"/>
      <c r="AY576" s="726"/>
      <c r="AZ576" s="726"/>
      <c r="BA576" s="726"/>
      <c r="BB576" s="726"/>
      <c r="BC576" s="726"/>
      <c r="BD576" s="726"/>
      <c r="BE576" s="726"/>
      <c r="BF576" s="726"/>
      <c r="BG576" s="726"/>
      <c r="BH576" s="726"/>
      <c r="BI576" s="726"/>
      <c r="BJ576" s="726"/>
      <c r="BK576" s="726"/>
      <c r="BL576" s="726"/>
      <c r="BM576" s="726"/>
      <c r="BN576" s="726"/>
      <c r="BO576" s="726"/>
      <c r="BP576" s="726"/>
      <c r="BQ576" s="726"/>
      <c r="BR576" s="726"/>
      <c r="BS576" s="726"/>
    </row>
    <row r="577" spans="1:71" s="563" customFormat="1">
      <c r="A577" s="614"/>
      <c r="E577" s="565"/>
      <c r="F577" s="565"/>
      <c r="Q577" s="726"/>
      <c r="R577" s="726"/>
      <c r="S577" s="726"/>
      <c r="T577" s="726"/>
      <c r="U577" s="726"/>
      <c r="V577" s="726"/>
      <c r="W577" s="726"/>
      <c r="X577" s="726"/>
      <c r="Y577" s="726"/>
      <c r="Z577" s="726"/>
      <c r="AA577" s="726"/>
      <c r="AB577" s="726"/>
      <c r="AC577" s="726"/>
      <c r="AD577" s="726"/>
      <c r="AE577" s="726"/>
      <c r="AF577" s="726"/>
      <c r="AG577" s="726"/>
      <c r="AH577" s="726"/>
      <c r="AI577" s="726"/>
      <c r="AJ577" s="726"/>
      <c r="AK577" s="726"/>
      <c r="AL577" s="726"/>
      <c r="AM577" s="726"/>
      <c r="AN577" s="726"/>
      <c r="AO577" s="726"/>
      <c r="AP577" s="726"/>
      <c r="AQ577" s="726"/>
      <c r="AR577" s="726"/>
      <c r="AS577" s="726"/>
      <c r="AT577" s="726"/>
      <c r="AU577" s="726"/>
      <c r="AV577" s="726"/>
      <c r="AW577" s="726"/>
      <c r="AX577" s="726"/>
      <c r="AY577" s="726"/>
      <c r="AZ577" s="726"/>
      <c r="BA577" s="726"/>
      <c r="BB577" s="726"/>
      <c r="BC577" s="726"/>
      <c r="BD577" s="726"/>
      <c r="BE577" s="726"/>
      <c r="BF577" s="726"/>
      <c r="BG577" s="726"/>
      <c r="BH577" s="726"/>
      <c r="BI577" s="726"/>
      <c r="BJ577" s="726"/>
      <c r="BK577" s="726"/>
      <c r="BL577" s="726"/>
      <c r="BM577" s="726"/>
      <c r="BN577" s="726"/>
      <c r="BO577" s="726"/>
      <c r="BP577" s="726"/>
      <c r="BQ577" s="726"/>
      <c r="BR577" s="726"/>
      <c r="BS577" s="726"/>
    </row>
    <row r="578" spans="1:71" s="563" customFormat="1">
      <c r="A578" s="614"/>
      <c r="E578" s="565"/>
      <c r="F578" s="565"/>
      <c r="Q578" s="726"/>
      <c r="R578" s="726"/>
      <c r="S578" s="726"/>
      <c r="T578" s="726"/>
      <c r="U578" s="726"/>
      <c r="V578" s="726"/>
      <c r="W578" s="726"/>
      <c r="X578" s="726"/>
      <c r="Y578" s="726"/>
      <c r="Z578" s="726"/>
      <c r="AA578" s="726"/>
      <c r="AB578" s="726"/>
      <c r="AC578" s="726"/>
      <c r="AD578" s="726"/>
      <c r="AE578" s="726"/>
      <c r="AF578" s="726"/>
      <c r="AG578" s="726"/>
      <c r="AH578" s="726"/>
      <c r="AI578" s="726"/>
      <c r="AJ578" s="726"/>
      <c r="AK578" s="726"/>
      <c r="AL578" s="726"/>
      <c r="AM578" s="726"/>
      <c r="AN578" s="726"/>
      <c r="AO578" s="726"/>
      <c r="AP578" s="726"/>
      <c r="AQ578" s="726"/>
      <c r="AR578" s="726"/>
      <c r="AS578" s="726"/>
      <c r="AT578" s="726"/>
      <c r="AU578" s="726"/>
      <c r="AV578" s="726"/>
      <c r="AW578" s="726"/>
      <c r="AX578" s="726"/>
      <c r="AY578" s="726"/>
      <c r="AZ578" s="726"/>
      <c r="BA578" s="726"/>
      <c r="BB578" s="726"/>
      <c r="BC578" s="726"/>
      <c r="BD578" s="726"/>
      <c r="BE578" s="726"/>
      <c r="BF578" s="726"/>
      <c r="BG578" s="726"/>
      <c r="BH578" s="726"/>
      <c r="BI578" s="726"/>
      <c r="BJ578" s="726"/>
      <c r="BK578" s="726"/>
      <c r="BL578" s="726"/>
      <c r="BM578" s="726"/>
      <c r="BN578" s="726"/>
      <c r="BO578" s="726"/>
      <c r="BP578" s="726"/>
      <c r="BQ578" s="726"/>
      <c r="BR578" s="726"/>
      <c r="BS578" s="726"/>
    </row>
    <row r="579" spans="1:71" s="563" customFormat="1">
      <c r="A579" s="614"/>
      <c r="E579" s="565"/>
      <c r="F579" s="565"/>
      <c r="Q579" s="726"/>
      <c r="R579" s="726"/>
      <c r="S579" s="726"/>
      <c r="T579" s="726"/>
      <c r="U579" s="726"/>
      <c r="V579" s="726"/>
      <c r="W579" s="726"/>
      <c r="X579" s="726"/>
      <c r="Y579" s="726"/>
      <c r="Z579" s="726"/>
      <c r="AA579" s="726"/>
      <c r="AB579" s="726"/>
      <c r="AC579" s="726"/>
      <c r="AD579" s="726"/>
      <c r="AE579" s="726"/>
      <c r="AF579" s="726"/>
      <c r="AG579" s="726"/>
      <c r="AH579" s="726"/>
      <c r="AI579" s="726"/>
      <c r="AJ579" s="726"/>
      <c r="AK579" s="726"/>
      <c r="AL579" s="726"/>
      <c r="AM579" s="726"/>
      <c r="AN579" s="726"/>
      <c r="AO579" s="726"/>
      <c r="AP579" s="726"/>
      <c r="AQ579" s="726"/>
      <c r="AR579" s="726"/>
      <c r="AS579" s="726"/>
      <c r="AT579" s="726"/>
      <c r="AU579" s="726"/>
      <c r="AV579" s="726"/>
      <c r="AW579" s="726"/>
      <c r="AX579" s="726"/>
      <c r="AY579" s="726"/>
      <c r="AZ579" s="726"/>
      <c r="BA579" s="726"/>
      <c r="BB579" s="726"/>
      <c r="BC579" s="726"/>
      <c r="BD579" s="726"/>
      <c r="BE579" s="726"/>
      <c r="BF579" s="726"/>
      <c r="BG579" s="726"/>
      <c r="BH579" s="726"/>
      <c r="BI579" s="726"/>
      <c r="BJ579" s="726"/>
      <c r="BK579" s="726"/>
      <c r="BL579" s="726"/>
      <c r="BM579" s="726"/>
      <c r="BN579" s="726"/>
      <c r="BO579" s="726"/>
      <c r="BP579" s="726"/>
      <c r="BQ579" s="726"/>
      <c r="BR579" s="726"/>
      <c r="BS579" s="726"/>
    </row>
    <row r="580" spans="1:71" s="563" customFormat="1">
      <c r="A580" s="614"/>
      <c r="E580" s="565"/>
      <c r="F580" s="565"/>
      <c r="Q580" s="726"/>
      <c r="R580" s="726"/>
      <c r="S580" s="726"/>
      <c r="T580" s="726"/>
      <c r="U580" s="726"/>
      <c r="V580" s="726"/>
      <c r="W580" s="726"/>
      <c r="X580" s="726"/>
      <c r="Y580" s="726"/>
      <c r="Z580" s="726"/>
      <c r="AA580" s="726"/>
      <c r="AB580" s="726"/>
      <c r="AC580" s="726"/>
      <c r="AD580" s="726"/>
      <c r="AE580" s="726"/>
      <c r="AF580" s="726"/>
      <c r="AG580" s="726"/>
      <c r="AH580" s="726"/>
      <c r="AI580" s="726"/>
      <c r="AJ580" s="726"/>
      <c r="AK580" s="726"/>
      <c r="AL580" s="726"/>
      <c r="AM580" s="726"/>
      <c r="AN580" s="726"/>
      <c r="AO580" s="726"/>
      <c r="AP580" s="726"/>
      <c r="AQ580" s="726"/>
      <c r="AR580" s="726"/>
      <c r="AS580" s="726"/>
      <c r="AT580" s="726"/>
      <c r="AU580" s="726"/>
      <c r="AV580" s="726"/>
      <c r="AW580" s="726"/>
      <c r="AX580" s="726"/>
      <c r="AY580" s="726"/>
      <c r="AZ580" s="726"/>
      <c r="BA580" s="726"/>
      <c r="BB580" s="726"/>
      <c r="BC580" s="726"/>
      <c r="BD580" s="726"/>
      <c r="BE580" s="726"/>
      <c r="BF580" s="726"/>
      <c r="BG580" s="726"/>
      <c r="BH580" s="726"/>
      <c r="BI580" s="726"/>
      <c r="BJ580" s="726"/>
      <c r="BK580" s="726"/>
      <c r="BL580" s="726"/>
      <c r="BM580" s="726"/>
      <c r="BN580" s="726"/>
      <c r="BO580" s="726"/>
      <c r="BP580" s="726"/>
      <c r="BQ580" s="726"/>
      <c r="BR580" s="726"/>
      <c r="BS580" s="726"/>
    </row>
    <row r="581" spans="1:71" s="563" customFormat="1">
      <c r="A581" s="614"/>
      <c r="E581" s="565"/>
      <c r="F581" s="565"/>
      <c r="Q581" s="726"/>
      <c r="R581" s="726"/>
      <c r="S581" s="726"/>
      <c r="T581" s="726"/>
      <c r="U581" s="726"/>
      <c r="V581" s="726"/>
      <c r="W581" s="726"/>
      <c r="X581" s="726"/>
      <c r="Y581" s="726"/>
      <c r="Z581" s="726"/>
      <c r="AA581" s="726"/>
      <c r="AB581" s="726"/>
      <c r="AC581" s="726"/>
      <c r="AD581" s="726"/>
      <c r="AE581" s="726"/>
      <c r="AF581" s="726"/>
      <c r="AG581" s="726"/>
      <c r="AH581" s="726"/>
      <c r="AI581" s="726"/>
      <c r="AJ581" s="726"/>
      <c r="AK581" s="726"/>
      <c r="AL581" s="726"/>
      <c r="AM581" s="726"/>
      <c r="AN581" s="726"/>
      <c r="AO581" s="726"/>
      <c r="AP581" s="726"/>
      <c r="AQ581" s="726"/>
      <c r="AR581" s="726"/>
      <c r="AS581" s="726"/>
      <c r="AT581" s="726"/>
      <c r="AU581" s="726"/>
      <c r="AV581" s="726"/>
      <c r="AW581" s="726"/>
      <c r="AX581" s="726"/>
      <c r="AY581" s="726"/>
      <c r="AZ581" s="726"/>
      <c r="BA581" s="726"/>
      <c r="BB581" s="726"/>
      <c r="BC581" s="726"/>
      <c r="BD581" s="726"/>
      <c r="BE581" s="726"/>
      <c r="BF581" s="726"/>
      <c r="BG581" s="726"/>
      <c r="BH581" s="726"/>
      <c r="BI581" s="726"/>
      <c r="BJ581" s="726"/>
      <c r="BK581" s="726"/>
      <c r="BL581" s="726"/>
      <c r="BM581" s="726"/>
      <c r="BN581" s="726"/>
      <c r="BO581" s="726"/>
      <c r="BP581" s="726"/>
      <c r="BQ581" s="726"/>
      <c r="BR581" s="726"/>
      <c r="BS581" s="726"/>
    </row>
    <row r="582" spans="1:71" s="563" customFormat="1">
      <c r="A582" s="614"/>
      <c r="E582" s="565"/>
      <c r="F582" s="565"/>
      <c r="Q582" s="726"/>
      <c r="R582" s="726"/>
      <c r="S582" s="726"/>
      <c r="T582" s="726"/>
      <c r="U582" s="726"/>
      <c r="V582" s="726"/>
      <c r="W582" s="726"/>
      <c r="X582" s="726"/>
      <c r="Y582" s="726"/>
      <c r="Z582" s="726"/>
      <c r="AA582" s="726"/>
      <c r="AB582" s="726"/>
      <c r="AC582" s="726"/>
      <c r="AD582" s="726"/>
      <c r="AE582" s="726"/>
      <c r="AF582" s="726"/>
      <c r="AG582" s="726"/>
      <c r="AH582" s="726"/>
      <c r="AI582" s="726"/>
      <c r="AJ582" s="726"/>
      <c r="AK582" s="726"/>
      <c r="AL582" s="726"/>
      <c r="AM582" s="726"/>
      <c r="AN582" s="726"/>
      <c r="AO582" s="726"/>
      <c r="AP582" s="726"/>
      <c r="AQ582" s="726"/>
      <c r="AR582" s="726"/>
      <c r="AS582" s="726"/>
      <c r="AT582" s="726"/>
      <c r="AU582" s="726"/>
      <c r="AV582" s="726"/>
      <c r="AW582" s="726"/>
      <c r="AX582" s="726"/>
      <c r="AY582" s="726"/>
      <c r="AZ582" s="726"/>
      <c r="BA582" s="726"/>
      <c r="BB582" s="726"/>
      <c r="BC582" s="726"/>
      <c r="BD582" s="726"/>
      <c r="BE582" s="726"/>
      <c r="BF582" s="726"/>
      <c r="BG582" s="726"/>
      <c r="BH582" s="726"/>
      <c r="BI582" s="726"/>
      <c r="BJ582" s="726"/>
      <c r="BK582" s="726"/>
      <c r="BL582" s="726"/>
      <c r="BM582" s="726"/>
      <c r="BN582" s="726"/>
      <c r="BO582" s="726"/>
      <c r="BP582" s="726"/>
      <c r="BQ582" s="726"/>
      <c r="BR582" s="726"/>
      <c r="BS582" s="726"/>
    </row>
    <row r="583" spans="1:71" s="563" customFormat="1">
      <c r="A583" s="614"/>
      <c r="E583" s="565"/>
      <c r="F583" s="565"/>
      <c r="Q583" s="726"/>
      <c r="R583" s="726"/>
      <c r="S583" s="726"/>
      <c r="T583" s="726"/>
      <c r="U583" s="726"/>
      <c r="V583" s="726"/>
      <c r="W583" s="726"/>
      <c r="X583" s="726"/>
      <c r="Y583" s="726"/>
      <c r="Z583" s="726"/>
      <c r="AA583" s="726"/>
      <c r="AB583" s="726"/>
      <c r="AC583" s="726"/>
      <c r="AD583" s="726"/>
      <c r="AE583" s="726"/>
      <c r="AF583" s="726"/>
      <c r="AG583" s="726"/>
      <c r="AH583" s="726"/>
      <c r="AI583" s="726"/>
      <c r="AJ583" s="726"/>
      <c r="AK583" s="726"/>
      <c r="AL583" s="726"/>
      <c r="AM583" s="726"/>
      <c r="AN583" s="726"/>
      <c r="AO583" s="726"/>
      <c r="AP583" s="726"/>
      <c r="AQ583" s="726"/>
      <c r="AR583" s="726"/>
      <c r="AS583" s="726"/>
      <c r="AT583" s="726"/>
      <c r="AU583" s="726"/>
      <c r="AV583" s="726"/>
      <c r="AW583" s="726"/>
      <c r="AX583" s="726"/>
      <c r="AY583" s="726"/>
      <c r="AZ583" s="726"/>
      <c r="BA583" s="726"/>
      <c r="BB583" s="726"/>
      <c r="BC583" s="726"/>
      <c r="BD583" s="726"/>
      <c r="BE583" s="726"/>
      <c r="BF583" s="726"/>
      <c r="BG583" s="726"/>
      <c r="BH583" s="726"/>
      <c r="BI583" s="726"/>
      <c r="BJ583" s="726"/>
      <c r="BK583" s="726"/>
      <c r="BL583" s="726"/>
      <c r="BM583" s="726"/>
      <c r="BN583" s="726"/>
      <c r="BO583" s="726"/>
      <c r="BP583" s="726"/>
      <c r="BQ583" s="726"/>
      <c r="BR583" s="726"/>
      <c r="BS583" s="726"/>
    </row>
    <row r="584" spans="1:71" s="563" customFormat="1">
      <c r="A584" s="614"/>
      <c r="E584" s="565"/>
      <c r="F584" s="565"/>
      <c r="Q584" s="726"/>
      <c r="R584" s="726"/>
      <c r="S584" s="726"/>
      <c r="T584" s="726"/>
      <c r="U584" s="726"/>
      <c r="V584" s="726"/>
      <c r="W584" s="726"/>
      <c r="X584" s="726"/>
      <c r="Y584" s="726"/>
      <c r="Z584" s="726"/>
      <c r="AA584" s="726"/>
      <c r="AB584" s="726"/>
      <c r="AC584" s="726"/>
      <c r="AD584" s="726"/>
      <c r="AE584" s="726"/>
      <c r="AF584" s="726"/>
      <c r="AG584" s="726"/>
      <c r="AH584" s="726"/>
      <c r="AI584" s="726"/>
      <c r="AJ584" s="726"/>
      <c r="AK584" s="726"/>
      <c r="AL584" s="726"/>
      <c r="AM584" s="726"/>
      <c r="AN584" s="726"/>
      <c r="AO584" s="726"/>
      <c r="AP584" s="726"/>
      <c r="AQ584" s="726"/>
      <c r="AR584" s="726"/>
      <c r="AS584" s="726"/>
      <c r="AT584" s="726"/>
      <c r="AU584" s="726"/>
      <c r="AV584" s="726"/>
      <c r="AW584" s="726"/>
      <c r="AX584" s="726"/>
      <c r="AY584" s="726"/>
      <c r="AZ584" s="726"/>
      <c r="BA584" s="726"/>
      <c r="BB584" s="726"/>
      <c r="BC584" s="726"/>
      <c r="BD584" s="726"/>
      <c r="BE584" s="726"/>
      <c r="BF584" s="726"/>
      <c r="BG584" s="726"/>
      <c r="BH584" s="726"/>
      <c r="BI584" s="726"/>
      <c r="BJ584" s="726"/>
      <c r="BK584" s="726"/>
      <c r="BL584" s="726"/>
      <c r="BM584" s="726"/>
      <c r="BN584" s="726"/>
      <c r="BO584" s="726"/>
      <c r="BP584" s="726"/>
      <c r="BQ584" s="726"/>
      <c r="BR584" s="726"/>
      <c r="BS584" s="726"/>
    </row>
    <row r="585" spans="1:71" s="563" customFormat="1">
      <c r="A585" s="614"/>
      <c r="E585" s="565"/>
      <c r="F585" s="565"/>
      <c r="Q585" s="726"/>
      <c r="R585" s="726"/>
      <c r="S585" s="726"/>
      <c r="T585" s="726"/>
      <c r="U585" s="726"/>
      <c r="V585" s="726"/>
      <c r="W585" s="726"/>
      <c r="X585" s="726"/>
      <c r="Y585" s="726"/>
      <c r="Z585" s="726"/>
      <c r="AA585" s="726"/>
      <c r="AB585" s="726"/>
      <c r="AC585" s="726"/>
      <c r="AD585" s="726"/>
      <c r="AE585" s="726"/>
      <c r="AF585" s="726"/>
      <c r="AG585" s="726"/>
      <c r="AH585" s="726"/>
      <c r="AI585" s="726"/>
      <c r="AJ585" s="726"/>
      <c r="AK585" s="726"/>
      <c r="AL585" s="726"/>
      <c r="AM585" s="726"/>
      <c r="AN585" s="726"/>
      <c r="AO585" s="726"/>
      <c r="AP585" s="726"/>
      <c r="AQ585" s="726"/>
      <c r="AR585" s="726"/>
      <c r="AS585" s="726"/>
      <c r="AT585" s="726"/>
      <c r="AU585" s="726"/>
      <c r="AV585" s="726"/>
      <c r="AW585" s="726"/>
      <c r="AX585" s="726"/>
      <c r="AY585" s="726"/>
      <c r="AZ585" s="726"/>
      <c r="BA585" s="726"/>
      <c r="BB585" s="726"/>
      <c r="BC585" s="726"/>
      <c r="BD585" s="726"/>
      <c r="BE585" s="726"/>
      <c r="BF585" s="726"/>
      <c r="BG585" s="726"/>
      <c r="BH585" s="726"/>
      <c r="BI585" s="726"/>
      <c r="BJ585" s="726"/>
      <c r="BK585" s="726"/>
      <c r="BL585" s="726"/>
      <c r="BM585" s="726"/>
      <c r="BN585" s="726"/>
      <c r="BO585" s="726"/>
      <c r="BP585" s="726"/>
      <c r="BQ585" s="726"/>
      <c r="BR585" s="726"/>
      <c r="BS585" s="726"/>
    </row>
    <row r="586" spans="1:71" s="563" customFormat="1">
      <c r="A586" s="614"/>
      <c r="E586" s="565"/>
      <c r="F586" s="565"/>
      <c r="Q586" s="726"/>
      <c r="R586" s="726"/>
      <c r="S586" s="726"/>
      <c r="T586" s="726"/>
      <c r="U586" s="726"/>
      <c r="V586" s="726"/>
      <c r="W586" s="726"/>
      <c r="X586" s="726"/>
      <c r="Y586" s="726"/>
      <c r="Z586" s="726"/>
      <c r="AA586" s="726"/>
      <c r="AB586" s="726"/>
      <c r="AC586" s="726"/>
      <c r="AD586" s="726"/>
      <c r="AE586" s="726"/>
      <c r="AF586" s="726"/>
      <c r="AG586" s="726"/>
      <c r="AH586" s="726"/>
      <c r="AI586" s="726"/>
      <c r="AJ586" s="726"/>
      <c r="AK586" s="726"/>
      <c r="AL586" s="726"/>
      <c r="AM586" s="726"/>
      <c r="AN586" s="726"/>
      <c r="AO586" s="726"/>
      <c r="AP586" s="726"/>
      <c r="AQ586" s="726"/>
      <c r="AR586" s="726"/>
      <c r="AS586" s="726"/>
      <c r="AT586" s="726"/>
      <c r="AU586" s="726"/>
      <c r="AV586" s="726"/>
      <c r="AW586" s="726"/>
      <c r="AX586" s="726"/>
      <c r="AY586" s="726"/>
      <c r="AZ586" s="726"/>
      <c r="BA586" s="726"/>
      <c r="BB586" s="726"/>
      <c r="BC586" s="726"/>
      <c r="BD586" s="726"/>
      <c r="BE586" s="726"/>
      <c r="BF586" s="726"/>
      <c r="BG586" s="726"/>
      <c r="BH586" s="726"/>
      <c r="BI586" s="726"/>
      <c r="BJ586" s="726"/>
      <c r="BK586" s="726"/>
      <c r="BL586" s="726"/>
      <c r="BM586" s="726"/>
      <c r="BN586" s="726"/>
      <c r="BO586" s="726"/>
      <c r="BP586" s="726"/>
      <c r="BQ586" s="726"/>
      <c r="BR586" s="726"/>
      <c r="BS586" s="726"/>
    </row>
    <row r="587" spans="1:71" s="563" customFormat="1">
      <c r="A587" s="614"/>
      <c r="E587" s="565"/>
      <c r="F587" s="565"/>
      <c r="Q587" s="726"/>
      <c r="R587" s="726"/>
      <c r="S587" s="726"/>
      <c r="T587" s="726"/>
      <c r="U587" s="726"/>
      <c r="V587" s="726"/>
      <c r="W587" s="726"/>
      <c r="X587" s="726"/>
      <c r="Y587" s="726"/>
      <c r="Z587" s="726"/>
      <c r="AA587" s="726"/>
      <c r="AB587" s="726"/>
      <c r="AC587" s="726"/>
      <c r="AD587" s="726"/>
      <c r="AE587" s="726"/>
      <c r="AF587" s="726"/>
      <c r="AG587" s="726"/>
      <c r="AH587" s="726"/>
      <c r="AI587" s="726"/>
      <c r="AJ587" s="726"/>
      <c r="AK587" s="726"/>
      <c r="AL587" s="726"/>
      <c r="AM587" s="726"/>
      <c r="AN587" s="726"/>
      <c r="AO587" s="726"/>
      <c r="AP587" s="726"/>
      <c r="AQ587" s="726"/>
      <c r="AR587" s="726"/>
      <c r="AS587" s="726"/>
      <c r="AT587" s="726"/>
      <c r="AU587" s="726"/>
      <c r="AV587" s="726"/>
      <c r="AW587" s="726"/>
      <c r="AX587" s="726"/>
      <c r="AY587" s="726"/>
      <c r="AZ587" s="726"/>
      <c r="BA587" s="726"/>
      <c r="BB587" s="726"/>
      <c r="BC587" s="726"/>
      <c r="BD587" s="726"/>
      <c r="BE587" s="726"/>
      <c r="BF587" s="726"/>
      <c r="BG587" s="726"/>
      <c r="BH587" s="726"/>
      <c r="BI587" s="726"/>
      <c r="BJ587" s="726"/>
      <c r="BK587" s="726"/>
      <c r="BL587" s="726"/>
      <c r="BM587" s="726"/>
      <c r="BN587" s="726"/>
      <c r="BO587" s="726"/>
      <c r="BP587" s="726"/>
      <c r="BQ587" s="726"/>
      <c r="BR587" s="726"/>
      <c r="BS587" s="726"/>
    </row>
    <row r="588" spans="1:71" s="563" customFormat="1">
      <c r="A588" s="614"/>
      <c r="E588" s="565"/>
      <c r="F588" s="565"/>
      <c r="Q588" s="726"/>
      <c r="R588" s="726"/>
      <c r="S588" s="726"/>
      <c r="T588" s="726"/>
      <c r="U588" s="726"/>
      <c r="V588" s="726"/>
      <c r="W588" s="726"/>
      <c r="X588" s="726"/>
      <c r="Y588" s="726"/>
      <c r="Z588" s="726"/>
      <c r="AA588" s="726"/>
      <c r="AB588" s="726"/>
      <c r="AC588" s="726"/>
      <c r="AD588" s="726"/>
      <c r="AE588" s="726"/>
      <c r="AF588" s="726"/>
      <c r="AG588" s="726"/>
      <c r="AH588" s="726"/>
      <c r="AI588" s="726"/>
      <c r="AJ588" s="726"/>
      <c r="AK588" s="726"/>
      <c r="AL588" s="726"/>
      <c r="AM588" s="726"/>
      <c r="AN588" s="726"/>
      <c r="AO588" s="726"/>
      <c r="AP588" s="726"/>
      <c r="AQ588" s="726"/>
      <c r="AR588" s="726"/>
      <c r="AS588" s="726"/>
      <c r="AT588" s="726"/>
      <c r="AU588" s="726"/>
      <c r="AV588" s="726"/>
      <c r="AW588" s="726"/>
      <c r="AX588" s="726"/>
      <c r="AY588" s="726"/>
      <c r="AZ588" s="726"/>
      <c r="BA588" s="726"/>
      <c r="BB588" s="726"/>
      <c r="BC588" s="726"/>
      <c r="BD588" s="726"/>
      <c r="BE588" s="726"/>
      <c r="BF588" s="726"/>
      <c r="BG588" s="726"/>
      <c r="BH588" s="726"/>
      <c r="BI588" s="726"/>
      <c r="BJ588" s="726"/>
      <c r="BK588" s="726"/>
      <c r="BL588" s="726"/>
      <c r="BM588" s="726"/>
      <c r="BN588" s="726"/>
      <c r="BO588" s="726"/>
      <c r="BP588" s="726"/>
      <c r="BQ588" s="726"/>
      <c r="BR588" s="726"/>
      <c r="BS588" s="726"/>
    </row>
    <row r="589" spans="1:71" s="563" customFormat="1">
      <c r="A589" s="614"/>
      <c r="E589" s="565"/>
      <c r="F589" s="565"/>
      <c r="Q589" s="726"/>
      <c r="R589" s="726"/>
      <c r="S589" s="726"/>
      <c r="T589" s="726"/>
      <c r="U589" s="726"/>
      <c r="V589" s="726"/>
      <c r="W589" s="726"/>
      <c r="X589" s="726"/>
      <c r="Y589" s="726"/>
      <c r="Z589" s="726"/>
      <c r="AA589" s="726"/>
      <c r="AB589" s="726"/>
      <c r="AC589" s="726"/>
      <c r="AD589" s="726"/>
      <c r="AE589" s="726"/>
      <c r="AF589" s="726"/>
      <c r="AG589" s="726"/>
      <c r="AH589" s="726"/>
      <c r="AI589" s="726"/>
      <c r="AJ589" s="726"/>
      <c r="AK589" s="726"/>
      <c r="AL589" s="726"/>
      <c r="AM589" s="726"/>
      <c r="AN589" s="726"/>
      <c r="AO589" s="726"/>
      <c r="AP589" s="726"/>
      <c r="AQ589" s="726"/>
      <c r="AR589" s="726"/>
      <c r="AS589" s="726"/>
      <c r="AT589" s="726"/>
      <c r="AU589" s="726"/>
      <c r="AV589" s="726"/>
      <c r="AW589" s="726"/>
      <c r="AX589" s="726"/>
      <c r="AY589" s="726"/>
      <c r="AZ589" s="726"/>
      <c r="BA589" s="726"/>
      <c r="BB589" s="726"/>
      <c r="BC589" s="726"/>
      <c r="BD589" s="726"/>
      <c r="BE589" s="726"/>
      <c r="BF589" s="726"/>
      <c r="BG589" s="726"/>
      <c r="BH589" s="726"/>
      <c r="BI589" s="726"/>
      <c r="BJ589" s="726"/>
      <c r="BK589" s="726"/>
      <c r="BL589" s="726"/>
      <c r="BM589" s="726"/>
      <c r="BN589" s="726"/>
      <c r="BO589" s="726"/>
      <c r="BP589" s="726"/>
      <c r="BQ589" s="726"/>
      <c r="BR589" s="726"/>
      <c r="BS589" s="726"/>
    </row>
    <row r="590" spans="1:71" s="563" customFormat="1">
      <c r="A590" s="614"/>
      <c r="E590" s="565"/>
      <c r="F590" s="565"/>
      <c r="Q590" s="726"/>
      <c r="R590" s="726"/>
      <c r="S590" s="726"/>
      <c r="T590" s="726"/>
      <c r="U590" s="726"/>
      <c r="V590" s="726"/>
      <c r="W590" s="726"/>
      <c r="X590" s="726"/>
      <c r="Y590" s="726"/>
      <c r="Z590" s="726"/>
      <c r="AA590" s="726"/>
      <c r="AB590" s="726"/>
      <c r="AC590" s="726"/>
      <c r="AD590" s="726"/>
      <c r="AE590" s="726"/>
      <c r="AF590" s="726"/>
      <c r="AG590" s="726"/>
      <c r="AH590" s="726"/>
      <c r="AI590" s="726"/>
      <c r="AJ590" s="726"/>
      <c r="AK590" s="726"/>
      <c r="AL590" s="726"/>
      <c r="AM590" s="726"/>
      <c r="AN590" s="726"/>
      <c r="AO590" s="726"/>
      <c r="AP590" s="726"/>
      <c r="AQ590" s="726"/>
      <c r="AR590" s="726"/>
      <c r="AS590" s="726"/>
      <c r="AT590" s="726"/>
      <c r="AU590" s="726"/>
      <c r="AV590" s="726"/>
      <c r="AW590" s="726"/>
      <c r="AX590" s="726"/>
      <c r="AY590" s="726"/>
      <c r="AZ590" s="726"/>
      <c r="BA590" s="726"/>
      <c r="BB590" s="726"/>
      <c r="BC590" s="726"/>
      <c r="BD590" s="726"/>
      <c r="BE590" s="726"/>
      <c r="BF590" s="726"/>
      <c r="BG590" s="726"/>
      <c r="BH590" s="726"/>
      <c r="BI590" s="726"/>
      <c r="BJ590" s="726"/>
      <c r="BK590" s="726"/>
      <c r="BL590" s="726"/>
      <c r="BM590" s="726"/>
      <c r="BN590" s="726"/>
      <c r="BO590" s="726"/>
      <c r="BP590" s="726"/>
      <c r="BQ590" s="726"/>
      <c r="BR590" s="726"/>
      <c r="BS590" s="726"/>
    </row>
    <row r="591" spans="1:71" s="563" customFormat="1">
      <c r="A591" s="614"/>
      <c r="E591" s="565"/>
      <c r="F591" s="565"/>
      <c r="Q591" s="726"/>
      <c r="R591" s="726"/>
      <c r="S591" s="726"/>
      <c r="T591" s="726"/>
      <c r="U591" s="726"/>
      <c r="V591" s="726"/>
      <c r="W591" s="726"/>
      <c r="X591" s="726"/>
      <c r="Y591" s="726"/>
      <c r="Z591" s="726"/>
      <c r="AA591" s="726"/>
      <c r="AB591" s="726"/>
      <c r="AC591" s="726"/>
      <c r="AD591" s="726"/>
      <c r="AE591" s="726"/>
      <c r="AF591" s="726"/>
      <c r="AG591" s="726"/>
      <c r="AH591" s="726"/>
      <c r="AI591" s="726"/>
      <c r="AJ591" s="726"/>
      <c r="AK591" s="726"/>
      <c r="AL591" s="726"/>
      <c r="AM591" s="726"/>
      <c r="AN591" s="726"/>
      <c r="AO591" s="726"/>
      <c r="AP591" s="726"/>
      <c r="AQ591" s="726"/>
      <c r="AR591" s="726"/>
      <c r="AS591" s="726"/>
      <c r="AT591" s="726"/>
      <c r="AU591" s="726"/>
      <c r="AV591" s="726"/>
      <c r="AW591" s="726"/>
      <c r="AX591" s="726"/>
      <c r="AY591" s="726"/>
      <c r="AZ591" s="726"/>
      <c r="BA591" s="726"/>
      <c r="BB591" s="726"/>
      <c r="BC591" s="726"/>
      <c r="BD591" s="726"/>
      <c r="BE591" s="726"/>
      <c r="BF591" s="726"/>
      <c r="BG591" s="726"/>
      <c r="BH591" s="726"/>
      <c r="BI591" s="726"/>
      <c r="BJ591" s="726"/>
      <c r="BK591" s="726"/>
      <c r="BL591" s="726"/>
      <c r="BM591" s="726"/>
      <c r="BN591" s="726"/>
      <c r="BO591" s="726"/>
      <c r="BP591" s="726"/>
      <c r="BQ591" s="726"/>
      <c r="BR591" s="726"/>
      <c r="BS591" s="726"/>
    </row>
    <row r="592" spans="1:71" s="563" customFormat="1">
      <c r="A592" s="614"/>
      <c r="E592" s="565"/>
      <c r="F592" s="565"/>
      <c r="Q592" s="726"/>
      <c r="R592" s="726"/>
      <c r="S592" s="726"/>
      <c r="T592" s="726"/>
      <c r="U592" s="726"/>
      <c r="V592" s="726"/>
      <c r="W592" s="726"/>
      <c r="X592" s="726"/>
      <c r="Y592" s="726"/>
      <c r="Z592" s="726"/>
      <c r="AA592" s="726"/>
      <c r="AB592" s="726"/>
      <c r="AC592" s="726"/>
      <c r="AD592" s="726"/>
      <c r="AE592" s="726"/>
      <c r="AF592" s="726"/>
      <c r="AG592" s="726"/>
      <c r="AH592" s="726"/>
      <c r="AI592" s="726"/>
      <c r="AJ592" s="726"/>
      <c r="AK592" s="726"/>
      <c r="AL592" s="726"/>
      <c r="AM592" s="726"/>
      <c r="AN592" s="726"/>
      <c r="AO592" s="726"/>
      <c r="AP592" s="726"/>
      <c r="AQ592" s="726"/>
      <c r="AR592" s="726"/>
      <c r="AS592" s="726"/>
      <c r="AT592" s="726"/>
      <c r="AU592" s="726"/>
      <c r="AV592" s="726"/>
      <c r="AW592" s="726"/>
      <c r="AX592" s="726"/>
      <c r="AY592" s="726"/>
      <c r="AZ592" s="726"/>
      <c r="BA592" s="726"/>
      <c r="BB592" s="726"/>
      <c r="BC592" s="726"/>
      <c r="BD592" s="726"/>
      <c r="BE592" s="726"/>
      <c r="BF592" s="726"/>
      <c r="BG592" s="726"/>
      <c r="BH592" s="726"/>
      <c r="BI592" s="726"/>
      <c r="BJ592" s="726"/>
      <c r="BK592" s="726"/>
      <c r="BL592" s="726"/>
      <c r="BM592" s="726"/>
      <c r="BN592" s="726"/>
      <c r="BO592" s="726"/>
      <c r="BP592" s="726"/>
      <c r="BQ592" s="726"/>
      <c r="BR592" s="726"/>
      <c r="BS592" s="726"/>
    </row>
    <row r="593" spans="1:71" s="563" customFormat="1">
      <c r="A593" s="614"/>
      <c r="E593" s="565"/>
      <c r="F593" s="565"/>
      <c r="Q593" s="726"/>
      <c r="R593" s="726"/>
      <c r="S593" s="726"/>
      <c r="T593" s="726"/>
      <c r="U593" s="726"/>
      <c r="V593" s="726"/>
      <c r="W593" s="726"/>
      <c r="X593" s="726"/>
      <c r="Y593" s="726"/>
      <c r="Z593" s="726"/>
      <c r="AA593" s="726"/>
      <c r="AB593" s="726"/>
      <c r="AC593" s="726"/>
      <c r="AD593" s="726"/>
      <c r="AE593" s="726"/>
      <c r="AF593" s="726"/>
      <c r="AG593" s="726"/>
      <c r="AH593" s="726"/>
      <c r="AI593" s="726"/>
      <c r="AJ593" s="726"/>
      <c r="AK593" s="726"/>
      <c r="AL593" s="726"/>
      <c r="AM593" s="726"/>
      <c r="AN593" s="726"/>
      <c r="AO593" s="726"/>
      <c r="AP593" s="726"/>
      <c r="AQ593" s="726"/>
      <c r="AR593" s="726"/>
      <c r="AS593" s="726"/>
      <c r="AT593" s="726"/>
      <c r="AU593" s="726"/>
      <c r="AV593" s="726"/>
      <c r="AW593" s="726"/>
      <c r="AX593" s="726"/>
      <c r="AY593" s="726"/>
      <c r="AZ593" s="726"/>
      <c r="BA593" s="726"/>
      <c r="BB593" s="726"/>
      <c r="BC593" s="726"/>
      <c r="BD593" s="726"/>
      <c r="BE593" s="726"/>
      <c r="BF593" s="726"/>
      <c r="BG593" s="726"/>
      <c r="BH593" s="726"/>
      <c r="BI593" s="726"/>
      <c r="BJ593" s="726"/>
      <c r="BK593" s="726"/>
      <c r="BL593" s="726"/>
      <c r="BM593" s="726"/>
      <c r="BN593" s="726"/>
      <c r="BO593" s="726"/>
      <c r="BP593" s="726"/>
      <c r="BQ593" s="726"/>
      <c r="BR593" s="726"/>
      <c r="BS593" s="726"/>
    </row>
    <row r="594" spans="1:71" s="563" customFormat="1">
      <c r="A594" s="614"/>
      <c r="E594" s="565"/>
      <c r="F594" s="565"/>
      <c r="Q594" s="726"/>
      <c r="R594" s="726"/>
      <c r="S594" s="726"/>
      <c r="T594" s="726"/>
      <c r="U594" s="726"/>
      <c r="V594" s="726"/>
      <c r="W594" s="726"/>
      <c r="X594" s="726"/>
      <c r="Y594" s="726"/>
      <c r="Z594" s="726"/>
      <c r="AA594" s="726"/>
      <c r="AB594" s="726"/>
      <c r="AC594" s="726"/>
      <c r="AD594" s="726"/>
      <c r="AE594" s="726"/>
      <c r="AF594" s="726"/>
      <c r="AG594" s="726"/>
      <c r="AH594" s="726"/>
      <c r="AI594" s="726"/>
      <c r="AJ594" s="726"/>
      <c r="AK594" s="726"/>
      <c r="AL594" s="726"/>
      <c r="AM594" s="726"/>
      <c r="AN594" s="726"/>
      <c r="AO594" s="726"/>
      <c r="AP594" s="726"/>
      <c r="AQ594" s="726"/>
      <c r="AR594" s="726"/>
      <c r="AS594" s="726"/>
      <c r="AT594" s="726"/>
      <c r="AU594" s="726"/>
      <c r="AV594" s="726"/>
      <c r="AW594" s="726"/>
      <c r="AX594" s="726"/>
      <c r="AY594" s="726"/>
      <c r="AZ594" s="726"/>
      <c r="BA594" s="726"/>
      <c r="BB594" s="726"/>
      <c r="BC594" s="726"/>
      <c r="BD594" s="726"/>
      <c r="BE594" s="726"/>
      <c r="BF594" s="726"/>
      <c r="BG594" s="726"/>
      <c r="BH594" s="726"/>
      <c r="BI594" s="726"/>
      <c r="BJ594" s="726"/>
      <c r="BK594" s="726"/>
      <c r="BL594" s="726"/>
      <c r="BM594" s="726"/>
      <c r="BN594" s="726"/>
      <c r="BO594" s="726"/>
      <c r="BP594" s="726"/>
      <c r="BQ594" s="726"/>
      <c r="BR594" s="726"/>
      <c r="BS594" s="726"/>
    </row>
    <row r="595" spans="1:71" s="563" customFormat="1">
      <c r="A595" s="614"/>
      <c r="E595" s="565"/>
      <c r="F595" s="565"/>
      <c r="Q595" s="726"/>
      <c r="R595" s="726"/>
      <c r="S595" s="726"/>
      <c r="T595" s="726"/>
      <c r="U595" s="726"/>
      <c r="V595" s="726"/>
      <c r="W595" s="726"/>
      <c r="X595" s="726"/>
      <c r="Y595" s="726"/>
      <c r="Z595" s="726"/>
      <c r="AA595" s="726"/>
      <c r="AB595" s="726"/>
      <c r="AC595" s="726"/>
      <c r="AD595" s="726"/>
      <c r="AE595" s="726"/>
      <c r="AF595" s="726"/>
      <c r="AG595" s="726"/>
      <c r="AH595" s="726"/>
      <c r="AI595" s="726"/>
      <c r="AJ595" s="726"/>
      <c r="AK595" s="726"/>
      <c r="AL595" s="726"/>
      <c r="AM595" s="726"/>
      <c r="AN595" s="726"/>
      <c r="AO595" s="726"/>
      <c r="AP595" s="726"/>
      <c r="AQ595" s="726"/>
      <c r="AR595" s="726"/>
      <c r="AS595" s="726"/>
      <c r="AT595" s="726"/>
      <c r="AU595" s="726"/>
      <c r="AV595" s="726"/>
      <c r="AW595" s="726"/>
      <c r="AX595" s="726"/>
      <c r="AY595" s="726"/>
      <c r="AZ595" s="726"/>
      <c r="BA595" s="726"/>
      <c r="BB595" s="726"/>
      <c r="BC595" s="726"/>
      <c r="BD595" s="726"/>
      <c r="BE595" s="726"/>
      <c r="BF595" s="726"/>
      <c r="BG595" s="726"/>
      <c r="BH595" s="726"/>
      <c r="BI595" s="726"/>
      <c r="BJ595" s="726"/>
      <c r="BK595" s="726"/>
      <c r="BL595" s="726"/>
      <c r="BM595" s="726"/>
      <c r="BN595" s="726"/>
      <c r="BO595" s="726"/>
      <c r="BP595" s="726"/>
      <c r="BQ595" s="726"/>
      <c r="BR595" s="726"/>
      <c r="BS595" s="726"/>
    </row>
    <row r="596" spans="1:71" s="563" customFormat="1">
      <c r="A596" s="614"/>
      <c r="E596" s="565"/>
      <c r="F596" s="565"/>
      <c r="Q596" s="726"/>
      <c r="R596" s="726"/>
      <c r="S596" s="726"/>
      <c r="T596" s="726"/>
      <c r="U596" s="726"/>
      <c r="V596" s="726"/>
      <c r="W596" s="726"/>
      <c r="X596" s="726"/>
      <c r="Y596" s="726"/>
      <c r="Z596" s="726"/>
      <c r="AA596" s="726"/>
      <c r="AB596" s="726"/>
      <c r="AC596" s="726"/>
      <c r="AD596" s="726"/>
      <c r="AE596" s="726"/>
      <c r="AF596" s="726"/>
      <c r="AG596" s="726"/>
      <c r="AH596" s="726"/>
      <c r="AI596" s="726"/>
      <c r="AJ596" s="726"/>
      <c r="AK596" s="726"/>
      <c r="AL596" s="726"/>
      <c r="AM596" s="726"/>
      <c r="AN596" s="726"/>
      <c r="AO596" s="726"/>
      <c r="AP596" s="726"/>
      <c r="AQ596" s="726"/>
      <c r="AR596" s="726"/>
      <c r="AS596" s="726"/>
      <c r="AT596" s="726"/>
      <c r="AU596" s="726"/>
      <c r="AV596" s="726"/>
      <c r="AW596" s="726"/>
      <c r="AX596" s="726"/>
      <c r="AY596" s="726"/>
      <c r="AZ596" s="726"/>
      <c r="BA596" s="726"/>
      <c r="BB596" s="726"/>
      <c r="BC596" s="726"/>
      <c r="BD596" s="726"/>
      <c r="BE596" s="726"/>
      <c r="BF596" s="726"/>
      <c r="BG596" s="726"/>
      <c r="BH596" s="726"/>
      <c r="BI596" s="726"/>
      <c r="BJ596" s="726"/>
      <c r="BK596" s="726"/>
      <c r="BL596" s="726"/>
      <c r="BM596" s="726"/>
      <c r="BN596" s="726"/>
      <c r="BO596" s="726"/>
      <c r="BP596" s="726"/>
      <c r="BQ596" s="726"/>
      <c r="BR596" s="726"/>
      <c r="BS596" s="726"/>
    </row>
    <row r="597" spans="1:71" s="563" customFormat="1">
      <c r="A597" s="614"/>
      <c r="E597" s="565"/>
      <c r="F597" s="565"/>
      <c r="Q597" s="726"/>
      <c r="R597" s="726"/>
      <c r="S597" s="726"/>
      <c r="T597" s="726"/>
      <c r="U597" s="726"/>
      <c r="V597" s="726"/>
      <c r="W597" s="726"/>
      <c r="X597" s="726"/>
      <c r="Y597" s="726"/>
      <c r="Z597" s="726"/>
      <c r="AA597" s="726"/>
      <c r="AB597" s="726"/>
      <c r="AC597" s="726"/>
      <c r="AD597" s="726"/>
      <c r="AE597" s="726"/>
      <c r="AF597" s="726"/>
      <c r="AG597" s="726"/>
      <c r="AH597" s="726"/>
      <c r="AI597" s="726"/>
      <c r="AJ597" s="726"/>
      <c r="AK597" s="726"/>
      <c r="AL597" s="726"/>
      <c r="AM597" s="726"/>
      <c r="AN597" s="726"/>
      <c r="AO597" s="726"/>
      <c r="AP597" s="726"/>
      <c r="AQ597" s="726"/>
      <c r="AR597" s="726"/>
      <c r="AS597" s="726"/>
      <c r="AT597" s="726"/>
      <c r="AU597" s="726"/>
      <c r="AV597" s="726"/>
      <c r="AW597" s="726"/>
      <c r="AX597" s="726"/>
      <c r="AY597" s="726"/>
      <c r="AZ597" s="726"/>
      <c r="BA597" s="726"/>
      <c r="BB597" s="726"/>
      <c r="BC597" s="726"/>
      <c r="BD597" s="726"/>
      <c r="BE597" s="726"/>
      <c r="BF597" s="726"/>
      <c r="BG597" s="726"/>
      <c r="BH597" s="726"/>
      <c r="BI597" s="726"/>
      <c r="BJ597" s="726"/>
      <c r="BK597" s="726"/>
      <c r="BL597" s="726"/>
      <c r="BM597" s="726"/>
      <c r="BN597" s="726"/>
      <c r="BO597" s="726"/>
      <c r="BP597" s="726"/>
      <c r="BQ597" s="726"/>
      <c r="BR597" s="726"/>
      <c r="BS597" s="726"/>
    </row>
    <row r="598" spans="1:71" s="563" customFormat="1">
      <c r="A598" s="614"/>
      <c r="E598" s="565"/>
      <c r="F598" s="565"/>
      <c r="Q598" s="726"/>
      <c r="R598" s="726"/>
      <c r="S598" s="726"/>
      <c r="T598" s="726"/>
      <c r="U598" s="726"/>
      <c r="V598" s="726"/>
      <c r="W598" s="726"/>
      <c r="X598" s="726"/>
      <c r="Y598" s="726"/>
      <c r="Z598" s="726"/>
      <c r="AA598" s="726"/>
      <c r="AB598" s="726"/>
      <c r="AC598" s="726"/>
      <c r="AD598" s="726"/>
      <c r="AE598" s="726"/>
      <c r="AF598" s="726"/>
      <c r="AG598" s="726"/>
      <c r="AH598" s="726"/>
      <c r="AI598" s="726"/>
      <c r="AJ598" s="726"/>
      <c r="AK598" s="726"/>
      <c r="AL598" s="726"/>
      <c r="AM598" s="726"/>
      <c r="AN598" s="726"/>
      <c r="AO598" s="726"/>
      <c r="AP598" s="726"/>
      <c r="AQ598" s="726"/>
      <c r="AR598" s="726"/>
      <c r="AS598" s="726"/>
      <c r="AT598" s="726"/>
      <c r="AU598" s="726"/>
      <c r="AV598" s="726"/>
      <c r="AW598" s="726"/>
      <c r="AX598" s="726"/>
      <c r="AY598" s="726"/>
      <c r="AZ598" s="726"/>
      <c r="BA598" s="726"/>
      <c r="BB598" s="726"/>
      <c r="BC598" s="726"/>
      <c r="BD598" s="726"/>
      <c r="BE598" s="726"/>
      <c r="BF598" s="726"/>
      <c r="BG598" s="726"/>
      <c r="BH598" s="726"/>
      <c r="BI598" s="726"/>
      <c r="BJ598" s="726"/>
      <c r="BK598" s="726"/>
      <c r="BL598" s="726"/>
      <c r="BM598" s="726"/>
      <c r="BN598" s="726"/>
      <c r="BO598" s="726"/>
      <c r="BP598" s="726"/>
      <c r="BQ598" s="726"/>
      <c r="BR598" s="726"/>
      <c r="BS598" s="726"/>
    </row>
    <row r="599" spans="1:71" s="563" customFormat="1">
      <c r="A599" s="614"/>
      <c r="E599" s="565"/>
      <c r="F599" s="565"/>
      <c r="Q599" s="726"/>
      <c r="R599" s="726"/>
      <c r="S599" s="726"/>
      <c r="T599" s="726"/>
      <c r="U599" s="726"/>
      <c r="V599" s="726"/>
      <c r="W599" s="726"/>
      <c r="X599" s="726"/>
      <c r="Y599" s="726"/>
      <c r="Z599" s="726"/>
      <c r="AA599" s="726"/>
      <c r="AB599" s="726"/>
      <c r="AC599" s="726"/>
      <c r="AD599" s="726"/>
      <c r="AE599" s="726"/>
      <c r="AF599" s="726"/>
      <c r="AG599" s="726"/>
      <c r="AH599" s="726"/>
      <c r="AI599" s="726"/>
      <c r="AJ599" s="726"/>
      <c r="AK599" s="726"/>
      <c r="AL599" s="726"/>
      <c r="AM599" s="726"/>
      <c r="AN599" s="726"/>
      <c r="AO599" s="726"/>
      <c r="AP599" s="726"/>
      <c r="AQ599" s="726"/>
      <c r="AR599" s="726"/>
      <c r="AS599" s="726"/>
      <c r="AT599" s="726"/>
      <c r="AU599" s="726"/>
      <c r="AV599" s="726"/>
      <c r="AW599" s="726"/>
      <c r="AX599" s="726"/>
      <c r="AY599" s="726"/>
      <c r="AZ599" s="726"/>
      <c r="BA599" s="726"/>
      <c r="BB599" s="726"/>
      <c r="BC599" s="726"/>
      <c r="BD599" s="726"/>
      <c r="BE599" s="726"/>
      <c r="BF599" s="726"/>
      <c r="BG599" s="726"/>
      <c r="BH599" s="726"/>
      <c r="BI599" s="726"/>
      <c r="BJ599" s="726"/>
      <c r="BK599" s="726"/>
      <c r="BL599" s="726"/>
      <c r="BM599" s="726"/>
      <c r="BN599" s="726"/>
      <c r="BO599" s="726"/>
      <c r="BP599" s="726"/>
      <c r="BQ599" s="726"/>
      <c r="BR599" s="726"/>
      <c r="BS599" s="726"/>
    </row>
    <row r="600" spans="1:71" s="563" customFormat="1">
      <c r="A600" s="614"/>
      <c r="E600" s="565"/>
      <c r="F600" s="565"/>
      <c r="Q600" s="726"/>
      <c r="R600" s="726"/>
      <c r="S600" s="726"/>
      <c r="T600" s="726"/>
      <c r="U600" s="726"/>
      <c r="V600" s="726"/>
      <c r="W600" s="726"/>
      <c r="X600" s="726"/>
      <c r="Y600" s="726"/>
      <c r="Z600" s="726"/>
      <c r="AA600" s="726"/>
      <c r="AB600" s="726"/>
      <c r="AC600" s="726"/>
      <c r="AD600" s="726"/>
      <c r="AE600" s="726"/>
      <c r="AF600" s="726"/>
      <c r="AG600" s="726"/>
      <c r="AH600" s="726"/>
      <c r="AI600" s="726"/>
      <c r="AJ600" s="726"/>
      <c r="AK600" s="726"/>
      <c r="AL600" s="726"/>
      <c r="AM600" s="726"/>
      <c r="AN600" s="726"/>
      <c r="AO600" s="726"/>
      <c r="AP600" s="726"/>
      <c r="AQ600" s="726"/>
      <c r="AR600" s="726"/>
      <c r="AS600" s="726"/>
      <c r="AT600" s="726"/>
      <c r="AU600" s="726"/>
      <c r="AV600" s="726"/>
      <c r="AW600" s="726"/>
      <c r="AX600" s="726"/>
      <c r="AY600" s="726"/>
      <c r="AZ600" s="726"/>
      <c r="BA600" s="726"/>
      <c r="BB600" s="726"/>
      <c r="BC600" s="726"/>
      <c r="BD600" s="726"/>
      <c r="BE600" s="726"/>
      <c r="BF600" s="726"/>
      <c r="BG600" s="726"/>
      <c r="BH600" s="726"/>
      <c r="BI600" s="726"/>
      <c r="BJ600" s="726"/>
      <c r="BK600" s="726"/>
      <c r="BL600" s="726"/>
      <c r="BM600" s="726"/>
      <c r="BN600" s="726"/>
      <c r="BO600" s="726"/>
      <c r="BP600" s="726"/>
      <c r="BQ600" s="726"/>
      <c r="BR600" s="726"/>
      <c r="BS600" s="726"/>
    </row>
    <row r="601" spans="1:71" s="563" customFormat="1">
      <c r="A601" s="614"/>
      <c r="E601" s="565"/>
      <c r="F601" s="565"/>
      <c r="Q601" s="726"/>
      <c r="R601" s="726"/>
      <c r="S601" s="726"/>
      <c r="T601" s="726"/>
      <c r="U601" s="726"/>
      <c r="V601" s="726"/>
      <c r="W601" s="726"/>
      <c r="X601" s="726"/>
      <c r="Y601" s="726"/>
      <c r="Z601" s="726"/>
      <c r="AA601" s="726"/>
      <c r="AB601" s="726"/>
      <c r="AC601" s="726"/>
      <c r="AD601" s="726"/>
      <c r="AE601" s="726"/>
      <c r="AF601" s="726"/>
      <c r="AG601" s="726"/>
      <c r="AH601" s="726"/>
      <c r="AI601" s="726"/>
      <c r="AJ601" s="726"/>
      <c r="AK601" s="726"/>
      <c r="AL601" s="726"/>
      <c r="AM601" s="726"/>
      <c r="AN601" s="726"/>
      <c r="AO601" s="726"/>
      <c r="AP601" s="726"/>
      <c r="AQ601" s="726"/>
      <c r="AR601" s="726"/>
      <c r="AS601" s="726"/>
      <c r="AT601" s="726"/>
      <c r="AU601" s="726"/>
      <c r="AV601" s="726"/>
      <c r="AW601" s="726"/>
      <c r="AX601" s="726"/>
      <c r="AY601" s="726"/>
      <c r="AZ601" s="726"/>
      <c r="BA601" s="726"/>
      <c r="BB601" s="726"/>
      <c r="BC601" s="726"/>
      <c r="BD601" s="726"/>
      <c r="BE601" s="726"/>
      <c r="BF601" s="726"/>
      <c r="BG601" s="726"/>
      <c r="BH601" s="726"/>
      <c r="BI601" s="726"/>
      <c r="BJ601" s="726"/>
      <c r="BK601" s="726"/>
      <c r="BL601" s="726"/>
      <c r="BM601" s="726"/>
      <c r="BN601" s="726"/>
      <c r="BO601" s="726"/>
      <c r="BP601" s="726"/>
      <c r="BQ601" s="726"/>
      <c r="BR601" s="726"/>
      <c r="BS601" s="726"/>
    </row>
    <row r="602" spans="1:71" s="563" customFormat="1">
      <c r="A602" s="614"/>
      <c r="E602" s="565"/>
      <c r="F602" s="565"/>
      <c r="Q602" s="726"/>
      <c r="R602" s="726"/>
      <c r="S602" s="726"/>
      <c r="T602" s="726"/>
      <c r="U602" s="726"/>
      <c r="V602" s="726"/>
      <c r="W602" s="726"/>
      <c r="X602" s="726"/>
      <c r="Y602" s="726"/>
      <c r="Z602" s="726"/>
      <c r="AA602" s="726"/>
      <c r="AB602" s="726"/>
      <c r="AC602" s="726"/>
      <c r="AD602" s="726"/>
      <c r="AE602" s="726"/>
      <c r="AF602" s="726"/>
      <c r="AG602" s="726"/>
      <c r="AH602" s="726"/>
      <c r="AI602" s="726"/>
      <c r="AJ602" s="726"/>
      <c r="AK602" s="726"/>
      <c r="AL602" s="726"/>
      <c r="AM602" s="726"/>
      <c r="AN602" s="726"/>
      <c r="AO602" s="726"/>
      <c r="AP602" s="726"/>
      <c r="AQ602" s="726"/>
      <c r="AR602" s="726"/>
      <c r="AS602" s="726"/>
      <c r="AT602" s="726"/>
      <c r="AU602" s="726"/>
      <c r="AV602" s="726"/>
      <c r="AW602" s="726"/>
      <c r="AX602" s="726"/>
      <c r="AY602" s="726"/>
      <c r="AZ602" s="726"/>
      <c r="BA602" s="726"/>
      <c r="BB602" s="726"/>
      <c r="BC602" s="726"/>
      <c r="BD602" s="726"/>
      <c r="BE602" s="726"/>
      <c r="BF602" s="726"/>
      <c r="BG602" s="726"/>
      <c r="BH602" s="726"/>
      <c r="BI602" s="726"/>
      <c r="BJ602" s="726"/>
      <c r="BK602" s="726"/>
      <c r="BL602" s="726"/>
      <c r="BM602" s="726"/>
      <c r="BN602" s="726"/>
      <c r="BO602" s="726"/>
      <c r="BP602" s="726"/>
      <c r="BQ602" s="726"/>
      <c r="BR602" s="726"/>
      <c r="BS602" s="726"/>
    </row>
    <row r="603" spans="1:71" s="563" customFormat="1">
      <c r="A603" s="614"/>
      <c r="E603" s="565"/>
      <c r="F603" s="565"/>
      <c r="Q603" s="726"/>
      <c r="R603" s="726"/>
      <c r="S603" s="726"/>
      <c r="T603" s="726"/>
      <c r="U603" s="726"/>
      <c r="V603" s="726"/>
      <c r="W603" s="726"/>
      <c r="X603" s="726"/>
      <c r="Y603" s="726"/>
      <c r="Z603" s="726"/>
      <c r="AA603" s="726"/>
      <c r="AB603" s="726"/>
      <c r="AC603" s="726"/>
      <c r="AD603" s="726"/>
      <c r="AE603" s="726"/>
      <c r="AF603" s="726"/>
      <c r="AG603" s="726"/>
      <c r="AH603" s="726"/>
      <c r="AI603" s="726"/>
      <c r="AJ603" s="726"/>
      <c r="AK603" s="726"/>
      <c r="AL603" s="726"/>
      <c r="AM603" s="726"/>
      <c r="AN603" s="726"/>
      <c r="AO603" s="726"/>
      <c r="AP603" s="726"/>
      <c r="AQ603" s="726"/>
      <c r="AR603" s="726"/>
      <c r="AS603" s="726"/>
      <c r="AT603" s="726"/>
      <c r="AU603" s="726"/>
      <c r="AV603" s="726"/>
      <c r="AW603" s="726"/>
      <c r="AX603" s="726"/>
      <c r="AY603" s="726"/>
      <c r="AZ603" s="726"/>
      <c r="BA603" s="726"/>
      <c r="BB603" s="726"/>
      <c r="BC603" s="726"/>
      <c r="BD603" s="726"/>
      <c r="BE603" s="726"/>
      <c r="BF603" s="726"/>
      <c r="BG603" s="726"/>
      <c r="BH603" s="726"/>
      <c r="BI603" s="726"/>
      <c r="BJ603" s="726"/>
      <c r="BK603" s="726"/>
      <c r="BL603" s="726"/>
      <c r="BM603" s="726"/>
      <c r="BN603" s="726"/>
      <c r="BO603" s="726"/>
      <c r="BP603" s="726"/>
      <c r="BQ603" s="726"/>
      <c r="BR603" s="726"/>
      <c r="BS603" s="726"/>
    </row>
    <row r="604" spans="1:71" s="563" customFormat="1">
      <c r="A604" s="614"/>
      <c r="E604" s="565"/>
      <c r="F604" s="565"/>
      <c r="Q604" s="726"/>
      <c r="R604" s="726"/>
      <c r="S604" s="726"/>
      <c r="T604" s="726"/>
      <c r="U604" s="726"/>
      <c r="V604" s="726"/>
      <c r="W604" s="726"/>
      <c r="X604" s="726"/>
      <c r="Y604" s="726"/>
      <c r="Z604" s="726"/>
      <c r="AA604" s="726"/>
      <c r="AB604" s="726"/>
      <c r="AC604" s="726"/>
      <c r="AD604" s="726"/>
      <c r="AE604" s="726"/>
      <c r="AF604" s="726"/>
      <c r="AG604" s="726"/>
      <c r="AH604" s="726"/>
      <c r="AI604" s="726"/>
      <c r="AJ604" s="726"/>
      <c r="AK604" s="726"/>
      <c r="AL604" s="726"/>
      <c r="AM604" s="726"/>
      <c r="AN604" s="726"/>
      <c r="AO604" s="726"/>
      <c r="AP604" s="726"/>
      <c r="AQ604" s="726"/>
      <c r="AR604" s="726"/>
      <c r="AS604" s="726"/>
      <c r="AT604" s="726"/>
      <c r="AU604" s="726"/>
      <c r="AV604" s="726"/>
      <c r="AW604" s="726"/>
      <c r="AX604" s="726"/>
      <c r="AY604" s="726"/>
      <c r="AZ604" s="726"/>
      <c r="BA604" s="726"/>
      <c r="BB604" s="726"/>
      <c r="BC604" s="726"/>
      <c r="BD604" s="726"/>
      <c r="BE604" s="726"/>
      <c r="BF604" s="726"/>
      <c r="BG604" s="726"/>
      <c r="BH604" s="726"/>
      <c r="BI604" s="726"/>
      <c r="BJ604" s="726"/>
      <c r="BK604" s="726"/>
      <c r="BL604" s="726"/>
      <c r="BM604" s="726"/>
      <c r="BN604" s="726"/>
      <c r="BO604" s="726"/>
      <c r="BP604" s="726"/>
      <c r="BQ604" s="726"/>
      <c r="BR604" s="726"/>
      <c r="BS604" s="726"/>
    </row>
    <row r="605" spans="1:71" s="563" customFormat="1">
      <c r="A605" s="614"/>
      <c r="E605" s="565"/>
      <c r="F605" s="565"/>
      <c r="Q605" s="726"/>
      <c r="R605" s="726"/>
      <c r="S605" s="726"/>
      <c r="T605" s="726"/>
      <c r="U605" s="726"/>
      <c r="V605" s="726"/>
      <c r="W605" s="726"/>
      <c r="X605" s="726"/>
      <c r="Y605" s="726"/>
      <c r="Z605" s="726"/>
      <c r="AA605" s="726"/>
      <c r="AB605" s="726"/>
      <c r="AC605" s="726"/>
      <c r="AD605" s="726"/>
      <c r="AE605" s="726"/>
      <c r="AF605" s="726"/>
      <c r="AG605" s="726"/>
      <c r="AH605" s="726"/>
      <c r="AI605" s="726"/>
      <c r="AJ605" s="726"/>
      <c r="AK605" s="726"/>
      <c r="AL605" s="726"/>
      <c r="AM605" s="726"/>
      <c r="AN605" s="726"/>
      <c r="AO605" s="726"/>
      <c r="AP605" s="726"/>
      <c r="AQ605" s="726"/>
      <c r="AR605" s="726"/>
      <c r="AS605" s="726"/>
      <c r="AT605" s="726"/>
      <c r="AU605" s="726"/>
      <c r="AV605" s="726"/>
      <c r="AW605" s="726"/>
      <c r="AX605" s="726"/>
      <c r="AY605" s="726"/>
      <c r="AZ605" s="726"/>
      <c r="BA605" s="726"/>
      <c r="BB605" s="726"/>
      <c r="BC605" s="726"/>
      <c r="BD605" s="726"/>
      <c r="BE605" s="726"/>
      <c r="BF605" s="726"/>
      <c r="BG605" s="726"/>
      <c r="BH605" s="726"/>
      <c r="BI605" s="726"/>
      <c r="BJ605" s="726"/>
      <c r="BK605" s="726"/>
      <c r="BL605" s="726"/>
      <c r="BM605" s="726"/>
      <c r="BN605" s="726"/>
      <c r="BO605" s="726"/>
      <c r="BP605" s="726"/>
      <c r="BQ605" s="726"/>
      <c r="BR605" s="726"/>
      <c r="BS605" s="726"/>
    </row>
    <row r="606" spans="1:71" s="563" customFormat="1">
      <c r="A606" s="614"/>
      <c r="E606" s="565"/>
      <c r="F606" s="565"/>
      <c r="Q606" s="726"/>
      <c r="R606" s="726"/>
      <c r="S606" s="726"/>
      <c r="T606" s="726"/>
      <c r="U606" s="726"/>
      <c r="V606" s="726"/>
      <c r="W606" s="726"/>
      <c r="X606" s="726"/>
      <c r="Y606" s="726"/>
      <c r="Z606" s="726"/>
      <c r="AA606" s="726"/>
      <c r="AB606" s="726"/>
      <c r="AC606" s="726"/>
      <c r="AD606" s="726"/>
      <c r="AE606" s="726"/>
      <c r="AF606" s="726"/>
      <c r="AG606" s="726"/>
      <c r="AH606" s="726"/>
      <c r="AI606" s="726"/>
      <c r="AJ606" s="726"/>
      <c r="AK606" s="726"/>
      <c r="AL606" s="726"/>
      <c r="AM606" s="726"/>
      <c r="AN606" s="726"/>
      <c r="AO606" s="726"/>
      <c r="AP606" s="726"/>
      <c r="AQ606" s="726"/>
      <c r="AR606" s="726"/>
      <c r="AS606" s="726"/>
      <c r="AT606" s="726"/>
      <c r="AU606" s="726"/>
      <c r="AV606" s="726"/>
      <c r="AW606" s="726"/>
      <c r="AX606" s="726"/>
      <c r="AY606" s="726"/>
      <c r="AZ606" s="726"/>
      <c r="BA606" s="726"/>
      <c r="BB606" s="726"/>
      <c r="BC606" s="726"/>
      <c r="BD606" s="726"/>
      <c r="BE606" s="726"/>
      <c r="BF606" s="726"/>
      <c r="BG606" s="726"/>
      <c r="BH606" s="726"/>
      <c r="BI606" s="726"/>
      <c r="BJ606" s="726"/>
      <c r="BK606" s="726"/>
      <c r="BL606" s="726"/>
      <c r="BM606" s="726"/>
      <c r="BN606" s="726"/>
      <c r="BO606" s="726"/>
      <c r="BP606" s="726"/>
      <c r="BQ606" s="726"/>
      <c r="BR606" s="726"/>
      <c r="BS606" s="726"/>
    </row>
    <row r="607" spans="1:71" s="563" customFormat="1">
      <c r="A607" s="614"/>
      <c r="E607" s="565"/>
      <c r="F607" s="565"/>
      <c r="Q607" s="726"/>
      <c r="R607" s="726"/>
      <c r="S607" s="726"/>
      <c r="T607" s="726"/>
      <c r="U607" s="726"/>
      <c r="V607" s="726"/>
      <c r="W607" s="726"/>
      <c r="X607" s="726"/>
      <c r="Y607" s="726"/>
      <c r="Z607" s="726"/>
      <c r="AA607" s="726"/>
      <c r="AB607" s="726"/>
      <c r="AC607" s="726"/>
      <c r="AD607" s="726"/>
      <c r="AE607" s="726"/>
      <c r="AF607" s="726"/>
      <c r="AG607" s="726"/>
      <c r="AH607" s="726"/>
      <c r="AI607" s="726"/>
      <c r="AJ607" s="726"/>
      <c r="AK607" s="726"/>
      <c r="AL607" s="726"/>
      <c r="AM607" s="726"/>
      <c r="AN607" s="726"/>
      <c r="AO607" s="726"/>
      <c r="AP607" s="726"/>
      <c r="AQ607" s="726"/>
      <c r="AR607" s="726"/>
      <c r="AS607" s="726"/>
      <c r="AT607" s="726"/>
      <c r="AU607" s="726"/>
      <c r="AV607" s="726"/>
      <c r="AW607" s="726"/>
      <c r="AX607" s="726"/>
      <c r="AY607" s="726"/>
      <c r="AZ607" s="726"/>
      <c r="BA607" s="726"/>
      <c r="BB607" s="726"/>
      <c r="BC607" s="726"/>
      <c r="BD607" s="726"/>
      <c r="BE607" s="726"/>
      <c r="BF607" s="726"/>
      <c r="BG607" s="726"/>
      <c r="BH607" s="726"/>
      <c r="BI607" s="726"/>
      <c r="BJ607" s="726"/>
      <c r="BK607" s="726"/>
      <c r="BL607" s="726"/>
      <c r="BM607" s="726"/>
      <c r="BN607" s="726"/>
      <c r="BO607" s="726"/>
      <c r="BP607" s="726"/>
      <c r="BQ607" s="726"/>
      <c r="BR607" s="726"/>
      <c r="BS607" s="726"/>
    </row>
    <row r="608" spans="1:71" s="563" customFormat="1">
      <c r="A608" s="614"/>
      <c r="E608" s="565"/>
      <c r="F608" s="565"/>
      <c r="Q608" s="726"/>
      <c r="R608" s="726"/>
      <c r="S608" s="726"/>
      <c r="T608" s="726"/>
      <c r="U608" s="726"/>
      <c r="V608" s="726"/>
      <c r="W608" s="726"/>
      <c r="X608" s="726"/>
      <c r="Y608" s="726"/>
      <c r="Z608" s="726"/>
      <c r="AA608" s="726"/>
      <c r="AB608" s="726"/>
      <c r="AC608" s="726"/>
      <c r="AD608" s="726"/>
      <c r="AE608" s="726"/>
      <c r="AF608" s="726"/>
      <c r="AG608" s="726"/>
      <c r="AH608" s="726"/>
      <c r="AI608" s="726"/>
      <c r="AJ608" s="726"/>
      <c r="AK608" s="726"/>
      <c r="AL608" s="726"/>
      <c r="AM608" s="726"/>
      <c r="AN608" s="726"/>
      <c r="AO608" s="726"/>
      <c r="AP608" s="726"/>
      <c r="AQ608" s="726"/>
      <c r="AR608" s="726"/>
      <c r="AS608" s="726"/>
      <c r="AT608" s="726"/>
      <c r="AU608" s="726"/>
      <c r="AV608" s="726"/>
      <c r="AW608" s="726"/>
      <c r="AX608" s="726"/>
      <c r="AY608" s="726"/>
      <c r="AZ608" s="726"/>
      <c r="BA608" s="726"/>
      <c r="BB608" s="726"/>
      <c r="BC608" s="726"/>
      <c r="BD608" s="726"/>
      <c r="BE608" s="726"/>
      <c r="BF608" s="726"/>
      <c r="BG608" s="726"/>
      <c r="BH608" s="726"/>
      <c r="BI608" s="726"/>
      <c r="BJ608" s="726"/>
      <c r="BK608" s="726"/>
      <c r="BL608" s="726"/>
      <c r="BM608" s="726"/>
      <c r="BN608" s="726"/>
      <c r="BO608" s="726"/>
      <c r="BP608" s="726"/>
      <c r="BQ608" s="726"/>
      <c r="BR608" s="726"/>
      <c r="BS608" s="726"/>
    </row>
    <row r="609" spans="1:71" s="563" customFormat="1">
      <c r="A609" s="614"/>
      <c r="E609" s="565"/>
      <c r="F609" s="565"/>
      <c r="Q609" s="726"/>
      <c r="R609" s="726"/>
      <c r="S609" s="726"/>
      <c r="T609" s="726"/>
      <c r="U609" s="726"/>
      <c r="V609" s="726"/>
      <c r="W609" s="726"/>
      <c r="X609" s="726"/>
      <c r="Y609" s="726"/>
      <c r="Z609" s="726"/>
      <c r="AA609" s="726"/>
      <c r="AB609" s="726"/>
      <c r="AC609" s="726"/>
      <c r="AD609" s="726"/>
      <c r="AE609" s="726"/>
      <c r="AF609" s="726"/>
      <c r="AG609" s="726"/>
      <c r="AH609" s="726"/>
      <c r="AI609" s="726"/>
      <c r="AJ609" s="726"/>
      <c r="AK609" s="726"/>
      <c r="AL609" s="726"/>
      <c r="AM609" s="726"/>
      <c r="AN609" s="726"/>
      <c r="AO609" s="726"/>
      <c r="AP609" s="726"/>
      <c r="AQ609" s="726"/>
      <c r="AR609" s="726"/>
      <c r="AS609" s="726"/>
      <c r="AT609" s="726"/>
      <c r="AU609" s="726"/>
      <c r="AV609" s="726"/>
      <c r="AW609" s="726"/>
      <c r="AX609" s="726"/>
      <c r="AY609" s="726"/>
      <c r="AZ609" s="726"/>
      <c r="BA609" s="726"/>
      <c r="BB609" s="726"/>
      <c r="BC609" s="726"/>
      <c r="BD609" s="726"/>
      <c r="BE609" s="726"/>
      <c r="BF609" s="726"/>
      <c r="BG609" s="726"/>
      <c r="BH609" s="726"/>
      <c r="BI609" s="726"/>
      <c r="BJ609" s="726"/>
      <c r="BK609" s="726"/>
      <c r="BL609" s="726"/>
      <c r="BM609" s="726"/>
      <c r="BN609" s="726"/>
      <c r="BO609" s="726"/>
      <c r="BP609" s="726"/>
      <c r="BQ609" s="726"/>
      <c r="BR609" s="726"/>
      <c r="BS609" s="726"/>
    </row>
    <row r="610" spans="1:71" s="563" customFormat="1">
      <c r="A610" s="614"/>
      <c r="E610" s="565"/>
      <c r="F610" s="565"/>
      <c r="Q610" s="726"/>
      <c r="R610" s="726"/>
      <c r="S610" s="726"/>
      <c r="T610" s="726"/>
      <c r="U610" s="726"/>
      <c r="V610" s="726"/>
      <c r="W610" s="726"/>
      <c r="X610" s="726"/>
      <c r="Y610" s="726"/>
      <c r="Z610" s="726"/>
      <c r="AA610" s="726"/>
      <c r="AB610" s="726"/>
      <c r="AC610" s="726"/>
      <c r="AD610" s="726"/>
      <c r="AE610" s="726"/>
      <c r="AF610" s="726"/>
      <c r="AG610" s="726"/>
      <c r="AH610" s="726"/>
      <c r="AI610" s="726"/>
      <c r="AJ610" s="726"/>
      <c r="AK610" s="726"/>
      <c r="AL610" s="726"/>
      <c r="AM610" s="726"/>
      <c r="AN610" s="726"/>
      <c r="AO610" s="726"/>
      <c r="AP610" s="726"/>
      <c r="AQ610" s="726"/>
      <c r="AR610" s="726"/>
      <c r="AS610" s="726"/>
      <c r="AT610" s="726"/>
      <c r="AU610" s="726"/>
      <c r="AV610" s="726"/>
      <c r="AW610" s="726"/>
      <c r="AX610" s="726"/>
      <c r="AY610" s="726"/>
      <c r="AZ610" s="726"/>
      <c r="BA610" s="726"/>
      <c r="BB610" s="726"/>
      <c r="BC610" s="726"/>
      <c r="BD610" s="726"/>
      <c r="BE610" s="726"/>
      <c r="BF610" s="726"/>
      <c r="BG610" s="726"/>
      <c r="BH610" s="726"/>
      <c r="BI610" s="726"/>
      <c r="BJ610" s="726"/>
      <c r="BK610" s="726"/>
      <c r="BL610" s="726"/>
      <c r="BM610" s="726"/>
      <c r="BN610" s="726"/>
      <c r="BO610" s="726"/>
      <c r="BP610" s="726"/>
      <c r="BQ610" s="726"/>
      <c r="BR610" s="726"/>
      <c r="BS610" s="726"/>
    </row>
    <row r="611" spans="1:71" s="563" customFormat="1">
      <c r="A611" s="614"/>
      <c r="E611" s="565"/>
      <c r="F611" s="565"/>
      <c r="Q611" s="726"/>
      <c r="R611" s="726"/>
      <c r="S611" s="726"/>
      <c r="T611" s="726"/>
      <c r="U611" s="726"/>
      <c r="V611" s="726"/>
      <c r="W611" s="726"/>
      <c r="X611" s="726"/>
      <c r="Y611" s="726"/>
      <c r="Z611" s="726"/>
      <c r="AA611" s="726"/>
      <c r="AB611" s="726"/>
      <c r="AC611" s="726"/>
      <c r="AD611" s="726"/>
      <c r="AE611" s="726"/>
      <c r="AF611" s="726"/>
      <c r="AG611" s="726"/>
      <c r="AH611" s="726"/>
      <c r="AI611" s="726"/>
      <c r="AJ611" s="726"/>
      <c r="AK611" s="726"/>
      <c r="AL611" s="726"/>
      <c r="AM611" s="726"/>
      <c r="AN611" s="726"/>
      <c r="AO611" s="726"/>
      <c r="AP611" s="726"/>
      <c r="AQ611" s="726"/>
      <c r="AR611" s="726"/>
      <c r="AS611" s="726"/>
      <c r="AT611" s="726"/>
      <c r="AU611" s="726"/>
      <c r="AV611" s="726"/>
      <c r="AW611" s="726"/>
      <c r="AX611" s="726"/>
      <c r="AY611" s="726"/>
      <c r="AZ611" s="726"/>
      <c r="BA611" s="726"/>
      <c r="BB611" s="726"/>
      <c r="BC611" s="726"/>
      <c r="BD611" s="726"/>
      <c r="BE611" s="726"/>
      <c r="BF611" s="726"/>
      <c r="BG611" s="726"/>
      <c r="BH611" s="726"/>
      <c r="BI611" s="726"/>
      <c r="BJ611" s="726"/>
      <c r="BK611" s="726"/>
      <c r="BL611" s="726"/>
      <c r="BM611" s="726"/>
      <c r="BN611" s="726"/>
      <c r="BO611" s="726"/>
      <c r="BP611" s="726"/>
      <c r="BQ611" s="726"/>
      <c r="BR611" s="726"/>
      <c r="BS611" s="726"/>
    </row>
    <row r="612" spans="1:71" s="563" customFormat="1">
      <c r="A612" s="614"/>
      <c r="E612" s="565"/>
      <c r="F612" s="565"/>
      <c r="Q612" s="726"/>
      <c r="R612" s="726"/>
      <c r="S612" s="726"/>
      <c r="T612" s="726"/>
      <c r="U612" s="726"/>
      <c r="V612" s="726"/>
      <c r="W612" s="726"/>
      <c r="X612" s="726"/>
      <c r="Y612" s="726"/>
      <c r="Z612" s="726"/>
      <c r="AA612" s="726"/>
      <c r="AB612" s="726"/>
      <c r="AC612" s="726"/>
      <c r="AD612" s="726"/>
      <c r="AE612" s="726"/>
      <c r="AF612" s="726"/>
      <c r="AG612" s="726"/>
      <c r="AH612" s="726"/>
      <c r="AI612" s="726"/>
      <c r="AJ612" s="726"/>
      <c r="AK612" s="726"/>
      <c r="AL612" s="726"/>
      <c r="AM612" s="726"/>
      <c r="AN612" s="726"/>
      <c r="AO612" s="726"/>
      <c r="AP612" s="726"/>
      <c r="AQ612" s="726"/>
      <c r="AR612" s="726"/>
      <c r="AS612" s="726"/>
      <c r="AT612" s="726"/>
      <c r="AU612" s="726"/>
      <c r="AV612" s="726"/>
      <c r="AW612" s="726"/>
      <c r="AX612" s="726"/>
      <c r="AY612" s="726"/>
      <c r="AZ612" s="726"/>
      <c r="BA612" s="726"/>
      <c r="BB612" s="726"/>
      <c r="BC612" s="726"/>
      <c r="BD612" s="726"/>
      <c r="BE612" s="726"/>
      <c r="BF612" s="726"/>
      <c r="BG612" s="726"/>
      <c r="BH612" s="726"/>
      <c r="BI612" s="726"/>
      <c r="BJ612" s="726"/>
      <c r="BK612" s="726"/>
      <c r="BL612" s="726"/>
      <c r="BM612" s="726"/>
      <c r="BN612" s="726"/>
      <c r="BO612" s="726"/>
      <c r="BP612" s="726"/>
      <c r="BQ612" s="726"/>
      <c r="BR612" s="726"/>
      <c r="BS612" s="726"/>
    </row>
    <row r="613" spans="1:71" s="563" customFormat="1">
      <c r="A613" s="614"/>
      <c r="E613" s="565"/>
      <c r="F613" s="565"/>
      <c r="Q613" s="726"/>
      <c r="R613" s="726"/>
      <c r="S613" s="726"/>
      <c r="T613" s="726"/>
      <c r="U613" s="726"/>
      <c r="V613" s="726"/>
      <c r="W613" s="726"/>
      <c r="X613" s="726"/>
      <c r="Y613" s="726"/>
      <c r="Z613" s="726"/>
      <c r="AA613" s="726"/>
      <c r="AB613" s="726"/>
      <c r="AC613" s="726"/>
      <c r="AD613" s="726"/>
      <c r="AE613" s="726"/>
      <c r="AF613" s="726"/>
      <c r="AG613" s="726"/>
      <c r="AH613" s="726"/>
      <c r="AI613" s="726"/>
      <c r="AJ613" s="726"/>
      <c r="AK613" s="726"/>
      <c r="AL613" s="726"/>
      <c r="AM613" s="726"/>
      <c r="AN613" s="726"/>
      <c r="AO613" s="726"/>
      <c r="AP613" s="726"/>
      <c r="AQ613" s="726"/>
      <c r="AR613" s="726"/>
      <c r="AS613" s="726"/>
      <c r="AT613" s="726"/>
      <c r="AU613" s="726"/>
      <c r="AV613" s="726"/>
      <c r="AW613" s="726"/>
      <c r="AX613" s="726"/>
      <c r="AY613" s="726"/>
      <c r="AZ613" s="726"/>
      <c r="BA613" s="726"/>
      <c r="BB613" s="726"/>
      <c r="BC613" s="726"/>
      <c r="BD613" s="726"/>
      <c r="BE613" s="726"/>
      <c r="BF613" s="726"/>
      <c r="BG613" s="726"/>
      <c r="BH613" s="726"/>
      <c r="BI613" s="726"/>
      <c r="BJ613" s="726"/>
      <c r="BK613" s="726"/>
      <c r="BL613" s="726"/>
      <c r="BM613" s="726"/>
      <c r="BN613" s="726"/>
      <c r="BO613" s="726"/>
      <c r="BP613" s="726"/>
      <c r="BQ613" s="726"/>
      <c r="BR613" s="726"/>
      <c r="BS613" s="726"/>
    </row>
    <row r="614" spans="1:71" s="563" customFormat="1">
      <c r="A614" s="614"/>
      <c r="E614" s="565"/>
      <c r="F614" s="565"/>
      <c r="Q614" s="726"/>
      <c r="R614" s="726"/>
      <c r="S614" s="726"/>
      <c r="T614" s="726"/>
      <c r="U614" s="726"/>
      <c r="V614" s="726"/>
      <c r="W614" s="726"/>
      <c r="X614" s="726"/>
      <c r="Y614" s="726"/>
      <c r="Z614" s="726"/>
      <c r="AA614" s="726"/>
      <c r="AB614" s="726"/>
      <c r="AC614" s="726"/>
      <c r="AD614" s="726"/>
      <c r="AE614" s="726"/>
      <c r="AF614" s="726"/>
      <c r="AG614" s="726"/>
      <c r="AH614" s="726"/>
      <c r="AI614" s="726"/>
      <c r="AJ614" s="726"/>
      <c r="AK614" s="726"/>
      <c r="AL614" s="726"/>
      <c r="AM614" s="726"/>
      <c r="AN614" s="726"/>
      <c r="AO614" s="726"/>
      <c r="AP614" s="726"/>
      <c r="AQ614" s="726"/>
      <c r="AR614" s="726"/>
      <c r="AS614" s="726"/>
      <c r="AT614" s="726"/>
      <c r="AU614" s="726"/>
      <c r="AV614" s="726"/>
      <c r="AW614" s="726"/>
      <c r="AX614" s="726"/>
      <c r="AY614" s="726"/>
      <c r="AZ614" s="726"/>
      <c r="BA614" s="726"/>
      <c r="BB614" s="726"/>
      <c r="BC614" s="726"/>
      <c r="BD614" s="726"/>
      <c r="BE614" s="726"/>
      <c r="BF614" s="726"/>
      <c r="BG614" s="726"/>
      <c r="BH614" s="726"/>
      <c r="BI614" s="726"/>
      <c r="BJ614" s="726"/>
      <c r="BK614" s="726"/>
      <c r="BL614" s="726"/>
      <c r="BM614" s="726"/>
      <c r="BN614" s="726"/>
      <c r="BO614" s="726"/>
      <c r="BP614" s="726"/>
      <c r="BQ614" s="726"/>
      <c r="BR614" s="726"/>
      <c r="BS614" s="726"/>
    </row>
    <row r="615" spans="1:71" s="563" customFormat="1">
      <c r="A615" s="614"/>
      <c r="E615" s="565"/>
      <c r="F615" s="565"/>
      <c r="Q615" s="726"/>
      <c r="R615" s="726"/>
      <c r="S615" s="726"/>
      <c r="T615" s="726"/>
      <c r="U615" s="726"/>
      <c r="V615" s="726"/>
      <c r="W615" s="726"/>
      <c r="X615" s="726"/>
      <c r="Y615" s="726"/>
      <c r="Z615" s="726"/>
      <c r="AA615" s="726"/>
      <c r="AB615" s="726"/>
      <c r="AC615" s="726"/>
      <c r="AD615" s="726"/>
      <c r="AE615" s="726"/>
      <c r="AF615" s="726"/>
      <c r="AG615" s="726"/>
      <c r="AH615" s="726"/>
      <c r="AI615" s="726"/>
      <c r="AJ615" s="726"/>
      <c r="AK615" s="726"/>
      <c r="AL615" s="726"/>
      <c r="AM615" s="726"/>
      <c r="AN615" s="726"/>
      <c r="AO615" s="726"/>
      <c r="AP615" s="726"/>
      <c r="AQ615" s="726"/>
      <c r="AR615" s="726"/>
      <c r="AS615" s="726"/>
      <c r="AT615" s="726"/>
      <c r="AU615" s="726"/>
      <c r="AV615" s="726"/>
      <c r="AW615" s="726"/>
      <c r="AX615" s="726"/>
      <c r="AY615" s="726"/>
      <c r="AZ615" s="726"/>
      <c r="BA615" s="726"/>
      <c r="BB615" s="726"/>
      <c r="BC615" s="726"/>
      <c r="BD615" s="726"/>
      <c r="BE615" s="726"/>
      <c r="BF615" s="726"/>
      <c r="BG615" s="726"/>
      <c r="BH615" s="726"/>
      <c r="BI615" s="726"/>
      <c r="BJ615" s="726"/>
      <c r="BK615" s="726"/>
      <c r="BL615" s="726"/>
      <c r="BM615" s="726"/>
      <c r="BN615" s="726"/>
      <c r="BO615" s="726"/>
      <c r="BP615" s="726"/>
      <c r="BQ615" s="726"/>
      <c r="BR615" s="726"/>
      <c r="BS615" s="726"/>
    </row>
    <row r="616" spans="1:71" s="563" customFormat="1">
      <c r="A616" s="614"/>
      <c r="E616" s="565"/>
      <c r="F616" s="565"/>
      <c r="Q616" s="726"/>
      <c r="R616" s="726"/>
      <c r="S616" s="726"/>
      <c r="T616" s="726"/>
      <c r="U616" s="726"/>
      <c r="V616" s="726"/>
      <c r="W616" s="726"/>
      <c r="X616" s="726"/>
      <c r="Y616" s="726"/>
      <c r="Z616" s="726"/>
      <c r="AA616" s="726"/>
      <c r="AB616" s="726"/>
      <c r="AC616" s="726"/>
      <c r="AD616" s="726"/>
      <c r="AE616" s="726"/>
      <c r="AF616" s="726"/>
      <c r="AG616" s="726"/>
      <c r="AH616" s="726"/>
      <c r="AI616" s="726"/>
      <c r="AJ616" s="726"/>
      <c r="AK616" s="726"/>
      <c r="AL616" s="726"/>
      <c r="AM616" s="726"/>
      <c r="AN616" s="726"/>
      <c r="AO616" s="726"/>
      <c r="AP616" s="726"/>
      <c r="AQ616" s="726"/>
      <c r="AR616" s="726"/>
      <c r="AS616" s="726"/>
      <c r="AT616" s="726"/>
      <c r="AU616" s="726"/>
      <c r="AV616" s="726"/>
      <c r="AW616" s="726"/>
      <c r="AX616" s="726"/>
      <c r="AY616" s="726"/>
      <c r="AZ616" s="726"/>
      <c r="BA616" s="726"/>
      <c r="BB616" s="726"/>
      <c r="BC616" s="726"/>
      <c r="BD616" s="726"/>
      <c r="BE616" s="726"/>
      <c r="BF616" s="726"/>
      <c r="BG616" s="726"/>
      <c r="BH616" s="726"/>
      <c r="BI616" s="726"/>
      <c r="BJ616" s="726"/>
      <c r="BK616" s="726"/>
      <c r="BL616" s="726"/>
      <c r="BM616" s="726"/>
      <c r="BN616" s="726"/>
      <c r="BO616" s="726"/>
      <c r="BP616" s="726"/>
      <c r="BQ616" s="726"/>
      <c r="BR616" s="726"/>
      <c r="BS616" s="726"/>
    </row>
    <row r="617" spans="1:71" s="563" customFormat="1">
      <c r="A617" s="614"/>
      <c r="E617" s="565"/>
      <c r="F617" s="565"/>
      <c r="Q617" s="726"/>
      <c r="R617" s="726"/>
      <c r="S617" s="726"/>
      <c r="T617" s="726"/>
      <c r="U617" s="726"/>
      <c r="V617" s="726"/>
      <c r="W617" s="726"/>
      <c r="X617" s="726"/>
      <c r="Y617" s="726"/>
      <c r="Z617" s="726"/>
      <c r="AA617" s="726"/>
      <c r="AB617" s="726"/>
      <c r="AC617" s="726"/>
      <c r="AD617" s="726"/>
      <c r="AE617" s="726"/>
      <c r="AF617" s="726"/>
      <c r="AG617" s="726"/>
      <c r="AH617" s="726"/>
      <c r="AI617" s="726"/>
      <c r="AJ617" s="726"/>
      <c r="AK617" s="726"/>
      <c r="AL617" s="726"/>
      <c r="AM617" s="726"/>
      <c r="AN617" s="726"/>
      <c r="AO617" s="726"/>
      <c r="AP617" s="726"/>
      <c r="AQ617" s="726"/>
      <c r="AR617" s="726"/>
      <c r="AS617" s="726"/>
      <c r="AT617" s="726"/>
      <c r="AU617" s="726"/>
      <c r="AV617" s="726"/>
      <c r="AW617" s="726"/>
      <c r="AX617" s="726"/>
      <c r="AY617" s="726"/>
      <c r="AZ617" s="726"/>
      <c r="BA617" s="726"/>
      <c r="BB617" s="726"/>
      <c r="BC617" s="726"/>
      <c r="BD617" s="726"/>
      <c r="BE617" s="726"/>
      <c r="BF617" s="726"/>
      <c r="BG617" s="726"/>
      <c r="BH617" s="726"/>
      <c r="BI617" s="726"/>
      <c r="BJ617" s="726"/>
      <c r="BK617" s="726"/>
      <c r="BL617" s="726"/>
      <c r="BM617" s="726"/>
      <c r="BN617" s="726"/>
      <c r="BO617" s="726"/>
      <c r="BP617" s="726"/>
      <c r="BQ617" s="726"/>
      <c r="BR617" s="726"/>
      <c r="BS617" s="726"/>
    </row>
    <row r="618" spans="1:71" s="563" customFormat="1">
      <c r="A618" s="614"/>
      <c r="E618" s="565"/>
      <c r="F618" s="565"/>
      <c r="Q618" s="726"/>
      <c r="R618" s="726"/>
      <c r="S618" s="726"/>
      <c r="T618" s="726"/>
      <c r="U618" s="726"/>
      <c r="V618" s="726"/>
      <c r="W618" s="726"/>
      <c r="X618" s="726"/>
      <c r="Y618" s="726"/>
      <c r="Z618" s="726"/>
      <c r="AA618" s="726"/>
      <c r="AB618" s="726"/>
      <c r="AC618" s="726"/>
      <c r="AD618" s="726"/>
      <c r="AE618" s="726"/>
      <c r="AF618" s="726"/>
      <c r="AG618" s="726"/>
      <c r="AH618" s="726"/>
      <c r="AI618" s="726"/>
      <c r="AJ618" s="726"/>
      <c r="AK618" s="726"/>
      <c r="AL618" s="726"/>
      <c r="AM618" s="726"/>
      <c r="AN618" s="726"/>
      <c r="AO618" s="726"/>
      <c r="AP618" s="726"/>
      <c r="AQ618" s="726"/>
      <c r="AR618" s="726"/>
      <c r="AS618" s="726"/>
      <c r="AT618" s="726"/>
      <c r="AU618" s="726"/>
      <c r="AV618" s="726"/>
      <c r="AW618" s="726"/>
      <c r="AX618" s="726"/>
      <c r="AY618" s="726"/>
      <c r="AZ618" s="726"/>
      <c r="BA618" s="726"/>
      <c r="BB618" s="726"/>
      <c r="BC618" s="726"/>
      <c r="BD618" s="726"/>
      <c r="BE618" s="726"/>
      <c r="BF618" s="726"/>
      <c r="BG618" s="726"/>
      <c r="BH618" s="726"/>
      <c r="BI618" s="726"/>
      <c r="BJ618" s="726"/>
      <c r="BK618" s="726"/>
      <c r="BL618" s="726"/>
      <c r="BM618" s="726"/>
      <c r="BN618" s="726"/>
      <c r="BO618" s="726"/>
      <c r="BP618" s="726"/>
      <c r="BQ618" s="726"/>
      <c r="BR618" s="726"/>
      <c r="BS618" s="726"/>
    </row>
    <row r="619" spans="1:71" s="563" customFormat="1">
      <c r="A619" s="614"/>
      <c r="E619" s="565"/>
      <c r="F619" s="565"/>
      <c r="Q619" s="726"/>
      <c r="R619" s="726"/>
      <c r="S619" s="726"/>
      <c r="T619" s="726"/>
      <c r="U619" s="726"/>
      <c r="V619" s="726"/>
      <c r="W619" s="726"/>
      <c r="X619" s="726"/>
      <c r="Y619" s="726"/>
      <c r="Z619" s="726"/>
      <c r="AA619" s="726"/>
      <c r="AB619" s="726"/>
      <c r="AC619" s="726"/>
      <c r="AD619" s="726"/>
      <c r="AE619" s="726"/>
      <c r="AF619" s="726"/>
      <c r="AG619" s="726"/>
      <c r="AH619" s="726"/>
      <c r="AI619" s="726"/>
      <c r="AJ619" s="726"/>
      <c r="AK619" s="726"/>
      <c r="AL619" s="726"/>
      <c r="AM619" s="726"/>
      <c r="AN619" s="726"/>
      <c r="AO619" s="726"/>
      <c r="AP619" s="726"/>
      <c r="AQ619" s="726"/>
      <c r="AR619" s="726"/>
      <c r="AS619" s="726"/>
      <c r="AT619" s="726"/>
      <c r="AU619" s="726"/>
      <c r="AV619" s="726"/>
      <c r="AW619" s="726"/>
      <c r="AX619" s="726"/>
      <c r="AY619" s="726"/>
      <c r="AZ619" s="726"/>
      <c r="BA619" s="726"/>
      <c r="BB619" s="726"/>
      <c r="BC619" s="726"/>
      <c r="BD619" s="726"/>
      <c r="BE619" s="726"/>
      <c r="BF619" s="726"/>
      <c r="BG619" s="726"/>
      <c r="BH619" s="726"/>
      <c r="BI619" s="726"/>
      <c r="BJ619" s="726"/>
      <c r="BK619" s="726"/>
      <c r="BL619" s="726"/>
      <c r="BM619" s="726"/>
      <c r="BN619" s="726"/>
      <c r="BO619" s="726"/>
      <c r="BP619" s="726"/>
      <c r="BQ619" s="726"/>
      <c r="BR619" s="726"/>
      <c r="BS619" s="726"/>
    </row>
    <row r="620" spans="1:71" s="563" customFormat="1">
      <c r="A620" s="614"/>
      <c r="E620" s="565"/>
      <c r="F620" s="565"/>
      <c r="Q620" s="726"/>
      <c r="R620" s="726"/>
      <c r="S620" s="726"/>
      <c r="T620" s="726"/>
      <c r="U620" s="726"/>
      <c r="V620" s="726"/>
      <c r="W620" s="726"/>
      <c r="X620" s="726"/>
      <c r="Y620" s="726"/>
      <c r="Z620" s="726"/>
      <c r="AA620" s="726"/>
      <c r="AB620" s="726"/>
      <c r="AC620" s="726"/>
      <c r="AD620" s="726"/>
      <c r="AE620" s="726"/>
      <c r="AF620" s="726"/>
      <c r="AG620" s="726"/>
      <c r="AH620" s="726"/>
      <c r="AI620" s="726"/>
      <c r="AJ620" s="726"/>
      <c r="AK620" s="726"/>
      <c r="AL620" s="726"/>
      <c r="AM620" s="726"/>
      <c r="AN620" s="726"/>
      <c r="AO620" s="726"/>
      <c r="AP620" s="726"/>
      <c r="AQ620" s="726"/>
      <c r="AR620" s="726"/>
      <c r="AS620" s="726"/>
      <c r="AT620" s="726"/>
      <c r="AU620" s="726"/>
      <c r="AV620" s="726"/>
      <c r="AW620" s="726"/>
      <c r="AX620" s="726"/>
      <c r="AY620" s="726"/>
      <c r="AZ620" s="726"/>
      <c r="BA620" s="726"/>
      <c r="BB620" s="726"/>
      <c r="BC620" s="726"/>
      <c r="BD620" s="726"/>
      <c r="BE620" s="726"/>
      <c r="BF620" s="726"/>
      <c r="BG620" s="726"/>
      <c r="BH620" s="726"/>
      <c r="BI620" s="726"/>
      <c r="BJ620" s="726"/>
      <c r="BK620" s="726"/>
      <c r="BL620" s="726"/>
      <c r="BM620" s="726"/>
      <c r="BN620" s="726"/>
      <c r="BO620" s="726"/>
      <c r="BP620" s="726"/>
      <c r="BQ620" s="726"/>
      <c r="BR620" s="726"/>
      <c r="BS620" s="726"/>
    </row>
    <row r="621" spans="1:71" s="563" customFormat="1">
      <c r="A621" s="614"/>
      <c r="E621" s="565"/>
      <c r="F621" s="565"/>
      <c r="Q621" s="726"/>
      <c r="R621" s="726"/>
      <c r="S621" s="726"/>
      <c r="T621" s="726"/>
      <c r="U621" s="726"/>
      <c r="V621" s="726"/>
      <c r="W621" s="726"/>
      <c r="X621" s="726"/>
      <c r="Y621" s="726"/>
      <c r="Z621" s="726"/>
      <c r="AA621" s="726"/>
      <c r="AB621" s="726"/>
      <c r="AC621" s="726"/>
      <c r="AD621" s="726"/>
      <c r="AE621" s="726"/>
      <c r="AF621" s="726"/>
      <c r="AG621" s="726"/>
      <c r="AH621" s="726"/>
      <c r="AI621" s="726"/>
      <c r="AJ621" s="726"/>
      <c r="AK621" s="726"/>
      <c r="AL621" s="726"/>
      <c r="AM621" s="726"/>
      <c r="AN621" s="726"/>
      <c r="AO621" s="726"/>
      <c r="AP621" s="726"/>
      <c r="AQ621" s="726"/>
      <c r="AR621" s="726"/>
      <c r="AS621" s="726"/>
      <c r="AT621" s="726"/>
      <c r="AU621" s="726"/>
      <c r="AV621" s="726"/>
      <c r="AW621" s="726"/>
      <c r="AX621" s="726"/>
      <c r="AY621" s="726"/>
      <c r="AZ621" s="726"/>
      <c r="BA621" s="726"/>
      <c r="BB621" s="726"/>
      <c r="BC621" s="726"/>
      <c r="BD621" s="726"/>
      <c r="BE621" s="726"/>
      <c r="BF621" s="726"/>
      <c r="BG621" s="726"/>
      <c r="BH621" s="726"/>
      <c r="BI621" s="726"/>
      <c r="BJ621" s="726"/>
      <c r="BK621" s="726"/>
      <c r="BL621" s="726"/>
      <c r="BM621" s="726"/>
      <c r="BN621" s="726"/>
      <c r="BO621" s="726"/>
      <c r="BP621" s="726"/>
      <c r="BQ621" s="726"/>
      <c r="BR621" s="726"/>
      <c r="BS621" s="726"/>
    </row>
    <row r="622" spans="1:71" s="563" customFormat="1">
      <c r="A622" s="614"/>
      <c r="E622" s="565"/>
      <c r="F622" s="565"/>
      <c r="Q622" s="726"/>
      <c r="R622" s="726"/>
      <c r="S622" s="726"/>
      <c r="T622" s="726"/>
      <c r="U622" s="726"/>
      <c r="V622" s="726"/>
      <c r="W622" s="726"/>
      <c r="X622" s="726"/>
      <c r="Y622" s="726"/>
      <c r="Z622" s="726"/>
      <c r="AA622" s="726"/>
      <c r="AB622" s="726"/>
      <c r="AC622" s="726"/>
      <c r="AD622" s="726"/>
      <c r="AE622" s="726"/>
      <c r="AF622" s="726"/>
      <c r="AG622" s="726"/>
      <c r="AH622" s="726"/>
      <c r="AI622" s="726"/>
      <c r="AJ622" s="726"/>
      <c r="AK622" s="726"/>
      <c r="AL622" s="726"/>
      <c r="AM622" s="726"/>
      <c r="AN622" s="726"/>
      <c r="AO622" s="726"/>
      <c r="AP622" s="726"/>
      <c r="AQ622" s="726"/>
      <c r="AR622" s="726"/>
      <c r="AS622" s="726"/>
      <c r="AT622" s="726"/>
      <c r="AU622" s="726"/>
      <c r="AV622" s="726"/>
      <c r="AW622" s="726"/>
      <c r="AX622" s="726"/>
      <c r="AY622" s="726"/>
      <c r="AZ622" s="726"/>
      <c r="BA622" s="726"/>
      <c r="BB622" s="726"/>
      <c r="BC622" s="726"/>
      <c r="BD622" s="726"/>
      <c r="BE622" s="726"/>
      <c r="BF622" s="726"/>
      <c r="BG622" s="726"/>
      <c r="BH622" s="726"/>
      <c r="BI622" s="726"/>
      <c r="BJ622" s="726"/>
      <c r="BK622" s="726"/>
      <c r="BL622" s="726"/>
      <c r="BM622" s="726"/>
      <c r="BN622" s="726"/>
      <c r="BO622" s="726"/>
      <c r="BP622" s="726"/>
      <c r="BQ622" s="726"/>
      <c r="BR622" s="726"/>
      <c r="BS622" s="726"/>
    </row>
    <row r="623" spans="1:71" s="563" customFormat="1">
      <c r="A623" s="614"/>
      <c r="E623" s="565"/>
      <c r="F623" s="565"/>
      <c r="Q623" s="726"/>
      <c r="R623" s="726"/>
      <c r="S623" s="726"/>
      <c r="T623" s="726"/>
      <c r="U623" s="726"/>
      <c r="V623" s="726"/>
      <c r="W623" s="726"/>
      <c r="X623" s="726"/>
      <c r="Y623" s="726"/>
      <c r="Z623" s="726"/>
      <c r="AA623" s="726"/>
      <c r="AB623" s="726"/>
      <c r="AC623" s="726"/>
      <c r="AD623" s="726"/>
      <c r="AE623" s="726"/>
      <c r="AF623" s="726"/>
      <c r="AG623" s="726"/>
      <c r="AH623" s="726"/>
      <c r="AI623" s="726"/>
      <c r="AJ623" s="726"/>
      <c r="AK623" s="726"/>
      <c r="AL623" s="726"/>
      <c r="AM623" s="726"/>
      <c r="AN623" s="726"/>
      <c r="AO623" s="726"/>
      <c r="AP623" s="726"/>
      <c r="AQ623" s="726"/>
      <c r="AR623" s="726"/>
      <c r="AS623" s="726"/>
      <c r="AT623" s="726"/>
      <c r="AU623" s="726"/>
      <c r="AV623" s="726"/>
      <c r="AW623" s="726"/>
      <c r="AX623" s="726"/>
      <c r="AY623" s="726"/>
      <c r="AZ623" s="726"/>
      <c r="BA623" s="726"/>
      <c r="BB623" s="726"/>
      <c r="BC623" s="726"/>
      <c r="BD623" s="726"/>
      <c r="BE623" s="726"/>
      <c r="BF623" s="726"/>
      <c r="BG623" s="726"/>
      <c r="BH623" s="726"/>
      <c r="BI623" s="726"/>
      <c r="BJ623" s="726"/>
      <c r="BK623" s="726"/>
      <c r="BL623" s="726"/>
      <c r="BM623" s="726"/>
      <c r="BN623" s="726"/>
      <c r="BO623" s="726"/>
      <c r="BP623" s="726"/>
      <c r="BQ623" s="726"/>
      <c r="BR623" s="726"/>
      <c r="BS623" s="726"/>
    </row>
    <row r="624" spans="1:71" s="563" customFormat="1">
      <c r="A624" s="614"/>
      <c r="E624" s="565"/>
      <c r="F624" s="565"/>
      <c r="Q624" s="726"/>
      <c r="R624" s="726"/>
      <c r="S624" s="726"/>
      <c r="T624" s="726"/>
      <c r="U624" s="726"/>
      <c r="V624" s="726"/>
      <c r="W624" s="726"/>
      <c r="X624" s="726"/>
      <c r="Y624" s="726"/>
      <c r="Z624" s="726"/>
      <c r="AA624" s="726"/>
      <c r="AB624" s="726"/>
      <c r="AC624" s="726"/>
      <c r="AD624" s="726"/>
      <c r="AE624" s="726"/>
      <c r="AF624" s="726"/>
      <c r="AG624" s="726"/>
      <c r="AH624" s="726"/>
      <c r="AI624" s="726"/>
      <c r="AJ624" s="726"/>
      <c r="AK624" s="726"/>
      <c r="AL624" s="726"/>
      <c r="AM624" s="726"/>
      <c r="AN624" s="726"/>
      <c r="AO624" s="726"/>
      <c r="AP624" s="726"/>
      <c r="AQ624" s="726"/>
      <c r="AR624" s="726"/>
      <c r="AS624" s="726"/>
      <c r="AT624" s="726"/>
      <c r="AU624" s="726"/>
      <c r="AV624" s="726"/>
      <c r="AW624" s="726"/>
      <c r="AX624" s="726"/>
      <c r="AY624" s="726"/>
      <c r="AZ624" s="726"/>
      <c r="BA624" s="726"/>
      <c r="BB624" s="726"/>
      <c r="BC624" s="726"/>
      <c r="BD624" s="726"/>
      <c r="BE624" s="726"/>
      <c r="BF624" s="726"/>
      <c r="BG624" s="726"/>
      <c r="BH624" s="726"/>
      <c r="BI624" s="726"/>
      <c r="BJ624" s="726"/>
      <c r="BK624" s="726"/>
      <c r="BL624" s="726"/>
      <c r="BM624" s="726"/>
      <c r="BN624" s="726"/>
      <c r="BO624" s="726"/>
      <c r="BP624" s="726"/>
      <c r="BQ624" s="726"/>
      <c r="BR624" s="726"/>
      <c r="BS624" s="726"/>
    </row>
    <row r="625" spans="1:71" s="563" customFormat="1">
      <c r="A625" s="614"/>
      <c r="E625" s="565"/>
      <c r="F625" s="565"/>
      <c r="Q625" s="726"/>
      <c r="R625" s="726"/>
      <c r="S625" s="726"/>
      <c r="T625" s="726"/>
      <c r="U625" s="726"/>
      <c r="V625" s="726"/>
      <c r="W625" s="726"/>
      <c r="X625" s="726"/>
      <c r="Y625" s="726"/>
      <c r="Z625" s="726"/>
      <c r="AA625" s="726"/>
      <c r="AB625" s="726"/>
      <c r="AC625" s="726"/>
      <c r="AD625" s="726"/>
      <c r="AE625" s="726"/>
      <c r="AF625" s="726"/>
      <c r="AG625" s="726"/>
      <c r="AH625" s="726"/>
      <c r="AI625" s="726"/>
      <c r="AJ625" s="726"/>
      <c r="AK625" s="726"/>
      <c r="AL625" s="726"/>
      <c r="AM625" s="726"/>
      <c r="AN625" s="726"/>
      <c r="AO625" s="726"/>
      <c r="AP625" s="726"/>
      <c r="AQ625" s="726"/>
      <c r="AR625" s="726"/>
      <c r="AS625" s="726"/>
      <c r="AT625" s="726"/>
      <c r="AU625" s="726"/>
      <c r="AV625" s="726"/>
      <c r="AW625" s="726"/>
      <c r="AX625" s="726"/>
      <c r="AY625" s="726"/>
      <c r="AZ625" s="726"/>
      <c r="BA625" s="726"/>
      <c r="BB625" s="726"/>
      <c r="BC625" s="726"/>
      <c r="BD625" s="726"/>
      <c r="BE625" s="726"/>
      <c r="BF625" s="726"/>
      <c r="BG625" s="726"/>
      <c r="BH625" s="726"/>
      <c r="BI625" s="726"/>
      <c r="BJ625" s="726"/>
      <c r="BK625" s="726"/>
      <c r="BL625" s="726"/>
      <c r="BM625" s="726"/>
      <c r="BN625" s="726"/>
      <c r="BO625" s="726"/>
      <c r="BP625" s="726"/>
      <c r="BQ625" s="726"/>
      <c r="BR625" s="726"/>
      <c r="BS625" s="726"/>
    </row>
    <row r="626" spans="1:71" s="563" customFormat="1">
      <c r="A626" s="614"/>
      <c r="E626" s="565"/>
      <c r="F626" s="565"/>
      <c r="Q626" s="726"/>
      <c r="R626" s="726"/>
      <c r="S626" s="726"/>
      <c r="T626" s="726"/>
      <c r="U626" s="726"/>
      <c r="V626" s="726"/>
      <c r="W626" s="726"/>
      <c r="X626" s="726"/>
      <c r="Y626" s="726"/>
      <c r="Z626" s="726"/>
      <c r="AA626" s="726"/>
      <c r="AB626" s="726"/>
      <c r="AC626" s="726"/>
      <c r="AD626" s="726"/>
      <c r="AE626" s="726"/>
      <c r="AF626" s="726"/>
      <c r="AG626" s="726"/>
      <c r="AH626" s="726"/>
      <c r="AI626" s="726"/>
      <c r="AJ626" s="726"/>
      <c r="AK626" s="726"/>
      <c r="AL626" s="726"/>
      <c r="AM626" s="726"/>
      <c r="AN626" s="726"/>
      <c r="AO626" s="726"/>
      <c r="AP626" s="726"/>
      <c r="AQ626" s="726"/>
      <c r="AR626" s="726"/>
      <c r="AS626" s="726"/>
      <c r="AT626" s="726"/>
      <c r="AU626" s="726"/>
      <c r="AV626" s="726"/>
      <c r="AW626" s="726"/>
      <c r="AX626" s="726"/>
      <c r="AY626" s="726"/>
      <c r="AZ626" s="726"/>
      <c r="BA626" s="726"/>
      <c r="BB626" s="726"/>
      <c r="BC626" s="726"/>
      <c r="BD626" s="726"/>
      <c r="BE626" s="726"/>
      <c r="BF626" s="726"/>
      <c r="BG626" s="726"/>
      <c r="BH626" s="726"/>
      <c r="BI626" s="726"/>
      <c r="BJ626" s="726"/>
      <c r="BK626" s="726"/>
      <c r="BL626" s="726"/>
      <c r="BM626" s="726"/>
      <c r="BN626" s="726"/>
      <c r="BO626" s="726"/>
      <c r="BP626" s="726"/>
      <c r="BQ626" s="726"/>
      <c r="BR626" s="726"/>
      <c r="BS626" s="726"/>
    </row>
    <row r="627" spans="1:71" s="563" customFormat="1">
      <c r="A627" s="614"/>
      <c r="E627" s="565"/>
      <c r="F627" s="565"/>
      <c r="Q627" s="726"/>
      <c r="R627" s="726"/>
      <c r="S627" s="726"/>
      <c r="T627" s="726"/>
      <c r="U627" s="726"/>
      <c r="V627" s="726"/>
      <c r="W627" s="726"/>
      <c r="X627" s="726"/>
      <c r="Y627" s="726"/>
      <c r="Z627" s="726"/>
      <c r="AA627" s="726"/>
      <c r="AB627" s="726"/>
      <c r="AC627" s="726"/>
      <c r="AD627" s="726"/>
      <c r="AE627" s="726"/>
      <c r="AF627" s="726"/>
      <c r="AG627" s="726"/>
      <c r="AH627" s="726"/>
      <c r="AI627" s="726"/>
      <c r="AJ627" s="726"/>
      <c r="AK627" s="726"/>
      <c r="AL627" s="726"/>
      <c r="AM627" s="726"/>
      <c r="AN627" s="726"/>
      <c r="AO627" s="726"/>
      <c r="AP627" s="726"/>
      <c r="AQ627" s="726"/>
      <c r="AR627" s="726"/>
      <c r="AS627" s="726"/>
      <c r="AT627" s="726"/>
      <c r="AU627" s="726"/>
      <c r="AV627" s="726"/>
      <c r="AW627" s="726"/>
      <c r="AX627" s="726"/>
      <c r="AY627" s="726"/>
      <c r="AZ627" s="726"/>
      <c r="BA627" s="726"/>
      <c r="BB627" s="726"/>
      <c r="BC627" s="726"/>
      <c r="BD627" s="726"/>
      <c r="BE627" s="726"/>
      <c r="BF627" s="726"/>
      <c r="BG627" s="726"/>
      <c r="BH627" s="726"/>
      <c r="BI627" s="726"/>
      <c r="BJ627" s="726"/>
      <c r="BK627" s="726"/>
      <c r="BL627" s="726"/>
      <c r="BM627" s="726"/>
      <c r="BN627" s="726"/>
      <c r="BO627" s="726"/>
      <c r="BP627" s="726"/>
      <c r="BQ627" s="726"/>
      <c r="BR627" s="726"/>
      <c r="BS627" s="726"/>
    </row>
    <row r="628" spans="1:71" s="563" customFormat="1">
      <c r="A628" s="614"/>
      <c r="E628" s="565"/>
      <c r="F628" s="565"/>
      <c r="Q628" s="726"/>
      <c r="R628" s="726"/>
      <c r="S628" s="726"/>
      <c r="T628" s="726"/>
      <c r="U628" s="726"/>
      <c r="V628" s="726"/>
      <c r="W628" s="726"/>
      <c r="X628" s="726"/>
      <c r="Y628" s="726"/>
      <c r="Z628" s="726"/>
      <c r="AA628" s="726"/>
      <c r="AB628" s="726"/>
      <c r="AC628" s="726"/>
      <c r="AD628" s="726"/>
      <c r="AE628" s="726"/>
      <c r="AF628" s="726"/>
      <c r="AG628" s="726"/>
      <c r="AH628" s="726"/>
      <c r="AI628" s="726"/>
      <c r="AJ628" s="726"/>
      <c r="AK628" s="726"/>
      <c r="AL628" s="726"/>
      <c r="AM628" s="726"/>
      <c r="AN628" s="726"/>
      <c r="AO628" s="726"/>
      <c r="AP628" s="726"/>
      <c r="AQ628" s="726"/>
      <c r="AR628" s="726"/>
      <c r="AS628" s="726"/>
      <c r="AT628" s="726"/>
      <c r="AU628" s="726"/>
      <c r="AV628" s="726"/>
      <c r="AW628" s="726"/>
      <c r="AX628" s="726"/>
      <c r="AY628" s="726"/>
      <c r="AZ628" s="726"/>
      <c r="BA628" s="726"/>
      <c r="BB628" s="726"/>
      <c r="BC628" s="726"/>
      <c r="BD628" s="726"/>
      <c r="BE628" s="726"/>
      <c r="BF628" s="726"/>
      <c r="BG628" s="726"/>
      <c r="BH628" s="726"/>
      <c r="BI628" s="726"/>
      <c r="BJ628" s="726"/>
      <c r="BK628" s="726"/>
      <c r="BL628" s="726"/>
      <c r="BM628" s="726"/>
      <c r="BN628" s="726"/>
      <c r="BO628" s="726"/>
      <c r="BP628" s="726"/>
      <c r="BQ628" s="726"/>
      <c r="BR628" s="726"/>
      <c r="BS628" s="726"/>
    </row>
    <row r="629" spans="1:71" s="563" customFormat="1">
      <c r="A629" s="614"/>
      <c r="E629" s="565"/>
      <c r="F629" s="565"/>
      <c r="Q629" s="726"/>
      <c r="R629" s="726"/>
      <c r="S629" s="726"/>
      <c r="T629" s="726"/>
      <c r="U629" s="726"/>
      <c r="V629" s="726"/>
      <c r="W629" s="726"/>
      <c r="X629" s="726"/>
      <c r="Y629" s="726"/>
      <c r="Z629" s="726"/>
      <c r="AA629" s="726"/>
      <c r="AB629" s="726"/>
      <c r="AC629" s="726"/>
      <c r="AD629" s="726"/>
      <c r="AE629" s="726"/>
      <c r="AF629" s="726"/>
      <c r="AG629" s="726"/>
      <c r="AH629" s="726"/>
      <c r="AI629" s="726"/>
      <c r="AJ629" s="726"/>
      <c r="AK629" s="726"/>
      <c r="AL629" s="726"/>
      <c r="AM629" s="726"/>
      <c r="AN629" s="726"/>
      <c r="AO629" s="726"/>
      <c r="AP629" s="726"/>
      <c r="AQ629" s="726"/>
      <c r="AR629" s="726"/>
      <c r="AS629" s="726"/>
      <c r="AT629" s="726"/>
      <c r="AU629" s="726"/>
      <c r="AV629" s="726"/>
      <c r="AW629" s="726"/>
      <c r="AX629" s="726"/>
      <c r="AY629" s="726"/>
      <c r="AZ629" s="726"/>
      <c r="BA629" s="726"/>
      <c r="BB629" s="726"/>
      <c r="BC629" s="726"/>
      <c r="BD629" s="726"/>
      <c r="BE629" s="726"/>
      <c r="BF629" s="726"/>
      <c r="BG629" s="726"/>
      <c r="BH629" s="726"/>
      <c r="BI629" s="726"/>
      <c r="BJ629" s="726"/>
      <c r="BK629" s="726"/>
      <c r="BL629" s="726"/>
      <c r="BM629" s="726"/>
      <c r="BN629" s="726"/>
      <c r="BO629" s="726"/>
      <c r="BP629" s="726"/>
      <c r="BQ629" s="726"/>
      <c r="BR629" s="726"/>
      <c r="BS629" s="726"/>
    </row>
    <row r="630" spans="1:71" s="563" customFormat="1">
      <c r="A630" s="614"/>
      <c r="E630" s="565"/>
      <c r="F630" s="565"/>
      <c r="Q630" s="726"/>
      <c r="R630" s="726"/>
      <c r="S630" s="726"/>
      <c r="T630" s="726"/>
      <c r="U630" s="726"/>
      <c r="V630" s="726"/>
      <c r="W630" s="726"/>
      <c r="X630" s="726"/>
      <c r="Y630" s="726"/>
      <c r="Z630" s="726"/>
      <c r="AA630" s="726"/>
      <c r="AB630" s="726"/>
      <c r="AC630" s="726"/>
      <c r="AD630" s="726"/>
      <c r="AE630" s="726"/>
      <c r="AF630" s="726"/>
      <c r="AG630" s="726"/>
      <c r="AH630" s="726"/>
      <c r="AI630" s="726"/>
      <c r="AJ630" s="726"/>
      <c r="AK630" s="726"/>
      <c r="AL630" s="726"/>
      <c r="AM630" s="726"/>
      <c r="AN630" s="726"/>
      <c r="AO630" s="726"/>
      <c r="AP630" s="726"/>
      <c r="AQ630" s="726"/>
      <c r="AR630" s="726"/>
      <c r="AS630" s="726"/>
      <c r="AT630" s="726"/>
      <c r="AU630" s="726"/>
      <c r="AV630" s="726"/>
      <c r="AW630" s="726"/>
      <c r="AX630" s="726"/>
      <c r="AY630" s="726"/>
      <c r="AZ630" s="726"/>
      <c r="BA630" s="726"/>
      <c r="BB630" s="726"/>
      <c r="BC630" s="726"/>
      <c r="BD630" s="726"/>
      <c r="BE630" s="726"/>
      <c r="BF630" s="726"/>
      <c r="BG630" s="726"/>
      <c r="BH630" s="726"/>
      <c r="BI630" s="726"/>
      <c r="BJ630" s="726"/>
      <c r="BK630" s="726"/>
      <c r="BL630" s="726"/>
      <c r="BM630" s="726"/>
      <c r="BN630" s="726"/>
      <c r="BO630" s="726"/>
      <c r="BP630" s="726"/>
      <c r="BQ630" s="726"/>
      <c r="BR630" s="726"/>
      <c r="BS630" s="726"/>
    </row>
    <row r="631" spans="1:71" s="563" customFormat="1">
      <c r="A631" s="614"/>
      <c r="E631" s="565"/>
      <c r="F631" s="565"/>
      <c r="Q631" s="726"/>
      <c r="R631" s="726"/>
      <c r="S631" s="726"/>
      <c r="T631" s="726"/>
      <c r="U631" s="726"/>
      <c r="V631" s="726"/>
      <c r="W631" s="726"/>
      <c r="X631" s="726"/>
      <c r="Y631" s="726"/>
      <c r="Z631" s="726"/>
      <c r="AA631" s="726"/>
      <c r="AB631" s="726"/>
      <c r="AC631" s="726"/>
      <c r="AD631" s="726"/>
      <c r="AE631" s="726"/>
      <c r="AF631" s="726"/>
      <c r="AG631" s="726"/>
      <c r="AH631" s="726"/>
      <c r="AI631" s="726"/>
      <c r="AJ631" s="726"/>
      <c r="AK631" s="726"/>
      <c r="AL631" s="726"/>
      <c r="AM631" s="726"/>
      <c r="AN631" s="726"/>
      <c r="AO631" s="726"/>
      <c r="AP631" s="726"/>
      <c r="AQ631" s="726"/>
      <c r="AR631" s="726"/>
      <c r="AS631" s="726"/>
      <c r="AT631" s="726"/>
      <c r="AU631" s="726"/>
      <c r="AV631" s="726"/>
      <c r="AW631" s="726"/>
      <c r="AX631" s="726"/>
      <c r="AY631" s="726"/>
      <c r="AZ631" s="726"/>
      <c r="BA631" s="726"/>
      <c r="BB631" s="726"/>
      <c r="BC631" s="726"/>
      <c r="BD631" s="726"/>
      <c r="BE631" s="726"/>
      <c r="BF631" s="726"/>
      <c r="BG631" s="726"/>
      <c r="BH631" s="726"/>
      <c r="BI631" s="726"/>
      <c r="BJ631" s="726"/>
      <c r="BK631" s="726"/>
      <c r="BL631" s="726"/>
      <c r="BM631" s="726"/>
      <c r="BN631" s="726"/>
      <c r="BO631" s="726"/>
      <c r="BP631" s="726"/>
      <c r="BQ631" s="726"/>
      <c r="BR631" s="726"/>
      <c r="BS631" s="726"/>
    </row>
    <row r="632" spans="1:71" s="563" customFormat="1">
      <c r="A632" s="614"/>
      <c r="E632" s="565"/>
      <c r="F632" s="565"/>
      <c r="Q632" s="726"/>
      <c r="R632" s="726"/>
      <c r="S632" s="726"/>
      <c r="T632" s="726"/>
      <c r="U632" s="726"/>
      <c r="V632" s="726"/>
      <c r="W632" s="726"/>
      <c r="X632" s="726"/>
      <c r="Y632" s="726"/>
      <c r="Z632" s="726"/>
      <c r="AA632" s="726"/>
      <c r="AB632" s="726"/>
      <c r="AC632" s="726"/>
      <c r="AD632" s="726"/>
      <c r="AE632" s="726"/>
      <c r="AF632" s="726"/>
      <c r="AG632" s="726"/>
      <c r="AH632" s="726"/>
      <c r="AI632" s="726"/>
      <c r="AJ632" s="726"/>
      <c r="AK632" s="726"/>
      <c r="AL632" s="726"/>
      <c r="AM632" s="726"/>
      <c r="AN632" s="726"/>
      <c r="AO632" s="726"/>
      <c r="AP632" s="726"/>
      <c r="AQ632" s="726"/>
      <c r="AR632" s="726"/>
      <c r="AS632" s="726"/>
      <c r="AT632" s="726"/>
      <c r="AU632" s="726"/>
      <c r="AV632" s="726"/>
      <c r="AW632" s="726"/>
      <c r="AX632" s="726"/>
      <c r="AY632" s="726"/>
      <c r="AZ632" s="726"/>
      <c r="BA632" s="726"/>
      <c r="BB632" s="726"/>
      <c r="BC632" s="726"/>
      <c r="BD632" s="726"/>
      <c r="BE632" s="726"/>
      <c r="BF632" s="726"/>
      <c r="BG632" s="726"/>
      <c r="BH632" s="726"/>
      <c r="BI632" s="726"/>
      <c r="BJ632" s="726"/>
      <c r="BK632" s="726"/>
      <c r="BL632" s="726"/>
      <c r="BM632" s="726"/>
      <c r="BN632" s="726"/>
      <c r="BO632" s="726"/>
      <c r="BP632" s="726"/>
      <c r="BQ632" s="726"/>
      <c r="BR632" s="726"/>
      <c r="BS632" s="726"/>
    </row>
    <row r="633" spans="1:71" s="563" customFormat="1">
      <c r="A633" s="614"/>
      <c r="E633" s="565"/>
      <c r="F633" s="565"/>
      <c r="Q633" s="726"/>
      <c r="R633" s="726"/>
      <c r="S633" s="726"/>
      <c r="T633" s="726"/>
      <c r="U633" s="726"/>
      <c r="V633" s="726"/>
      <c r="W633" s="726"/>
      <c r="X633" s="726"/>
      <c r="Y633" s="726"/>
      <c r="Z633" s="726"/>
      <c r="AA633" s="726"/>
      <c r="AB633" s="726"/>
      <c r="AC633" s="726"/>
      <c r="AD633" s="726"/>
      <c r="AE633" s="726"/>
      <c r="AF633" s="726"/>
      <c r="AG633" s="726"/>
      <c r="AH633" s="726"/>
      <c r="AI633" s="726"/>
      <c r="AJ633" s="726"/>
      <c r="AK633" s="726"/>
      <c r="AL633" s="726"/>
      <c r="AM633" s="726"/>
      <c r="AN633" s="726"/>
      <c r="AO633" s="726"/>
      <c r="AP633" s="726"/>
      <c r="AQ633" s="726"/>
      <c r="AR633" s="726"/>
      <c r="AS633" s="726"/>
      <c r="AT633" s="726"/>
      <c r="AU633" s="726"/>
      <c r="AV633" s="726"/>
      <c r="AW633" s="726"/>
      <c r="AX633" s="726"/>
      <c r="AY633" s="726"/>
      <c r="AZ633" s="726"/>
      <c r="BA633" s="726"/>
      <c r="BB633" s="726"/>
      <c r="BC633" s="726"/>
      <c r="BD633" s="726"/>
      <c r="BE633" s="726"/>
      <c r="BF633" s="726"/>
      <c r="BG633" s="726"/>
      <c r="BH633" s="726"/>
      <c r="BI633" s="726"/>
      <c r="BJ633" s="726"/>
      <c r="BK633" s="726"/>
      <c r="BL633" s="726"/>
      <c r="BM633" s="726"/>
      <c r="BN633" s="726"/>
      <c r="BO633" s="726"/>
      <c r="BP633" s="726"/>
      <c r="BQ633" s="726"/>
      <c r="BR633" s="726"/>
      <c r="BS633" s="726"/>
    </row>
    <row r="634" spans="1:71" s="563" customFormat="1">
      <c r="A634" s="614"/>
      <c r="E634" s="565"/>
      <c r="F634" s="565"/>
      <c r="Q634" s="726"/>
      <c r="R634" s="726"/>
      <c r="S634" s="726"/>
      <c r="T634" s="726"/>
      <c r="U634" s="726"/>
      <c r="V634" s="726"/>
      <c r="W634" s="726"/>
      <c r="X634" s="726"/>
      <c r="Y634" s="726"/>
      <c r="Z634" s="726"/>
      <c r="AA634" s="726"/>
      <c r="AB634" s="726"/>
      <c r="AC634" s="726"/>
      <c r="AD634" s="726"/>
      <c r="AE634" s="726"/>
      <c r="AF634" s="726"/>
      <c r="AG634" s="726"/>
      <c r="AH634" s="726"/>
      <c r="AI634" s="726"/>
      <c r="AJ634" s="726"/>
      <c r="AK634" s="726"/>
      <c r="AL634" s="726"/>
      <c r="AM634" s="726"/>
      <c r="AN634" s="726"/>
      <c r="AO634" s="726"/>
      <c r="AP634" s="726"/>
      <c r="AQ634" s="726"/>
      <c r="AR634" s="726"/>
      <c r="AS634" s="726"/>
      <c r="AT634" s="726"/>
      <c r="AU634" s="726"/>
      <c r="AV634" s="726"/>
      <c r="AW634" s="726"/>
      <c r="AX634" s="726"/>
      <c r="AY634" s="726"/>
      <c r="AZ634" s="726"/>
      <c r="BA634" s="726"/>
      <c r="BB634" s="726"/>
      <c r="BC634" s="726"/>
      <c r="BD634" s="726"/>
      <c r="BE634" s="726"/>
      <c r="BF634" s="726"/>
      <c r="BG634" s="726"/>
      <c r="BH634" s="726"/>
      <c r="BI634" s="726"/>
      <c r="BJ634" s="726"/>
      <c r="BK634" s="726"/>
      <c r="BL634" s="726"/>
      <c r="BM634" s="726"/>
      <c r="BN634" s="726"/>
      <c r="BO634" s="726"/>
      <c r="BP634" s="726"/>
      <c r="BQ634" s="726"/>
      <c r="BR634" s="726"/>
      <c r="BS634" s="726"/>
    </row>
    <row r="635" spans="1:71" s="563" customFormat="1">
      <c r="A635" s="614"/>
      <c r="E635" s="565"/>
      <c r="F635" s="565"/>
      <c r="Q635" s="726"/>
      <c r="R635" s="726"/>
      <c r="S635" s="726"/>
      <c r="T635" s="726"/>
      <c r="U635" s="726"/>
      <c r="V635" s="726"/>
      <c r="W635" s="726"/>
      <c r="X635" s="726"/>
      <c r="Y635" s="726"/>
      <c r="Z635" s="726"/>
      <c r="AA635" s="726"/>
      <c r="AB635" s="726"/>
      <c r="AC635" s="726"/>
      <c r="AD635" s="726"/>
      <c r="AE635" s="726"/>
      <c r="AF635" s="726"/>
      <c r="AG635" s="726"/>
      <c r="AH635" s="726"/>
      <c r="AI635" s="726"/>
      <c r="AJ635" s="726"/>
      <c r="AK635" s="726"/>
      <c r="AL635" s="726"/>
      <c r="AM635" s="726"/>
      <c r="AN635" s="726"/>
      <c r="AO635" s="726"/>
      <c r="AP635" s="726"/>
      <c r="AQ635" s="726"/>
      <c r="AR635" s="726"/>
      <c r="AS635" s="726"/>
      <c r="AT635" s="726"/>
      <c r="AU635" s="726"/>
      <c r="AV635" s="726"/>
      <c r="AW635" s="726"/>
      <c r="AX635" s="726"/>
      <c r="AY635" s="726"/>
      <c r="AZ635" s="726"/>
      <c r="BA635" s="726"/>
      <c r="BB635" s="726"/>
      <c r="BC635" s="726"/>
      <c r="BD635" s="726"/>
      <c r="BE635" s="726"/>
      <c r="BF635" s="726"/>
      <c r="BG635" s="726"/>
      <c r="BH635" s="726"/>
      <c r="BI635" s="726"/>
      <c r="BJ635" s="726"/>
      <c r="BK635" s="726"/>
      <c r="BL635" s="726"/>
      <c r="BM635" s="726"/>
      <c r="BN635" s="726"/>
      <c r="BO635" s="726"/>
      <c r="BP635" s="726"/>
      <c r="BQ635" s="726"/>
      <c r="BR635" s="726"/>
      <c r="BS635" s="726"/>
    </row>
    <row r="636" spans="1:71" s="563" customFormat="1">
      <c r="A636" s="614"/>
      <c r="E636" s="565"/>
      <c r="F636" s="565"/>
      <c r="Q636" s="726"/>
      <c r="R636" s="726"/>
      <c r="S636" s="726"/>
      <c r="T636" s="726"/>
      <c r="U636" s="726"/>
      <c r="V636" s="726"/>
      <c r="W636" s="726"/>
      <c r="X636" s="726"/>
      <c r="Y636" s="726"/>
      <c r="Z636" s="726"/>
      <c r="AA636" s="726"/>
      <c r="AB636" s="726"/>
      <c r="AC636" s="726"/>
      <c r="AD636" s="726"/>
      <c r="AE636" s="726"/>
      <c r="AF636" s="726"/>
      <c r="AG636" s="726"/>
      <c r="AH636" s="726"/>
      <c r="AI636" s="726"/>
      <c r="AJ636" s="726"/>
      <c r="AK636" s="726"/>
      <c r="AL636" s="726"/>
      <c r="AM636" s="726"/>
      <c r="AN636" s="726"/>
      <c r="AO636" s="726"/>
      <c r="AP636" s="726"/>
      <c r="AQ636" s="726"/>
      <c r="AR636" s="726"/>
      <c r="AS636" s="726"/>
      <c r="AT636" s="726"/>
      <c r="AU636" s="726"/>
      <c r="AV636" s="726"/>
      <c r="AW636" s="726"/>
      <c r="AX636" s="726"/>
      <c r="AY636" s="726"/>
      <c r="AZ636" s="726"/>
      <c r="BA636" s="726"/>
      <c r="BB636" s="726"/>
      <c r="BC636" s="726"/>
      <c r="BD636" s="726"/>
      <c r="BE636" s="726"/>
      <c r="BF636" s="726"/>
      <c r="BG636" s="726"/>
      <c r="BH636" s="726"/>
      <c r="BI636" s="726"/>
      <c r="BJ636" s="726"/>
      <c r="BK636" s="726"/>
      <c r="BL636" s="726"/>
      <c r="BM636" s="726"/>
      <c r="BN636" s="726"/>
      <c r="BO636" s="726"/>
      <c r="BP636" s="726"/>
      <c r="BQ636" s="726"/>
      <c r="BR636" s="726"/>
      <c r="BS636" s="726"/>
    </row>
    <row r="637" spans="1:71" s="563" customFormat="1">
      <c r="A637" s="614"/>
      <c r="E637" s="565"/>
      <c r="F637" s="565"/>
      <c r="Q637" s="726"/>
      <c r="R637" s="726"/>
      <c r="S637" s="726"/>
      <c r="T637" s="726"/>
      <c r="U637" s="726"/>
      <c r="V637" s="726"/>
      <c r="W637" s="726"/>
      <c r="X637" s="726"/>
      <c r="Y637" s="726"/>
      <c r="Z637" s="726"/>
      <c r="AA637" s="726"/>
      <c r="AB637" s="726"/>
      <c r="AC637" s="726"/>
      <c r="AD637" s="726"/>
      <c r="AE637" s="726"/>
      <c r="AF637" s="726"/>
      <c r="AG637" s="726"/>
      <c r="AH637" s="726"/>
      <c r="AI637" s="726"/>
      <c r="AJ637" s="726"/>
      <c r="AK637" s="726"/>
      <c r="AL637" s="726"/>
      <c r="AM637" s="726"/>
      <c r="AN637" s="726"/>
      <c r="AO637" s="726"/>
      <c r="AP637" s="726"/>
      <c r="AQ637" s="726"/>
      <c r="AR637" s="726"/>
      <c r="AS637" s="726"/>
      <c r="AT637" s="726"/>
      <c r="AU637" s="726"/>
      <c r="AV637" s="726"/>
      <c r="AW637" s="726"/>
      <c r="AX637" s="726"/>
      <c r="AY637" s="726"/>
      <c r="AZ637" s="726"/>
      <c r="BA637" s="726"/>
      <c r="BB637" s="726"/>
      <c r="BC637" s="726"/>
      <c r="BD637" s="726"/>
      <c r="BE637" s="726"/>
      <c r="BF637" s="726"/>
      <c r="BG637" s="726"/>
      <c r="BH637" s="726"/>
      <c r="BI637" s="726"/>
      <c r="BJ637" s="726"/>
      <c r="BK637" s="726"/>
      <c r="BL637" s="726"/>
      <c r="BM637" s="726"/>
      <c r="BN637" s="726"/>
      <c r="BO637" s="726"/>
      <c r="BP637" s="726"/>
      <c r="BQ637" s="726"/>
      <c r="BR637" s="726"/>
      <c r="BS637" s="726"/>
    </row>
    <row r="638" spans="1:71" s="563" customFormat="1">
      <c r="A638" s="614"/>
      <c r="E638" s="565"/>
      <c r="F638" s="565"/>
      <c r="Q638" s="726"/>
      <c r="R638" s="726"/>
      <c r="S638" s="726"/>
      <c r="T638" s="726"/>
      <c r="U638" s="726"/>
      <c r="V638" s="726"/>
      <c r="W638" s="726"/>
      <c r="X638" s="726"/>
      <c r="Y638" s="726"/>
      <c r="Z638" s="726"/>
      <c r="AA638" s="726"/>
      <c r="AB638" s="726"/>
      <c r="AC638" s="726"/>
      <c r="AD638" s="726"/>
      <c r="AE638" s="726"/>
      <c r="AF638" s="726"/>
      <c r="AG638" s="726"/>
      <c r="AH638" s="726"/>
      <c r="AI638" s="726"/>
      <c r="AJ638" s="726"/>
      <c r="AK638" s="726"/>
      <c r="AL638" s="726"/>
      <c r="AM638" s="726"/>
      <c r="AN638" s="726"/>
      <c r="AO638" s="726"/>
      <c r="AP638" s="726"/>
      <c r="AQ638" s="726"/>
      <c r="AR638" s="726"/>
      <c r="AS638" s="726"/>
      <c r="AT638" s="726"/>
      <c r="AU638" s="726"/>
      <c r="AV638" s="726"/>
      <c r="AW638" s="726"/>
      <c r="AX638" s="726"/>
      <c r="AY638" s="726"/>
      <c r="AZ638" s="726"/>
      <c r="BA638" s="726"/>
      <c r="BB638" s="726"/>
      <c r="BC638" s="726"/>
      <c r="BD638" s="726"/>
      <c r="BE638" s="726"/>
      <c r="BF638" s="726"/>
      <c r="BG638" s="726"/>
      <c r="BH638" s="726"/>
      <c r="BI638" s="726"/>
      <c r="BJ638" s="726"/>
      <c r="BK638" s="726"/>
      <c r="BL638" s="726"/>
      <c r="BM638" s="726"/>
      <c r="BN638" s="726"/>
      <c r="BO638" s="726"/>
      <c r="BP638" s="726"/>
      <c r="BQ638" s="726"/>
      <c r="BR638" s="726"/>
      <c r="BS638" s="726"/>
    </row>
    <row r="639" spans="1:71" s="563" customFormat="1">
      <c r="A639" s="614"/>
      <c r="E639" s="565"/>
      <c r="F639" s="565"/>
      <c r="Q639" s="726"/>
      <c r="R639" s="726"/>
      <c r="S639" s="726"/>
      <c r="T639" s="726"/>
      <c r="U639" s="726"/>
      <c r="V639" s="726"/>
      <c r="W639" s="726"/>
      <c r="X639" s="726"/>
      <c r="Y639" s="726"/>
      <c r="Z639" s="726"/>
      <c r="AA639" s="726"/>
      <c r="AB639" s="726"/>
      <c r="AC639" s="726"/>
      <c r="AD639" s="726"/>
      <c r="AE639" s="726"/>
      <c r="AF639" s="726"/>
      <c r="AG639" s="726"/>
      <c r="AH639" s="726"/>
      <c r="AI639" s="726"/>
      <c r="AJ639" s="726"/>
      <c r="AK639" s="726"/>
      <c r="AL639" s="726"/>
      <c r="AM639" s="726"/>
      <c r="AN639" s="726"/>
      <c r="AO639" s="726"/>
      <c r="AP639" s="726"/>
      <c r="AQ639" s="726"/>
      <c r="AR639" s="726"/>
      <c r="AS639" s="726"/>
      <c r="AT639" s="726"/>
      <c r="AU639" s="726"/>
      <c r="AV639" s="726"/>
      <c r="AW639" s="726"/>
      <c r="AX639" s="726"/>
      <c r="AY639" s="726"/>
      <c r="AZ639" s="726"/>
      <c r="BA639" s="726"/>
      <c r="BB639" s="726"/>
      <c r="BC639" s="726"/>
      <c r="BD639" s="726"/>
      <c r="BE639" s="726"/>
      <c r="BF639" s="726"/>
      <c r="BG639" s="726"/>
      <c r="BH639" s="726"/>
      <c r="BI639" s="726"/>
      <c r="BJ639" s="726"/>
      <c r="BK639" s="726"/>
      <c r="BL639" s="726"/>
      <c r="BM639" s="726"/>
      <c r="BN639" s="726"/>
      <c r="BO639" s="726"/>
      <c r="BP639" s="726"/>
      <c r="BQ639" s="726"/>
      <c r="BR639" s="726"/>
      <c r="BS639" s="726"/>
    </row>
    <row r="640" spans="1:71" s="563" customFormat="1">
      <c r="A640" s="614"/>
      <c r="E640" s="565"/>
      <c r="F640" s="565"/>
      <c r="Q640" s="726"/>
      <c r="R640" s="726"/>
      <c r="S640" s="726"/>
      <c r="T640" s="726"/>
      <c r="U640" s="726"/>
      <c r="V640" s="726"/>
      <c r="W640" s="726"/>
      <c r="X640" s="726"/>
      <c r="Y640" s="726"/>
      <c r="Z640" s="726"/>
      <c r="AA640" s="726"/>
      <c r="AB640" s="726"/>
      <c r="AC640" s="726"/>
      <c r="AD640" s="726"/>
      <c r="AE640" s="726"/>
      <c r="AF640" s="726"/>
      <c r="AG640" s="726"/>
      <c r="AH640" s="726"/>
      <c r="AI640" s="726"/>
      <c r="AJ640" s="726"/>
      <c r="AK640" s="726"/>
      <c r="AL640" s="726"/>
      <c r="AM640" s="726"/>
      <c r="AN640" s="726"/>
      <c r="AO640" s="726"/>
      <c r="AP640" s="726"/>
      <c r="AQ640" s="726"/>
      <c r="AR640" s="726"/>
      <c r="AS640" s="726"/>
      <c r="AT640" s="726"/>
      <c r="AU640" s="726"/>
      <c r="AV640" s="726"/>
      <c r="AW640" s="726"/>
      <c r="AX640" s="726"/>
      <c r="AY640" s="726"/>
      <c r="AZ640" s="726"/>
      <c r="BA640" s="726"/>
      <c r="BB640" s="726"/>
      <c r="BC640" s="726"/>
      <c r="BD640" s="726"/>
      <c r="BE640" s="726"/>
      <c r="BF640" s="726"/>
      <c r="BG640" s="726"/>
      <c r="BH640" s="726"/>
      <c r="BI640" s="726"/>
      <c r="BJ640" s="726"/>
      <c r="BK640" s="726"/>
      <c r="BL640" s="726"/>
      <c r="BM640" s="726"/>
      <c r="BN640" s="726"/>
      <c r="BO640" s="726"/>
      <c r="BP640" s="726"/>
      <c r="BQ640" s="726"/>
      <c r="BR640" s="726"/>
      <c r="BS640" s="726"/>
    </row>
    <row r="641" spans="1:71" s="563" customFormat="1">
      <c r="A641" s="614"/>
      <c r="E641" s="565"/>
      <c r="F641" s="565"/>
      <c r="Q641" s="726"/>
      <c r="R641" s="726"/>
      <c r="S641" s="726"/>
      <c r="T641" s="726"/>
      <c r="U641" s="726"/>
      <c r="V641" s="726"/>
      <c r="W641" s="726"/>
      <c r="X641" s="726"/>
      <c r="Y641" s="726"/>
      <c r="Z641" s="726"/>
      <c r="AA641" s="726"/>
      <c r="AB641" s="726"/>
      <c r="AC641" s="726"/>
      <c r="AD641" s="726"/>
      <c r="AE641" s="726"/>
      <c r="AF641" s="726"/>
      <c r="AG641" s="726"/>
      <c r="AH641" s="726"/>
      <c r="AI641" s="726"/>
      <c r="AJ641" s="726"/>
      <c r="AK641" s="726"/>
      <c r="AL641" s="726"/>
      <c r="AM641" s="726"/>
      <c r="AN641" s="726"/>
      <c r="AO641" s="726"/>
      <c r="AP641" s="726"/>
      <c r="AQ641" s="726"/>
      <c r="AR641" s="726"/>
      <c r="AS641" s="726"/>
      <c r="AT641" s="726"/>
      <c r="AU641" s="726"/>
      <c r="AV641" s="726"/>
      <c r="AW641" s="726"/>
      <c r="AX641" s="726"/>
      <c r="AY641" s="726"/>
      <c r="AZ641" s="726"/>
      <c r="BA641" s="726"/>
      <c r="BB641" s="726"/>
      <c r="BC641" s="726"/>
      <c r="BD641" s="726"/>
      <c r="BE641" s="726"/>
      <c r="BF641" s="726"/>
      <c r="BG641" s="726"/>
      <c r="BH641" s="726"/>
      <c r="BI641" s="726"/>
      <c r="BJ641" s="726"/>
      <c r="BK641" s="726"/>
      <c r="BL641" s="726"/>
      <c r="BM641" s="726"/>
      <c r="BN641" s="726"/>
      <c r="BO641" s="726"/>
      <c r="BP641" s="726"/>
      <c r="BQ641" s="726"/>
      <c r="BR641" s="726"/>
      <c r="BS641" s="726"/>
    </row>
    <row r="642" spans="1:71" s="563" customFormat="1">
      <c r="A642" s="614"/>
      <c r="E642" s="565"/>
      <c r="F642" s="565"/>
      <c r="Q642" s="726"/>
      <c r="R642" s="726"/>
      <c r="S642" s="726"/>
      <c r="T642" s="726"/>
      <c r="U642" s="726"/>
      <c r="V642" s="726"/>
      <c r="W642" s="726"/>
      <c r="X642" s="726"/>
      <c r="Y642" s="726"/>
      <c r="Z642" s="726"/>
      <c r="AA642" s="726"/>
      <c r="AB642" s="726"/>
      <c r="AC642" s="726"/>
      <c r="AD642" s="726"/>
      <c r="AE642" s="726"/>
      <c r="AF642" s="726"/>
      <c r="AG642" s="726"/>
      <c r="AH642" s="726"/>
      <c r="AI642" s="726"/>
      <c r="AJ642" s="726"/>
      <c r="AK642" s="726"/>
      <c r="AL642" s="726"/>
      <c r="AM642" s="726"/>
      <c r="AN642" s="726"/>
      <c r="AO642" s="726"/>
      <c r="AP642" s="726"/>
      <c r="AQ642" s="726"/>
      <c r="AR642" s="726"/>
      <c r="AS642" s="726"/>
      <c r="AT642" s="726"/>
      <c r="AU642" s="726"/>
      <c r="AV642" s="726"/>
      <c r="AW642" s="726"/>
      <c r="AX642" s="726"/>
      <c r="AY642" s="726"/>
      <c r="AZ642" s="726"/>
      <c r="BA642" s="726"/>
      <c r="BB642" s="726"/>
      <c r="BC642" s="726"/>
      <c r="BD642" s="726"/>
      <c r="BE642" s="726"/>
      <c r="BF642" s="726"/>
      <c r="BG642" s="726"/>
      <c r="BH642" s="726"/>
      <c r="BI642" s="726"/>
      <c r="BJ642" s="726"/>
      <c r="BK642" s="726"/>
      <c r="BL642" s="726"/>
      <c r="BM642" s="726"/>
      <c r="BN642" s="726"/>
      <c r="BO642" s="726"/>
      <c r="BP642" s="726"/>
      <c r="BQ642" s="726"/>
      <c r="BR642" s="726"/>
      <c r="BS642" s="726"/>
    </row>
    <row r="643" spans="1:71" s="563" customFormat="1">
      <c r="A643" s="614"/>
      <c r="E643" s="565"/>
      <c r="F643" s="565"/>
      <c r="Q643" s="726"/>
      <c r="R643" s="726"/>
      <c r="S643" s="726"/>
      <c r="T643" s="726"/>
      <c r="U643" s="726"/>
      <c r="V643" s="726"/>
      <c r="W643" s="726"/>
      <c r="X643" s="726"/>
      <c r="Y643" s="726"/>
      <c r="Z643" s="726"/>
      <c r="AA643" s="726"/>
      <c r="AB643" s="726"/>
      <c r="AC643" s="726"/>
      <c r="AD643" s="726"/>
      <c r="AE643" s="726"/>
      <c r="AF643" s="726"/>
      <c r="AG643" s="726"/>
      <c r="AH643" s="726"/>
      <c r="AI643" s="726"/>
      <c r="AJ643" s="726"/>
      <c r="AK643" s="726"/>
      <c r="AL643" s="726"/>
      <c r="AM643" s="726"/>
      <c r="AN643" s="726"/>
      <c r="AO643" s="726"/>
      <c r="AP643" s="726"/>
      <c r="AQ643" s="726"/>
      <c r="AR643" s="726"/>
      <c r="AS643" s="726"/>
      <c r="AT643" s="726"/>
      <c r="AU643" s="726"/>
      <c r="AV643" s="726"/>
      <c r="AW643" s="726"/>
      <c r="AX643" s="726"/>
      <c r="AY643" s="726"/>
      <c r="AZ643" s="726"/>
      <c r="BA643" s="726"/>
      <c r="BB643" s="726"/>
      <c r="BC643" s="726"/>
      <c r="BD643" s="726"/>
      <c r="BE643" s="726"/>
      <c r="BF643" s="726"/>
      <c r="BG643" s="726"/>
      <c r="BH643" s="726"/>
      <c r="BI643" s="726"/>
      <c r="BJ643" s="726"/>
      <c r="BK643" s="726"/>
      <c r="BL643" s="726"/>
      <c r="BM643" s="726"/>
      <c r="BN643" s="726"/>
      <c r="BO643" s="726"/>
      <c r="BP643" s="726"/>
      <c r="BQ643" s="726"/>
      <c r="BR643" s="726"/>
      <c r="BS643" s="726"/>
    </row>
    <row r="644" spans="1:71" s="563" customFormat="1">
      <c r="A644" s="614"/>
      <c r="E644" s="565"/>
      <c r="F644" s="565"/>
      <c r="Q644" s="726"/>
      <c r="R644" s="726"/>
      <c r="S644" s="726"/>
      <c r="T644" s="726"/>
      <c r="U644" s="726"/>
      <c r="V644" s="726"/>
      <c r="W644" s="726"/>
      <c r="X644" s="726"/>
      <c r="Y644" s="726"/>
      <c r="Z644" s="726"/>
      <c r="AA644" s="726"/>
      <c r="AB644" s="726"/>
      <c r="AC644" s="726"/>
      <c r="AD644" s="726"/>
      <c r="AE644" s="726"/>
      <c r="AF644" s="726"/>
      <c r="AG644" s="726"/>
      <c r="AH644" s="726"/>
      <c r="AI644" s="726"/>
      <c r="AJ644" s="726"/>
      <c r="AK644" s="726"/>
      <c r="AL644" s="726"/>
      <c r="AM644" s="726"/>
      <c r="AN644" s="726"/>
      <c r="AO644" s="726"/>
      <c r="AP644" s="726"/>
      <c r="AQ644" s="726"/>
      <c r="AR644" s="726"/>
      <c r="AS644" s="726"/>
      <c r="AT644" s="726"/>
      <c r="AU644" s="726"/>
      <c r="AV644" s="726"/>
      <c r="AW644" s="726"/>
      <c r="AX644" s="726"/>
      <c r="AY644" s="726"/>
      <c r="AZ644" s="726"/>
      <c r="BA644" s="726"/>
      <c r="BB644" s="726"/>
      <c r="BC644" s="726"/>
      <c r="BD644" s="726"/>
      <c r="BE644" s="726"/>
      <c r="BF644" s="726"/>
      <c r="BG644" s="726"/>
      <c r="BH644" s="726"/>
      <c r="BI644" s="726"/>
      <c r="BJ644" s="726"/>
      <c r="BK644" s="726"/>
      <c r="BL644" s="726"/>
      <c r="BM644" s="726"/>
      <c r="BN644" s="726"/>
      <c r="BO644" s="726"/>
      <c r="BP644" s="726"/>
      <c r="BQ644" s="726"/>
      <c r="BR644" s="726"/>
      <c r="BS644" s="726"/>
    </row>
    <row r="645" spans="1:71" s="563" customFormat="1">
      <c r="A645" s="614"/>
      <c r="E645" s="565"/>
      <c r="F645" s="565"/>
      <c r="Q645" s="726"/>
      <c r="R645" s="726"/>
      <c r="S645" s="726"/>
      <c r="T645" s="726"/>
      <c r="U645" s="726"/>
      <c r="V645" s="726"/>
      <c r="W645" s="726"/>
      <c r="X645" s="726"/>
      <c r="Y645" s="726"/>
      <c r="Z645" s="726"/>
      <c r="AA645" s="726"/>
      <c r="AB645" s="726"/>
      <c r="AC645" s="726"/>
      <c r="AD645" s="726"/>
      <c r="AE645" s="726"/>
      <c r="AF645" s="726"/>
      <c r="AG645" s="726"/>
      <c r="AH645" s="726"/>
      <c r="AI645" s="726"/>
      <c r="AJ645" s="726"/>
      <c r="AK645" s="726"/>
      <c r="AL645" s="726"/>
      <c r="AM645" s="726"/>
      <c r="AN645" s="726"/>
      <c r="AO645" s="726"/>
      <c r="AP645" s="726"/>
      <c r="AQ645" s="726"/>
      <c r="AR645" s="726"/>
      <c r="AS645" s="726"/>
      <c r="AT645" s="726"/>
      <c r="AU645" s="726"/>
      <c r="AV645" s="726"/>
      <c r="AW645" s="726"/>
      <c r="AX645" s="726"/>
      <c r="AY645" s="726"/>
      <c r="AZ645" s="726"/>
      <c r="BA645" s="726"/>
      <c r="BB645" s="726"/>
      <c r="BC645" s="726"/>
      <c r="BD645" s="726"/>
      <c r="BE645" s="726"/>
      <c r="BF645" s="726"/>
      <c r="BG645" s="726"/>
      <c r="BH645" s="726"/>
      <c r="BI645" s="726"/>
      <c r="BJ645" s="726"/>
      <c r="BK645" s="726"/>
      <c r="BL645" s="726"/>
      <c r="BM645" s="726"/>
      <c r="BN645" s="726"/>
      <c r="BO645" s="726"/>
      <c r="BP645" s="726"/>
      <c r="BQ645" s="726"/>
      <c r="BR645" s="726"/>
      <c r="BS645" s="726"/>
    </row>
    <row r="646" spans="1:71" s="563" customFormat="1">
      <c r="A646" s="614"/>
      <c r="E646" s="565"/>
      <c r="F646" s="565"/>
      <c r="Q646" s="726"/>
      <c r="R646" s="726"/>
      <c r="S646" s="726"/>
      <c r="T646" s="726"/>
      <c r="U646" s="726"/>
      <c r="V646" s="726"/>
      <c r="W646" s="726"/>
      <c r="X646" s="726"/>
      <c r="Y646" s="726"/>
      <c r="Z646" s="726"/>
      <c r="AA646" s="726"/>
      <c r="AB646" s="726"/>
      <c r="AC646" s="726"/>
      <c r="AD646" s="726"/>
      <c r="AE646" s="726"/>
      <c r="AF646" s="726"/>
      <c r="AG646" s="726"/>
      <c r="AH646" s="726"/>
      <c r="AI646" s="726"/>
      <c r="AJ646" s="726"/>
      <c r="AK646" s="726"/>
      <c r="AL646" s="726"/>
      <c r="AM646" s="726"/>
      <c r="AN646" s="726"/>
      <c r="AO646" s="726"/>
      <c r="AP646" s="726"/>
      <c r="AQ646" s="726"/>
      <c r="AR646" s="726"/>
      <c r="AS646" s="726"/>
      <c r="AT646" s="726"/>
      <c r="AU646" s="726"/>
      <c r="AV646" s="726"/>
      <c r="AW646" s="726"/>
      <c r="AX646" s="726"/>
      <c r="AY646" s="726"/>
      <c r="AZ646" s="726"/>
      <c r="BA646" s="726"/>
      <c r="BB646" s="726"/>
      <c r="BC646" s="726"/>
      <c r="BD646" s="726"/>
      <c r="BE646" s="726"/>
      <c r="BF646" s="726"/>
      <c r="BG646" s="726"/>
      <c r="BH646" s="726"/>
      <c r="BI646" s="726"/>
      <c r="BJ646" s="726"/>
      <c r="BK646" s="726"/>
      <c r="BL646" s="726"/>
      <c r="BM646" s="726"/>
      <c r="BN646" s="726"/>
      <c r="BO646" s="726"/>
      <c r="BP646" s="726"/>
      <c r="BQ646" s="726"/>
      <c r="BR646" s="726"/>
      <c r="BS646" s="726"/>
    </row>
    <row r="647" spans="1:71" s="563" customFormat="1">
      <c r="A647" s="614"/>
      <c r="E647" s="565"/>
      <c r="F647" s="565"/>
      <c r="Q647" s="726"/>
      <c r="R647" s="726"/>
      <c r="S647" s="726"/>
      <c r="T647" s="726"/>
      <c r="U647" s="726"/>
      <c r="V647" s="726"/>
      <c r="W647" s="726"/>
      <c r="X647" s="726"/>
      <c r="Y647" s="726"/>
      <c r="Z647" s="726"/>
      <c r="AA647" s="726"/>
      <c r="AB647" s="726"/>
      <c r="AC647" s="726"/>
      <c r="AD647" s="726"/>
      <c r="AE647" s="726"/>
      <c r="AF647" s="726"/>
      <c r="AG647" s="726"/>
      <c r="AH647" s="726"/>
      <c r="AI647" s="726"/>
      <c r="AJ647" s="726"/>
      <c r="AK647" s="726"/>
      <c r="AL647" s="726"/>
      <c r="AM647" s="726"/>
      <c r="AN647" s="726"/>
      <c r="AO647" s="726"/>
      <c r="AP647" s="726"/>
      <c r="AQ647" s="726"/>
      <c r="AR647" s="726"/>
      <c r="AS647" s="726"/>
      <c r="AT647" s="726"/>
      <c r="AU647" s="726"/>
      <c r="AV647" s="726"/>
      <c r="AW647" s="726"/>
      <c r="AX647" s="726"/>
      <c r="AY647" s="726"/>
      <c r="AZ647" s="726"/>
      <c r="BA647" s="726"/>
      <c r="BB647" s="726"/>
      <c r="BC647" s="726"/>
      <c r="BD647" s="726"/>
      <c r="BE647" s="726"/>
      <c r="BF647" s="726"/>
      <c r="BG647" s="726"/>
      <c r="BH647" s="726"/>
      <c r="BI647" s="726"/>
      <c r="BJ647" s="726"/>
      <c r="BK647" s="726"/>
      <c r="BL647" s="726"/>
      <c r="BM647" s="726"/>
      <c r="BN647" s="726"/>
      <c r="BO647" s="726"/>
      <c r="BP647" s="726"/>
      <c r="BQ647" s="726"/>
      <c r="BR647" s="726"/>
      <c r="BS647" s="726"/>
    </row>
    <row r="648" spans="1:71" s="563" customFormat="1">
      <c r="A648" s="614"/>
      <c r="E648" s="565"/>
      <c r="F648" s="565"/>
      <c r="Q648" s="726"/>
      <c r="R648" s="726"/>
      <c r="S648" s="726"/>
      <c r="T648" s="726"/>
      <c r="U648" s="726"/>
      <c r="V648" s="726"/>
      <c r="W648" s="726"/>
      <c r="X648" s="726"/>
      <c r="Y648" s="726"/>
      <c r="Z648" s="726"/>
      <c r="AA648" s="726"/>
      <c r="AB648" s="726"/>
      <c r="AC648" s="726"/>
      <c r="AD648" s="726"/>
      <c r="AE648" s="726"/>
      <c r="AF648" s="726"/>
      <c r="AG648" s="726"/>
      <c r="AH648" s="726"/>
      <c r="AI648" s="726"/>
      <c r="AJ648" s="726"/>
      <c r="AK648" s="726"/>
      <c r="AL648" s="726"/>
      <c r="AM648" s="726"/>
      <c r="AN648" s="726"/>
      <c r="AO648" s="726"/>
      <c r="AP648" s="726"/>
      <c r="AQ648" s="726"/>
      <c r="AR648" s="726"/>
      <c r="AS648" s="726"/>
      <c r="AT648" s="726"/>
      <c r="AU648" s="726"/>
      <c r="AV648" s="726"/>
      <c r="AW648" s="726"/>
      <c r="AX648" s="726"/>
      <c r="AY648" s="726"/>
      <c r="AZ648" s="726"/>
      <c r="BA648" s="726"/>
      <c r="BB648" s="726"/>
      <c r="BC648" s="726"/>
      <c r="BD648" s="726"/>
      <c r="BE648" s="726"/>
      <c r="BF648" s="726"/>
      <c r="BG648" s="726"/>
      <c r="BH648" s="726"/>
      <c r="BI648" s="726"/>
      <c r="BJ648" s="726"/>
      <c r="BK648" s="726"/>
      <c r="BL648" s="726"/>
      <c r="BM648" s="726"/>
      <c r="BN648" s="726"/>
      <c r="BO648" s="726"/>
      <c r="BP648" s="726"/>
      <c r="BQ648" s="726"/>
      <c r="BR648" s="726"/>
      <c r="BS648" s="726"/>
    </row>
    <row r="649" spans="1:71" s="563" customFormat="1">
      <c r="A649" s="614"/>
      <c r="E649" s="565"/>
      <c r="F649" s="565"/>
      <c r="Q649" s="726"/>
      <c r="R649" s="726"/>
      <c r="S649" s="726"/>
      <c r="T649" s="726"/>
      <c r="U649" s="726"/>
      <c r="V649" s="726"/>
      <c r="W649" s="726"/>
      <c r="X649" s="726"/>
      <c r="Y649" s="726"/>
      <c r="Z649" s="726"/>
      <c r="AA649" s="726"/>
      <c r="AB649" s="726"/>
      <c r="AC649" s="726"/>
      <c r="AD649" s="726"/>
      <c r="AE649" s="726"/>
      <c r="AF649" s="726"/>
      <c r="AG649" s="726"/>
      <c r="AH649" s="726"/>
      <c r="AI649" s="726"/>
      <c r="AJ649" s="726"/>
      <c r="AK649" s="726"/>
      <c r="AL649" s="726"/>
      <c r="AM649" s="726"/>
      <c r="AN649" s="726"/>
      <c r="AO649" s="726"/>
      <c r="AP649" s="726"/>
      <c r="AQ649" s="726"/>
      <c r="AR649" s="726"/>
      <c r="AS649" s="726"/>
      <c r="AT649" s="726"/>
      <c r="AU649" s="726"/>
      <c r="AV649" s="726"/>
      <c r="AW649" s="726"/>
      <c r="AX649" s="726"/>
      <c r="AY649" s="726"/>
      <c r="AZ649" s="726"/>
      <c r="BA649" s="726"/>
      <c r="BB649" s="726"/>
      <c r="BC649" s="726"/>
      <c r="BD649" s="726"/>
      <c r="BE649" s="726"/>
      <c r="BF649" s="726"/>
      <c r="BG649" s="726"/>
      <c r="BH649" s="726"/>
      <c r="BI649" s="726"/>
      <c r="BJ649" s="726"/>
      <c r="BK649" s="726"/>
      <c r="BL649" s="726"/>
      <c r="BM649" s="726"/>
      <c r="BN649" s="726"/>
      <c r="BO649" s="726"/>
      <c r="BP649" s="726"/>
      <c r="BQ649" s="726"/>
      <c r="BR649" s="726"/>
      <c r="BS649" s="726"/>
    </row>
    <row r="650" spans="1:71" s="563" customFormat="1">
      <c r="A650" s="614"/>
      <c r="E650" s="565"/>
      <c r="F650" s="565"/>
      <c r="Q650" s="726"/>
      <c r="R650" s="726"/>
      <c r="S650" s="726"/>
      <c r="T650" s="726"/>
      <c r="U650" s="726"/>
      <c r="V650" s="726"/>
      <c r="W650" s="726"/>
      <c r="X650" s="726"/>
      <c r="Y650" s="726"/>
      <c r="Z650" s="726"/>
      <c r="AA650" s="726"/>
      <c r="AB650" s="726"/>
      <c r="AC650" s="726"/>
      <c r="AD650" s="726"/>
      <c r="AE650" s="726"/>
      <c r="AF650" s="726"/>
      <c r="AG650" s="726"/>
      <c r="AH650" s="726"/>
      <c r="AI650" s="726"/>
      <c r="AJ650" s="726"/>
      <c r="AK650" s="726"/>
      <c r="AL650" s="726"/>
      <c r="AM650" s="726"/>
      <c r="AN650" s="726"/>
      <c r="AO650" s="726"/>
      <c r="AP650" s="726"/>
      <c r="AQ650" s="726"/>
      <c r="AR650" s="726"/>
      <c r="AS650" s="726"/>
      <c r="AT650" s="726"/>
      <c r="AU650" s="726"/>
      <c r="AV650" s="726"/>
      <c r="AW650" s="726"/>
      <c r="AX650" s="726"/>
      <c r="AY650" s="726"/>
      <c r="AZ650" s="726"/>
      <c r="BA650" s="726"/>
      <c r="BB650" s="726"/>
      <c r="BC650" s="726"/>
      <c r="BD650" s="726"/>
      <c r="BE650" s="726"/>
      <c r="BF650" s="726"/>
      <c r="BG650" s="726"/>
      <c r="BH650" s="726"/>
      <c r="BI650" s="726"/>
      <c r="BJ650" s="726"/>
      <c r="BK650" s="726"/>
      <c r="BL650" s="726"/>
      <c r="BM650" s="726"/>
      <c r="BN650" s="726"/>
      <c r="BO650" s="726"/>
      <c r="BP650" s="726"/>
      <c r="BQ650" s="726"/>
      <c r="BR650" s="726"/>
      <c r="BS650" s="726"/>
    </row>
    <row r="651" spans="1:71" s="563" customFormat="1">
      <c r="A651" s="614"/>
      <c r="E651" s="565"/>
      <c r="F651" s="565"/>
      <c r="Q651" s="726"/>
      <c r="R651" s="726"/>
      <c r="S651" s="726"/>
      <c r="T651" s="726"/>
      <c r="U651" s="726"/>
      <c r="V651" s="726"/>
      <c r="W651" s="726"/>
      <c r="X651" s="726"/>
      <c r="Y651" s="726"/>
      <c r="Z651" s="726"/>
      <c r="AA651" s="726"/>
      <c r="AB651" s="726"/>
      <c r="AC651" s="726"/>
      <c r="AD651" s="726"/>
      <c r="AE651" s="726"/>
      <c r="AF651" s="726"/>
      <c r="AG651" s="726"/>
      <c r="AH651" s="726"/>
      <c r="AI651" s="726"/>
      <c r="AJ651" s="726"/>
      <c r="AK651" s="726"/>
      <c r="AL651" s="726"/>
      <c r="AM651" s="726"/>
      <c r="AN651" s="726"/>
      <c r="AO651" s="726"/>
      <c r="AP651" s="726"/>
      <c r="AQ651" s="726"/>
      <c r="AR651" s="726"/>
      <c r="AS651" s="726"/>
      <c r="AT651" s="726"/>
      <c r="AU651" s="726"/>
      <c r="AV651" s="726"/>
      <c r="AW651" s="726"/>
      <c r="AX651" s="726"/>
      <c r="AY651" s="726"/>
      <c r="AZ651" s="726"/>
      <c r="BA651" s="726"/>
      <c r="BB651" s="726"/>
      <c r="BC651" s="726"/>
      <c r="BD651" s="726"/>
      <c r="BE651" s="726"/>
      <c r="BF651" s="726"/>
      <c r="BG651" s="726"/>
      <c r="BH651" s="726"/>
      <c r="BI651" s="726"/>
      <c r="BJ651" s="726"/>
      <c r="BK651" s="726"/>
      <c r="BL651" s="726"/>
      <c r="BM651" s="726"/>
      <c r="BN651" s="726"/>
      <c r="BO651" s="726"/>
      <c r="BP651" s="726"/>
      <c r="BQ651" s="726"/>
      <c r="BR651" s="726"/>
      <c r="BS651" s="726"/>
    </row>
    <row r="652" spans="1:71" s="563" customFormat="1">
      <c r="A652" s="614"/>
      <c r="E652" s="565"/>
      <c r="F652" s="565"/>
      <c r="Q652" s="726"/>
      <c r="R652" s="726"/>
      <c r="S652" s="726"/>
      <c r="T652" s="726"/>
      <c r="U652" s="726"/>
      <c r="V652" s="726"/>
      <c r="W652" s="726"/>
      <c r="X652" s="726"/>
      <c r="Y652" s="726"/>
      <c r="Z652" s="726"/>
      <c r="AA652" s="726"/>
      <c r="AB652" s="726"/>
      <c r="AC652" s="726"/>
      <c r="AD652" s="726"/>
      <c r="AE652" s="726"/>
      <c r="AF652" s="726"/>
      <c r="AG652" s="726"/>
      <c r="AH652" s="726"/>
      <c r="AI652" s="726"/>
      <c r="AJ652" s="726"/>
      <c r="AK652" s="726"/>
      <c r="AL652" s="726"/>
      <c r="AM652" s="726"/>
      <c r="AN652" s="726"/>
      <c r="AO652" s="726"/>
      <c r="AP652" s="726"/>
      <c r="AQ652" s="726"/>
      <c r="AR652" s="726"/>
      <c r="AS652" s="726"/>
      <c r="AT652" s="726"/>
      <c r="AU652" s="726"/>
      <c r="AV652" s="726"/>
      <c r="AW652" s="726"/>
      <c r="AX652" s="726"/>
      <c r="AY652" s="726"/>
      <c r="AZ652" s="726"/>
      <c r="BA652" s="726"/>
      <c r="BB652" s="726"/>
      <c r="BC652" s="726"/>
      <c r="BD652" s="726"/>
      <c r="BE652" s="726"/>
      <c r="BF652" s="726"/>
      <c r="BG652" s="726"/>
      <c r="BH652" s="726"/>
      <c r="BI652" s="726"/>
      <c r="BJ652" s="726"/>
      <c r="BK652" s="726"/>
      <c r="BL652" s="726"/>
      <c r="BM652" s="726"/>
      <c r="BN652" s="726"/>
      <c r="BO652" s="726"/>
      <c r="BP652" s="726"/>
      <c r="BQ652" s="726"/>
      <c r="BR652" s="726"/>
      <c r="BS652" s="726"/>
    </row>
    <row r="653" spans="1:71" s="563" customFormat="1">
      <c r="A653" s="614"/>
      <c r="E653" s="565"/>
      <c r="F653" s="565"/>
      <c r="Q653" s="726"/>
      <c r="R653" s="726"/>
      <c r="S653" s="726"/>
      <c r="T653" s="726"/>
      <c r="U653" s="726"/>
      <c r="V653" s="726"/>
      <c r="W653" s="726"/>
      <c r="X653" s="726"/>
      <c r="Y653" s="726"/>
      <c r="Z653" s="726"/>
      <c r="AA653" s="726"/>
      <c r="AB653" s="726"/>
      <c r="AC653" s="726"/>
      <c r="AD653" s="726"/>
      <c r="AE653" s="726"/>
      <c r="AF653" s="726"/>
      <c r="AG653" s="726"/>
      <c r="AH653" s="726"/>
      <c r="AI653" s="726"/>
      <c r="AJ653" s="726"/>
      <c r="AK653" s="726"/>
      <c r="AL653" s="726"/>
      <c r="AM653" s="726"/>
      <c r="AN653" s="726"/>
      <c r="AO653" s="726"/>
      <c r="AP653" s="726"/>
      <c r="AQ653" s="726"/>
      <c r="AR653" s="726"/>
      <c r="AS653" s="726"/>
      <c r="AT653" s="726"/>
      <c r="AU653" s="726"/>
      <c r="AV653" s="726"/>
      <c r="AW653" s="726"/>
      <c r="AX653" s="726"/>
      <c r="AY653" s="726"/>
      <c r="AZ653" s="726"/>
      <c r="BA653" s="726"/>
      <c r="BB653" s="726"/>
      <c r="BC653" s="726"/>
      <c r="BD653" s="726"/>
      <c r="BE653" s="726"/>
      <c r="BF653" s="726"/>
      <c r="BG653" s="726"/>
      <c r="BH653" s="726"/>
      <c r="BI653" s="726"/>
      <c r="BJ653" s="726"/>
      <c r="BK653" s="726"/>
      <c r="BL653" s="726"/>
      <c r="BM653" s="726"/>
      <c r="BN653" s="726"/>
      <c r="BO653" s="726"/>
      <c r="BP653" s="726"/>
      <c r="BQ653" s="726"/>
      <c r="BR653" s="726"/>
      <c r="BS653" s="726"/>
    </row>
    <row r="654" spans="1:71" s="563" customFormat="1">
      <c r="A654" s="614"/>
      <c r="E654" s="565"/>
      <c r="F654" s="565"/>
      <c r="Q654" s="726"/>
      <c r="R654" s="726"/>
      <c r="S654" s="726"/>
      <c r="T654" s="726"/>
      <c r="U654" s="726"/>
      <c r="V654" s="726"/>
      <c r="W654" s="726"/>
      <c r="X654" s="726"/>
      <c r="Y654" s="726"/>
      <c r="Z654" s="726"/>
      <c r="AA654" s="726"/>
      <c r="AB654" s="726"/>
      <c r="AC654" s="726"/>
      <c r="AD654" s="726"/>
      <c r="AE654" s="726"/>
      <c r="AF654" s="726"/>
      <c r="AG654" s="726"/>
      <c r="AH654" s="726"/>
      <c r="AI654" s="726"/>
      <c r="AJ654" s="726"/>
      <c r="AK654" s="726"/>
      <c r="AL654" s="726"/>
      <c r="AM654" s="726"/>
      <c r="AN654" s="726"/>
      <c r="AO654" s="726"/>
      <c r="AP654" s="726"/>
      <c r="AQ654" s="726"/>
      <c r="AR654" s="726"/>
      <c r="AS654" s="726"/>
      <c r="AT654" s="726"/>
      <c r="AU654" s="726"/>
      <c r="AV654" s="726"/>
      <c r="AW654" s="726"/>
      <c r="AX654" s="726"/>
      <c r="AY654" s="726"/>
      <c r="AZ654" s="726"/>
      <c r="BA654" s="726"/>
      <c r="BB654" s="726"/>
      <c r="BC654" s="726"/>
      <c r="BD654" s="726"/>
      <c r="BE654" s="726"/>
      <c r="BF654" s="726"/>
      <c r="BG654" s="726"/>
      <c r="BH654" s="726"/>
      <c r="BI654" s="726"/>
      <c r="BJ654" s="726"/>
      <c r="BK654" s="726"/>
      <c r="BL654" s="726"/>
      <c r="BM654" s="726"/>
      <c r="BN654" s="726"/>
      <c r="BO654" s="726"/>
      <c r="BP654" s="726"/>
      <c r="BQ654" s="726"/>
      <c r="BR654" s="726"/>
      <c r="BS654" s="726"/>
    </row>
    <row r="655" spans="1:71" s="563" customFormat="1">
      <c r="A655" s="614"/>
      <c r="E655" s="565"/>
      <c r="F655" s="565"/>
      <c r="Q655" s="726"/>
      <c r="R655" s="726"/>
      <c r="S655" s="726"/>
      <c r="T655" s="726"/>
      <c r="U655" s="726"/>
      <c r="V655" s="726"/>
      <c r="W655" s="726"/>
      <c r="X655" s="726"/>
      <c r="Y655" s="726"/>
      <c r="Z655" s="726"/>
      <c r="AA655" s="726"/>
      <c r="AB655" s="726"/>
      <c r="AC655" s="726"/>
      <c r="AD655" s="726"/>
      <c r="AE655" s="726"/>
      <c r="AF655" s="726"/>
      <c r="AG655" s="726"/>
      <c r="AH655" s="726"/>
      <c r="AI655" s="726"/>
      <c r="AJ655" s="726"/>
      <c r="AK655" s="726"/>
      <c r="AL655" s="726"/>
      <c r="AM655" s="726"/>
      <c r="AN655" s="726"/>
      <c r="AO655" s="726"/>
      <c r="AP655" s="726"/>
      <c r="AQ655" s="726"/>
      <c r="AR655" s="726"/>
      <c r="AS655" s="726"/>
      <c r="AT655" s="726"/>
      <c r="AU655" s="726"/>
      <c r="AV655" s="726"/>
      <c r="AW655" s="726"/>
      <c r="AX655" s="726"/>
      <c r="AY655" s="726"/>
      <c r="AZ655" s="726"/>
      <c r="BA655" s="726"/>
      <c r="BB655" s="726"/>
      <c r="BC655" s="726"/>
      <c r="BD655" s="726"/>
      <c r="BE655" s="726"/>
      <c r="BF655" s="726"/>
      <c r="BG655" s="726"/>
      <c r="BH655" s="726"/>
      <c r="BI655" s="726"/>
      <c r="BJ655" s="726"/>
      <c r="BK655" s="726"/>
      <c r="BL655" s="726"/>
      <c r="BM655" s="726"/>
      <c r="BN655" s="726"/>
      <c r="BO655" s="726"/>
      <c r="BP655" s="726"/>
      <c r="BQ655" s="726"/>
      <c r="BR655" s="726"/>
      <c r="BS655" s="726"/>
    </row>
    <row r="656" spans="1:71" s="563" customFormat="1">
      <c r="A656" s="614"/>
      <c r="E656" s="565"/>
      <c r="F656" s="565"/>
      <c r="Q656" s="726"/>
      <c r="R656" s="726"/>
      <c r="S656" s="726"/>
      <c r="T656" s="726"/>
      <c r="U656" s="726"/>
      <c r="V656" s="726"/>
      <c r="W656" s="726"/>
      <c r="X656" s="726"/>
      <c r="Y656" s="726"/>
      <c r="Z656" s="726"/>
      <c r="AA656" s="726"/>
      <c r="AB656" s="726"/>
      <c r="AC656" s="726"/>
      <c r="AD656" s="726"/>
      <c r="AE656" s="726"/>
      <c r="AF656" s="726"/>
      <c r="AG656" s="726"/>
      <c r="AH656" s="726"/>
      <c r="AI656" s="726"/>
      <c r="AJ656" s="726"/>
      <c r="AK656" s="726"/>
      <c r="AL656" s="726"/>
      <c r="AM656" s="726"/>
      <c r="AN656" s="726"/>
      <c r="AO656" s="726"/>
      <c r="AP656" s="726"/>
      <c r="AQ656" s="726"/>
      <c r="AR656" s="726"/>
      <c r="AS656" s="726"/>
      <c r="AT656" s="726"/>
      <c r="AU656" s="726"/>
      <c r="AV656" s="726"/>
      <c r="AW656" s="726"/>
      <c r="AX656" s="726"/>
      <c r="AY656" s="726"/>
      <c r="AZ656" s="726"/>
      <c r="BA656" s="726"/>
      <c r="BB656" s="726"/>
      <c r="BC656" s="726"/>
      <c r="BD656" s="726"/>
      <c r="BE656" s="726"/>
      <c r="BF656" s="726"/>
      <c r="BG656" s="726"/>
      <c r="BH656" s="726"/>
      <c r="BI656" s="726"/>
      <c r="BJ656" s="726"/>
      <c r="BK656" s="726"/>
      <c r="BL656" s="726"/>
      <c r="BM656" s="726"/>
      <c r="BN656" s="726"/>
      <c r="BO656" s="726"/>
      <c r="BP656" s="726"/>
      <c r="BQ656" s="726"/>
      <c r="BR656" s="726"/>
      <c r="BS656" s="726"/>
    </row>
    <row r="657" spans="1:71" s="563" customFormat="1">
      <c r="A657" s="614"/>
      <c r="E657" s="565"/>
      <c r="F657" s="565"/>
      <c r="Q657" s="726"/>
      <c r="R657" s="726"/>
      <c r="S657" s="726"/>
      <c r="T657" s="726"/>
      <c r="U657" s="726"/>
      <c r="V657" s="726"/>
      <c r="W657" s="726"/>
      <c r="X657" s="726"/>
      <c r="Y657" s="726"/>
      <c r="Z657" s="726"/>
      <c r="AA657" s="726"/>
      <c r="AB657" s="726"/>
      <c r="AC657" s="726"/>
      <c r="AD657" s="726"/>
      <c r="AE657" s="726"/>
      <c r="AF657" s="726"/>
      <c r="AG657" s="726"/>
      <c r="AH657" s="726"/>
      <c r="AI657" s="726"/>
      <c r="AJ657" s="726"/>
      <c r="AK657" s="726"/>
      <c r="AL657" s="726"/>
      <c r="AM657" s="726"/>
      <c r="AN657" s="726"/>
      <c r="AO657" s="726"/>
      <c r="AP657" s="726"/>
      <c r="AQ657" s="726"/>
      <c r="AR657" s="726"/>
      <c r="AS657" s="726"/>
      <c r="AT657" s="726"/>
      <c r="AU657" s="726"/>
      <c r="AV657" s="726"/>
      <c r="AW657" s="726"/>
      <c r="AX657" s="726"/>
      <c r="AY657" s="726"/>
      <c r="AZ657" s="726"/>
      <c r="BA657" s="726"/>
      <c r="BB657" s="726"/>
      <c r="BC657" s="726"/>
      <c r="BD657" s="726"/>
      <c r="BE657" s="726"/>
      <c r="BF657" s="726"/>
      <c r="BG657" s="726"/>
      <c r="BH657" s="726"/>
      <c r="BI657" s="726"/>
      <c r="BJ657" s="726"/>
      <c r="BK657" s="726"/>
      <c r="BL657" s="726"/>
      <c r="BM657" s="726"/>
      <c r="BN657" s="726"/>
      <c r="BO657" s="726"/>
      <c r="BP657" s="726"/>
      <c r="BQ657" s="726"/>
      <c r="BR657" s="726"/>
      <c r="BS657" s="726"/>
    </row>
    <row r="658" spans="1:71" s="563" customFormat="1">
      <c r="A658" s="614"/>
      <c r="E658" s="565"/>
      <c r="F658" s="565"/>
      <c r="Q658" s="726"/>
      <c r="R658" s="726"/>
      <c r="S658" s="726"/>
      <c r="T658" s="726"/>
      <c r="U658" s="726"/>
      <c r="V658" s="726"/>
      <c r="W658" s="726"/>
      <c r="X658" s="726"/>
      <c r="Y658" s="726"/>
      <c r="Z658" s="726"/>
      <c r="AA658" s="726"/>
      <c r="AB658" s="726"/>
      <c r="AC658" s="726"/>
      <c r="AD658" s="726"/>
      <c r="AE658" s="726"/>
      <c r="AF658" s="726"/>
      <c r="AG658" s="726"/>
      <c r="AH658" s="726"/>
      <c r="AI658" s="726"/>
      <c r="AJ658" s="726"/>
      <c r="AK658" s="726"/>
      <c r="AL658" s="726"/>
      <c r="AM658" s="726"/>
      <c r="AN658" s="726"/>
      <c r="AO658" s="726"/>
      <c r="AP658" s="726"/>
      <c r="AQ658" s="726"/>
      <c r="AR658" s="726"/>
      <c r="AS658" s="726"/>
      <c r="AT658" s="726"/>
      <c r="AU658" s="726"/>
      <c r="AV658" s="726"/>
      <c r="AW658" s="726"/>
      <c r="AX658" s="726"/>
      <c r="AY658" s="726"/>
      <c r="AZ658" s="726"/>
      <c r="BA658" s="726"/>
      <c r="BB658" s="726"/>
      <c r="BC658" s="726"/>
      <c r="BD658" s="726"/>
      <c r="BE658" s="726"/>
      <c r="BF658" s="726"/>
      <c r="BG658" s="726"/>
      <c r="BH658" s="726"/>
      <c r="BI658" s="726"/>
      <c r="BJ658" s="726"/>
      <c r="BK658" s="726"/>
      <c r="BL658" s="726"/>
      <c r="BM658" s="726"/>
      <c r="BN658" s="726"/>
      <c r="BO658" s="726"/>
      <c r="BP658" s="726"/>
      <c r="BQ658" s="726"/>
      <c r="BR658" s="726"/>
      <c r="BS658" s="726"/>
    </row>
    <row r="659" spans="1:71" s="563" customFormat="1">
      <c r="A659" s="614"/>
      <c r="E659" s="565"/>
      <c r="F659" s="565"/>
      <c r="Q659" s="726"/>
      <c r="R659" s="726"/>
      <c r="S659" s="726"/>
      <c r="T659" s="726"/>
      <c r="U659" s="726"/>
      <c r="V659" s="726"/>
      <c r="W659" s="726"/>
      <c r="X659" s="726"/>
      <c r="Y659" s="726"/>
      <c r="Z659" s="726"/>
      <c r="AA659" s="726"/>
      <c r="AB659" s="726"/>
      <c r="AC659" s="726"/>
      <c r="AD659" s="726"/>
      <c r="AE659" s="726"/>
      <c r="AF659" s="726"/>
      <c r="AG659" s="726"/>
      <c r="AH659" s="726"/>
      <c r="AI659" s="726"/>
      <c r="AJ659" s="726"/>
      <c r="AK659" s="726"/>
      <c r="AL659" s="726"/>
      <c r="AM659" s="726"/>
      <c r="AN659" s="726"/>
      <c r="AO659" s="726"/>
      <c r="AP659" s="726"/>
      <c r="AQ659" s="726"/>
      <c r="AR659" s="726"/>
      <c r="AS659" s="726"/>
      <c r="AT659" s="726"/>
      <c r="AU659" s="726"/>
      <c r="AV659" s="726"/>
      <c r="AW659" s="726"/>
      <c r="AX659" s="726"/>
      <c r="AY659" s="726"/>
      <c r="AZ659" s="726"/>
      <c r="BA659" s="726"/>
      <c r="BB659" s="726"/>
      <c r="BC659" s="726"/>
      <c r="BD659" s="726"/>
      <c r="BE659" s="726"/>
      <c r="BF659" s="726"/>
      <c r="BG659" s="726"/>
      <c r="BH659" s="726"/>
      <c r="BI659" s="726"/>
      <c r="BJ659" s="726"/>
      <c r="BK659" s="726"/>
      <c r="BL659" s="726"/>
      <c r="BM659" s="726"/>
      <c r="BN659" s="726"/>
      <c r="BO659" s="726"/>
      <c r="BP659" s="726"/>
      <c r="BQ659" s="726"/>
      <c r="BR659" s="726"/>
      <c r="BS659" s="726"/>
    </row>
    <row r="660" spans="1:71" s="563" customFormat="1">
      <c r="A660" s="614"/>
      <c r="E660" s="565"/>
      <c r="F660" s="565"/>
      <c r="Q660" s="726"/>
      <c r="R660" s="726"/>
      <c r="S660" s="726"/>
      <c r="T660" s="726"/>
      <c r="U660" s="726"/>
      <c r="V660" s="726"/>
      <c r="W660" s="726"/>
      <c r="X660" s="726"/>
      <c r="Y660" s="726"/>
      <c r="Z660" s="726"/>
      <c r="AA660" s="726"/>
      <c r="AB660" s="726"/>
      <c r="AC660" s="726"/>
      <c r="AD660" s="726"/>
      <c r="AE660" s="726"/>
      <c r="AF660" s="726"/>
      <c r="AG660" s="726"/>
      <c r="AH660" s="726"/>
      <c r="AI660" s="726"/>
      <c r="AJ660" s="726"/>
      <c r="AK660" s="726"/>
      <c r="AL660" s="726"/>
      <c r="AM660" s="726"/>
      <c r="AN660" s="726"/>
      <c r="AO660" s="726"/>
      <c r="AP660" s="726"/>
      <c r="AQ660" s="726"/>
      <c r="AR660" s="726"/>
      <c r="AS660" s="726"/>
      <c r="AT660" s="726"/>
      <c r="AU660" s="726"/>
      <c r="AV660" s="726"/>
      <c r="AW660" s="726"/>
      <c r="AX660" s="726"/>
      <c r="AY660" s="726"/>
      <c r="AZ660" s="726"/>
      <c r="BA660" s="726"/>
      <c r="BB660" s="726"/>
      <c r="BC660" s="726"/>
      <c r="BD660" s="726"/>
      <c r="BE660" s="726"/>
      <c r="BF660" s="726"/>
      <c r="BG660" s="726"/>
      <c r="BH660" s="726"/>
      <c r="BI660" s="726"/>
      <c r="BJ660" s="726"/>
      <c r="BK660" s="726"/>
      <c r="BL660" s="726"/>
      <c r="BM660" s="726"/>
      <c r="BN660" s="726"/>
      <c r="BO660" s="726"/>
      <c r="BP660" s="726"/>
      <c r="BQ660" s="726"/>
      <c r="BR660" s="726"/>
      <c r="BS660" s="726"/>
    </row>
    <row r="661" spans="1:71" s="563" customFormat="1">
      <c r="A661" s="614"/>
      <c r="E661" s="565"/>
      <c r="F661" s="565"/>
      <c r="Q661" s="726"/>
      <c r="R661" s="726"/>
      <c r="S661" s="726"/>
      <c r="T661" s="726"/>
      <c r="U661" s="726"/>
      <c r="V661" s="726"/>
      <c r="W661" s="726"/>
      <c r="X661" s="726"/>
      <c r="Y661" s="726"/>
      <c r="Z661" s="726"/>
      <c r="AA661" s="726"/>
      <c r="AB661" s="726"/>
      <c r="AC661" s="726"/>
      <c r="AD661" s="726"/>
      <c r="AE661" s="726"/>
      <c r="AF661" s="726"/>
      <c r="AG661" s="726"/>
      <c r="AH661" s="726"/>
      <c r="AI661" s="726"/>
      <c r="AJ661" s="726"/>
      <c r="AK661" s="726"/>
      <c r="AL661" s="726"/>
      <c r="AM661" s="726"/>
      <c r="AN661" s="726"/>
      <c r="AO661" s="726"/>
      <c r="AP661" s="726"/>
      <c r="AQ661" s="726"/>
      <c r="AR661" s="726"/>
      <c r="AS661" s="726"/>
      <c r="AT661" s="726"/>
      <c r="AU661" s="726"/>
      <c r="AV661" s="726"/>
      <c r="AW661" s="726"/>
      <c r="AX661" s="726"/>
      <c r="AY661" s="726"/>
      <c r="AZ661" s="726"/>
      <c r="BA661" s="726"/>
      <c r="BB661" s="726"/>
      <c r="BC661" s="726"/>
      <c r="BD661" s="726"/>
      <c r="BE661" s="726"/>
      <c r="BF661" s="726"/>
      <c r="BG661" s="726"/>
      <c r="BH661" s="726"/>
      <c r="BI661" s="726"/>
      <c r="BJ661" s="726"/>
      <c r="BK661" s="726"/>
      <c r="BL661" s="726"/>
      <c r="BM661" s="726"/>
      <c r="BN661" s="726"/>
      <c r="BO661" s="726"/>
      <c r="BP661" s="726"/>
      <c r="BQ661" s="726"/>
      <c r="BR661" s="726"/>
      <c r="BS661" s="726"/>
    </row>
    <row r="662" spans="1:71" s="563" customFormat="1">
      <c r="A662" s="614"/>
      <c r="E662" s="565"/>
      <c r="F662" s="565"/>
      <c r="Q662" s="726"/>
      <c r="R662" s="726"/>
      <c r="S662" s="726"/>
      <c r="T662" s="726"/>
      <c r="U662" s="726"/>
      <c r="V662" s="726"/>
      <c r="W662" s="726"/>
      <c r="X662" s="726"/>
      <c r="Y662" s="726"/>
      <c r="Z662" s="726"/>
      <c r="AA662" s="726"/>
      <c r="AB662" s="726"/>
      <c r="AC662" s="726"/>
      <c r="AD662" s="726"/>
      <c r="AE662" s="726"/>
      <c r="AF662" s="726"/>
      <c r="AG662" s="726"/>
      <c r="AH662" s="726"/>
      <c r="AI662" s="726"/>
      <c r="AJ662" s="726"/>
      <c r="AK662" s="726"/>
      <c r="AL662" s="726"/>
      <c r="AM662" s="726"/>
      <c r="AN662" s="726"/>
      <c r="AO662" s="726"/>
      <c r="AP662" s="726"/>
      <c r="AQ662" s="726"/>
      <c r="AR662" s="726"/>
      <c r="AS662" s="726"/>
      <c r="AT662" s="726"/>
      <c r="AU662" s="726"/>
      <c r="AV662" s="726"/>
      <c r="AW662" s="726"/>
      <c r="AX662" s="726"/>
      <c r="AY662" s="726"/>
      <c r="AZ662" s="726"/>
      <c r="BA662" s="726"/>
      <c r="BB662" s="726"/>
      <c r="BC662" s="726"/>
      <c r="BD662" s="726"/>
      <c r="BE662" s="726"/>
      <c r="BF662" s="726"/>
      <c r="BG662" s="726"/>
      <c r="BH662" s="726"/>
      <c r="BI662" s="726"/>
      <c r="BJ662" s="726"/>
      <c r="BK662" s="726"/>
      <c r="BL662" s="726"/>
      <c r="BM662" s="726"/>
      <c r="BN662" s="726"/>
      <c r="BO662" s="726"/>
      <c r="BP662" s="726"/>
      <c r="BQ662" s="726"/>
      <c r="BR662" s="726"/>
      <c r="BS662" s="726"/>
    </row>
    <row r="663" spans="1:71" s="563" customFormat="1">
      <c r="A663" s="614"/>
      <c r="E663" s="565"/>
      <c r="F663" s="565"/>
      <c r="Q663" s="726"/>
      <c r="R663" s="726"/>
      <c r="S663" s="726"/>
      <c r="T663" s="726"/>
      <c r="U663" s="726"/>
      <c r="V663" s="726"/>
      <c r="W663" s="726"/>
      <c r="X663" s="726"/>
      <c r="Y663" s="726"/>
      <c r="Z663" s="726"/>
      <c r="AA663" s="726"/>
      <c r="AB663" s="726"/>
      <c r="AC663" s="726"/>
      <c r="AD663" s="726"/>
      <c r="AE663" s="726"/>
      <c r="AF663" s="726"/>
      <c r="AG663" s="726"/>
      <c r="AH663" s="726"/>
      <c r="AI663" s="726"/>
      <c r="AJ663" s="726"/>
      <c r="AK663" s="726"/>
      <c r="AL663" s="726"/>
      <c r="AM663" s="726"/>
      <c r="AN663" s="726"/>
      <c r="AO663" s="726"/>
      <c r="AP663" s="726"/>
      <c r="AQ663" s="726"/>
      <c r="AR663" s="726"/>
      <c r="AS663" s="726"/>
      <c r="AT663" s="726"/>
      <c r="AU663" s="726"/>
      <c r="AV663" s="726"/>
      <c r="AW663" s="726"/>
      <c r="AX663" s="726"/>
      <c r="AY663" s="726"/>
      <c r="AZ663" s="726"/>
      <c r="BA663" s="726"/>
      <c r="BB663" s="726"/>
      <c r="BC663" s="726"/>
      <c r="BD663" s="726"/>
      <c r="BE663" s="726"/>
      <c r="BF663" s="726"/>
      <c r="BG663" s="726"/>
      <c r="BH663" s="726"/>
      <c r="BI663" s="726"/>
      <c r="BJ663" s="726"/>
      <c r="BK663" s="726"/>
      <c r="BL663" s="726"/>
      <c r="BM663" s="726"/>
      <c r="BN663" s="726"/>
      <c r="BO663" s="726"/>
      <c r="BP663" s="726"/>
      <c r="BQ663" s="726"/>
      <c r="BR663" s="726"/>
      <c r="BS663" s="726"/>
    </row>
    <row r="664" spans="1:71" s="563" customFormat="1">
      <c r="A664" s="614"/>
      <c r="E664" s="565"/>
      <c r="F664" s="565"/>
      <c r="Q664" s="726"/>
      <c r="R664" s="726"/>
      <c r="S664" s="726"/>
      <c r="T664" s="726"/>
      <c r="U664" s="726"/>
      <c r="V664" s="726"/>
      <c r="W664" s="726"/>
      <c r="X664" s="726"/>
      <c r="Y664" s="726"/>
      <c r="Z664" s="726"/>
      <c r="AA664" s="726"/>
      <c r="AB664" s="726"/>
      <c r="AC664" s="726"/>
      <c r="AD664" s="726"/>
      <c r="AE664" s="726"/>
      <c r="AF664" s="726"/>
      <c r="AG664" s="726"/>
      <c r="AH664" s="726"/>
      <c r="AI664" s="726"/>
      <c r="AJ664" s="726"/>
      <c r="AK664" s="726"/>
      <c r="AL664" s="726"/>
      <c r="AM664" s="726"/>
      <c r="AN664" s="726"/>
      <c r="AO664" s="726"/>
      <c r="AP664" s="726"/>
      <c r="AQ664" s="726"/>
      <c r="AR664" s="726"/>
      <c r="AS664" s="726"/>
      <c r="AT664" s="726"/>
      <c r="AU664" s="726"/>
      <c r="AV664" s="726"/>
      <c r="AW664" s="726"/>
      <c r="AX664" s="726"/>
      <c r="AY664" s="726"/>
      <c r="AZ664" s="726"/>
      <c r="BA664" s="726"/>
      <c r="BB664" s="726"/>
      <c r="BC664" s="726"/>
      <c r="BD664" s="726"/>
      <c r="BE664" s="726"/>
      <c r="BF664" s="726"/>
      <c r="BG664" s="726"/>
      <c r="BH664" s="726"/>
      <c r="BI664" s="726"/>
      <c r="BJ664" s="726"/>
      <c r="BK664" s="726"/>
      <c r="BL664" s="726"/>
      <c r="BM664" s="726"/>
      <c r="BN664" s="726"/>
      <c r="BO664" s="726"/>
      <c r="BP664" s="726"/>
      <c r="BQ664" s="726"/>
      <c r="BR664" s="726"/>
      <c r="BS664" s="726"/>
    </row>
    <row r="665" spans="1:71" s="563" customFormat="1">
      <c r="A665" s="614"/>
      <c r="E665" s="565"/>
      <c r="F665" s="565"/>
      <c r="Q665" s="726"/>
      <c r="R665" s="726"/>
      <c r="S665" s="726"/>
      <c r="T665" s="726"/>
      <c r="U665" s="726"/>
      <c r="V665" s="726"/>
      <c r="W665" s="726"/>
      <c r="X665" s="726"/>
      <c r="Y665" s="726"/>
      <c r="Z665" s="726"/>
      <c r="AA665" s="726"/>
      <c r="AB665" s="726"/>
      <c r="AC665" s="726"/>
      <c r="AD665" s="726"/>
      <c r="AE665" s="726"/>
      <c r="AF665" s="726"/>
      <c r="AG665" s="726"/>
      <c r="AH665" s="726"/>
      <c r="AI665" s="726"/>
      <c r="AJ665" s="726"/>
      <c r="AK665" s="726"/>
      <c r="AL665" s="726"/>
      <c r="AM665" s="726"/>
      <c r="AN665" s="726"/>
      <c r="AO665" s="726"/>
      <c r="AP665" s="726"/>
      <c r="AQ665" s="726"/>
      <c r="AR665" s="726"/>
      <c r="AS665" s="726"/>
      <c r="AT665" s="726"/>
      <c r="AU665" s="726"/>
      <c r="AV665" s="726"/>
      <c r="AW665" s="726"/>
      <c r="AX665" s="726"/>
      <c r="AY665" s="726"/>
      <c r="AZ665" s="726"/>
      <c r="BA665" s="726"/>
      <c r="BB665" s="726"/>
      <c r="BC665" s="726"/>
      <c r="BD665" s="726"/>
      <c r="BE665" s="726"/>
      <c r="BF665" s="726"/>
      <c r="BG665" s="726"/>
      <c r="BH665" s="726"/>
      <c r="BI665" s="726"/>
      <c r="BJ665" s="726"/>
      <c r="BK665" s="726"/>
      <c r="BL665" s="726"/>
      <c r="BM665" s="726"/>
      <c r="BN665" s="726"/>
      <c r="BO665" s="726"/>
      <c r="BP665" s="726"/>
      <c r="BQ665" s="726"/>
      <c r="BR665" s="726"/>
      <c r="BS665" s="726"/>
    </row>
    <row r="666" spans="1:71" s="563" customFormat="1">
      <c r="A666" s="614"/>
      <c r="E666" s="565"/>
      <c r="F666" s="565"/>
      <c r="Q666" s="726"/>
      <c r="R666" s="726"/>
      <c r="S666" s="726"/>
      <c r="T666" s="726"/>
      <c r="U666" s="726"/>
      <c r="V666" s="726"/>
      <c r="W666" s="726"/>
      <c r="X666" s="726"/>
      <c r="Y666" s="726"/>
      <c r="Z666" s="726"/>
      <c r="AA666" s="726"/>
      <c r="AB666" s="726"/>
      <c r="AC666" s="726"/>
      <c r="AD666" s="726"/>
      <c r="AE666" s="726"/>
      <c r="AF666" s="726"/>
      <c r="AG666" s="726"/>
      <c r="AH666" s="726"/>
      <c r="AI666" s="726"/>
      <c r="AJ666" s="726"/>
      <c r="AK666" s="726"/>
      <c r="AL666" s="726"/>
      <c r="AM666" s="726"/>
      <c r="AN666" s="726"/>
      <c r="AO666" s="726"/>
      <c r="AP666" s="726"/>
      <c r="AQ666" s="726"/>
      <c r="AR666" s="726"/>
      <c r="AS666" s="726"/>
      <c r="AT666" s="726"/>
      <c r="AU666" s="726"/>
      <c r="AV666" s="726"/>
      <c r="AW666" s="726"/>
      <c r="AX666" s="726"/>
      <c r="AY666" s="726"/>
      <c r="AZ666" s="726"/>
      <c r="BA666" s="726"/>
      <c r="BB666" s="726"/>
      <c r="BC666" s="726"/>
      <c r="BD666" s="726"/>
      <c r="BE666" s="726"/>
      <c r="BF666" s="726"/>
      <c r="BG666" s="726"/>
      <c r="BH666" s="726"/>
      <c r="BI666" s="726"/>
      <c r="BJ666" s="726"/>
      <c r="BK666" s="726"/>
      <c r="BL666" s="726"/>
      <c r="BM666" s="726"/>
      <c r="BN666" s="726"/>
      <c r="BO666" s="726"/>
      <c r="BP666" s="726"/>
      <c r="BQ666" s="726"/>
      <c r="BR666" s="726"/>
      <c r="BS666" s="726"/>
    </row>
    <row r="667" spans="1:71" s="563" customFormat="1">
      <c r="A667" s="614"/>
      <c r="E667" s="565"/>
      <c r="F667" s="565"/>
      <c r="Q667" s="726"/>
      <c r="R667" s="726"/>
      <c r="S667" s="726"/>
      <c r="T667" s="726"/>
      <c r="U667" s="726"/>
      <c r="V667" s="726"/>
      <c r="W667" s="726"/>
      <c r="X667" s="726"/>
      <c r="Y667" s="726"/>
      <c r="Z667" s="726"/>
      <c r="AA667" s="726"/>
      <c r="AB667" s="726"/>
      <c r="AC667" s="726"/>
      <c r="AD667" s="726"/>
      <c r="AE667" s="726"/>
      <c r="AF667" s="726"/>
      <c r="AG667" s="726"/>
      <c r="AH667" s="726"/>
      <c r="AI667" s="726"/>
      <c r="AJ667" s="726"/>
      <c r="AK667" s="726"/>
      <c r="AL667" s="726"/>
      <c r="AM667" s="726"/>
      <c r="AN667" s="726"/>
      <c r="AO667" s="726"/>
      <c r="AP667" s="726"/>
      <c r="AQ667" s="726"/>
      <c r="AR667" s="726"/>
      <c r="AS667" s="726"/>
      <c r="AT667" s="726"/>
      <c r="AU667" s="726"/>
      <c r="AV667" s="726"/>
      <c r="AW667" s="726"/>
      <c r="AX667" s="726"/>
      <c r="AY667" s="726"/>
      <c r="AZ667" s="726"/>
      <c r="BA667" s="726"/>
      <c r="BB667" s="726"/>
      <c r="BC667" s="726"/>
      <c r="BD667" s="726"/>
      <c r="BE667" s="726"/>
      <c r="BF667" s="726"/>
      <c r="BG667" s="726"/>
      <c r="BH667" s="726"/>
      <c r="BI667" s="726"/>
      <c r="BJ667" s="726"/>
      <c r="BK667" s="726"/>
      <c r="BL667" s="726"/>
      <c r="BM667" s="726"/>
      <c r="BN667" s="726"/>
      <c r="BO667" s="726"/>
      <c r="BP667" s="726"/>
      <c r="BQ667" s="726"/>
      <c r="BR667" s="726"/>
      <c r="BS667" s="726"/>
    </row>
    <row r="668" spans="1:71" s="563" customFormat="1">
      <c r="A668" s="614"/>
      <c r="E668" s="565"/>
      <c r="F668" s="565"/>
      <c r="Q668" s="726"/>
      <c r="R668" s="726"/>
      <c r="S668" s="726"/>
      <c r="T668" s="726"/>
      <c r="U668" s="726"/>
      <c r="V668" s="726"/>
      <c r="W668" s="726"/>
      <c r="X668" s="726"/>
      <c r="Y668" s="726"/>
      <c r="Z668" s="726"/>
      <c r="AA668" s="726"/>
      <c r="AB668" s="726"/>
      <c r="AC668" s="726"/>
      <c r="AD668" s="726"/>
      <c r="AE668" s="726"/>
      <c r="AF668" s="726"/>
      <c r="AG668" s="726"/>
      <c r="AH668" s="726"/>
      <c r="AI668" s="726"/>
      <c r="AJ668" s="726"/>
      <c r="AK668" s="726"/>
      <c r="AL668" s="726"/>
      <c r="AM668" s="726"/>
      <c r="AN668" s="726"/>
      <c r="AO668" s="726"/>
      <c r="AP668" s="726"/>
      <c r="AQ668" s="726"/>
      <c r="AR668" s="726"/>
      <c r="AS668" s="726"/>
      <c r="AT668" s="726"/>
      <c r="AU668" s="726"/>
      <c r="AV668" s="726"/>
      <c r="AW668" s="726"/>
      <c r="AX668" s="726"/>
      <c r="AY668" s="726"/>
      <c r="AZ668" s="726"/>
      <c r="BA668" s="726"/>
      <c r="BB668" s="726"/>
      <c r="BC668" s="726"/>
      <c r="BD668" s="726"/>
      <c r="BE668" s="726"/>
      <c r="BF668" s="726"/>
      <c r="BG668" s="726"/>
      <c r="BH668" s="726"/>
      <c r="BI668" s="726"/>
      <c r="BJ668" s="726"/>
      <c r="BK668" s="726"/>
      <c r="BL668" s="726"/>
      <c r="BM668" s="726"/>
      <c r="BN668" s="726"/>
      <c r="BO668" s="726"/>
      <c r="BP668" s="726"/>
      <c r="BQ668" s="726"/>
      <c r="BR668" s="726"/>
      <c r="BS668" s="726"/>
    </row>
    <row r="669" spans="1:71" s="563" customFormat="1">
      <c r="A669" s="614"/>
      <c r="E669" s="565"/>
      <c r="F669" s="565"/>
      <c r="Q669" s="726"/>
      <c r="R669" s="726"/>
      <c r="S669" s="726"/>
      <c r="T669" s="726"/>
      <c r="U669" s="726"/>
      <c r="V669" s="726"/>
      <c r="W669" s="726"/>
      <c r="X669" s="726"/>
      <c r="Y669" s="726"/>
      <c r="Z669" s="726"/>
      <c r="AA669" s="726"/>
      <c r="AB669" s="726"/>
      <c r="AC669" s="726"/>
      <c r="AD669" s="726"/>
      <c r="AE669" s="726"/>
      <c r="AF669" s="726"/>
      <c r="AG669" s="726"/>
      <c r="AH669" s="726"/>
      <c r="AI669" s="726"/>
      <c r="AJ669" s="726"/>
      <c r="AK669" s="726"/>
      <c r="AL669" s="726"/>
      <c r="AM669" s="726"/>
      <c r="AN669" s="726"/>
      <c r="AO669" s="726"/>
      <c r="AP669" s="726"/>
      <c r="AQ669" s="726"/>
      <c r="AR669" s="726"/>
      <c r="AS669" s="726"/>
      <c r="AT669" s="726"/>
      <c r="AU669" s="726"/>
      <c r="AV669" s="726"/>
      <c r="AW669" s="726"/>
      <c r="AX669" s="726"/>
      <c r="AY669" s="726"/>
      <c r="AZ669" s="726"/>
      <c r="BA669" s="726"/>
      <c r="BB669" s="726"/>
      <c r="BC669" s="726"/>
      <c r="BD669" s="726"/>
      <c r="BE669" s="726"/>
      <c r="BF669" s="726"/>
      <c r="BG669" s="726"/>
      <c r="BH669" s="726"/>
      <c r="BI669" s="726"/>
      <c r="BJ669" s="726"/>
      <c r="BK669" s="726"/>
      <c r="BL669" s="726"/>
      <c r="BM669" s="726"/>
      <c r="BN669" s="726"/>
      <c r="BO669" s="726"/>
      <c r="BP669" s="726"/>
      <c r="BQ669" s="726"/>
      <c r="BR669" s="726"/>
      <c r="BS669" s="726"/>
    </row>
    <row r="670" spans="1:71" s="563" customFormat="1">
      <c r="A670" s="614"/>
      <c r="E670" s="565"/>
      <c r="F670" s="565"/>
      <c r="Q670" s="726"/>
      <c r="R670" s="726"/>
      <c r="S670" s="726"/>
      <c r="T670" s="726"/>
      <c r="U670" s="726"/>
      <c r="V670" s="726"/>
      <c r="W670" s="726"/>
      <c r="X670" s="726"/>
      <c r="Y670" s="726"/>
      <c r="Z670" s="726"/>
      <c r="AA670" s="726"/>
      <c r="AB670" s="726"/>
      <c r="AC670" s="726"/>
      <c r="AD670" s="726"/>
      <c r="AE670" s="726"/>
      <c r="AF670" s="726"/>
      <c r="AG670" s="726"/>
      <c r="AH670" s="726"/>
      <c r="AI670" s="726"/>
      <c r="AJ670" s="726"/>
      <c r="AK670" s="726"/>
      <c r="AL670" s="726"/>
      <c r="AM670" s="726"/>
      <c r="AN670" s="726"/>
      <c r="AO670" s="726"/>
      <c r="AP670" s="726"/>
      <c r="AQ670" s="726"/>
      <c r="AR670" s="726"/>
      <c r="AS670" s="726"/>
      <c r="AT670" s="726"/>
      <c r="AU670" s="726"/>
      <c r="AV670" s="726"/>
      <c r="AW670" s="726"/>
      <c r="AX670" s="726"/>
      <c r="AY670" s="726"/>
      <c r="AZ670" s="726"/>
      <c r="BA670" s="726"/>
      <c r="BB670" s="726"/>
      <c r="BC670" s="726"/>
      <c r="BD670" s="726"/>
      <c r="BE670" s="726"/>
      <c r="BF670" s="726"/>
      <c r="BG670" s="726"/>
      <c r="BH670" s="726"/>
      <c r="BI670" s="726"/>
      <c r="BJ670" s="726"/>
      <c r="BK670" s="726"/>
      <c r="BL670" s="726"/>
      <c r="BM670" s="726"/>
      <c r="BN670" s="726"/>
      <c r="BO670" s="726"/>
      <c r="BP670" s="726"/>
      <c r="BQ670" s="726"/>
      <c r="BR670" s="726"/>
      <c r="BS670" s="726"/>
    </row>
    <row r="671" spans="1:71" s="563" customFormat="1">
      <c r="A671" s="614"/>
      <c r="E671" s="565"/>
      <c r="F671" s="565"/>
      <c r="Q671" s="726"/>
      <c r="R671" s="726"/>
      <c r="S671" s="726"/>
      <c r="T671" s="726"/>
      <c r="U671" s="726"/>
      <c r="V671" s="726"/>
      <c r="W671" s="726"/>
      <c r="X671" s="726"/>
      <c r="Y671" s="726"/>
      <c r="Z671" s="726"/>
      <c r="AA671" s="726"/>
      <c r="AB671" s="726"/>
      <c r="AC671" s="726"/>
      <c r="AD671" s="726"/>
      <c r="AE671" s="726"/>
      <c r="AF671" s="726"/>
      <c r="AG671" s="726"/>
      <c r="AH671" s="726"/>
      <c r="AI671" s="726"/>
      <c r="AJ671" s="726"/>
      <c r="AK671" s="726"/>
      <c r="AL671" s="726"/>
      <c r="AM671" s="726"/>
      <c r="AN671" s="726"/>
      <c r="AO671" s="726"/>
      <c r="AP671" s="726"/>
      <c r="AQ671" s="726"/>
      <c r="AR671" s="726"/>
      <c r="AS671" s="726"/>
      <c r="AT671" s="726"/>
      <c r="AU671" s="726"/>
      <c r="AV671" s="726"/>
      <c r="AW671" s="726"/>
      <c r="AX671" s="726"/>
      <c r="AY671" s="726"/>
      <c r="AZ671" s="726"/>
      <c r="BA671" s="726"/>
      <c r="BB671" s="726"/>
      <c r="BC671" s="726"/>
      <c r="BD671" s="726"/>
      <c r="BE671" s="726"/>
      <c r="BF671" s="726"/>
      <c r="BG671" s="726"/>
      <c r="BH671" s="726"/>
      <c r="BI671" s="726"/>
      <c r="BJ671" s="726"/>
      <c r="BK671" s="726"/>
      <c r="BL671" s="726"/>
      <c r="BM671" s="726"/>
      <c r="BN671" s="726"/>
      <c r="BO671" s="726"/>
      <c r="BP671" s="726"/>
      <c r="BQ671" s="726"/>
      <c r="BR671" s="726"/>
      <c r="BS671" s="726"/>
    </row>
    <row r="672" spans="1:71" s="563" customFormat="1">
      <c r="A672" s="614"/>
      <c r="E672" s="565"/>
      <c r="F672" s="565"/>
      <c r="Q672" s="726"/>
      <c r="R672" s="726"/>
      <c r="S672" s="726"/>
      <c r="T672" s="726"/>
      <c r="U672" s="726"/>
      <c r="V672" s="726"/>
      <c r="W672" s="726"/>
      <c r="X672" s="726"/>
      <c r="Y672" s="726"/>
      <c r="Z672" s="726"/>
      <c r="AA672" s="726"/>
      <c r="AB672" s="726"/>
      <c r="AC672" s="726"/>
      <c r="AD672" s="726"/>
      <c r="AE672" s="726"/>
      <c r="AF672" s="726"/>
      <c r="AG672" s="726"/>
      <c r="AH672" s="726"/>
      <c r="AI672" s="726"/>
      <c r="AJ672" s="726"/>
      <c r="AK672" s="726"/>
      <c r="AL672" s="726"/>
      <c r="AM672" s="726"/>
      <c r="AN672" s="726"/>
      <c r="AO672" s="726"/>
      <c r="AP672" s="726"/>
      <c r="AQ672" s="726"/>
      <c r="AR672" s="726"/>
      <c r="AS672" s="726"/>
      <c r="AT672" s="726"/>
      <c r="AU672" s="726"/>
      <c r="AV672" s="726"/>
      <c r="AW672" s="726"/>
      <c r="AX672" s="726"/>
      <c r="AY672" s="726"/>
      <c r="AZ672" s="726"/>
      <c r="BA672" s="726"/>
      <c r="BB672" s="726"/>
      <c r="BC672" s="726"/>
      <c r="BD672" s="726"/>
      <c r="BE672" s="726"/>
      <c r="BF672" s="726"/>
      <c r="BG672" s="726"/>
      <c r="BH672" s="726"/>
      <c r="BI672" s="726"/>
      <c r="BJ672" s="726"/>
      <c r="BK672" s="726"/>
      <c r="BL672" s="726"/>
      <c r="BM672" s="726"/>
      <c r="BN672" s="726"/>
      <c r="BO672" s="726"/>
      <c r="BP672" s="726"/>
      <c r="BQ672" s="726"/>
      <c r="BR672" s="726"/>
      <c r="BS672" s="726"/>
    </row>
    <row r="673" spans="1:71" s="563" customFormat="1">
      <c r="A673" s="614"/>
      <c r="E673" s="565"/>
      <c r="F673" s="565"/>
      <c r="Q673" s="726"/>
      <c r="R673" s="726"/>
      <c r="S673" s="726"/>
      <c r="T673" s="726"/>
      <c r="U673" s="726"/>
      <c r="V673" s="726"/>
      <c r="W673" s="726"/>
      <c r="X673" s="726"/>
      <c r="Y673" s="726"/>
      <c r="Z673" s="726"/>
      <c r="AA673" s="726"/>
      <c r="AB673" s="726"/>
      <c r="AC673" s="726"/>
      <c r="AD673" s="726"/>
      <c r="AE673" s="726"/>
      <c r="AF673" s="726"/>
      <c r="AG673" s="726"/>
      <c r="AH673" s="726"/>
      <c r="AI673" s="726"/>
      <c r="AJ673" s="726"/>
      <c r="AK673" s="726"/>
      <c r="AL673" s="726"/>
      <c r="AM673" s="726"/>
      <c r="AN673" s="726"/>
      <c r="AO673" s="726"/>
      <c r="AP673" s="726"/>
      <c r="AQ673" s="726"/>
      <c r="AR673" s="726"/>
      <c r="AS673" s="726"/>
      <c r="AT673" s="726"/>
      <c r="AU673" s="726"/>
      <c r="AV673" s="726"/>
      <c r="AW673" s="726"/>
      <c r="AX673" s="726"/>
      <c r="AY673" s="726"/>
      <c r="AZ673" s="726"/>
      <c r="BA673" s="726"/>
      <c r="BB673" s="726"/>
      <c r="BC673" s="726"/>
      <c r="BD673" s="726"/>
      <c r="BE673" s="726"/>
      <c r="BF673" s="726"/>
      <c r="BG673" s="726"/>
      <c r="BH673" s="726"/>
      <c r="BI673" s="726"/>
      <c r="BJ673" s="726"/>
      <c r="BK673" s="726"/>
      <c r="BL673" s="726"/>
      <c r="BM673" s="726"/>
      <c r="BN673" s="726"/>
      <c r="BO673" s="726"/>
      <c r="BP673" s="726"/>
      <c r="BQ673" s="726"/>
      <c r="BR673" s="726"/>
      <c r="BS673" s="726"/>
    </row>
    <row r="674" spans="1:71" s="563" customFormat="1">
      <c r="A674" s="614"/>
      <c r="E674" s="565"/>
      <c r="F674" s="565"/>
      <c r="Q674" s="726"/>
      <c r="R674" s="726"/>
      <c r="S674" s="726"/>
      <c r="T674" s="726"/>
      <c r="U674" s="726"/>
      <c r="V674" s="726"/>
      <c r="W674" s="726"/>
      <c r="X674" s="726"/>
      <c r="Y674" s="726"/>
      <c r="Z674" s="726"/>
      <c r="AA674" s="726"/>
      <c r="AB674" s="726"/>
      <c r="AC674" s="726"/>
      <c r="AD674" s="726"/>
      <c r="AE674" s="726"/>
      <c r="AF674" s="726"/>
      <c r="AG674" s="726"/>
      <c r="AH674" s="726"/>
      <c r="AI674" s="726"/>
      <c r="AJ674" s="726"/>
      <c r="AK674" s="726"/>
      <c r="AL674" s="726"/>
      <c r="AM674" s="726"/>
      <c r="AN674" s="726"/>
      <c r="AO674" s="726"/>
      <c r="AP674" s="726"/>
      <c r="AQ674" s="726"/>
      <c r="AR674" s="726"/>
      <c r="AS674" s="726"/>
      <c r="AT674" s="726"/>
      <c r="AU674" s="726"/>
      <c r="AV674" s="726"/>
      <c r="AW674" s="726"/>
      <c r="AX674" s="726"/>
      <c r="AY674" s="726"/>
      <c r="AZ674" s="726"/>
      <c r="BA674" s="726"/>
      <c r="BB674" s="726"/>
      <c r="BC674" s="726"/>
      <c r="BD674" s="726"/>
      <c r="BE674" s="726"/>
      <c r="BF674" s="726"/>
      <c r="BG674" s="726"/>
      <c r="BH674" s="726"/>
      <c r="BI674" s="726"/>
      <c r="BJ674" s="726"/>
      <c r="BK674" s="726"/>
      <c r="BL674" s="726"/>
      <c r="BM674" s="726"/>
      <c r="BN674" s="726"/>
      <c r="BO674" s="726"/>
      <c r="BP674" s="726"/>
      <c r="BQ674" s="726"/>
      <c r="BR674" s="726"/>
      <c r="BS674" s="726"/>
    </row>
    <row r="675" spans="1:71" s="563" customFormat="1">
      <c r="A675" s="614"/>
      <c r="E675" s="565"/>
      <c r="F675" s="565"/>
      <c r="Q675" s="726"/>
      <c r="R675" s="726"/>
      <c r="S675" s="726"/>
      <c r="T675" s="726"/>
      <c r="U675" s="726"/>
      <c r="V675" s="726"/>
      <c r="W675" s="726"/>
      <c r="X675" s="726"/>
      <c r="Y675" s="726"/>
      <c r="Z675" s="726"/>
      <c r="AA675" s="726"/>
      <c r="AB675" s="726"/>
      <c r="AC675" s="726"/>
      <c r="AD675" s="726"/>
      <c r="AE675" s="726"/>
      <c r="AF675" s="726"/>
      <c r="AG675" s="726"/>
      <c r="AH675" s="726"/>
      <c r="AI675" s="726"/>
      <c r="AJ675" s="726"/>
      <c r="AK675" s="726"/>
      <c r="AL675" s="726"/>
      <c r="AM675" s="726"/>
      <c r="AN675" s="726"/>
      <c r="AO675" s="726"/>
      <c r="AP675" s="726"/>
      <c r="AQ675" s="726"/>
      <c r="AR675" s="726"/>
      <c r="AS675" s="726"/>
      <c r="AT675" s="726"/>
      <c r="AU675" s="726"/>
      <c r="AV675" s="726"/>
      <c r="AW675" s="726"/>
      <c r="AX675" s="726"/>
      <c r="AY675" s="726"/>
      <c r="AZ675" s="726"/>
      <c r="BA675" s="726"/>
      <c r="BB675" s="726"/>
      <c r="BC675" s="726"/>
      <c r="BD675" s="726"/>
      <c r="BE675" s="726"/>
      <c r="BF675" s="726"/>
      <c r="BG675" s="726"/>
      <c r="BH675" s="726"/>
      <c r="BI675" s="726"/>
      <c r="BJ675" s="726"/>
      <c r="BK675" s="726"/>
      <c r="BL675" s="726"/>
      <c r="BM675" s="726"/>
      <c r="BN675" s="726"/>
      <c r="BO675" s="726"/>
      <c r="BP675" s="726"/>
      <c r="BQ675" s="726"/>
      <c r="BR675" s="726"/>
      <c r="BS675" s="726"/>
    </row>
    <row r="676" spans="1:71" s="563" customFormat="1">
      <c r="A676" s="614"/>
      <c r="E676" s="565"/>
      <c r="F676" s="565"/>
      <c r="Q676" s="726"/>
      <c r="R676" s="726"/>
      <c r="S676" s="726"/>
      <c r="T676" s="726"/>
      <c r="U676" s="726"/>
      <c r="V676" s="726"/>
      <c r="W676" s="726"/>
      <c r="X676" s="726"/>
      <c r="Y676" s="726"/>
      <c r="Z676" s="726"/>
      <c r="AA676" s="726"/>
      <c r="AB676" s="726"/>
      <c r="AC676" s="726"/>
      <c r="AD676" s="726"/>
      <c r="AE676" s="726"/>
      <c r="AF676" s="726"/>
      <c r="AG676" s="726"/>
      <c r="AH676" s="726"/>
      <c r="AI676" s="726"/>
      <c r="AJ676" s="726"/>
      <c r="AK676" s="726"/>
      <c r="AL676" s="726"/>
      <c r="AM676" s="726"/>
      <c r="AN676" s="726"/>
      <c r="AO676" s="726"/>
      <c r="AP676" s="726"/>
      <c r="AQ676" s="726"/>
      <c r="AR676" s="726"/>
      <c r="AS676" s="726"/>
      <c r="AT676" s="726"/>
      <c r="AU676" s="726"/>
      <c r="AV676" s="726"/>
      <c r="AW676" s="726"/>
      <c r="AX676" s="726"/>
      <c r="AY676" s="726"/>
      <c r="AZ676" s="726"/>
      <c r="BA676" s="726"/>
      <c r="BB676" s="726"/>
      <c r="BC676" s="726"/>
      <c r="BD676" s="726"/>
      <c r="BE676" s="726"/>
      <c r="BF676" s="726"/>
      <c r="BG676" s="726"/>
      <c r="BH676" s="726"/>
      <c r="BI676" s="726"/>
      <c r="BJ676" s="726"/>
      <c r="BK676" s="726"/>
      <c r="BL676" s="726"/>
      <c r="BM676" s="726"/>
      <c r="BN676" s="726"/>
      <c r="BO676" s="726"/>
      <c r="BP676" s="726"/>
      <c r="BQ676" s="726"/>
      <c r="BR676" s="726"/>
      <c r="BS676" s="726"/>
    </row>
    <row r="677" spans="1:71" s="563" customFormat="1">
      <c r="A677" s="614"/>
      <c r="E677" s="565"/>
      <c r="F677" s="565"/>
      <c r="Q677" s="726"/>
      <c r="R677" s="726"/>
      <c r="S677" s="726"/>
      <c r="T677" s="726"/>
      <c r="U677" s="726"/>
      <c r="V677" s="726"/>
      <c r="W677" s="726"/>
      <c r="X677" s="726"/>
      <c r="Y677" s="726"/>
      <c r="Z677" s="726"/>
      <c r="AA677" s="726"/>
      <c r="AB677" s="726"/>
      <c r="AC677" s="726"/>
      <c r="AD677" s="726"/>
      <c r="AE677" s="726"/>
      <c r="AF677" s="726"/>
      <c r="AG677" s="726"/>
      <c r="AH677" s="726"/>
      <c r="AI677" s="726"/>
      <c r="AJ677" s="726"/>
      <c r="AK677" s="726"/>
      <c r="AL677" s="726"/>
      <c r="AM677" s="726"/>
      <c r="AN677" s="726"/>
      <c r="AO677" s="726"/>
      <c r="AP677" s="726"/>
      <c r="AQ677" s="726"/>
      <c r="AR677" s="726"/>
      <c r="AS677" s="726"/>
      <c r="AT677" s="726"/>
      <c r="AU677" s="726"/>
      <c r="AV677" s="726"/>
      <c r="AW677" s="726"/>
      <c r="AX677" s="726"/>
      <c r="AY677" s="726"/>
      <c r="AZ677" s="726"/>
      <c r="BA677" s="726"/>
      <c r="BB677" s="726"/>
      <c r="BC677" s="726"/>
      <c r="BD677" s="726"/>
      <c r="BE677" s="726"/>
      <c r="BF677" s="726"/>
      <c r="BG677" s="726"/>
      <c r="BH677" s="726"/>
      <c r="BI677" s="726"/>
      <c r="BJ677" s="726"/>
      <c r="BK677" s="726"/>
      <c r="BL677" s="726"/>
      <c r="BM677" s="726"/>
      <c r="BN677" s="726"/>
      <c r="BO677" s="726"/>
      <c r="BP677" s="726"/>
      <c r="BQ677" s="726"/>
      <c r="BR677" s="726"/>
      <c r="BS677" s="726"/>
    </row>
    <row r="678" spans="1:71" s="563" customFormat="1">
      <c r="A678" s="614"/>
      <c r="E678" s="565"/>
      <c r="F678" s="565"/>
      <c r="Q678" s="726"/>
      <c r="R678" s="726"/>
      <c r="S678" s="726"/>
      <c r="T678" s="726"/>
      <c r="U678" s="726"/>
      <c r="V678" s="726"/>
      <c r="W678" s="726"/>
      <c r="X678" s="726"/>
      <c r="Y678" s="726"/>
      <c r="Z678" s="726"/>
      <c r="AA678" s="726"/>
      <c r="AB678" s="726"/>
      <c r="AC678" s="726"/>
      <c r="AD678" s="726"/>
      <c r="AE678" s="726"/>
      <c r="AF678" s="726"/>
      <c r="AG678" s="726"/>
      <c r="AH678" s="726"/>
      <c r="AI678" s="726"/>
      <c r="AJ678" s="726"/>
      <c r="AK678" s="726"/>
      <c r="AL678" s="726"/>
      <c r="AM678" s="726"/>
      <c r="AN678" s="726"/>
      <c r="AO678" s="726"/>
      <c r="AP678" s="726"/>
      <c r="AQ678" s="726"/>
      <c r="AR678" s="726"/>
      <c r="AS678" s="726"/>
      <c r="AT678" s="726"/>
      <c r="AU678" s="726"/>
      <c r="AV678" s="726"/>
      <c r="AW678" s="726"/>
      <c r="AX678" s="726"/>
      <c r="AY678" s="726"/>
      <c r="AZ678" s="726"/>
      <c r="BA678" s="726"/>
      <c r="BB678" s="726"/>
      <c r="BC678" s="726"/>
      <c r="BD678" s="726"/>
      <c r="BE678" s="726"/>
      <c r="BF678" s="726"/>
      <c r="BG678" s="726"/>
      <c r="BH678" s="726"/>
      <c r="BI678" s="726"/>
      <c r="BJ678" s="726"/>
      <c r="BK678" s="726"/>
      <c r="BL678" s="726"/>
      <c r="BM678" s="726"/>
      <c r="BN678" s="726"/>
      <c r="BO678" s="726"/>
      <c r="BP678" s="726"/>
      <c r="BQ678" s="726"/>
      <c r="BR678" s="726"/>
      <c r="BS678" s="726"/>
    </row>
    <row r="679" spans="1:71" s="563" customFormat="1">
      <c r="A679" s="614"/>
      <c r="E679" s="565"/>
      <c r="F679" s="565"/>
      <c r="Q679" s="726"/>
      <c r="R679" s="726"/>
      <c r="S679" s="726"/>
      <c r="T679" s="726"/>
      <c r="U679" s="726"/>
      <c r="V679" s="726"/>
      <c r="W679" s="726"/>
      <c r="X679" s="726"/>
      <c r="Y679" s="726"/>
      <c r="Z679" s="726"/>
      <c r="AA679" s="726"/>
      <c r="AB679" s="726"/>
      <c r="AC679" s="726"/>
      <c r="AD679" s="726"/>
      <c r="AE679" s="726"/>
      <c r="AF679" s="726"/>
      <c r="AG679" s="726"/>
      <c r="AH679" s="726"/>
      <c r="AI679" s="726"/>
      <c r="AJ679" s="726"/>
      <c r="AK679" s="726"/>
      <c r="AL679" s="726"/>
      <c r="AM679" s="726"/>
      <c r="AN679" s="726"/>
      <c r="AO679" s="726"/>
      <c r="AP679" s="726"/>
      <c r="AQ679" s="726"/>
      <c r="AR679" s="726"/>
      <c r="AS679" s="726"/>
      <c r="AT679" s="726"/>
      <c r="AU679" s="726"/>
      <c r="AV679" s="726"/>
      <c r="AW679" s="726"/>
      <c r="AX679" s="726"/>
      <c r="AY679" s="726"/>
      <c r="AZ679" s="726"/>
      <c r="BA679" s="726"/>
      <c r="BB679" s="726"/>
      <c r="BC679" s="726"/>
      <c r="BD679" s="726"/>
      <c r="BE679" s="726"/>
      <c r="BF679" s="726"/>
      <c r="BG679" s="726"/>
      <c r="BH679" s="726"/>
      <c r="BI679" s="726"/>
      <c r="BJ679" s="726"/>
      <c r="BK679" s="726"/>
      <c r="BL679" s="726"/>
      <c r="BM679" s="726"/>
      <c r="BN679" s="726"/>
      <c r="BO679" s="726"/>
      <c r="BP679" s="726"/>
      <c r="BQ679" s="726"/>
      <c r="BR679" s="726"/>
      <c r="BS679" s="726"/>
    </row>
    <row r="680" spans="1:71" s="563" customFormat="1">
      <c r="A680" s="614"/>
      <c r="E680" s="565"/>
      <c r="F680" s="565"/>
      <c r="Q680" s="726"/>
      <c r="R680" s="726"/>
      <c r="S680" s="726"/>
      <c r="T680" s="726"/>
      <c r="U680" s="726"/>
      <c r="V680" s="726"/>
      <c r="W680" s="726"/>
      <c r="X680" s="726"/>
      <c r="Y680" s="726"/>
      <c r="Z680" s="726"/>
      <c r="AA680" s="726"/>
      <c r="AB680" s="726"/>
      <c r="AC680" s="726"/>
      <c r="AD680" s="726"/>
      <c r="AE680" s="726"/>
      <c r="AF680" s="726"/>
      <c r="AG680" s="726"/>
      <c r="AH680" s="726"/>
      <c r="AI680" s="726"/>
      <c r="AJ680" s="726"/>
      <c r="AK680" s="726"/>
      <c r="AL680" s="726"/>
      <c r="AM680" s="726"/>
      <c r="AN680" s="726"/>
      <c r="AO680" s="726"/>
      <c r="AP680" s="726"/>
      <c r="AQ680" s="726"/>
      <c r="AR680" s="726"/>
      <c r="AS680" s="726"/>
      <c r="AT680" s="726"/>
      <c r="AU680" s="726"/>
      <c r="AV680" s="726"/>
      <c r="AW680" s="726"/>
      <c r="AX680" s="726"/>
      <c r="AY680" s="726"/>
      <c r="AZ680" s="726"/>
      <c r="BA680" s="726"/>
      <c r="BB680" s="726"/>
      <c r="BC680" s="726"/>
      <c r="BD680" s="726"/>
      <c r="BE680" s="726"/>
      <c r="BF680" s="726"/>
      <c r="BG680" s="726"/>
      <c r="BH680" s="726"/>
      <c r="BI680" s="726"/>
      <c r="BJ680" s="726"/>
      <c r="BK680" s="726"/>
      <c r="BL680" s="726"/>
      <c r="BM680" s="726"/>
      <c r="BN680" s="726"/>
      <c r="BO680" s="726"/>
      <c r="BP680" s="726"/>
      <c r="BQ680" s="726"/>
      <c r="BR680" s="726"/>
      <c r="BS680" s="726"/>
    </row>
    <row r="681" spans="1:71" s="563" customFormat="1">
      <c r="A681" s="614"/>
      <c r="E681" s="565"/>
      <c r="F681" s="565"/>
      <c r="Q681" s="726"/>
      <c r="R681" s="726"/>
      <c r="S681" s="726"/>
      <c r="T681" s="726"/>
      <c r="U681" s="726"/>
      <c r="V681" s="726"/>
      <c r="W681" s="726"/>
      <c r="X681" s="726"/>
      <c r="Y681" s="726"/>
      <c r="Z681" s="726"/>
      <c r="AA681" s="726"/>
      <c r="AB681" s="726"/>
      <c r="AC681" s="726"/>
      <c r="AD681" s="726"/>
      <c r="AE681" s="726"/>
      <c r="AF681" s="726"/>
      <c r="AG681" s="726"/>
      <c r="AH681" s="726"/>
      <c r="AI681" s="726"/>
      <c r="AJ681" s="726"/>
      <c r="AK681" s="726"/>
      <c r="AL681" s="726"/>
      <c r="AM681" s="726"/>
      <c r="AN681" s="726"/>
      <c r="AO681" s="726"/>
      <c r="AP681" s="726"/>
      <c r="AQ681" s="726"/>
      <c r="AR681" s="726"/>
      <c r="AS681" s="726"/>
      <c r="AT681" s="726"/>
      <c r="AU681" s="726"/>
      <c r="AV681" s="726"/>
      <c r="AW681" s="726"/>
      <c r="AX681" s="726"/>
      <c r="AY681" s="726"/>
      <c r="AZ681" s="726"/>
      <c r="BA681" s="726"/>
      <c r="BB681" s="726"/>
      <c r="BC681" s="726"/>
      <c r="BD681" s="726"/>
      <c r="BE681" s="726"/>
      <c r="BF681" s="726"/>
      <c r="BG681" s="726"/>
      <c r="BH681" s="726"/>
      <c r="BI681" s="726"/>
      <c r="BJ681" s="726"/>
      <c r="BK681" s="726"/>
      <c r="BL681" s="726"/>
      <c r="BM681" s="726"/>
      <c r="BN681" s="726"/>
      <c r="BO681" s="726"/>
      <c r="BP681" s="726"/>
      <c r="BQ681" s="726"/>
      <c r="BR681" s="726"/>
      <c r="BS681" s="726"/>
    </row>
    <row r="682" spans="1:71" s="563" customFormat="1">
      <c r="A682" s="614"/>
      <c r="E682" s="565"/>
      <c r="F682" s="565"/>
      <c r="Q682" s="726"/>
      <c r="R682" s="726"/>
      <c r="S682" s="726"/>
      <c r="T682" s="726"/>
      <c r="U682" s="726"/>
      <c r="V682" s="726"/>
      <c r="W682" s="726"/>
      <c r="X682" s="726"/>
      <c r="Y682" s="726"/>
      <c r="Z682" s="726"/>
      <c r="AA682" s="726"/>
      <c r="AB682" s="726"/>
      <c r="AC682" s="726"/>
      <c r="AD682" s="726"/>
      <c r="AE682" s="726"/>
      <c r="AF682" s="726"/>
      <c r="AG682" s="726"/>
      <c r="AH682" s="726"/>
      <c r="AI682" s="726"/>
      <c r="AJ682" s="726"/>
      <c r="AK682" s="726"/>
      <c r="AL682" s="726"/>
      <c r="AM682" s="726"/>
      <c r="AN682" s="726"/>
      <c r="AO682" s="726"/>
      <c r="AP682" s="726"/>
      <c r="AQ682" s="726"/>
      <c r="AR682" s="726"/>
      <c r="AS682" s="726"/>
      <c r="AT682" s="726"/>
      <c r="AU682" s="726"/>
      <c r="AV682" s="726"/>
      <c r="AW682" s="726"/>
      <c r="AX682" s="726"/>
      <c r="AY682" s="726"/>
      <c r="AZ682" s="726"/>
      <c r="BA682" s="726"/>
      <c r="BB682" s="726"/>
      <c r="BC682" s="726"/>
      <c r="BD682" s="726"/>
      <c r="BE682" s="726"/>
      <c r="BF682" s="726"/>
      <c r="BG682" s="726"/>
      <c r="BH682" s="726"/>
      <c r="BI682" s="726"/>
      <c r="BJ682" s="726"/>
      <c r="BK682" s="726"/>
      <c r="BL682" s="726"/>
      <c r="BM682" s="726"/>
      <c r="BN682" s="726"/>
      <c r="BO682" s="726"/>
      <c r="BP682" s="726"/>
      <c r="BQ682" s="726"/>
      <c r="BR682" s="726"/>
      <c r="BS682" s="726"/>
    </row>
    <row r="683" spans="1:71" s="563" customFormat="1">
      <c r="A683" s="614"/>
      <c r="E683" s="565"/>
      <c r="F683" s="565"/>
      <c r="Q683" s="726"/>
      <c r="R683" s="726"/>
      <c r="S683" s="726"/>
      <c r="T683" s="726"/>
      <c r="U683" s="726"/>
      <c r="V683" s="726"/>
      <c r="W683" s="726"/>
      <c r="X683" s="726"/>
      <c r="Y683" s="726"/>
      <c r="Z683" s="726"/>
      <c r="AA683" s="726"/>
      <c r="AB683" s="726"/>
      <c r="AC683" s="726"/>
      <c r="AD683" s="726"/>
      <c r="AE683" s="726"/>
      <c r="AF683" s="726"/>
      <c r="AG683" s="726"/>
      <c r="AH683" s="726"/>
      <c r="AI683" s="726"/>
      <c r="AJ683" s="726"/>
      <c r="AK683" s="726"/>
      <c r="AL683" s="726"/>
      <c r="AM683" s="726"/>
      <c r="AN683" s="726"/>
      <c r="AO683" s="726"/>
      <c r="AP683" s="726"/>
      <c r="AQ683" s="726"/>
      <c r="AR683" s="726"/>
      <c r="AS683" s="726"/>
      <c r="AT683" s="726"/>
      <c r="AU683" s="726"/>
      <c r="AV683" s="726"/>
      <c r="AW683" s="726"/>
      <c r="AX683" s="726"/>
      <c r="AY683" s="726"/>
      <c r="AZ683" s="726"/>
      <c r="BA683" s="726"/>
      <c r="BB683" s="726"/>
      <c r="BC683" s="726"/>
      <c r="BD683" s="726"/>
      <c r="BE683" s="726"/>
      <c r="BF683" s="726"/>
      <c r="BG683" s="726"/>
      <c r="BH683" s="726"/>
      <c r="BI683" s="726"/>
      <c r="BJ683" s="726"/>
      <c r="BK683" s="726"/>
      <c r="BL683" s="726"/>
      <c r="BM683" s="726"/>
      <c r="BN683" s="726"/>
      <c r="BO683" s="726"/>
      <c r="BP683" s="726"/>
      <c r="BQ683" s="726"/>
      <c r="BR683" s="726"/>
      <c r="BS683" s="726"/>
    </row>
    <row r="684" spans="1:71" s="563" customFormat="1">
      <c r="A684" s="614"/>
      <c r="E684" s="565"/>
      <c r="F684" s="565"/>
      <c r="Q684" s="726"/>
      <c r="R684" s="726"/>
      <c r="S684" s="726"/>
      <c r="T684" s="726"/>
      <c r="U684" s="726"/>
      <c r="V684" s="726"/>
      <c r="W684" s="726"/>
      <c r="X684" s="726"/>
      <c r="Y684" s="726"/>
      <c r="Z684" s="726"/>
      <c r="AA684" s="726"/>
      <c r="AB684" s="726"/>
      <c r="AC684" s="726"/>
      <c r="AD684" s="726"/>
      <c r="AE684" s="726"/>
      <c r="AF684" s="726"/>
      <c r="AG684" s="726"/>
      <c r="AH684" s="726"/>
      <c r="AI684" s="726"/>
      <c r="AJ684" s="726"/>
      <c r="AK684" s="726"/>
      <c r="AL684" s="726"/>
      <c r="AM684" s="726"/>
      <c r="AN684" s="726"/>
      <c r="AO684" s="726"/>
      <c r="AP684" s="726"/>
      <c r="AQ684" s="726"/>
      <c r="AR684" s="726"/>
      <c r="AS684" s="726"/>
      <c r="AT684" s="726"/>
      <c r="AU684" s="726"/>
      <c r="AV684" s="726"/>
      <c r="AW684" s="726"/>
      <c r="AX684" s="726"/>
      <c r="AY684" s="726"/>
      <c r="AZ684" s="726"/>
      <c r="BA684" s="726"/>
      <c r="BB684" s="726"/>
      <c r="BC684" s="726"/>
      <c r="BD684" s="726"/>
      <c r="BE684" s="726"/>
      <c r="BF684" s="726"/>
      <c r="BG684" s="726"/>
      <c r="BH684" s="726"/>
      <c r="BI684" s="726"/>
      <c r="BJ684" s="726"/>
      <c r="BK684" s="726"/>
      <c r="BL684" s="726"/>
      <c r="BM684" s="726"/>
      <c r="BN684" s="726"/>
      <c r="BO684" s="726"/>
      <c r="BP684" s="726"/>
      <c r="BQ684" s="726"/>
      <c r="BR684" s="726"/>
      <c r="BS684" s="726"/>
    </row>
    <row r="685" spans="1:71" s="563" customFormat="1">
      <c r="A685" s="614"/>
      <c r="E685" s="565"/>
      <c r="F685" s="565"/>
      <c r="Q685" s="726"/>
      <c r="R685" s="726"/>
      <c r="S685" s="726"/>
      <c r="T685" s="726"/>
      <c r="U685" s="726"/>
      <c r="V685" s="726"/>
      <c r="W685" s="726"/>
      <c r="X685" s="726"/>
      <c r="Y685" s="726"/>
      <c r="Z685" s="726"/>
      <c r="AA685" s="726"/>
      <c r="AB685" s="726"/>
      <c r="AC685" s="726"/>
      <c r="AD685" s="726"/>
      <c r="AE685" s="726"/>
      <c r="AF685" s="726"/>
      <c r="AG685" s="726"/>
      <c r="AH685" s="726"/>
      <c r="AI685" s="726"/>
      <c r="AJ685" s="726"/>
      <c r="AK685" s="726"/>
      <c r="AL685" s="726"/>
      <c r="AM685" s="726"/>
      <c r="AN685" s="726"/>
      <c r="AO685" s="726"/>
      <c r="AP685" s="726"/>
      <c r="AQ685" s="726"/>
      <c r="AR685" s="726"/>
      <c r="AS685" s="726"/>
      <c r="AT685" s="726"/>
      <c r="AU685" s="726"/>
      <c r="AV685" s="726"/>
      <c r="AW685" s="726"/>
      <c r="AX685" s="726"/>
      <c r="AY685" s="726"/>
      <c r="AZ685" s="726"/>
      <c r="BA685" s="726"/>
      <c r="BB685" s="726"/>
      <c r="BC685" s="726"/>
      <c r="BD685" s="726"/>
      <c r="BE685" s="726"/>
      <c r="BF685" s="726"/>
      <c r="BG685" s="726"/>
      <c r="BH685" s="726"/>
      <c r="BI685" s="726"/>
      <c r="BJ685" s="726"/>
      <c r="BK685" s="726"/>
      <c r="BL685" s="726"/>
      <c r="BM685" s="726"/>
      <c r="BN685" s="726"/>
      <c r="BO685" s="726"/>
      <c r="BP685" s="726"/>
      <c r="BQ685" s="726"/>
      <c r="BR685" s="726"/>
      <c r="BS685" s="726"/>
    </row>
    <row r="686" spans="1:71" s="563" customFormat="1">
      <c r="A686" s="614"/>
      <c r="E686" s="565"/>
      <c r="F686" s="565"/>
      <c r="Q686" s="726"/>
      <c r="R686" s="726"/>
      <c r="S686" s="726"/>
      <c r="T686" s="726"/>
      <c r="U686" s="726"/>
      <c r="V686" s="726"/>
      <c r="W686" s="726"/>
      <c r="X686" s="726"/>
      <c r="Y686" s="726"/>
      <c r="Z686" s="726"/>
      <c r="AA686" s="726"/>
      <c r="AB686" s="726"/>
      <c r="AC686" s="726"/>
      <c r="AD686" s="726"/>
      <c r="AE686" s="726"/>
      <c r="AF686" s="726"/>
      <c r="AG686" s="726"/>
      <c r="AH686" s="726"/>
      <c r="AI686" s="726"/>
      <c r="AJ686" s="726"/>
      <c r="AK686" s="726"/>
      <c r="AL686" s="726"/>
      <c r="AM686" s="726"/>
      <c r="AN686" s="726"/>
      <c r="AO686" s="726"/>
      <c r="AP686" s="726"/>
      <c r="AQ686" s="726"/>
      <c r="AR686" s="726"/>
      <c r="AS686" s="726"/>
      <c r="AT686" s="726"/>
      <c r="AU686" s="726"/>
      <c r="AV686" s="726"/>
      <c r="AW686" s="726"/>
      <c r="AX686" s="726"/>
      <c r="AY686" s="726"/>
      <c r="AZ686" s="726"/>
      <c r="BA686" s="726"/>
      <c r="BB686" s="726"/>
      <c r="BC686" s="726"/>
      <c r="BD686" s="726"/>
      <c r="BE686" s="726"/>
      <c r="BF686" s="726"/>
      <c r="BG686" s="726"/>
      <c r="BH686" s="726"/>
      <c r="BI686" s="726"/>
      <c r="BJ686" s="726"/>
      <c r="BK686" s="726"/>
      <c r="BL686" s="726"/>
      <c r="BM686" s="726"/>
      <c r="BN686" s="726"/>
      <c r="BO686" s="726"/>
      <c r="BP686" s="726"/>
      <c r="BQ686" s="726"/>
      <c r="BR686" s="726"/>
      <c r="BS686" s="726"/>
    </row>
    <row r="687" spans="1:71" s="563" customFormat="1">
      <c r="A687" s="614"/>
      <c r="E687" s="565"/>
      <c r="F687" s="565"/>
      <c r="Q687" s="726"/>
      <c r="R687" s="726"/>
      <c r="S687" s="726"/>
      <c r="T687" s="726"/>
      <c r="U687" s="726"/>
      <c r="V687" s="726"/>
      <c r="W687" s="726"/>
      <c r="X687" s="726"/>
      <c r="Y687" s="726"/>
      <c r="Z687" s="726"/>
      <c r="AA687" s="726"/>
      <c r="AB687" s="726"/>
      <c r="AC687" s="726"/>
      <c r="AD687" s="726"/>
      <c r="AE687" s="726"/>
      <c r="AF687" s="726"/>
      <c r="AG687" s="726"/>
      <c r="AH687" s="726"/>
      <c r="AI687" s="726"/>
      <c r="AJ687" s="726"/>
      <c r="AK687" s="726"/>
      <c r="AL687" s="726"/>
      <c r="AM687" s="726"/>
      <c r="AN687" s="726"/>
      <c r="AO687" s="726"/>
      <c r="AP687" s="726"/>
      <c r="AQ687" s="726"/>
      <c r="AR687" s="726"/>
      <c r="AS687" s="726"/>
      <c r="AT687" s="726"/>
      <c r="AU687" s="726"/>
      <c r="AV687" s="726"/>
      <c r="AW687" s="726"/>
      <c r="AX687" s="726"/>
      <c r="AY687" s="726"/>
      <c r="AZ687" s="726"/>
      <c r="BA687" s="726"/>
      <c r="BB687" s="726"/>
      <c r="BC687" s="726"/>
      <c r="BD687" s="726"/>
      <c r="BE687" s="726"/>
      <c r="BF687" s="726"/>
      <c r="BG687" s="726"/>
      <c r="BH687" s="726"/>
      <c r="BI687" s="726"/>
      <c r="BJ687" s="726"/>
      <c r="BK687" s="726"/>
      <c r="BL687" s="726"/>
      <c r="BM687" s="726"/>
      <c r="BN687" s="726"/>
      <c r="BO687" s="726"/>
      <c r="BP687" s="726"/>
      <c r="BQ687" s="726"/>
      <c r="BR687" s="726"/>
      <c r="BS687" s="726"/>
    </row>
    <row r="688" spans="1:71" s="563" customFormat="1">
      <c r="A688" s="614"/>
      <c r="E688" s="565"/>
      <c r="F688" s="565"/>
      <c r="Q688" s="726"/>
      <c r="R688" s="726"/>
      <c r="S688" s="726"/>
      <c r="T688" s="726"/>
      <c r="U688" s="726"/>
      <c r="V688" s="726"/>
      <c r="W688" s="726"/>
      <c r="X688" s="726"/>
      <c r="Y688" s="726"/>
      <c r="Z688" s="726"/>
      <c r="AA688" s="726"/>
      <c r="AB688" s="726"/>
      <c r="AC688" s="726"/>
      <c r="AD688" s="726"/>
      <c r="AE688" s="726"/>
      <c r="AF688" s="726"/>
      <c r="AG688" s="726"/>
      <c r="AH688" s="726"/>
      <c r="AI688" s="726"/>
      <c r="AJ688" s="726"/>
      <c r="AK688" s="726"/>
      <c r="AL688" s="726"/>
      <c r="AM688" s="726"/>
      <c r="AN688" s="726"/>
      <c r="AO688" s="726"/>
      <c r="AP688" s="726"/>
      <c r="AQ688" s="726"/>
      <c r="AR688" s="726"/>
      <c r="AS688" s="726"/>
      <c r="AT688" s="726"/>
      <c r="AU688" s="726"/>
      <c r="AV688" s="726"/>
      <c r="AW688" s="726"/>
      <c r="AX688" s="726"/>
      <c r="AY688" s="726"/>
      <c r="AZ688" s="726"/>
      <c r="BA688" s="726"/>
      <c r="BB688" s="726"/>
      <c r="BC688" s="726"/>
      <c r="BD688" s="726"/>
      <c r="BE688" s="726"/>
      <c r="BF688" s="726"/>
      <c r="BG688" s="726"/>
      <c r="BH688" s="726"/>
      <c r="BI688" s="726"/>
      <c r="BJ688" s="726"/>
      <c r="BK688" s="726"/>
      <c r="BL688" s="726"/>
      <c r="BM688" s="726"/>
      <c r="BN688" s="726"/>
      <c r="BO688" s="726"/>
      <c r="BP688" s="726"/>
      <c r="BQ688" s="726"/>
      <c r="BR688" s="726"/>
      <c r="BS688" s="726"/>
    </row>
    <row r="689" spans="1:71" s="563" customFormat="1">
      <c r="A689" s="614"/>
      <c r="E689" s="565"/>
      <c r="F689" s="565"/>
      <c r="Q689" s="726"/>
      <c r="R689" s="726"/>
      <c r="S689" s="726"/>
      <c r="T689" s="726"/>
      <c r="U689" s="726"/>
      <c r="V689" s="726"/>
      <c r="W689" s="726"/>
      <c r="X689" s="726"/>
      <c r="Y689" s="726"/>
      <c r="Z689" s="726"/>
      <c r="AA689" s="726"/>
      <c r="AB689" s="726"/>
      <c r="AC689" s="726"/>
      <c r="AD689" s="726"/>
      <c r="AE689" s="726"/>
      <c r="AF689" s="726"/>
      <c r="AG689" s="726"/>
      <c r="AH689" s="726"/>
      <c r="AI689" s="726"/>
      <c r="AJ689" s="726"/>
      <c r="AK689" s="726"/>
      <c r="AL689" s="726"/>
      <c r="AM689" s="726"/>
      <c r="AN689" s="726"/>
      <c r="AO689" s="726"/>
      <c r="AP689" s="726"/>
      <c r="AQ689" s="726"/>
      <c r="AR689" s="726"/>
      <c r="AS689" s="726"/>
      <c r="AT689" s="726"/>
      <c r="AU689" s="726"/>
      <c r="AV689" s="726"/>
      <c r="AW689" s="726"/>
      <c r="AX689" s="726"/>
      <c r="AY689" s="726"/>
      <c r="AZ689" s="726"/>
      <c r="BA689" s="726"/>
      <c r="BB689" s="726"/>
      <c r="BC689" s="726"/>
      <c r="BD689" s="726"/>
      <c r="BE689" s="726"/>
      <c r="BF689" s="726"/>
      <c r="BG689" s="726"/>
      <c r="BH689" s="726"/>
      <c r="BI689" s="726"/>
      <c r="BJ689" s="726"/>
      <c r="BK689" s="726"/>
      <c r="BL689" s="726"/>
      <c r="BM689" s="726"/>
      <c r="BN689" s="726"/>
      <c r="BO689" s="726"/>
      <c r="BP689" s="726"/>
      <c r="BQ689" s="726"/>
      <c r="BR689" s="726"/>
      <c r="BS689" s="726"/>
    </row>
    <row r="690" spans="1:71" s="563" customFormat="1">
      <c r="A690" s="614"/>
      <c r="E690" s="565"/>
      <c r="F690" s="565"/>
      <c r="Q690" s="726"/>
      <c r="R690" s="726"/>
      <c r="S690" s="726"/>
      <c r="T690" s="726"/>
      <c r="U690" s="726"/>
      <c r="V690" s="726"/>
      <c r="W690" s="726"/>
      <c r="X690" s="726"/>
      <c r="Y690" s="726"/>
      <c r="Z690" s="726"/>
      <c r="AA690" s="726"/>
      <c r="AB690" s="726"/>
      <c r="AC690" s="726"/>
      <c r="AD690" s="726"/>
      <c r="AE690" s="726"/>
      <c r="AF690" s="726"/>
      <c r="AG690" s="726"/>
      <c r="AH690" s="726"/>
      <c r="AI690" s="726"/>
      <c r="AJ690" s="726"/>
      <c r="AK690" s="726"/>
      <c r="AL690" s="726"/>
      <c r="AM690" s="726"/>
      <c r="AN690" s="726"/>
      <c r="AO690" s="726"/>
      <c r="AP690" s="726"/>
      <c r="AQ690" s="726"/>
      <c r="AR690" s="726"/>
      <c r="AS690" s="726"/>
      <c r="AT690" s="726"/>
      <c r="AU690" s="726"/>
      <c r="AV690" s="726"/>
      <c r="AW690" s="726"/>
      <c r="AX690" s="726"/>
      <c r="AY690" s="726"/>
      <c r="AZ690" s="726"/>
      <c r="BA690" s="726"/>
      <c r="BB690" s="726"/>
      <c r="BC690" s="726"/>
      <c r="BD690" s="726"/>
      <c r="BE690" s="726"/>
      <c r="BF690" s="726"/>
      <c r="BG690" s="726"/>
      <c r="BH690" s="726"/>
      <c r="BI690" s="726"/>
      <c r="BJ690" s="726"/>
      <c r="BK690" s="726"/>
      <c r="BL690" s="726"/>
      <c r="BM690" s="726"/>
      <c r="BN690" s="726"/>
      <c r="BO690" s="726"/>
      <c r="BP690" s="726"/>
      <c r="BQ690" s="726"/>
      <c r="BR690" s="726"/>
      <c r="BS690" s="726"/>
    </row>
    <row r="691" spans="1:71" s="563" customFormat="1">
      <c r="A691" s="614"/>
      <c r="E691" s="565"/>
      <c r="F691" s="565"/>
      <c r="Q691" s="726"/>
      <c r="R691" s="726"/>
      <c r="S691" s="726"/>
      <c r="T691" s="726"/>
      <c r="U691" s="726"/>
      <c r="V691" s="726"/>
      <c r="W691" s="726"/>
      <c r="X691" s="726"/>
      <c r="Y691" s="726"/>
      <c r="Z691" s="726"/>
      <c r="AA691" s="726"/>
      <c r="AB691" s="726"/>
      <c r="AC691" s="726"/>
      <c r="AD691" s="726"/>
      <c r="AE691" s="726"/>
      <c r="AF691" s="726"/>
      <c r="AG691" s="726"/>
      <c r="AH691" s="726"/>
      <c r="AI691" s="726"/>
      <c r="AJ691" s="726"/>
      <c r="AK691" s="726"/>
      <c r="AL691" s="726"/>
      <c r="AM691" s="726"/>
      <c r="AN691" s="726"/>
      <c r="AO691" s="726"/>
      <c r="AP691" s="726"/>
      <c r="AQ691" s="726"/>
      <c r="AR691" s="726"/>
      <c r="AS691" s="726"/>
      <c r="AT691" s="726"/>
      <c r="AU691" s="726"/>
      <c r="AV691" s="726"/>
      <c r="AW691" s="726"/>
      <c r="AX691" s="726"/>
      <c r="AY691" s="726"/>
      <c r="AZ691" s="726"/>
      <c r="BA691" s="726"/>
      <c r="BB691" s="726"/>
      <c r="BC691" s="726"/>
      <c r="BD691" s="726"/>
      <c r="BE691" s="726"/>
      <c r="BF691" s="726"/>
      <c r="BG691" s="726"/>
      <c r="BH691" s="726"/>
      <c r="BI691" s="726"/>
      <c r="BJ691" s="726"/>
      <c r="BK691" s="726"/>
      <c r="BL691" s="726"/>
      <c r="BM691" s="726"/>
      <c r="BN691" s="726"/>
      <c r="BO691" s="726"/>
      <c r="BP691" s="726"/>
      <c r="BQ691" s="726"/>
      <c r="BR691" s="726"/>
      <c r="BS691" s="726"/>
    </row>
    <row r="692" spans="1:71" s="563" customFormat="1">
      <c r="A692" s="614"/>
      <c r="E692" s="565"/>
      <c r="F692" s="565"/>
      <c r="Q692" s="726"/>
      <c r="R692" s="726"/>
      <c r="S692" s="726"/>
      <c r="T692" s="726"/>
      <c r="U692" s="726"/>
      <c r="V692" s="726"/>
      <c r="W692" s="726"/>
      <c r="X692" s="726"/>
      <c r="Y692" s="726"/>
      <c r="Z692" s="726"/>
      <c r="AA692" s="726"/>
      <c r="AB692" s="726"/>
      <c r="AC692" s="726"/>
      <c r="AD692" s="726"/>
      <c r="AE692" s="726"/>
      <c r="AF692" s="726"/>
      <c r="AG692" s="726"/>
      <c r="AH692" s="726"/>
      <c r="AI692" s="726"/>
      <c r="AJ692" s="726"/>
      <c r="AK692" s="726"/>
      <c r="AL692" s="726"/>
      <c r="AM692" s="726"/>
      <c r="AN692" s="726"/>
      <c r="AO692" s="726"/>
      <c r="AP692" s="726"/>
      <c r="AQ692" s="726"/>
      <c r="AR692" s="726"/>
      <c r="AS692" s="726"/>
      <c r="AT692" s="726"/>
      <c r="AU692" s="726"/>
      <c r="AV692" s="726"/>
      <c r="AW692" s="726"/>
      <c r="AX692" s="726"/>
      <c r="AY692" s="726"/>
      <c r="AZ692" s="726"/>
      <c r="BA692" s="726"/>
      <c r="BB692" s="726"/>
      <c r="BC692" s="726"/>
      <c r="BD692" s="726"/>
      <c r="BE692" s="726"/>
      <c r="BF692" s="726"/>
      <c r="BG692" s="726"/>
      <c r="BH692" s="726"/>
      <c r="BI692" s="726"/>
      <c r="BJ692" s="726"/>
      <c r="BK692" s="726"/>
      <c r="BL692" s="726"/>
      <c r="BM692" s="726"/>
      <c r="BN692" s="726"/>
      <c r="BO692" s="726"/>
      <c r="BP692" s="726"/>
      <c r="BQ692" s="726"/>
      <c r="BR692" s="726"/>
      <c r="BS692" s="726"/>
    </row>
    <row r="693" spans="1:71" s="563" customFormat="1">
      <c r="A693" s="614"/>
      <c r="E693" s="565"/>
      <c r="F693" s="565"/>
      <c r="Q693" s="726"/>
      <c r="R693" s="726"/>
      <c r="S693" s="726"/>
      <c r="T693" s="726"/>
      <c r="U693" s="726"/>
      <c r="V693" s="726"/>
      <c r="W693" s="726"/>
      <c r="X693" s="726"/>
      <c r="Y693" s="726"/>
      <c r="Z693" s="726"/>
      <c r="AA693" s="726"/>
      <c r="AB693" s="726"/>
      <c r="AC693" s="726"/>
      <c r="AD693" s="726"/>
      <c r="AE693" s="726"/>
      <c r="AF693" s="726"/>
      <c r="AG693" s="726"/>
      <c r="AH693" s="726"/>
      <c r="AI693" s="726"/>
      <c r="AJ693" s="726"/>
      <c r="AK693" s="726"/>
      <c r="AL693" s="726"/>
      <c r="AM693" s="726"/>
      <c r="AN693" s="726"/>
      <c r="AO693" s="726"/>
      <c r="AP693" s="726"/>
      <c r="AQ693" s="726"/>
      <c r="AR693" s="726"/>
      <c r="AS693" s="726"/>
      <c r="AT693" s="726"/>
      <c r="AU693" s="726"/>
      <c r="AV693" s="726"/>
      <c r="AW693" s="726"/>
      <c r="AX693" s="726"/>
      <c r="AY693" s="726"/>
      <c r="AZ693" s="726"/>
      <c r="BA693" s="726"/>
      <c r="BB693" s="726"/>
      <c r="BC693" s="726"/>
      <c r="BD693" s="726"/>
      <c r="BE693" s="726"/>
      <c r="BF693" s="726"/>
      <c r="BG693" s="726"/>
      <c r="BH693" s="726"/>
      <c r="BI693" s="726"/>
      <c r="BJ693" s="726"/>
      <c r="BK693" s="726"/>
      <c r="BL693" s="726"/>
      <c r="BM693" s="726"/>
      <c r="BN693" s="726"/>
      <c r="BO693" s="726"/>
      <c r="BP693" s="726"/>
      <c r="BQ693" s="726"/>
      <c r="BR693" s="726"/>
      <c r="BS693" s="726"/>
    </row>
    <row r="694" spans="1:71" s="563" customFormat="1">
      <c r="A694" s="614"/>
      <c r="E694" s="565"/>
      <c r="F694" s="565"/>
      <c r="Q694" s="726"/>
      <c r="R694" s="726"/>
      <c r="S694" s="726"/>
      <c r="T694" s="726"/>
      <c r="U694" s="726"/>
      <c r="V694" s="726"/>
      <c r="W694" s="726"/>
      <c r="X694" s="726"/>
      <c r="Y694" s="726"/>
      <c r="Z694" s="726"/>
      <c r="AA694" s="726"/>
      <c r="AB694" s="726"/>
      <c r="AC694" s="726"/>
      <c r="AD694" s="726"/>
      <c r="AE694" s="726"/>
      <c r="AF694" s="726"/>
      <c r="AG694" s="726"/>
      <c r="AH694" s="726"/>
      <c r="AI694" s="726"/>
      <c r="AJ694" s="726"/>
      <c r="AK694" s="726"/>
      <c r="AL694" s="726"/>
      <c r="AM694" s="726"/>
      <c r="AN694" s="726"/>
      <c r="AO694" s="726"/>
      <c r="AP694" s="726"/>
      <c r="AQ694" s="726"/>
      <c r="AR694" s="726"/>
      <c r="AS694" s="726"/>
      <c r="AT694" s="726"/>
      <c r="AU694" s="726"/>
      <c r="AV694" s="726"/>
      <c r="AW694" s="726"/>
      <c r="AX694" s="726"/>
      <c r="AY694" s="726"/>
      <c r="AZ694" s="726"/>
      <c r="BA694" s="726"/>
      <c r="BB694" s="726"/>
      <c r="BC694" s="726"/>
      <c r="BD694" s="726"/>
      <c r="BE694" s="726"/>
      <c r="BF694" s="726"/>
      <c r="BG694" s="726"/>
      <c r="BH694" s="726"/>
      <c r="BI694" s="726"/>
      <c r="BJ694" s="726"/>
      <c r="BK694" s="726"/>
      <c r="BL694" s="726"/>
      <c r="BM694" s="726"/>
      <c r="BN694" s="726"/>
      <c r="BO694" s="726"/>
      <c r="BP694" s="726"/>
      <c r="BQ694" s="726"/>
      <c r="BR694" s="726"/>
      <c r="BS694" s="726"/>
    </row>
    <row r="695" spans="1:71" s="563" customFormat="1">
      <c r="A695" s="614"/>
      <c r="E695" s="565"/>
      <c r="F695" s="565"/>
      <c r="Q695" s="726"/>
      <c r="R695" s="726"/>
      <c r="S695" s="726"/>
      <c r="T695" s="726"/>
      <c r="U695" s="726"/>
      <c r="V695" s="726"/>
      <c r="W695" s="726"/>
      <c r="X695" s="726"/>
      <c r="Y695" s="726"/>
      <c r="Z695" s="726"/>
      <c r="AA695" s="726"/>
      <c r="AB695" s="726"/>
      <c r="AC695" s="726"/>
      <c r="AD695" s="726"/>
      <c r="AE695" s="726"/>
      <c r="AF695" s="726"/>
      <c r="AG695" s="726"/>
      <c r="AH695" s="726"/>
      <c r="AI695" s="726"/>
      <c r="AJ695" s="726"/>
      <c r="AK695" s="726"/>
      <c r="AL695" s="726"/>
      <c r="AM695" s="726"/>
      <c r="AN695" s="726"/>
      <c r="AO695" s="726"/>
      <c r="AP695" s="726"/>
      <c r="AQ695" s="726"/>
      <c r="AR695" s="726"/>
      <c r="AS695" s="726"/>
      <c r="AT695" s="726"/>
      <c r="AU695" s="726"/>
      <c r="AV695" s="726"/>
      <c r="AW695" s="726"/>
      <c r="AX695" s="726"/>
      <c r="AY695" s="726"/>
      <c r="AZ695" s="726"/>
      <c r="BA695" s="726"/>
      <c r="BB695" s="726"/>
      <c r="BC695" s="726"/>
      <c r="BD695" s="726"/>
      <c r="BE695" s="726"/>
      <c r="BF695" s="726"/>
      <c r="BG695" s="726"/>
      <c r="BH695" s="726"/>
      <c r="BI695" s="726"/>
      <c r="BJ695" s="726"/>
      <c r="BK695" s="726"/>
      <c r="BL695" s="726"/>
      <c r="BM695" s="726"/>
      <c r="BN695" s="726"/>
      <c r="BO695" s="726"/>
      <c r="BP695" s="726"/>
      <c r="BQ695" s="726"/>
      <c r="BR695" s="726"/>
      <c r="BS695" s="726"/>
    </row>
    <row r="696" spans="1:71" s="563" customFormat="1">
      <c r="A696" s="614"/>
      <c r="E696" s="565"/>
      <c r="F696" s="565"/>
      <c r="Q696" s="726"/>
      <c r="R696" s="726"/>
      <c r="S696" s="726"/>
      <c r="T696" s="726"/>
      <c r="U696" s="726"/>
      <c r="V696" s="726"/>
      <c r="W696" s="726"/>
      <c r="X696" s="726"/>
      <c r="Y696" s="726"/>
      <c r="Z696" s="726"/>
      <c r="AA696" s="726"/>
      <c r="AB696" s="726"/>
      <c r="AC696" s="726"/>
      <c r="AD696" s="726"/>
      <c r="AE696" s="726"/>
      <c r="AF696" s="726"/>
      <c r="AG696" s="726"/>
      <c r="AH696" s="726"/>
      <c r="AI696" s="726"/>
      <c r="AJ696" s="726"/>
      <c r="AK696" s="726"/>
      <c r="AL696" s="726"/>
      <c r="AM696" s="726"/>
      <c r="AN696" s="726"/>
      <c r="AO696" s="726"/>
      <c r="AP696" s="726"/>
      <c r="AQ696" s="726"/>
      <c r="AR696" s="726"/>
      <c r="AS696" s="726"/>
      <c r="AT696" s="726"/>
      <c r="AU696" s="726"/>
      <c r="AV696" s="726"/>
      <c r="AW696" s="726"/>
      <c r="AX696" s="726"/>
      <c r="AY696" s="726"/>
      <c r="AZ696" s="726"/>
      <c r="BA696" s="726"/>
      <c r="BB696" s="726"/>
      <c r="BC696" s="726"/>
      <c r="BD696" s="726"/>
      <c r="BE696" s="726"/>
      <c r="BF696" s="726"/>
      <c r="BG696" s="726"/>
      <c r="BH696" s="726"/>
      <c r="BI696" s="726"/>
      <c r="BJ696" s="726"/>
      <c r="BK696" s="726"/>
      <c r="BL696" s="726"/>
      <c r="BM696" s="726"/>
      <c r="BN696" s="726"/>
      <c r="BO696" s="726"/>
      <c r="BP696" s="726"/>
      <c r="BQ696" s="726"/>
      <c r="BR696" s="726"/>
      <c r="BS696" s="726"/>
    </row>
    <row r="697" spans="1:71" s="563" customFormat="1">
      <c r="A697" s="614"/>
      <c r="E697" s="565"/>
      <c r="F697" s="565"/>
      <c r="Q697" s="726"/>
      <c r="R697" s="726"/>
      <c r="S697" s="726"/>
      <c r="T697" s="726"/>
      <c r="U697" s="726"/>
      <c r="V697" s="726"/>
      <c r="W697" s="726"/>
      <c r="X697" s="726"/>
      <c r="Y697" s="726"/>
      <c r="Z697" s="726"/>
      <c r="AA697" s="726"/>
      <c r="AB697" s="726"/>
      <c r="AC697" s="726"/>
      <c r="AD697" s="726"/>
      <c r="AE697" s="726"/>
      <c r="AF697" s="726"/>
      <c r="AG697" s="726"/>
      <c r="AH697" s="726"/>
      <c r="AI697" s="726"/>
      <c r="AJ697" s="726"/>
      <c r="AK697" s="726"/>
      <c r="AL697" s="726"/>
      <c r="AM697" s="726"/>
      <c r="AN697" s="726"/>
      <c r="AO697" s="726"/>
      <c r="AP697" s="726"/>
      <c r="AQ697" s="726"/>
      <c r="AR697" s="726"/>
      <c r="AS697" s="726"/>
      <c r="AT697" s="726"/>
      <c r="AU697" s="726"/>
      <c r="AV697" s="726"/>
      <c r="AW697" s="726"/>
      <c r="AX697" s="726"/>
      <c r="AY697" s="726"/>
      <c r="AZ697" s="726"/>
      <c r="BA697" s="726"/>
      <c r="BB697" s="726"/>
      <c r="BC697" s="726"/>
      <c r="BD697" s="726"/>
      <c r="BE697" s="726"/>
      <c r="BF697" s="726"/>
      <c r="BG697" s="726"/>
      <c r="BH697" s="726"/>
      <c r="BI697" s="726"/>
      <c r="BJ697" s="726"/>
      <c r="BK697" s="726"/>
      <c r="BL697" s="726"/>
      <c r="BM697" s="726"/>
      <c r="BN697" s="726"/>
      <c r="BO697" s="726"/>
      <c r="BP697" s="726"/>
      <c r="BQ697" s="726"/>
      <c r="BR697" s="726"/>
      <c r="BS697" s="726"/>
    </row>
    <row r="698" spans="1:71" s="563" customFormat="1">
      <c r="A698" s="614"/>
      <c r="E698" s="565"/>
      <c r="F698" s="565"/>
      <c r="Q698" s="726"/>
      <c r="R698" s="726"/>
      <c r="S698" s="726"/>
      <c r="T698" s="726"/>
      <c r="U698" s="726"/>
      <c r="V698" s="726"/>
      <c r="W698" s="726"/>
      <c r="X698" s="726"/>
      <c r="Y698" s="726"/>
      <c r="Z698" s="726"/>
      <c r="AA698" s="726"/>
      <c r="AB698" s="726"/>
      <c r="AC698" s="726"/>
      <c r="AD698" s="726"/>
      <c r="AE698" s="726"/>
      <c r="AF698" s="726"/>
      <c r="AG698" s="726"/>
      <c r="AH698" s="726"/>
      <c r="AI698" s="726"/>
      <c r="AJ698" s="726"/>
      <c r="AK698" s="726"/>
      <c r="AL698" s="726"/>
      <c r="AM698" s="726"/>
      <c r="AN698" s="726"/>
      <c r="AO698" s="726"/>
      <c r="AP698" s="726"/>
      <c r="AQ698" s="726"/>
      <c r="AR698" s="726"/>
      <c r="AS698" s="726"/>
      <c r="AT698" s="726"/>
      <c r="AU698" s="726"/>
      <c r="AV698" s="726"/>
      <c r="AW698" s="726"/>
      <c r="AX698" s="726"/>
      <c r="AY698" s="726"/>
      <c r="AZ698" s="726"/>
      <c r="BA698" s="726"/>
      <c r="BB698" s="726"/>
      <c r="BC698" s="726"/>
      <c r="BD698" s="726"/>
      <c r="BE698" s="726"/>
      <c r="BF698" s="726"/>
      <c r="BG698" s="726"/>
      <c r="BH698" s="726"/>
      <c r="BI698" s="726"/>
      <c r="BJ698" s="726"/>
      <c r="BK698" s="726"/>
      <c r="BL698" s="726"/>
      <c r="BM698" s="726"/>
      <c r="BN698" s="726"/>
      <c r="BO698" s="726"/>
      <c r="BP698" s="726"/>
      <c r="BQ698" s="726"/>
      <c r="BR698" s="726"/>
      <c r="BS698" s="726"/>
    </row>
    <row r="699" spans="1:71" s="563" customFormat="1">
      <c r="A699" s="614"/>
      <c r="E699" s="565"/>
      <c r="F699" s="565"/>
      <c r="Q699" s="726"/>
      <c r="R699" s="726"/>
      <c r="S699" s="726"/>
      <c r="T699" s="726"/>
      <c r="U699" s="726"/>
      <c r="V699" s="726"/>
      <c r="W699" s="726"/>
      <c r="X699" s="726"/>
      <c r="Y699" s="726"/>
      <c r="Z699" s="726"/>
      <c r="AA699" s="726"/>
      <c r="AB699" s="726"/>
      <c r="AC699" s="726"/>
      <c r="AD699" s="726"/>
      <c r="AE699" s="726"/>
      <c r="AF699" s="726"/>
      <c r="AG699" s="726"/>
      <c r="AH699" s="726"/>
      <c r="AI699" s="726"/>
      <c r="AJ699" s="726"/>
      <c r="AK699" s="726"/>
      <c r="AL699" s="726"/>
      <c r="AM699" s="726"/>
      <c r="AN699" s="726"/>
      <c r="AO699" s="726"/>
      <c r="AP699" s="726"/>
      <c r="AQ699" s="726"/>
      <c r="AR699" s="726"/>
      <c r="AS699" s="726"/>
      <c r="AT699" s="726"/>
      <c r="AU699" s="726"/>
      <c r="AV699" s="726"/>
      <c r="AW699" s="726"/>
      <c r="AX699" s="726"/>
      <c r="AY699" s="726"/>
      <c r="AZ699" s="726"/>
      <c r="BA699" s="726"/>
      <c r="BB699" s="726"/>
      <c r="BC699" s="726"/>
      <c r="BD699" s="726"/>
      <c r="BE699" s="726"/>
      <c r="BF699" s="726"/>
      <c r="BG699" s="726"/>
      <c r="BH699" s="726"/>
      <c r="BI699" s="726"/>
      <c r="BJ699" s="726"/>
      <c r="BK699" s="726"/>
      <c r="BL699" s="726"/>
      <c r="BM699" s="726"/>
      <c r="BN699" s="726"/>
      <c r="BO699" s="726"/>
      <c r="BP699" s="726"/>
      <c r="BQ699" s="726"/>
      <c r="BR699" s="726"/>
      <c r="BS699" s="726"/>
    </row>
    <row r="700" spans="1:71" s="563" customFormat="1">
      <c r="A700" s="614"/>
      <c r="E700" s="565"/>
      <c r="F700" s="565"/>
      <c r="Q700" s="726"/>
      <c r="R700" s="726"/>
      <c r="S700" s="726"/>
      <c r="T700" s="726"/>
      <c r="U700" s="726"/>
      <c r="V700" s="726"/>
      <c r="W700" s="726"/>
      <c r="X700" s="726"/>
      <c r="Y700" s="726"/>
      <c r="Z700" s="726"/>
      <c r="AA700" s="726"/>
      <c r="AB700" s="726"/>
      <c r="AC700" s="726"/>
      <c r="AD700" s="726"/>
      <c r="AE700" s="726"/>
      <c r="AF700" s="726"/>
      <c r="AG700" s="726"/>
      <c r="AH700" s="726"/>
      <c r="AI700" s="726"/>
      <c r="AJ700" s="726"/>
      <c r="AK700" s="726"/>
      <c r="AL700" s="726"/>
      <c r="AM700" s="726"/>
      <c r="AN700" s="726"/>
      <c r="AO700" s="726"/>
      <c r="AP700" s="726"/>
      <c r="AQ700" s="726"/>
      <c r="AR700" s="726"/>
      <c r="AS700" s="726"/>
      <c r="AT700" s="726"/>
      <c r="AU700" s="726"/>
      <c r="AV700" s="726"/>
      <c r="AW700" s="726"/>
      <c r="AX700" s="726"/>
      <c r="AY700" s="726"/>
      <c r="AZ700" s="726"/>
      <c r="BA700" s="726"/>
      <c r="BB700" s="726"/>
      <c r="BC700" s="726"/>
      <c r="BD700" s="726"/>
      <c r="BE700" s="726"/>
      <c r="BF700" s="726"/>
      <c r="BG700" s="726"/>
      <c r="BH700" s="726"/>
      <c r="BI700" s="726"/>
      <c r="BJ700" s="726"/>
      <c r="BK700" s="726"/>
      <c r="BL700" s="726"/>
      <c r="BM700" s="726"/>
      <c r="BN700" s="726"/>
      <c r="BO700" s="726"/>
      <c r="BP700" s="726"/>
      <c r="BQ700" s="726"/>
      <c r="BR700" s="726"/>
      <c r="BS700" s="726"/>
    </row>
    <row r="701" spans="1:71" s="563" customFormat="1">
      <c r="A701" s="614"/>
      <c r="E701" s="565"/>
      <c r="F701" s="565"/>
      <c r="Q701" s="726"/>
      <c r="R701" s="726"/>
      <c r="S701" s="726"/>
      <c r="T701" s="726"/>
      <c r="U701" s="726"/>
      <c r="V701" s="726"/>
      <c r="W701" s="726"/>
      <c r="X701" s="726"/>
      <c r="Y701" s="726"/>
      <c r="Z701" s="726"/>
      <c r="AA701" s="726"/>
      <c r="AB701" s="726"/>
      <c r="AC701" s="726"/>
      <c r="AD701" s="726"/>
      <c r="AE701" s="726"/>
      <c r="AF701" s="726"/>
      <c r="AG701" s="726"/>
      <c r="AH701" s="726"/>
      <c r="AI701" s="726"/>
      <c r="AJ701" s="726"/>
      <c r="AK701" s="726"/>
      <c r="AL701" s="726"/>
      <c r="AM701" s="726"/>
      <c r="AN701" s="726"/>
      <c r="AO701" s="726"/>
      <c r="AP701" s="726"/>
      <c r="AQ701" s="726"/>
      <c r="AR701" s="726"/>
      <c r="AS701" s="726"/>
      <c r="AT701" s="726"/>
      <c r="AU701" s="726"/>
      <c r="AV701" s="726"/>
      <c r="AW701" s="726"/>
      <c r="AX701" s="726"/>
      <c r="AY701" s="726"/>
      <c r="AZ701" s="726"/>
      <c r="BA701" s="726"/>
      <c r="BB701" s="726"/>
      <c r="BC701" s="726"/>
      <c r="BD701" s="726"/>
      <c r="BE701" s="726"/>
      <c r="BF701" s="726"/>
      <c r="BG701" s="726"/>
      <c r="BH701" s="726"/>
      <c r="BI701" s="726"/>
      <c r="BJ701" s="726"/>
      <c r="BK701" s="726"/>
      <c r="BL701" s="726"/>
      <c r="BM701" s="726"/>
      <c r="BN701" s="726"/>
      <c r="BO701" s="726"/>
      <c r="BP701" s="726"/>
      <c r="BQ701" s="726"/>
      <c r="BR701" s="726"/>
      <c r="BS701" s="726"/>
    </row>
    <row r="702" spans="1:71" s="563" customFormat="1">
      <c r="A702" s="614"/>
      <c r="E702" s="565"/>
      <c r="F702" s="565"/>
      <c r="Q702" s="726"/>
      <c r="R702" s="726"/>
      <c r="S702" s="726"/>
      <c r="T702" s="726"/>
      <c r="U702" s="726"/>
      <c r="V702" s="726"/>
      <c r="W702" s="726"/>
      <c r="X702" s="726"/>
      <c r="Y702" s="726"/>
      <c r="Z702" s="726"/>
      <c r="AA702" s="726"/>
      <c r="AB702" s="726"/>
      <c r="AC702" s="726"/>
      <c r="AD702" s="726"/>
      <c r="AE702" s="726"/>
      <c r="AF702" s="726"/>
      <c r="AG702" s="726"/>
      <c r="AH702" s="726"/>
      <c r="AI702" s="726"/>
      <c r="AJ702" s="726"/>
      <c r="AK702" s="726"/>
      <c r="AL702" s="726"/>
      <c r="AM702" s="726"/>
      <c r="AN702" s="726"/>
      <c r="AO702" s="726"/>
      <c r="AP702" s="726"/>
      <c r="AQ702" s="726"/>
      <c r="AR702" s="726"/>
      <c r="AS702" s="726"/>
      <c r="AT702" s="726"/>
      <c r="AU702" s="726"/>
      <c r="AV702" s="726"/>
      <c r="AW702" s="726"/>
      <c r="AX702" s="726"/>
      <c r="AY702" s="726"/>
      <c r="AZ702" s="726"/>
      <c r="BA702" s="726"/>
      <c r="BB702" s="726"/>
      <c r="BC702" s="726"/>
      <c r="BD702" s="726"/>
      <c r="BE702" s="726"/>
      <c r="BF702" s="726"/>
      <c r="BG702" s="726"/>
      <c r="BH702" s="726"/>
      <c r="BI702" s="726"/>
      <c r="BJ702" s="726"/>
      <c r="BK702" s="726"/>
      <c r="BL702" s="726"/>
      <c r="BM702" s="726"/>
      <c r="BN702" s="726"/>
      <c r="BO702" s="726"/>
      <c r="BP702" s="726"/>
      <c r="BQ702" s="726"/>
      <c r="BR702" s="726"/>
      <c r="BS702" s="726"/>
    </row>
    <row r="703" spans="1:71" s="563" customFormat="1">
      <c r="A703" s="614"/>
      <c r="E703" s="565"/>
      <c r="F703" s="565"/>
      <c r="Q703" s="726"/>
      <c r="R703" s="726"/>
      <c r="S703" s="726"/>
      <c r="T703" s="726"/>
      <c r="U703" s="726"/>
      <c r="V703" s="726"/>
      <c r="W703" s="726"/>
      <c r="X703" s="726"/>
      <c r="Y703" s="726"/>
      <c r="Z703" s="726"/>
      <c r="AA703" s="726"/>
      <c r="AB703" s="726"/>
      <c r="AC703" s="726"/>
      <c r="AD703" s="726"/>
      <c r="AE703" s="726"/>
      <c r="AF703" s="726"/>
      <c r="AG703" s="726"/>
      <c r="AH703" s="726"/>
      <c r="AI703" s="726"/>
      <c r="AJ703" s="726"/>
      <c r="AK703" s="726"/>
      <c r="AL703" s="726"/>
      <c r="AM703" s="726"/>
      <c r="AN703" s="726"/>
      <c r="AO703" s="726"/>
      <c r="AP703" s="726"/>
      <c r="AQ703" s="726"/>
      <c r="AR703" s="726"/>
      <c r="AS703" s="726"/>
      <c r="AT703" s="726"/>
      <c r="AU703" s="726"/>
      <c r="AV703" s="726"/>
      <c r="AW703" s="726"/>
      <c r="AX703" s="726"/>
      <c r="AY703" s="726"/>
      <c r="AZ703" s="726"/>
      <c r="BA703" s="726"/>
      <c r="BB703" s="726"/>
      <c r="BC703" s="726"/>
      <c r="BD703" s="726"/>
      <c r="BE703" s="726"/>
      <c r="BF703" s="726"/>
      <c r="BG703" s="726"/>
      <c r="BH703" s="726"/>
      <c r="BI703" s="726"/>
      <c r="BJ703" s="726"/>
      <c r="BK703" s="726"/>
      <c r="BL703" s="726"/>
      <c r="BM703" s="726"/>
      <c r="BN703" s="726"/>
      <c r="BO703" s="726"/>
      <c r="BP703" s="726"/>
      <c r="BQ703" s="726"/>
      <c r="BR703" s="726"/>
      <c r="BS703" s="726"/>
    </row>
    <row r="704" spans="1:71" s="563" customFormat="1">
      <c r="A704" s="614"/>
      <c r="E704" s="565"/>
      <c r="F704" s="565"/>
      <c r="Q704" s="726"/>
      <c r="R704" s="726"/>
      <c r="S704" s="726"/>
      <c r="T704" s="726"/>
      <c r="U704" s="726"/>
      <c r="V704" s="726"/>
      <c r="W704" s="726"/>
      <c r="X704" s="726"/>
      <c r="Y704" s="726"/>
      <c r="Z704" s="726"/>
      <c r="AA704" s="726"/>
      <c r="AB704" s="726"/>
      <c r="AC704" s="726"/>
      <c r="AD704" s="726"/>
      <c r="AE704" s="726"/>
      <c r="AF704" s="726"/>
      <c r="AG704" s="726"/>
      <c r="AH704" s="726"/>
      <c r="AI704" s="726"/>
      <c r="AJ704" s="726"/>
      <c r="AK704" s="726"/>
      <c r="AL704" s="726"/>
      <c r="AM704" s="726"/>
      <c r="AN704" s="726"/>
      <c r="AO704" s="726"/>
      <c r="AP704" s="726"/>
      <c r="AQ704" s="726"/>
      <c r="AR704" s="726"/>
      <c r="AS704" s="726"/>
      <c r="AT704" s="726"/>
      <c r="AU704" s="726"/>
      <c r="AV704" s="726"/>
      <c r="AW704" s="726"/>
      <c r="AX704" s="726"/>
      <c r="AY704" s="726"/>
      <c r="AZ704" s="726"/>
      <c r="BA704" s="726"/>
      <c r="BB704" s="726"/>
      <c r="BC704" s="726"/>
      <c r="BD704" s="726"/>
      <c r="BE704" s="726"/>
      <c r="BF704" s="726"/>
      <c r="BG704" s="726"/>
      <c r="BH704" s="726"/>
      <c r="BI704" s="726"/>
      <c r="BJ704" s="726"/>
      <c r="BK704" s="726"/>
      <c r="BL704" s="726"/>
      <c r="BM704" s="726"/>
      <c r="BN704" s="726"/>
      <c r="BO704" s="726"/>
      <c r="BP704" s="726"/>
      <c r="BQ704" s="726"/>
      <c r="BR704" s="726"/>
      <c r="BS704" s="726"/>
    </row>
    <row r="705" spans="1:71" s="563" customFormat="1">
      <c r="A705" s="614"/>
      <c r="E705" s="565"/>
      <c r="F705" s="565"/>
      <c r="Q705" s="726"/>
      <c r="R705" s="726"/>
      <c r="S705" s="726"/>
      <c r="T705" s="726"/>
      <c r="U705" s="726"/>
      <c r="V705" s="726"/>
      <c r="W705" s="726"/>
      <c r="X705" s="726"/>
      <c r="Y705" s="726"/>
      <c r="Z705" s="726"/>
      <c r="AA705" s="726"/>
      <c r="AB705" s="726"/>
      <c r="AC705" s="726"/>
      <c r="AD705" s="726"/>
      <c r="AE705" s="726"/>
      <c r="AF705" s="726"/>
      <c r="AG705" s="726"/>
      <c r="AH705" s="726"/>
      <c r="AI705" s="726"/>
      <c r="AJ705" s="726"/>
      <c r="AK705" s="726"/>
      <c r="AL705" s="726"/>
      <c r="AM705" s="726"/>
      <c r="AN705" s="726"/>
      <c r="AO705" s="726"/>
      <c r="AP705" s="726"/>
      <c r="AQ705" s="726"/>
      <c r="AR705" s="726"/>
      <c r="AS705" s="726"/>
      <c r="AT705" s="726"/>
      <c r="AU705" s="726"/>
      <c r="AV705" s="726"/>
      <c r="AW705" s="726"/>
      <c r="AX705" s="726"/>
      <c r="AY705" s="726"/>
      <c r="AZ705" s="726"/>
      <c r="BA705" s="726"/>
      <c r="BB705" s="726"/>
      <c r="BC705" s="726"/>
      <c r="BD705" s="726"/>
      <c r="BE705" s="726"/>
      <c r="BF705" s="726"/>
      <c r="BG705" s="726"/>
      <c r="BH705" s="726"/>
      <c r="BI705" s="726"/>
      <c r="BJ705" s="726"/>
      <c r="BK705" s="726"/>
      <c r="BL705" s="726"/>
      <c r="BM705" s="726"/>
      <c r="BN705" s="726"/>
      <c r="BO705" s="726"/>
      <c r="BP705" s="726"/>
      <c r="BQ705" s="726"/>
      <c r="BR705" s="726"/>
      <c r="BS705" s="726"/>
    </row>
    <row r="706" spans="1:71" s="563" customFormat="1">
      <c r="A706" s="614"/>
      <c r="E706" s="565"/>
      <c r="F706" s="565"/>
      <c r="Q706" s="726"/>
      <c r="R706" s="726"/>
      <c r="S706" s="726"/>
      <c r="T706" s="726"/>
      <c r="U706" s="726"/>
      <c r="V706" s="726"/>
      <c r="W706" s="726"/>
      <c r="X706" s="726"/>
      <c r="Y706" s="726"/>
      <c r="Z706" s="726"/>
      <c r="AA706" s="726"/>
      <c r="AB706" s="726"/>
      <c r="AC706" s="726"/>
      <c r="AD706" s="726"/>
      <c r="AE706" s="726"/>
      <c r="AF706" s="726"/>
      <c r="AG706" s="726"/>
      <c r="AH706" s="726"/>
      <c r="AI706" s="726"/>
      <c r="AJ706" s="726"/>
      <c r="AK706" s="726"/>
      <c r="AL706" s="726"/>
      <c r="AM706" s="726"/>
      <c r="AN706" s="726"/>
      <c r="AO706" s="726"/>
      <c r="AP706" s="726"/>
      <c r="AQ706" s="726"/>
      <c r="AR706" s="726"/>
      <c r="AS706" s="726"/>
      <c r="AT706" s="726"/>
      <c r="AU706" s="726"/>
      <c r="AV706" s="726"/>
      <c r="AW706" s="726"/>
      <c r="AX706" s="726"/>
      <c r="AY706" s="726"/>
      <c r="AZ706" s="726"/>
      <c r="BA706" s="726"/>
      <c r="BB706" s="726"/>
      <c r="BC706" s="726"/>
      <c r="BD706" s="726"/>
      <c r="BE706" s="726"/>
      <c r="BF706" s="726"/>
      <c r="BG706" s="726"/>
      <c r="BH706" s="726"/>
      <c r="BI706" s="726"/>
      <c r="BJ706" s="726"/>
      <c r="BK706" s="726"/>
      <c r="BL706" s="726"/>
      <c r="BM706" s="726"/>
      <c r="BN706" s="726"/>
      <c r="BO706" s="726"/>
      <c r="BP706" s="726"/>
      <c r="BQ706" s="726"/>
      <c r="BR706" s="726"/>
      <c r="BS706" s="726"/>
    </row>
    <row r="707" spans="1:71" s="563" customFormat="1">
      <c r="A707" s="614"/>
      <c r="E707" s="565"/>
      <c r="F707" s="565"/>
      <c r="Q707" s="726"/>
      <c r="R707" s="726"/>
      <c r="S707" s="726"/>
      <c r="T707" s="726"/>
      <c r="U707" s="726"/>
      <c r="V707" s="726"/>
      <c r="W707" s="726"/>
      <c r="X707" s="726"/>
      <c r="Y707" s="726"/>
      <c r="Z707" s="726"/>
      <c r="AA707" s="726"/>
      <c r="AB707" s="726"/>
      <c r="AC707" s="726"/>
      <c r="AD707" s="726"/>
      <c r="AE707" s="726"/>
      <c r="AF707" s="726"/>
      <c r="AG707" s="726"/>
      <c r="AH707" s="726"/>
      <c r="AI707" s="726"/>
      <c r="AJ707" s="726"/>
      <c r="AK707" s="726"/>
      <c r="AL707" s="726"/>
      <c r="AM707" s="726"/>
      <c r="AN707" s="726"/>
      <c r="AO707" s="726"/>
      <c r="AP707" s="726"/>
      <c r="AQ707" s="726"/>
      <c r="AR707" s="726"/>
      <c r="AS707" s="726"/>
      <c r="AT707" s="726"/>
      <c r="AU707" s="726"/>
      <c r="AV707" s="726"/>
      <c r="AW707" s="726"/>
      <c r="AX707" s="726"/>
      <c r="AY707" s="726"/>
      <c r="AZ707" s="726"/>
      <c r="BA707" s="726"/>
      <c r="BB707" s="726"/>
      <c r="BC707" s="726"/>
      <c r="BD707" s="726"/>
      <c r="BE707" s="726"/>
      <c r="BF707" s="726"/>
      <c r="BG707" s="726"/>
      <c r="BH707" s="726"/>
      <c r="BI707" s="726"/>
      <c r="BJ707" s="726"/>
      <c r="BK707" s="726"/>
      <c r="BL707" s="726"/>
      <c r="BM707" s="726"/>
      <c r="BN707" s="726"/>
      <c r="BO707" s="726"/>
      <c r="BP707" s="726"/>
      <c r="BQ707" s="726"/>
      <c r="BR707" s="726"/>
      <c r="BS707" s="726"/>
    </row>
    <row r="708" spans="1:71" s="563" customFormat="1">
      <c r="A708" s="614"/>
      <c r="E708" s="565"/>
      <c r="F708" s="565"/>
      <c r="Q708" s="726"/>
      <c r="R708" s="726"/>
      <c r="S708" s="726"/>
      <c r="T708" s="726"/>
      <c r="U708" s="726"/>
      <c r="V708" s="726"/>
      <c r="W708" s="726"/>
      <c r="X708" s="726"/>
      <c r="Y708" s="726"/>
      <c r="Z708" s="726"/>
      <c r="AA708" s="726"/>
      <c r="AB708" s="726"/>
      <c r="AC708" s="726"/>
      <c r="AD708" s="726"/>
      <c r="AE708" s="726"/>
      <c r="AF708" s="726"/>
      <c r="AG708" s="726"/>
      <c r="AH708" s="726"/>
      <c r="AI708" s="726"/>
      <c r="AJ708" s="726"/>
      <c r="AK708" s="726"/>
      <c r="AL708" s="726"/>
      <c r="AM708" s="726"/>
      <c r="AN708" s="726"/>
      <c r="AO708" s="726"/>
      <c r="AP708" s="726"/>
      <c r="AQ708" s="726"/>
      <c r="AR708" s="726"/>
      <c r="AS708" s="726"/>
      <c r="AT708" s="726"/>
      <c r="AU708" s="726"/>
      <c r="AV708" s="726"/>
      <c r="AW708" s="726"/>
      <c r="AX708" s="726"/>
      <c r="AY708" s="726"/>
      <c r="AZ708" s="726"/>
      <c r="BA708" s="726"/>
      <c r="BB708" s="726"/>
      <c r="BC708" s="726"/>
      <c r="BD708" s="726"/>
      <c r="BE708" s="726"/>
      <c r="BF708" s="726"/>
      <c r="BG708" s="726"/>
      <c r="BH708" s="726"/>
      <c r="BI708" s="726"/>
      <c r="BJ708" s="726"/>
      <c r="BK708" s="726"/>
      <c r="BL708" s="726"/>
      <c r="BM708" s="726"/>
      <c r="BN708" s="726"/>
      <c r="BO708" s="726"/>
      <c r="BP708" s="726"/>
      <c r="BQ708" s="726"/>
      <c r="BR708" s="726"/>
      <c r="BS708" s="726"/>
    </row>
    <row r="709" spans="1:71" s="563" customFormat="1">
      <c r="A709" s="614"/>
      <c r="E709" s="565"/>
      <c r="F709" s="565"/>
      <c r="Q709" s="726"/>
      <c r="R709" s="726"/>
      <c r="S709" s="726"/>
      <c r="T709" s="726"/>
      <c r="U709" s="726"/>
      <c r="V709" s="726"/>
      <c r="W709" s="726"/>
      <c r="X709" s="726"/>
      <c r="Y709" s="726"/>
      <c r="Z709" s="726"/>
      <c r="AA709" s="726"/>
      <c r="AB709" s="726"/>
      <c r="AC709" s="726"/>
      <c r="AD709" s="726"/>
      <c r="AE709" s="726"/>
      <c r="AF709" s="726"/>
      <c r="AG709" s="726"/>
      <c r="AH709" s="726"/>
      <c r="AI709" s="726"/>
      <c r="AJ709" s="726"/>
      <c r="AK709" s="726"/>
      <c r="AL709" s="726"/>
      <c r="AM709" s="726"/>
      <c r="AN709" s="726"/>
      <c r="AO709" s="726"/>
      <c r="AP709" s="726"/>
      <c r="AQ709" s="726"/>
      <c r="AR709" s="726"/>
      <c r="AS709" s="726"/>
      <c r="AT709" s="726"/>
      <c r="AU709" s="726"/>
      <c r="AV709" s="726"/>
      <c r="AW709" s="726"/>
      <c r="AX709" s="726"/>
      <c r="AY709" s="726"/>
      <c r="AZ709" s="726"/>
      <c r="BA709" s="726"/>
      <c r="BB709" s="726"/>
      <c r="BC709" s="726"/>
      <c r="BD709" s="726"/>
      <c r="BE709" s="726"/>
      <c r="BF709" s="726"/>
      <c r="BG709" s="726"/>
      <c r="BH709" s="726"/>
      <c r="BI709" s="726"/>
      <c r="BJ709" s="726"/>
      <c r="BK709" s="726"/>
      <c r="BL709" s="726"/>
      <c r="BM709" s="726"/>
      <c r="BN709" s="726"/>
      <c r="BO709" s="726"/>
      <c r="BP709" s="726"/>
      <c r="BQ709" s="726"/>
      <c r="BR709" s="726"/>
      <c r="BS709" s="726"/>
    </row>
    <row r="710" spans="1:71" s="563" customFormat="1">
      <c r="A710" s="614"/>
      <c r="E710" s="565"/>
      <c r="F710" s="565"/>
      <c r="Q710" s="726"/>
      <c r="R710" s="726"/>
      <c r="S710" s="726"/>
      <c r="T710" s="726"/>
      <c r="U710" s="726"/>
      <c r="V710" s="726"/>
      <c r="W710" s="726"/>
      <c r="X710" s="726"/>
      <c r="Y710" s="726"/>
      <c r="Z710" s="726"/>
      <c r="AA710" s="726"/>
      <c r="AB710" s="726"/>
      <c r="AC710" s="726"/>
      <c r="AD710" s="726"/>
      <c r="AE710" s="726"/>
      <c r="AF710" s="726"/>
      <c r="AG710" s="726"/>
      <c r="AH710" s="726"/>
      <c r="AI710" s="726"/>
      <c r="AJ710" s="726"/>
      <c r="AK710" s="726"/>
      <c r="AL710" s="726"/>
      <c r="AM710" s="726"/>
      <c r="AN710" s="726"/>
      <c r="AO710" s="726"/>
      <c r="AP710" s="726"/>
      <c r="AQ710" s="726"/>
      <c r="AR710" s="726"/>
      <c r="AS710" s="726"/>
      <c r="AT710" s="726"/>
      <c r="AU710" s="726"/>
      <c r="AV710" s="726"/>
      <c r="AW710" s="726"/>
      <c r="AX710" s="726"/>
      <c r="AY710" s="726"/>
      <c r="AZ710" s="726"/>
      <c r="BA710" s="726"/>
      <c r="BB710" s="726"/>
      <c r="BC710" s="726"/>
      <c r="BD710" s="726"/>
      <c r="BE710" s="726"/>
      <c r="BF710" s="726"/>
      <c r="BG710" s="726"/>
      <c r="BH710" s="726"/>
      <c r="BI710" s="726"/>
      <c r="BJ710" s="726"/>
      <c r="BK710" s="726"/>
      <c r="BL710" s="726"/>
      <c r="BM710" s="726"/>
      <c r="BN710" s="726"/>
      <c r="BO710" s="726"/>
      <c r="BP710" s="726"/>
      <c r="BQ710" s="726"/>
      <c r="BR710" s="726"/>
      <c r="BS710" s="726"/>
    </row>
    <row r="711" spans="1:71" s="563" customFormat="1">
      <c r="A711" s="614"/>
      <c r="E711" s="565"/>
      <c r="F711" s="565"/>
      <c r="Q711" s="726"/>
      <c r="R711" s="726"/>
      <c r="S711" s="726"/>
      <c r="T711" s="726"/>
      <c r="U711" s="726"/>
      <c r="V711" s="726"/>
      <c r="W711" s="726"/>
      <c r="X711" s="726"/>
      <c r="Y711" s="726"/>
      <c r="Z711" s="726"/>
      <c r="AA711" s="726"/>
      <c r="AB711" s="726"/>
      <c r="AC711" s="726"/>
      <c r="AD711" s="726"/>
      <c r="AE711" s="726"/>
      <c r="AF711" s="726"/>
      <c r="AG711" s="726"/>
      <c r="AH711" s="726"/>
      <c r="AI711" s="726"/>
      <c r="AJ711" s="726"/>
      <c r="AK711" s="726"/>
      <c r="AL711" s="726"/>
      <c r="AM711" s="726"/>
      <c r="AN711" s="726"/>
      <c r="AO711" s="726"/>
      <c r="AP711" s="726"/>
      <c r="AQ711" s="726"/>
      <c r="AR711" s="726"/>
      <c r="AS711" s="726"/>
      <c r="AT711" s="726"/>
      <c r="AU711" s="726"/>
      <c r="AV711" s="726"/>
      <c r="AW711" s="726"/>
      <c r="AX711" s="726"/>
      <c r="AY711" s="726"/>
      <c r="AZ711" s="726"/>
      <c r="BA711" s="726"/>
      <c r="BB711" s="726"/>
      <c r="BC711" s="726"/>
      <c r="BD711" s="726"/>
      <c r="BE711" s="726"/>
      <c r="BF711" s="726"/>
      <c r="BG711" s="726"/>
      <c r="BH711" s="726"/>
      <c r="BI711" s="726"/>
      <c r="BJ711" s="726"/>
      <c r="BK711" s="726"/>
      <c r="BL711" s="726"/>
      <c r="BM711" s="726"/>
      <c r="BN711" s="726"/>
      <c r="BO711" s="726"/>
      <c r="BP711" s="726"/>
      <c r="BQ711" s="726"/>
      <c r="BR711" s="726"/>
      <c r="BS711" s="726"/>
    </row>
    <row r="712" spans="1:71" s="563" customFormat="1">
      <c r="A712" s="614"/>
      <c r="E712" s="565"/>
      <c r="F712" s="565"/>
      <c r="Q712" s="726"/>
      <c r="R712" s="726"/>
      <c r="S712" s="726"/>
      <c r="T712" s="726"/>
      <c r="U712" s="726"/>
      <c r="V712" s="726"/>
      <c r="W712" s="726"/>
      <c r="X712" s="726"/>
      <c r="Y712" s="726"/>
      <c r="Z712" s="726"/>
      <c r="AA712" s="726"/>
      <c r="AB712" s="726"/>
      <c r="AC712" s="726"/>
      <c r="AD712" s="726"/>
      <c r="AE712" s="726"/>
      <c r="AF712" s="726"/>
      <c r="AG712" s="726"/>
      <c r="AH712" s="726"/>
      <c r="AI712" s="726"/>
      <c r="AJ712" s="726"/>
      <c r="AK712" s="726"/>
      <c r="AL712" s="726"/>
      <c r="AM712" s="726"/>
      <c r="AN712" s="726"/>
      <c r="AO712" s="726"/>
      <c r="AP712" s="726"/>
      <c r="AQ712" s="726"/>
      <c r="AR712" s="726"/>
      <c r="AS712" s="726"/>
      <c r="AT712" s="726"/>
      <c r="AU712" s="726"/>
      <c r="AV712" s="726"/>
      <c r="AW712" s="726"/>
      <c r="AX712" s="726"/>
      <c r="AY712" s="726"/>
      <c r="AZ712" s="726"/>
      <c r="BA712" s="726"/>
      <c r="BB712" s="726"/>
      <c r="BC712" s="726"/>
      <c r="BD712" s="726"/>
      <c r="BE712" s="726"/>
      <c r="BF712" s="726"/>
      <c r="BG712" s="726"/>
      <c r="BH712" s="726"/>
      <c r="BI712" s="726"/>
      <c r="BJ712" s="726"/>
      <c r="BK712" s="726"/>
      <c r="BL712" s="726"/>
      <c r="BM712" s="726"/>
      <c r="BN712" s="726"/>
      <c r="BO712" s="726"/>
      <c r="BP712" s="726"/>
      <c r="BQ712" s="726"/>
      <c r="BR712" s="726"/>
      <c r="BS712" s="726"/>
    </row>
    <row r="713" spans="1:71" s="563" customFormat="1">
      <c r="A713" s="614"/>
      <c r="E713" s="565"/>
      <c r="F713" s="565"/>
      <c r="Q713" s="726"/>
      <c r="R713" s="726"/>
      <c r="S713" s="726"/>
      <c r="T713" s="726"/>
      <c r="U713" s="726"/>
      <c r="V713" s="726"/>
      <c r="W713" s="726"/>
      <c r="X713" s="726"/>
      <c r="Y713" s="726"/>
      <c r="Z713" s="726"/>
      <c r="AA713" s="726"/>
      <c r="AB713" s="726"/>
      <c r="AC713" s="726"/>
      <c r="AD713" s="726"/>
      <c r="AE713" s="726"/>
      <c r="AF713" s="726"/>
      <c r="AG713" s="726"/>
      <c r="AH713" s="726"/>
      <c r="AI713" s="726"/>
      <c r="AJ713" s="726"/>
      <c r="AK713" s="726"/>
      <c r="AL713" s="726"/>
      <c r="AM713" s="726"/>
      <c r="AN713" s="726"/>
      <c r="AO713" s="726"/>
      <c r="AP713" s="726"/>
      <c r="AQ713" s="726"/>
      <c r="AR713" s="726"/>
      <c r="AS713" s="726"/>
      <c r="AT713" s="726"/>
      <c r="AU713" s="726"/>
      <c r="AV713" s="726"/>
      <c r="AW713" s="726"/>
      <c r="AX713" s="726"/>
      <c r="AY713" s="726"/>
      <c r="AZ713" s="726"/>
      <c r="BA713" s="726"/>
      <c r="BB713" s="726"/>
      <c r="BC713" s="726"/>
      <c r="BD713" s="726"/>
      <c r="BE713" s="726"/>
      <c r="BF713" s="726"/>
      <c r="BG713" s="726"/>
      <c r="BH713" s="726"/>
      <c r="BI713" s="726"/>
      <c r="BJ713" s="726"/>
      <c r="BK713" s="726"/>
      <c r="BL713" s="726"/>
      <c r="BM713" s="726"/>
      <c r="BN713" s="726"/>
      <c r="BO713" s="726"/>
      <c r="BP713" s="726"/>
      <c r="BQ713" s="726"/>
      <c r="BR713" s="726"/>
      <c r="BS713" s="726"/>
    </row>
    <row r="714" spans="1:71" s="563" customFormat="1">
      <c r="A714" s="614"/>
      <c r="E714" s="565"/>
      <c r="F714" s="565"/>
      <c r="Q714" s="726"/>
      <c r="R714" s="726"/>
      <c r="S714" s="726"/>
      <c r="T714" s="726"/>
      <c r="U714" s="726"/>
      <c r="V714" s="726"/>
      <c r="W714" s="726"/>
      <c r="X714" s="726"/>
      <c r="Y714" s="726"/>
      <c r="Z714" s="726"/>
      <c r="AA714" s="726"/>
      <c r="AB714" s="726"/>
      <c r="AC714" s="726"/>
      <c r="AD714" s="726"/>
      <c r="AE714" s="726"/>
      <c r="AF714" s="726"/>
      <c r="AG714" s="726"/>
      <c r="AH714" s="726"/>
      <c r="AI714" s="726"/>
      <c r="AJ714" s="726"/>
      <c r="AK714" s="726"/>
      <c r="AL714" s="726"/>
      <c r="AM714" s="726"/>
      <c r="AN714" s="726"/>
      <c r="AO714" s="726"/>
      <c r="AP714" s="726"/>
      <c r="AQ714" s="726"/>
      <c r="AR714" s="726"/>
      <c r="AS714" s="726"/>
      <c r="AT714" s="726"/>
      <c r="AU714" s="726"/>
      <c r="AV714" s="726"/>
      <c r="AW714" s="726"/>
      <c r="AX714" s="726"/>
      <c r="AY714" s="726"/>
      <c r="AZ714" s="726"/>
      <c r="BA714" s="726"/>
      <c r="BB714" s="726"/>
      <c r="BC714" s="726"/>
      <c r="BD714" s="726"/>
      <c r="BE714" s="726"/>
      <c r="BF714" s="726"/>
      <c r="BG714" s="726"/>
      <c r="BH714" s="726"/>
      <c r="BI714" s="726"/>
      <c r="BJ714" s="726"/>
      <c r="BK714" s="726"/>
      <c r="BL714" s="726"/>
      <c r="BM714" s="726"/>
      <c r="BN714" s="726"/>
      <c r="BO714" s="726"/>
      <c r="BP714" s="726"/>
      <c r="BQ714" s="726"/>
      <c r="BR714" s="726"/>
      <c r="BS714" s="726"/>
    </row>
    <row r="715" spans="1:71" s="563" customFormat="1">
      <c r="A715" s="614"/>
      <c r="E715" s="565"/>
      <c r="F715" s="565"/>
      <c r="Q715" s="726"/>
      <c r="R715" s="726"/>
      <c r="S715" s="726"/>
      <c r="T715" s="726"/>
      <c r="U715" s="726"/>
      <c r="V715" s="726"/>
      <c r="W715" s="726"/>
      <c r="X715" s="726"/>
      <c r="Y715" s="726"/>
      <c r="Z715" s="726"/>
      <c r="AA715" s="726"/>
      <c r="AB715" s="726"/>
      <c r="AC715" s="726"/>
      <c r="AD715" s="726"/>
      <c r="AE715" s="726"/>
      <c r="AF715" s="726"/>
      <c r="AG715" s="726"/>
      <c r="AH715" s="726"/>
      <c r="AI715" s="726"/>
      <c r="AJ715" s="726"/>
      <c r="AK715" s="726"/>
      <c r="AL715" s="726"/>
      <c r="AM715" s="726"/>
      <c r="AN715" s="726"/>
      <c r="AO715" s="726"/>
      <c r="AP715" s="726"/>
      <c r="AQ715" s="726"/>
      <c r="AR715" s="726"/>
      <c r="AS715" s="726"/>
      <c r="AT715" s="726"/>
      <c r="AU715" s="726"/>
      <c r="AV715" s="726"/>
      <c r="AW715" s="726"/>
      <c r="AX715" s="726"/>
      <c r="AY715" s="726"/>
      <c r="AZ715" s="726"/>
      <c r="BA715" s="726"/>
      <c r="BB715" s="726"/>
      <c r="BC715" s="726"/>
      <c r="BD715" s="726"/>
      <c r="BE715" s="726"/>
      <c r="BF715" s="726"/>
      <c r="BG715" s="726"/>
      <c r="BH715" s="726"/>
      <c r="BI715" s="726"/>
      <c r="BJ715" s="726"/>
      <c r="BK715" s="726"/>
      <c r="BL715" s="726"/>
      <c r="BM715" s="726"/>
      <c r="BN715" s="726"/>
      <c r="BO715" s="726"/>
      <c r="BP715" s="726"/>
      <c r="BQ715" s="726"/>
      <c r="BR715" s="726"/>
      <c r="BS715" s="726"/>
    </row>
    <row r="716" spans="1:71" s="563" customFormat="1">
      <c r="A716" s="614"/>
      <c r="E716" s="565"/>
      <c r="F716" s="565"/>
      <c r="Q716" s="726"/>
      <c r="R716" s="726"/>
      <c r="S716" s="726"/>
      <c r="T716" s="726"/>
      <c r="U716" s="726"/>
      <c r="V716" s="726"/>
      <c r="W716" s="726"/>
      <c r="X716" s="726"/>
      <c r="Y716" s="726"/>
      <c r="Z716" s="726"/>
      <c r="AA716" s="726"/>
      <c r="AB716" s="726"/>
      <c r="AC716" s="726"/>
      <c r="AD716" s="726"/>
      <c r="AE716" s="726"/>
      <c r="AF716" s="726"/>
      <c r="AG716" s="726"/>
      <c r="AH716" s="726"/>
      <c r="AI716" s="726"/>
      <c r="AJ716" s="726"/>
      <c r="AK716" s="726"/>
      <c r="AL716" s="726"/>
      <c r="AM716" s="726"/>
      <c r="AN716" s="726"/>
      <c r="AO716" s="726"/>
      <c r="AP716" s="726"/>
      <c r="AQ716" s="726"/>
      <c r="AR716" s="726"/>
      <c r="AS716" s="726"/>
      <c r="AT716" s="726"/>
      <c r="AU716" s="726"/>
      <c r="AV716" s="726"/>
      <c r="AW716" s="726"/>
      <c r="AX716" s="726"/>
      <c r="AY716" s="726"/>
      <c r="AZ716" s="726"/>
      <c r="BA716" s="726"/>
      <c r="BB716" s="726"/>
      <c r="BC716" s="726"/>
      <c r="BD716" s="726"/>
      <c r="BE716" s="726"/>
      <c r="BF716" s="726"/>
      <c r="BG716" s="726"/>
      <c r="BH716" s="726"/>
      <c r="BI716" s="726"/>
      <c r="BJ716" s="726"/>
      <c r="BK716" s="726"/>
      <c r="BL716" s="726"/>
      <c r="BM716" s="726"/>
      <c r="BN716" s="726"/>
      <c r="BO716" s="726"/>
      <c r="BP716" s="726"/>
      <c r="BQ716" s="726"/>
      <c r="BR716" s="726"/>
      <c r="BS716" s="726"/>
    </row>
    <row r="717" spans="1:71" s="563" customFormat="1">
      <c r="A717" s="614"/>
      <c r="E717" s="565"/>
      <c r="F717" s="565"/>
      <c r="Q717" s="726"/>
      <c r="R717" s="726"/>
      <c r="S717" s="726"/>
      <c r="T717" s="726"/>
      <c r="U717" s="726"/>
      <c r="V717" s="726"/>
      <c r="W717" s="726"/>
      <c r="X717" s="726"/>
      <c r="Y717" s="726"/>
      <c r="Z717" s="726"/>
      <c r="AA717" s="726"/>
      <c r="AB717" s="726"/>
      <c r="AC717" s="726"/>
      <c r="AD717" s="726"/>
      <c r="AE717" s="726"/>
      <c r="AF717" s="726"/>
      <c r="AG717" s="726"/>
      <c r="AH717" s="726"/>
      <c r="AI717" s="726"/>
      <c r="AJ717" s="726"/>
      <c r="AK717" s="726"/>
      <c r="AL717" s="726"/>
      <c r="AM717" s="726"/>
      <c r="AN717" s="726"/>
      <c r="AO717" s="726"/>
      <c r="AP717" s="726"/>
      <c r="AQ717" s="726"/>
      <c r="AR717" s="726"/>
      <c r="AS717" s="726"/>
      <c r="AT717" s="726"/>
      <c r="AU717" s="726"/>
      <c r="AV717" s="726"/>
      <c r="AW717" s="726"/>
      <c r="AX717" s="726"/>
      <c r="AY717" s="726"/>
      <c r="AZ717" s="726"/>
      <c r="BA717" s="726"/>
      <c r="BB717" s="726"/>
      <c r="BC717" s="726"/>
      <c r="BD717" s="726"/>
      <c r="BE717" s="726"/>
      <c r="BF717" s="726"/>
      <c r="BG717" s="726"/>
      <c r="BH717" s="726"/>
      <c r="BI717" s="726"/>
      <c r="BJ717" s="726"/>
      <c r="BK717" s="726"/>
      <c r="BL717" s="726"/>
      <c r="BM717" s="726"/>
      <c r="BN717" s="726"/>
      <c r="BO717" s="726"/>
      <c r="BP717" s="726"/>
      <c r="BQ717" s="726"/>
      <c r="BR717" s="726"/>
      <c r="BS717" s="726"/>
    </row>
    <row r="718" spans="1:71" s="563" customFormat="1">
      <c r="A718" s="614"/>
      <c r="E718" s="565"/>
      <c r="F718" s="565"/>
      <c r="Q718" s="726"/>
      <c r="R718" s="726"/>
      <c r="S718" s="726"/>
      <c r="T718" s="726"/>
      <c r="U718" s="726"/>
      <c r="V718" s="726"/>
      <c r="W718" s="726"/>
      <c r="X718" s="726"/>
      <c r="Y718" s="726"/>
      <c r="Z718" s="726"/>
      <c r="AA718" s="726"/>
      <c r="AB718" s="726"/>
      <c r="AC718" s="726"/>
      <c r="AD718" s="726"/>
      <c r="AE718" s="726"/>
      <c r="AF718" s="726"/>
      <c r="AG718" s="726"/>
      <c r="AH718" s="726"/>
      <c r="AI718" s="726"/>
      <c r="AJ718" s="726"/>
      <c r="AK718" s="726"/>
      <c r="AL718" s="726"/>
      <c r="AM718" s="726"/>
      <c r="AN718" s="726"/>
      <c r="AO718" s="726"/>
      <c r="AP718" s="726"/>
      <c r="AQ718" s="726"/>
      <c r="AR718" s="726"/>
      <c r="AS718" s="726"/>
      <c r="AT718" s="726"/>
      <c r="AU718" s="726"/>
      <c r="AV718" s="726"/>
      <c r="AW718" s="726"/>
      <c r="AX718" s="726"/>
      <c r="AY718" s="726"/>
      <c r="AZ718" s="726"/>
      <c r="BA718" s="726"/>
      <c r="BB718" s="726"/>
      <c r="BC718" s="726"/>
      <c r="BD718" s="726"/>
      <c r="BE718" s="726"/>
      <c r="BF718" s="726"/>
      <c r="BG718" s="726"/>
      <c r="BH718" s="726"/>
      <c r="BI718" s="726"/>
      <c r="BJ718" s="726"/>
      <c r="BK718" s="726"/>
      <c r="BL718" s="726"/>
      <c r="BM718" s="726"/>
      <c r="BN718" s="726"/>
      <c r="BO718" s="726"/>
      <c r="BP718" s="726"/>
      <c r="BQ718" s="726"/>
      <c r="BR718" s="726"/>
      <c r="BS718" s="726"/>
    </row>
    <row r="719" spans="1:71" s="563" customFormat="1">
      <c r="A719" s="614"/>
      <c r="E719" s="565"/>
      <c r="F719" s="565"/>
      <c r="Q719" s="726"/>
      <c r="R719" s="726"/>
      <c r="S719" s="726"/>
      <c r="T719" s="726"/>
      <c r="U719" s="726"/>
      <c r="V719" s="726"/>
      <c r="W719" s="726"/>
      <c r="X719" s="726"/>
      <c r="Y719" s="726"/>
      <c r="Z719" s="726"/>
      <c r="AA719" s="726"/>
      <c r="AB719" s="726"/>
      <c r="AC719" s="726"/>
      <c r="AD719" s="726"/>
      <c r="AE719" s="726"/>
      <c r="AF719" s="726"/>
      <c r="AG719" s="726"/>
      <c r="AH719" s="726"/>
      <c r="AI719" s="726"/>
      <c r="AJ719" s="726"/>
      <c r="AK719" s="726"/>
      <c r="AL719" s="726"/>
      <c r="AM719" s="726"/>
      <c r="AN719" s="726"/>
      <c r="AO719" s="726"/>
      <c r="AP719" s="726"/>
      <c r="AQ719" s="726"/>
      <c r="AR719" s="726"/>
      <c r="AS719" s="726"/>
      <c r="AT719" s="726"/>
      <c r="AU719" s="726"/>
      <c r="AV719" s="726"/>
      <c r="AW719" s="726"/>
      <c r="AX719" s="726"/>
      <c r="AY719" s="726"/>
      <c r="AZ719" s="726"/>
      <c r="BA719" s="726"/>
      <c r="BB719" s="726"/>
      <c r="BC719" s="726"/>
      <c r="BD719" s="726"/>
      <c r="BE719" s="726"/>
      <c r="BF719" s="726"/>
      <c r="BG719" s="726"/>
      <c r="BH719" s="726"/>
      <c r="BI719" s="726"/>
      <c r="BJ719" s="726"/>
      <c r="BK719" s="726"/>
      <c r="BL719" s="726"/>
      <c r="BM719" s="726"/>
      <c r="BN719" s="726"/>
      <c r="BO719" s="726"/>
      <c r="BP719" s="726"/>
      <c r="BQ719" s="726"/>
      <c r="BR719" s="726"/>
      <c r="BS719" s="726"/>
    </row>
    <row r="720" spans="1:71" s="563" customFormat="1">
      <c r="A720" s="614"/>
      <c r="E720" s="565"/>
      <c r="F720" s="565"/>
      <c r="Q720" s="726"/>
      <c r="R720" s="726"/>
      <c r="S720" s="726"/>
      <c r="T720" s="726"/>
      <c r="U720" s="726"/>
      <c r="V720" s="726"/>
      <c r="W720" s="726"/>
      <c r="X720" s="726"/>
      <c r="Y720" s="726"/>
      <c r="Z720" s="726"/>
      <c r="AA720" s="726"/>
      <c r="AB720" s="726"/>
      <c r="AC720" s="726"/>
      <c r="AD720" s="726"/>
      <c r="AE720" s="726"/>
      <c r="AF720" s="726"/>
      <c r="AG720" s="726"/>
      <c r="AH720" s="726"/>
      <c r="AI720" s="726"/>
      <c r="AJ720" s="726"/>
      <c r="AK720" s="726"/>
      <c r="AL720" s="726"/>
      <c r="AM720" s="726"/>
      <c r="AN720" s="726"/>
      <c r="AO720" s="726"/>
      <c r="AP720" s="726"/>
      <c r="AQ720" s="726"/>
      <c r="AR720" s="726"/>
      <c r="AS720" s="726"/>
      <c r="AT720" s="726"/>
      <c r="AU720" s="726"/>
      <c r="AV720" s="726"/>
      <c r="AW720" s="726"/>
      <c r="AX720" s="726"/>
      <c r="AY720" s="726"/>
      <c r="AZ720" s="726"/>
      <c r="BA720" s="726"/>
      <c r="BB720" s="726"/>
      <c r="BC720" s="726"/>
      <c r="BD720" s="726"/>
      <c r="BE720" s="726"/>
      <c r="BF720" s="726"/>
      <c r="BG720" s="726"/>
      <c r="BH720" s="726"/>
      <c r="BI720" s="726"/>
      <c r="BJ720" s="726"/>
      <c r="BK720" s="726"/>
      <c r="BL720" s="726"/>
      <c r="BM720" s="726"/>
      <c r="BN720" s="726"/>
      <c r="BO720" s="726"/>
      <c r="BP720" s="726"/>
      <c r="BQ720" s="726"/>
      <c r="BR720" s="726"/>
      <c r="BS720" s="726"/>
    </row>
    <row r="721" spans="1:71" s="563" customFormat="1">
      <c r="A721" s="614"/>
      <c r="E721" s="565"/>
      <c r="F721" s="565"/>
      <c r="Q721" s="726"/>
      <c r="R721" s="726"/>
      <c r="S721" s="726"/>
      <c r="T721" s="726"/>
      <c r="U721" s="726"/>
      <c r="V721" s="726"/>
      <c r="W721" s="726"/>
      <c r="X721" s="726"/>
      <c r="Y721" s="726"/>
      <c r="Z721" s="726"/>
      <c r="AA721" s="726"/>
      <c r="AB721" s="726"/>
      <c r="AC721" s="726"/>
      <c r="AD721" s="726"/>
      <c r="AE721" s="726"/>
      <c r="AF721" s="726"/>
      <c r="AG721" s="726"/>
      <c r="AH721" s="726"/>
      <c r="AI721" s="726"/>
      <c r="AJ721" s="726"/>
      <c r="AK721" s="726"/>
      <c r="AL721" s="726"/>
      <c r="AM721" s="726"/>
      <c r="AN721" s="726"/>
      <c r="AO721" s="726"/>
      <c r="AP721" s="726"/>
      <c r="AQ721" s="726"/>
      <c r="AR721" s="726"/>
      <c r="AS721" s="726"/>
      <c r="AT721" s="726"/>
      <c r="AU721" s="726"/>
      <c r="AV721" s="726"/>
      <c r="AW721" s="726"/>
      <c r="AX721" s="726"/>
      <c r="AY721" s="726"/>
      <c r="AZ721" s="726"/>
      <c r="BA721" s="726"/>
      <c r="BB721" s="726"/>
      <c r="BC721" s="726"/>
      <c r="BD721" s="726"/>
      <c r="BE721" s="726"/>
      <c r="BF721" s="726"/>
      <c r="BG721" s="726"/>
      <c r="BH721" s="726"/>
      <c r="BI721" s="726"/>
      <c r="BJ721" s="726"/>
      <c r="BK721" s="726"/>
      <c r="BL721" s="726"/>
      <c r="BM721" s="726"/>
      <c r="BN721" s="726"/>
      <c r="BO721" s="726"/>
      <c r="BP721" s="726"/>
      <c r="BQ721" s="726"/>
      <c r="BR721" s="726"/>
      <c r="BS721" s="726"/>
    </row>
    <row r="722" spans="1:71" s="563" customFormat="1">
      <c r="A722" s="614"/>
      <c r="E722" s="565"/>
      <c r="F722" s="565"/>
      <c r="Q722" s="726"/>
      <c r="R722" s="726"/>
      <c r="S722" s="726"/>
      <c r="T722" s="726"/>
      <c r="U722" s="726"/>
      <c r="V722" s="726"/>
      <c r="W722" s="726"/>
      <c r="X722" s="726"/>
      <c r="Y722" s="726"/>
      <c r="Z722" s="726"/>
      <c r="AA722" s="726"/>
      <c r="AB722" s="726"/>
      <c r="AC722" s="726"/>
      <c r="AD722" s="726"/>
      <c r="AE722" s="726"/>
      <c r="AF722" s="726"/>
      <c r="AG722" s="726"/>
      <c r="AH722" s="726"/>
      <c r="AI722" s="726"/>
      <c r="AJ722" s="726"/>
      <c r="AK722" s="726"/>
      <c r="AL722" s="726"/>
      <c r="AM722" s="726"/>
      <c r="AN722" s="726"/>
      <c r="AO722" s="726"/>
      <c r="AP722" s="726"/>
      <c r="AQ722" s="726"/>
      <c r="AR722" s="726"/>
      <c r="AS722" s="726"/>
      <c r="AT722" s="726"/>
      <c r="AU722" s="726"/>
      <c r="AV722" s="726"/>
      <c r="AW722" s="726"/>
      <c r="AX722" s="726"/>
      <c r="AY722" s="726"/>
      <c r="AZ722" s="726"/>
      <c r="BA722" s="726"/>
      <c r="BB722" s="726"/>
      <c r="BC722" s="726"/>
      <c r="BD722" s="726"/>
      <c r="BE722" s="726"/>
      <c r="BF722" s="726"/>
      <c r="BG722" s="726"/>
      <c r="BH722" s="726"/>
      <c r="BI722" s="726"/>
      <c r="BJ722" s="726"/>
      <c r="BK722" s="726"/>
      <c r="BL722" s="726"/>
      <c r="BM722" s="726"/>
      <c r="BN722" s="726"/>
      <c r="BO722" s="726"/>
      <c r="BP722" s="726"/>
      <c r="BQ722" s="726"/>
      <c r="BR722" s="726"/>
      <c r="BS722" s="726"/>
    </row>
    <row r="723" spans="1:71" s="563" customFormat="1">
      <c r="A723" s="614"/>
      <c r="E723" s="565"/>
      <c r="F723" s="565"/>
      <c r="Q723" s="726"/>
      <c r="R723" s="726"/>
      <c r="S723" s="726"/>
      <c r="T723" s="726"/>
      <c r="U723" s="726"/>
      <c r="V723" s="726"/>
      <c r="W723" s="726"/>
      <c r="X723" s="726"/>
      <c r="Y723" s="726"/>
      <c r="Z723" s="726"/>
      <c r="AA723" s="726"/>
      <c r="AB723" s="726"/>
      <c r="AC723" s="726"/>
      <c r="AD723" s="726"/>
      <c r="AE723" s="726"/>
      <c r="AF723" s="726"/>
      <c r="AG723" s="726"/>
      <c r="AH723" s="726"/>
      <c r="AI723" s="726"/>
      <c r="AJ723" s="726"/>
      <c r="AK723" s="726"/>
      <c r="AL723" s="726"/>
      <c r="AM723" s="726"/>
      <c r="AN723" s="726"/>
      <c r="AO723" s="726"/>
      <c r="AP723" s="726"/>
      <c r="AQ723" s="726"/>
      <c r="AR723" s="726"/>
      <c r="AS723" s="726"/>
      <c r="AT723" s="726"/>
      <c r="AU723" s="726"/>
      <c r="AV723" s="726"/>
      <c r="AW723" s="726"/>
      <c r="AX723" s="726"/>
      <c r="AY723" s="726"/>
      <c r="AZ723" s="726"/>
      <c r="BA723" s="726"/>
      <c r="BB723" s="726"/>
      <c r="BC723" s="726"/>
      <c r="BD723" s="726"/>
      <c r="BE723" s="726"/>
      <c r="BF723" s="726"/>
      <c r="BG723" s="726"/>
      <c r="BH723" s="726"/>
      <c r="BI723" s="726"/>
      <c r="BJ723" s="726"/>
      <c r="BK723" s="726"/>
      <c r="BL723" s="726"/>
      <c r="BM723" s="726"/>
      <c r="BN723" s="726"/>
      <c r="BO723" s="726"/>
      <c r="BP723" s="726"/>
      <c r="BQ723" s="726"/>
      <c r="BR723" s="726"/>
      <c r="BS723" s="726"/>
    </row>
    <row r="724" spans="1:71" s="563" customFormat="1">
      <c r="A724" s="614"/>
      <c r="E724" s="565"/>
      <c r="F724" s="565"/>
      <c r="Q724" s="726"/>
      <c r="R724" s="726"/>
      <c r="S724" s="726"/>
      <c r="T724" s="726"/>
      <c r="U724" s="726"/>
      <c r="V724" s="726"/>
      <c r="W724" s="726"/>
      <c r="X724" s="726"/>
      <c r="Y724" s="726"/>
      <c r="Z724" s="726"/>
      <c r="AA724" s="726"/>
      <c r="AB724" s="726"/>
      <c r="AC724" s="726"/>
      <c r="AD724" s="726"/>
      <c r="AE724" s="726"/>
      <c r="AF724" s="726"/>
      <c r="AG724" s="726"/>
      <c r="AH724" s="726"/>
      <c r="AI724" s="726"/>
      <c r="AJ724" s="726"/>
      <c r="AK724" s="726"/>
      <c r="AL724" s="726"/>
      <c r="AM724" s="726"/>
      <c r="AN724" s="726"/>
      <c r="AO724" s="726"/>
      <c r="AP724" s="726"/>
      <c r="AQ724" s="726"/>
      <c r="AR724" s="726"/>
      <c r="AS724" s="726"/>
      <c r="AT724" s="726"/>
      <c r="AU724" s="726"/>
      <c r="AV724" s="726"/>
      <c r="AW724" s="726"/>
      <c r="AX724" s="726"/>
      <c r="AY724" s="726"/>
      <c r="AZ724" s="726"/>
      <c r="BA724" s="726"/>
      <c r="BB724" s="726"/>
      <c r="BC724" s="726"/>
      <c r="BD724" s="726"/>
      <c r="BE724" s="726"/>
      <c r="BF724" s="726"/>
      <c r="BG724" s="726"/>
      <c r="BH724" s="726"/>
      <c r="BI724" s="726"/>
      <c r="BJ724" s="726"/>
      <c r="BK724" s="726"/>
      <c r="BL724" s="726"/>
      <c r="BM724" s="726"/>
      <c r="BN724" s="726"/>
      <c r="BO724" s="726"/>
      <c r="BP724" s="726"/>
      <c r="BQ724" s="726"/>
      <c r="BR724" s="726"/>
      <c r="BS724" s="726"/>
    </row>
    <row r="725" spans="1:71" s="563" customFormat="1">
      <c r="A725" s="614"/>
      <c r="E725" s="565"/>
      <c r="F725" s="565"/>
      <c r="Q725" s="726"/>
      <c r="R725" s="726"/>
      <c r="S725" s="726"/>
      <c r="T725" s="726"/>
      <c r="U725" s="726"/>
      <c r="V725" s="726"/>
      <c r="W725" s="726"/>
      <c r="X725" s="726"/>
      <c r="Y725" s="726"/>
      <c r="Z725" s="726"/>
      <c r="AA725" s="726"/>
      <c r="AB725" s="726"/>
      <c r="AC725" s="726"/>
      <c r="AD725" s="726"/>
      <c r="AE725" s="726"/>
      <c r="AF725" s="726"/>
      <c r="AG725" s="726"/>
      <c r="AH725" s="726"/>
      <c r="AI725" s="726"/>
      <c r="AJ725" s="726"/>
      <c r="AK725" s="726"/>
      <c r="AL725" s="726"/>
      <c r="AM725" s="726"/>
      <c r="AN725" s="726"/>
      <c r="AO725" s="726"/>
      <c r="AP725" s="726"/>
      <c r="AQ725" s="726"/>
      <c r="AR725" s="726"/>
      <c r="AS725" s="726"/>
      <c r="AT725" s="726"/>
      <c r="AU725" s="726"/>
      <c r="AV725" s="726"/>
      <c r="AW725" s="726"/>
      <c r="AX725" s="726"/>
      <c r="AY725" s="726"/>
      <c r="AZ725" s="726"/>
      <c r="BA725" s="726"/>
      <c r="BB725" s="726"/>
      <c r="BC725" s="726"/>
      <c r="BD725" s="726"/>
      <c r="BE725" s="726"/>
      <c r="BF725" s="726"/>
      <c r="BG725" s="726"/>
      <c r="BH725" s="726"/>
      <c r="BI725" s="726"/>
      <c r="BJ725" s="726"/>
      <c r="BK725" s="726"/>
      <c r="BL725" s="726"/>
      <c r="BM725" s="726"/>
      <c r="BN725" s="726"/>
      <c r="BO725" s="726"/>
      <c r="BP725" s="726"/>
      <c r="BQ725" s="726"/>
      <c r="BR725" s="726"/>
      <c r="BS725" s="72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G289"/>
  <sheetViews>
    <sheetView topLeftCell="A261" workbookViewId="0">
      <selection activeCell="E13" sqref="E13:E277"/>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554"/>
    <col min="8" max="8" width="9.109375" style="554" customWidth="1"/>
    <col min="9" max="16384" width="9.109375" style="554"/>
  </cols>
  <sheetData>
    <row r="1" spans="1:6">
      <c r="A1" s="548" t="s">
        <v>265</v>
      </c>
      <c r="B1" s="549"/>
      <c r="C1" s="549"/>
      <c r="D1" s="549"/>
      <c r="E1" s="622"/>
      <c r="F1" s="623"/>
    </row>
    <row r="2" spans="1:6">
      <c r="A2" s="555" t="s">
        <v>507</v>
      </c>
      <c r="B2" s="556"/>
      <c r="C2" s="556"/>
      <c r="D2" s="556"/>
      <c r="E2" s="624"/>
      <c r="F2" s="625"/>
    </row>
    <row r="3" spans="1:6">
      <c r="A3" s="555"/>
      <c r="B3" s="556"/>
      <c r="C3" s="556"/>
      <c r="D3" s="556"/>
      <c r="E3" s="624"/>
      <c r="F3" s="625"/>
    </row>
    <row r="4" spans="1:6">
      <c r="A4" s="562"/>
      <c r="B4" s="563"/>
      <c r="C4" s="564"/>
      <c r="D4" s="563"/>
      <c r="E4" s="626"/>
      <c r="F4" s="561"/>
    </row>
    <row r="5" spans="1:6" ht="13.8" thickBot="1">
      <c r="A5" s="566" t="s">
        <v>267</v>
      </c>
      <c r="B5" s="567"/>
      <c r="C5" s="569" t="s">
        <v>269</v>
      </c>
      <c r="D5" s="568" t="s">
        <v>259</v>
      </c>
      <c r="E5" s="570" t="s">
        <v>270</v>
      </c>
      <c r="F5" s="571" t="s">
        <v>260</v>
      </c>
    </row>
    <row r="6" spans="1:6">
      <c r="A6" s="627"/>
      <c r="B6" s="628"/>
      <c r="C6" s="630"/>
      <c r="D6" s="629"/>
      <c r="E6" s="631"/>
      <c r="F6" s="596"/>
    </row>
    <row r="7" spans="1:6">
      <c r="A7" s="632" t="s">
        <v>703</v>
      </c>
      <c r="B7" s="741" t="s">
        <v>508</v>
      </c>
      <c r="C7" s="636"/>
      <c r="D7" s="635"/>
      <c r="E7" s="637"/>
      <c r="F7" s="577"/>
    </row>
    <row r="8" spans="1:6">
      <c r="A8" s="632"/>
      <c r="B8" s="742"/>
      <c r="C8" s="636"/>
      <c r="D8" s="574"/>
      <c r="E8" s="583"/>
      <c r="F8" s="580"/>
    </row>
    <row r="9" spans="1:6" ht="26.4">
      <c r="A9" s="640" t="s">
        <v>703</v>
      </c>
      <c r="B9" s="721" t="s">
        <v>509</v>
      </c>
      <c r="C9" s="636"/>
      <c r="D9" s="574"/>
      <c r="E9" s="583"/>
      <c r="F9" s="580"/>
    </row>
    <row r="10" spans="1:6" ht="12.75" customHeight="1">
      <c r="A10" s="640"/>
      <c r="B10" s="582"/>
      <c r="C10" s="636"/>
      <c r="D10" s="574"/>
      <c r="E10" s="583"/>
      <c r="F10" s="580"/>
    </row>
    <row r="11" spans="1:6">
      <c r="A11" s="640" t="s">
        <v>703</v>
      </c>
      <c r="B11" s="722" t="s">
        <v>510</v>
      </c>
      <c r="C11" s="636"/>
      <c r="D11" s="574"/>
      <c r="E11" s="583"/>
      <c r="F11" s="580"/>
    </row>
    <row r="12" spans="1:6">
      <c r="A12" s="640"/>
      <c r="B12" s="586"/>
      <c r="C12" s="575"/>
      <c r="D12" s="574"/>
      <c r="E12" s="583"/>
      <c r="F12" s="580"/>
    </row>
    <row r="13" spans="1:6">
      <c r="A13" s="640">
        <v>1</v>
      </c>
      <c r="B13" s="674" t="s">
        <v>511</v>
      </c>
      <c r="C13" s="575">
        <v>24</v>
      </c>
      <c r="D13" s="574" t="s">
        <v>335</v>
      </c>
      <c r="E13" s="583">
        <f>Elec_Est!E4330</f>
        <v>62.88</v>
      </c>
      <c r="F13" s="580">
        <f>E13*C13</f>
        <v>1509.1200000000001</v>
      </c>
    </row>
    <row r="14" spans="1:6">
      <c r="A14" s="640"/>
      <c r="B14" s="713"/>
      <c r="C14" s="575"/>
      <c r="D14" s="574"/>
      <c r="E14" s="583"/>
      <c r="F14" s="580"/>
    </row>
    <row r="15" spans="1:6">
      <c r="A15" s="640"/>
      <c r="B15" s="586"/>
      <c r="C15" s="575"/>
      <c r="D15" s="574"/>
      <c r="E15" s="583"/>
      <c r="F15" s="580"/>
    </row>
    <row r="16" spans="1:6" ht="26.4">
      <c r="A16" s="572">
        <f>A13+1</f>
        <v>2</v>
      </c>
      <c r="B16" s="582" t="s">
        <v>512</v>
      </c>
      <c r="C16" s="575">
        <v>1</v>
      </c>
      <c r="D16" s="574" t="s">
        <v>335</v>
      </c>
      <c r="E16" s="583">
        <f>Elec_Est!E4336</f>
        <v>100.53</v>
      </c>
      <c r="F16" s="580">
        <f>E16*C16</f>
        <v>100.53</v>
      </c>
    </row>
    <row r="17" spans="1:6">
      <c r="A17" s="640"/>
      <c r="B17" s="588"/>
      <c r="C17" s="575"/>
      <c r="D17" s="574"/>
      <c r="E17" s="583"/>
      <c r="F17" s="580"/>
    </row>
    <row r="18" spans="1:6">
      <c r="A18" s="640"/>
      <c r="B18" s="586"/>
      <c r="C18" s="575"/>
      <c r="D18" s="574"/>
      <c r="E18" s="583"/>
      <c r="F18" s="580"/>
    </row>
    <row r="19" spans="1:6">
      <c r="A19" s="640">
        <f>A16+1</f>
        <v>3</v>
      </c>
      <c r="B19" s="582" t="s">
        <v>513</v>
      </c>
      <c r="C19" s="575">
        <v>3</v>
      </c>
      <c r="D19" s="574" t="s">
        <v>335</v>
      </c>
      <c r="E19" s="583">
        <f>Elec_Est!E4342</f>
        <v>62.82</v>
      </c>
      <c r="F19" s="580">
        <f>E19*C19</f>
        <v>188.46</v>
      </c>
    </row>
    <row r="20" spans="1:6">
      <c r="A20" s="640"/>
      <c r="B20" s="588"/>
      <c r="C20" s="575"/>
      <c r="D20" s="574"/>
      <c r="E20" s="583"/>
      <c r="F20" s="580"/>
    </row>
    <row r="21" spans="1:6">
      <c r="A21" s="640"/>
      <c r="B21" s="586"/>
      <c r="C21" s="575"/>
      <c r="D21" s="574"/>
      <c r="E21" s="583"/>
      <c r="F21" s="580"/>
    </row>
    <row r="22" spans="1:6">
      <c r="A22" s="640">
        <f>A19+1</f>
        <v>4</v>
      </c>
      <c r="B22" s="582" t="s">
        <v>514</v>
      </c>
      <c r="C22" s="575">
        <v>1</v>
      </c>
      <c r="D22" s="574" t="s">
        <v>335</v>
      </c>
      <c r="E22" s="583">
        <f>Elec_Est!E4348</f>
        <v>162.55000000000001</v>
      </c>
      <c r="F22" s="580">
        <f>E22*C22</f>
        <v>162.55000000000001</v>
      </c>
    </row>
    <row r="23" spans="1:6">
      <c r="A23" s="640"/>
      <c r="B23" s="588"/>
      <c r="C23" s="575"/>
      <c r="D23" s="574"/>
      <c r="E23" s="583"/>
      <c r="F23" s="580"/>
    </row>
    <row r="24" spans="1:6">
      <c r="A24" s="640"/>
      <c r="B24" s="586"/>
      <c r="C24" s="575"/>
      <c r="D24" s="574"/>
      <c r="E24" s="583"/>
      <c r="F24" s="580"/>
    </row>
    <row r="25" spans="1:6">
      <c r="A25" s="640">
        <f>A22+1</f>
        <v>5</v>
      </c>
      <c r="B25" s="586" t="s">
        <v>515</v>
      </c>
      <c r="C25" s="575">
        <v>21</v>
      </c>
      <c r="D25" s="574" t="s">
        <v>335</v>
      </c>
      <c r="E25" s="583">
        <f>Elec_Est!E4354</f>
        <v>32.67</v>
      </c>
      <c r="F25" s="580">
        <f>E25*C25</f>
        <v>686.07</v>
      </c>
    </row>
    <row r="26" spans="1:6">
      <c r="A26" s="640"/>
      <c r="B26" s="586"/>
      <c r="C26" s="575"/>
      <c r="D26" s="574"/>
      <c r="E26" s="583"/>
      <c r="F26" s="580"/>
    </row>
    <row r="27" spans="1:6">
      <c r="A27" s="640"/>
      <c r="B27" s="586"/>
      <c r="C27" s="575"/>
      <c r="D27" s="574"/>
      <c r="E27" s="583"/>
      <c r="F27" s="580"/>
    </row>
    <row r="28" spans="1:6">
      <c r="A28" s="640">
        <f>A25+1</f>
        <v>6</v>
      </c>
      <c r="B28" s="586" t="s">
        <v>516</v>
      </c>
      <c r="C28" s="575">
        <v>2</v>
      </c>
      <c r="D28" s="574" t="s">
        <v>335</v>
      </c>
      <c r="E28" s="583">
        <f>Elec_Est!E4360</f>
        <v>90.3</v>
      </c>
      <c r="F28" s="580">
        <f>E28*C28</f>
        <v>180.6</v>
      </c>
    </row>
    <row r="29" spans="1:6">
      <c r="A29" s="640"/>
      <c r="B29" s="586"/>
      <c r="C29" s="575"/>
      <c r="D29" s="574"/>
      <c r="E29" s="583"/>
      <c r="F29" s="580"/>
    </row>
    <row r="30" spans="1:6">
      <c r="A30" s="640"/>
      <c r="B30" s="586"/>
      <c r="C30" s="575"/>
      <c r="D30" s="574"/>
      <c r="E30" s="583"/>
      <c r="F30" s="580"/>
    </row>
    <row r="31" spans="1:6">
      <c r="A31" s="640">
        <f>A28+1</f>
        <v>7</v>
      </c>
      <c r="B31" s="586" t="s">
        <v>517</v>
      </c>
      <c r="C31" s="575">
        <v>3</v>
      </c>
      <c r="D31" s="574" t="s">
        <v>335</v>
      </c>
      <c r="E31" s="583">
        <f>Elec_Est!E4376</f>
        <v>341.21</v>
      </c>
      <c r="F31" s="580">
        <f>E31*C31</f>
        <v>1023.6299999999999</v>
      </c>
    </row>
    <row r="32" spans="1:6">
      <c r="A32" s="640"/>
      <c r="B32" s="586"/>
      <c r="C32" s="575"/>
      <c r="D32" s="574"/>
      <c r="E32" s="583"/>
      <c r="F32" s="580"/>
    </row>
    <row r="33" spans="1:6">
      <c r="A33" s="640"/>
      <c r="B33" s="586"/>
      <c r="C33" s="575"/>
      <c r="D33" s="574"/>
      <c r="E33" s="583"/>
      <c r="F33" s="580"/>
    </row>
    <row r="34" spans="1:6">
      <c r="A34" s="640">
        <f>A31+1</f>
        <v>8</v>
      </c>
      <c r="B34" s="586" t="s">
        <v>518</v>
      </c>
      <c r="C34" s="575">
        <v>120</v>
      </c>
      <c r="D34" s="574" t="s">
        <v>326</v>
      </c>
      <c r="E34" s="583">
        <f>Elec_Est!E4392</f>
        <v>10.78</v>
      </c>
      <c r="F34" s="580">
        <f>E34*C34</f>
        <v>1293.5999999999999</v>
      </c>
    </row>
    <row r="35" spans="1:6">
      <c r="A35" s="640"/>
      <c r="B35" s="586"/>
      <c r="C35" s="575"/>
      <c r="D35" s="574"/>
      <c r="E35" s="583"/>
      <c r="F35" s="580"/>
    </row>
    <row r="36" spans="1:6">
      <c r="A36" s="640"/>
      <c r="B36" s="586"/>
      <c r="C36" s="575"/>
      <c r="D36" s="574"/>
      <c r="E36" s="583"/>
      <c r="F36" s="580"/>
    </row>
    <row r="37" spans="1:6">
      <c r="A37" s="640">
        <f>A34+1</f>
        <v>9</v>
      </c>
      <c r="B37" s="554" t="s">
        <v>519</v>
      </c>
      <c r="C37" s="575">
        <v>3</v>
      </c>
      <c r="D37" s="574" t="s">
        <v>335</v>
      </c>
      <c r="E37" s="583">
        <f>Elec_Est!E4398</f>
        <v>23.5</v>
      </c>
      <c r="F37" s="580">
        <f>E37*C37</f>
        <v>70.5</v>
      </c>
    </row>
    <row r="38" spans="1:6">
      <c r="A38" s="640"/>
      <c r="B38" s="586"/>
      <c r="C38" s="575"/>
      <c r="D38" s="574"/>
      <c r="E38" s="583"/>
      <c r="F38" s="580"/>
    </row>
    <row r="39" spans="1:6">
      <c r="A39" s="640"/>
      <c r="B39" s="586"/>
      <c r="C39" s="575"/>
      <c r="D39" s="574"/>
      <c r="E39" s="583"/>
      <c r="F39" s="580"/>
    </row>
    <row r="40" spans="1:6">
      <c r="A40" s="640" t="s">
        <v>703</v>
      </c>
      <c r="B40" s="722" t="s">
        <v>375</v>
      </c>
      <c r="C40" s="575"/>
      <c r="D40" s="574"/>
      <c r="E40" s="583"/>
      <c r="F40" s="580"/>
    </row>
    <row r="41" spans="1:6">
      <c r="A41" s="640"/>
      <c r="B41" s="586"/>
      <c r="C41" s="575"/>
      <c r="D41" s="574"/>
      <c r="E41" s="583"/>
      <c r="F41" s="580"/>
    </row>
    <row r="42" spans="1:6" ht="26.4">
      <c r="A42" s="572">
        <f>A37+1</f>
        <v>10</v>
      </c>
      <c r="B42" s="582" t="s">
        <v>520</v>
      </c>
      <c r="C42" s="575">
        <v>1</v>
      </c>
      <c r="D42" s="574" t="s">
        <v>335</v>
      </c>
      <c r="E42" s="583">
        <f>Elec_Est!E4408</f>
        <v>4117.53</v>
      </c>
      <c r="F42" s="580">
        <f>E42*C42</f>
        <v>4117.53</v>
      </c>
    </row>
    <row r="43" spans="1:6">
      <c r="A43" s="572"/>
      <c r="B43" s="588"/>
      <c r="C43" s="575"/>
      <c r="D43" s="574"/>
      <c r="E43" s="583"/>
      <c r="F43" s="580"/>
    </row>
    <row r="44" spans="1:6">
      <c r="A44" s="640"/>
      <c r="B44" s="586"/>
      <c r="C44" s="575"/>
      <c r="D44" s="574"/>
      <c r="E44" s="583"/>
      <c r="F44" s="580"/>
    </row>
    <row r="45" spans="1:6">
      <c r="A45" s="640">
        <f>A42+1</f>
        <v>11</v>
      </c>
      <c r="B45" s="674" t="s">
        <v>511</v>
      </c>
      <c r="C45" s="575">
        <v>17</v>
      </c>
      <c r="D45" s="574" t="s">
        <v>335</v>
      </c>
      <c r="E45" s="583">
        <f>Elec_Est!E4424</f>
        <v>62.88</v>
      </c>
      <c r="F45" s="580">
        <f>E45*C45</f>
        <v>1068.96</v>
      </c>
    </row>
    <row r="46" spans="1:6">
      <c r="A46" s="640"/>
      <c r="B46" s="586"/>
      <c r="C46" s="575"/>
      <c r="D46" s="574"/>
      <c r="E46" s="583"/>
      <c r="F46" s="580"/>
    </row>
    <row r="47" spans="1:6">
      <c r="A47" s="640"/>
      <c r="B47" s="586"/>
      <c r="C47" s="575"/>
      <c r="D47" s="574"/>
      <c r="E47" s="583"/>
      <c r="F47" s="580"/>
    </row>
    <row r="48" spans="1:6" ht="12.75" customHeight="1">
      <c r="A48" s="572"/>
      <c r="B48" s="586"/>
      <c r="C48" s="575"/>
      <c r="D48" s="574"/>
      <c r="E48" s="583"/>
      <c r="F48" s="580"/>
    </row>
    <row r="49" spans="1:7">
      <c r="A49" s="572"/>
      <c r="B49" s="586"/>
      <c r="C49" s="575"/>
      <c r="D49" s="635"/>
      <c r="E49" s="583"/>
      <c r="F49" s="580"/>
    </row>
    <row r="50" spans="1:7">
      <c r="A50" s="572"/>
      <c r="B50" s="586"/>
      <c r="C50" s="575"/>
      <c r="D50" s="635"/>
      <c r="E50" s="583"/>
      <c r="F50" s="580"/>
    </row>
    <row r="51" spans="1:7">
      <c r="A51" s="572"/>
      <c r="B51" s="586"/>
      <c r="C51" s="575"/>
      <c r="D51" s="635"/>
      <c r="E51" s="583"/>
      <c r="F51" s="580"/>
    </row>
    <row r="52" spans="1:7">
      <c r="A52" s="572"/>
      <c r="B52" s="586"/>
      <c r="C52" s="575"/>
      <c r="D52" s="574"/>
      <c r="E52" s="583"/>
      <c r="F52" s="580"/>
    </row>
    <row r="53" spans="1:7">
      <c r="A53" s="640"/>
      <c r="B53" s="586"/>
      <c r="C53" s="575"/>
      <c r="D53" s="635"/>
      <c r="E53" s="583"/>
      <c r="F53" s="580"/>
    </row>
    <row r="54" spans="1:7" ht="13.8" thickBot="1">
      <c r="A54" s="572"/>
      <c r="B54" s="642"/>
      <c r="C54" s="575"/>
      <c r="D54" s="574"/>
      <c r="E54" s="576"/>
      <c r="F54" s="580"/>
    </row>
    <row r="55" spans="1:7">
      <c r="A55" s="591"/>
      <c r="B55" s="592"/>
      <c r="C55" s="594"/>
      <c r="D55" s="593"/>
      <c r="E55" s="643"/>
      <c r="F55" s="596"/>
    </row>
    <row r="56" spans="1:7">
      <c r="A56" s="597" t="s">
        <v>702</v>
      </c>
      <c r="B56" s="598" t="s">
        <v>282</v>
      </c>
      <c r="C56" s="600"/>
      <c r="D56" s="599"/>
      <c r="E56" s="601"/>
      <c r="F56" s="602">
        <f>SUM(F6:F54)</f>
        <v>10401.549999999999</v>
      </c>
      <c r="G56" s="1203">
        <f>Elec_Est!F4431</f>
        <v>10401.549999999999</v>
      </c>
    </row>
    <row r="57" spans="1:7">
      <c r="A57" s="603"/>
      <c r="B57" s="604"/>
      <c r="C57" s="606"/>
      <c r="D57" s="605"/>
      <c r="E57" s="644"/>
      <c r="F57" s="608"/>
    </row>
    <row r="58" spans="1:7" ht="17.399999999999999">
      <c r="A58" s="609"/>
      <c r="B58" s="610"/>
      <c r="C58" s="551"/>
      <c r="D58" s="550"/>
      <c r="E58" s="645"/>
      <c r="F58" s="611"/>
    </row>
    <row r="59" spans="1:7" ht="12.75" customHeight="1">
      <c r="A59" s="612"/>
      <c r="B59" s="646"/>
      <c r="C59" s="648"/>
      <c r="D59" s="647"/>
      <c r="E59" s="649"/>
      <c r="F59" s="650"/>
    </row>
    <row r="60" spans="1:7" ht="12.75" customHeight="1">
      <c r="A60" s="612"/>
      <c r="B60" s="646"/>
      <c r="C60" s="648"/>
      <c r="D60" s="647"/>
      <c r="E60" s="649"/>
      <c r="F60" s="650"/>
    </row>
    <row r="61" spans="1:7" ht="13.2" customHeight="1">
      <c r="A61" s="603"/>
      <c r="B61" s="604"/>
      <c r="C61" s="606"/>
      <c r="D61" s="605"/>
      <c r="E61" s="644"/>
      <c r="F61" s="651"/>
    </row>
    <row r="62" spans="1:7" ht="13.8" thickBot="1">
      <c r="A62" s="616" t="s">
        <v>267</v>
      </c>
      <c r="B62" s="652" t="s">
        <v>268</v>
      </c>
      <c r="C62" s="569" t="s">
        <v>269</v>
      </c>
      <c r="D62" s="568" t="s">
        <v>259</v>
      </c>
      <c r="E62" s="570" t="s">
        <v>270</v>
      </c>
      <c r="F62" s="571" t="s">
        <v>260</v>
      </c>
    </row>
    <row r="63" spans="1:7">
      <c r="A63" s="653"/>
      <c r="B63" s="642"/>
      <c r="C63" s="656"/>
      <c r="D63" s="655"/>
      <c r="E63" s="657"/>
      <c r="F63" s="577"/>
    </row>
    <row r="64" spans="1:7" ht="26.4">
      <c r="A64" s="572">
        <f>A45+1</f>
        <v>12</v>
      </c>
      <c r="B64" s="582" t="s">
        <v>512</v>
      </c>
      <c r="C64" s="575">
        <v>4</v>
      </c>
      <c r="D64" s="574" t="s">
        <v>335</v>
      </c>
      <c r="E64" s="583">
        <f>Elec_Est!E4436</f>
        <v>100.53</v>
      </c>
      <c r="F64" s="580">
        <f>E64*C64</f>
        <v>402.12</v>
      </c>
    </row>
    <row r="65" spans="1:6">
      <c r="A65" s="640"/>
      <c r="B65" s="586"/>
      <c r="C65" s="575"/>
      <c r="D65" s="574"/>
      <c r="E65" s="583"/>
      <c r="F65" s="580"/>
    </row>
    <row r="66" spans="1:6">
      <c r="A66" s="640"/>
      <c r="B66" s="586"/>
      <c r="C66" s="575"/>
      <c r="D66" s="574"/>
      <c r="E66" s="583"/>
      <c r="F66" s="580"/>
    </row>
    <row r="67" spans="1:6">
      <c r="A67" s="640">
        <f>A64+1</f>
        <v>13</v>
      </c>
      <c r="B67" s="586" t="s">
        <v>515</v>
      </c>
      <c r="C67" s="575">
        <v>9</v>
      </c>
      <c r="D67" s="574" t="s">
        <v>335</v>
      </c>
      <c r="E67" s="583">
        <f>Elec_Est!E4442</f>
        <v>32.67</v>
      </c>
      <c r="F67" s="580">
        <f>E67*C67</f>
        <v>294.03000000000003</v>
      </c>
    </row>
    <row r="68" spans="1:6">
      <c r="A68" s="640"/>
      <c r="B68" s="586"/>
      <c r="C68" s="575"/>
      <c r="D68" s="574"/>
      <c r="E68" s="583"/>
      <c r="F68" s="580"/>
    </row>
    <row r="69" spans="1:6">
      <c r="A69" s="640"/>
      <c r="B69" s="586"/>
      <c r="C69" s="575"/>
      <c r="D69" s="574"/>
      <c r="E69" s="583"/>
      <c r="F69" s="580"/>
    </row>
    <row r="70" spans="1:6">
      <c r="A70" s="640">
        <f>A67+1</f>
        <v>14</v>
      </c>
      <c r="B70" s="586" t="s">
        <v>516</v>
      </c>
      <c r="C70" s="575">
        <v>3</v>
      </c>
      <c r="D70" s="574" t="s">
        <v>335</v>
      </c>
      <c r="E70" s="583">
        <f>Elec_Est!E4448</f>
        <v>90.29</v>
      </c>
      <c r="F70" s="580">
        <f>E70*C70</f>
        <v>270.87</v>
      </c>
    </row>
    <row r="71" spans="1:6">
      <c r="A71" s="572"/>
      <c r="B71" s="658"/>
      <c r="C71" s="575"/>
      <c r="D71" s="574"/>
      <c r="E71" s="576"/>
      <c r="F71" s="580"/>
    </row>
    <row r="72" spans="1:6">
      <c r="A72" s="572"/>
      <c r="B72" s="659"/>
      <c r="C72" s="575"/>
      <c r="D72" s="574"/>
      <c r="E72" s="576"/>
      <c r="F72" s="580"/>
    </row>
    <row r="73" spans="1:6">
      <c r="A73" s="640">
        <f>A70+1</f>
        <v>15</v>
      </c>
      <c r="B73" s="586" t="s">
        <v>517</v>
      </c>
      <c r="C73" s="575">
        <v>4</v>
      </c>
      <c r="D73" s="574" t="s">
        <v>335</v>
      </c>
      <c r="E73" s="576">
        <f>Elec_Est!E4464</f>
        <v>341.22</v>
      </c>
      <c r="F73" s="580">
        <f>E73*C73</f>
        <v>1364.88</v>
      </c>
    </row>
    <row r="74" spans="1:6">
      <c r="A74" s="572"/>
      <c r="B74" s="586"/>
      <c r="C74" s="575"/>
      <c r="D74" s="574"/>
      <c r="E74" s="576"/>
      <c r="F74" s="580"/>
    </row>
    <row r="75" spans="1:6">
      <c r="A75" s="572"/>
      <c r="B75" s="586"/>
      <c r="C75" s="575"/>
      <c r="D75" s="574"/>
      <c r="E75" s="576"/>
      <c r="F75" s="580"/>
    </row>
    <row r="76" spans="1:6">
      <c r="A76" s="640">
        <f>A73+1</f>
        <v>16</v>
      </c>
      <c r="B76" s="586" t="s">
        <v>518</v>
      </c>
      <c r="C76" s="575">
        <v>160</v>
      </c>
      <c r="D76" s="574" t="s">
        <v>326</v>
      </c>
      <c r="E76" s="576">
        <f>Elec_Est!E4480</f>
        <v>10.78</v>
      </c>
      <c r="F76" s="580">
        <f>E76*C76</f>
        <v>1724.8</v>
      </c>
    </row>
    <row r="77" spans="1:6">
      <c r="A77" s="572"/>
      <c r="B77" s="614"/>
      <c r="C77" s="575"/>
      <c r="D77" s="661"/>
      <c r="E77" s="576"/>
      <c r="F77" s="580"/>
    </row>
    <row r="78" spans="1:6">
      <c r="A78" s="572"/>
      <c r="B78" s="614"/>
      <c r="C78" s="575"/>
      <c r="D78" s="661"/>
      <c r="E78" s="576"/>
      <c r="F78" s="580"/>
    </row>
    <row r="79" spans="1:6">
      <c r="A79" s="640">
        <f>A76+1</f>
        <v>17</v>
      </c>
      <c r="B79" s="614" t="s">
        <v>521</v>
      </c>
      <c r="C79" s="575">
        <v>4</v>
      </c>
      <c r="D79" s="574" t="s">
        <v>335</v>
      </c>
      <c r="E79" s="576">
        <f>Elec_Est!E4486</f>
        <v>143.13999999999999</v>
      </c>
      <c r="F79" s="580">
        <f>E79*C79</f>
        <v>572.55999999999995</v>
      </c>
    </row>
    <row r="80" spans="1:6">
      <c r="A80" s="640"/>
      <c r="B80" s="614"/>
      <c r="C80" s="575"/>
      <c r="D80" s="574"/>
      <c r="E80" s="576"/>
      <c r="F80" s="580"/>
    </row>
    <row r="81" spans="1:6">
      <c r="A81" s="653"/>
      <c r="B81" s="642"/>
      <c r="C81" s="656"/>
      <c r="D81" s="655"/>
      <c r="E81" s="662"/>
      <c r="F81" s="580"/>
    </row>
    <row r="82" spans="1:6">
      <c r="A82" s="572" t="s">
        <v>703</v>
      </c>
      <c r="B82" s="722" t="s">
        <v>400</v>
      </c>
      <c r="C82" s="575"/>
      <c r="D82" s="574"/>
      <c r="E82" s="576"/>
      <c r="F82" s="580"/>
    </row>
    <row r="83" spans="1:6">
      <c r="A83" s="572"/>
      <c r="B83" s="614"/>
      <c r="C83" s="575"/>
      <c r="D83" s="661"/>
      <c r="E83" s="576"/>
      <c r="F83" s="580"/>
    </row>
    <row r="84" spans="1:6">
      <c r="A84" s="572"/>
      <c r="B84" s="614"/>
      <c r="C84" s="575"/>
      <c r="D84" s="661"/>
      <c r="E84" s="576"/>
      <c r="F84" s="580"/>
    </row>
    <row r="85" spans="1:6">
      <c r="A85" s="640">
        <f>A79+1</f>
        <v>18</v>
      </c>
      <c r="B85" s="674" t="s">
        <v>511</v>
      </c>
      <c r="C85" s="575">
        <v>11</v>
      </c>
      <c r="D85" s="574" t="s">
        <v>335</v>
      </c>
      <c r="E85" s="576">
        <f>Elec_Est!E4506</f>
        <v>62.88</v>
      </c>
      <c r="F85" s="580">
        <f>E85*C85</f>
        <v>691.68000000000006</v>
      </c>
    </row>
    <row r="86" spans="1:6">
      <c r="A86" s="572"/>
      <c r="B86" s="713"/>
      <c r="C86" s="575"/>
      <c r="D86" s="661"/>
      <c r="E86" s="576"/>
      <c r="F86" s="580"/>
    </row>
    <row r="87" spans="1:6">
      <c r="A87" s="572"/>
      <c r="B87" s="586"/>
      <c r="C87" s="575"/>
      <c r="D87" s="661"/>
      <c r="E87" s="576"/>
      <c r="F87" s="580"/>
    </row>
    <row r="88" spans="1:6" ht="26.4">
      <c r="A88" s="572">
        <f>A85+1</f>
        <v>19</v>
      </c>
      <c r="B88" s="582" t="s">
        <v>512</v>
      </c>
      <c r="C88" s="575">
        <v>4</v>
      </c>
      <c r="D88" s="574" t="s">
        <v>335</v>
      </c>
      <c r="E88" s="576">
        <f>Elec_Est!E4512</f>
        <v>100.53</v>
      </c>
      <c r="F88" s="580">
        <f>E88*C88</f>
        <v>402.12</v>
      </c>
    </row>
    <row r="89" spans="1:6">
      <c r="A89" s="572"/>
      <c r="B89" s="614"/>
      <c r="C89" s="575"/>
      <c r="D89" s="661"/>
      <c r="E89" s="576"/>
      <c r="F89" s="580"/>
    </row>
    <row r="90" spans="1:6">
      <c r="A90" s="572"/>
      <c r="B90" s="614"/>
      <c r="C90" s="575"/>
      <c r="D90" s="661"/>
      <c r="E90" s="576"/>
      <c r="F90" s="580"/>
    </row>
    <row r="91" spans="1:6">
      <c r="A91" s="572">
        <f>A88+1</f>
        <v>20</v>
      </c>
      <c r="B91" s="582" t="s">
        <v>514</v>
      </c>
      <c r="C91" s="575">
        <v>1</v>
      </c>
      <c r="D91" s="574" t="s">
        <v>335</v>
      </c>
      <c r="E91" s="576">
        <f>Elec_Est!E4518</f>
        <v>162.55000000000001</v>
      </c>
      <c r="F91" s="580">
        <f>E91*C91</f>
        <v>162.55000000000001</v>
      </c>
    </row>
    <row r="92" spans="1:6">
      <c r="A92" s="572"/>
      <c r="B92" s="588"/>
      <c r="C92" s="575"/>
      <c r="D92" s="661"/>
      <c r="E92" s="576"/>
      <c r="F92" s="580"/>
    </row>
    <row r="93" spans="1:6">
      <c r="A93" s="572"/>
      <c r="B93" s="586"/>
      <c r="C93" s="575"/>
      <c r="D93" s="574"/>
      <c r="E93" s="576"/>
      <c r="F93" s="580"/>
    </row>
    <row r="94" spans="1:6">
      <c r="A94" s="572">
        <f>A91+1</f>
        <v>21</v>
      </c>
      <c r="B94" s="586" t="s">
        <v>515</v>
      </c>
      <c r="C94" s="575">
        <v>4</v>
      </c>
      <c r="D94" s="574" t="s">
        <v>335</v>
      </c>
      <c r="E94" s="576">
        <f>Elec_Est!E4524</f>
        <v>32.67</v>
      </c>
      <c r="F94" s="580">
        <f>E94*C94</f>
        <v>130.68</v>
      </c>
    </row>
    <row r="95" spans="1:6">
      <c r="A95" s="572"/>
      <c r="B95" s="586"/>
      <c r="C95" s="575"/>
      <c r="D95" s="661"/>
      <c r="E95" s="576"/>
      <c r="F95" s="580"/>
    </row>
    <row r="96" spans="1:6">
      <c r="A96" s="572"/>
      <c r="B96" s="586"/>
      <c r="C96" s="575"/>
      <c r="D96" s="574"/>
      <c r="E96" s="576"/>
      <c r="F96" s="580"/>
    </row>
    <row r="97" spans="1:6">
      <c r="A97" s="572">
        <f>A94+1</f>
        <v>22</v>
      </c>
      <c r="B97" s="586" t="s">
        <v>516</v>
      </c>
      <c r="C97" s="575">
        <v>2</v>
      </c>
      <c r="D97" s="574" t="s">
        <v>335</v>
      </c>
      <c r="E97" s="576">
        <f>Elec_Est!E4530</f>
        <v>90.3</v>
      </c>
      <c r="F97" s="580">
        <f>E97*C97</f>
        <v>180.6</v>
      </c>
    </row>
    <row r="98" spans="1:6">
      <c r="A98" s="572"/>
      <c r="B98" s="586"/>
      <c r="C98" s="575"/>
      <c r="D98" s="661"/>
      <c r="E98" s="576"/>
      <c r="F98" s="580"/>
    </row>
    <row r="99" spans="1:6">
      <c r="A99" s="572"/>
      <c r="B99" s="586"/>
      <c r="C99" s="575"/>
      <c r="D99" s="661"/>
      <c r="E99" s="576"/>
      <c r="F99" s="580"/>
    </row>
    <row r="100" spans="1:6">
      <c r="A100" s="572">
        <f>A97+1</f>
        <v>23</v>
      </c>
      <c r="B100" s="586" t="s">
        <v>517</v>
      </c>
      <c r="C100" s="575">
        <v>1</v>
      </c>
      <c r="D100" s="574" t="s">
        <v>335</v>
      </c>
      <c r="E100" s="576">
        <f>Elec_Est!E4546</f>
        <v>341.22</v>
      </c>
      <c r="F100" s="580">
        <f>E100*C100</f>
        <v>341.22</v>
      </c>
    </row>
    <row r="101" spans="1:6">
      <c r="A101" s="572"/>
      <c r="B101" s="586"/>
      <c r="C101" s="575"/>
      <c r="D101" s="661"/>
      <c r="E101" s="576"/>
      <c r="F101" s="580"/>
    </row>
    <row r="102" spans="1:6">
      <c r="A102" s="572"/>
      <c r="B102" s="586"/>
      <c r="C102" s="575"/>
      <c r="D102" s="661"/>
      <c r="E102" s="576"/>
      <c r="F102" s="580"/>
    </row>
    <row r="103" spans="1:6">
      <c r="A103" s="572">
        <f>A100+1</f>
        <v>24</v>
      </c>
      <c r="B103" s="586" t="s">
        <v>518</v>
      </c>
      <c r="C103" s="575">
        <v>120</v>
      </c>
      <c r="D103" s="574" t="s">
        <v>326</v>
      </c>
      <c r="E103" s="576">
        <f>Elec_Est!E4562</f>
        <v>10.78</v>
      </c>
      <c r="F103" s="580">
        <f>E103*C103</f>
        <v>1293.5999999999999</v>
      </c>
    </row>
    <row r="104" spans="1:6">
      <c r="A104" s="572"/>
      <c r="B104" s="614"/>
      <c r="C104" s="575"/>
      <c r="D104" s="661"/>
      <c r="E104" s="576"/>
      <c r="F104" s="580"/>
    </row>
    <row r="105" spans="1:6">
      <c r="A105" s="572"/>
      <c r="B105" s="642"/>
      <c r="C105" s="575"/>
      <c r="D105" s="574"/>
      <c r="E105" s="576"/>
      <c r="F105" s="580"/>
    </row>
    <row r="106" spans="1:6">
      <c r="A106" s="572">
        <f>A103+1</f>
        <v>25</v>
      </c>
      <c r="B106" s="614" t="s">
        <v>521</v>
      </c>
      <c r="C106" s="664">
        <v>4</v>
      </c>
      <c r="D106" s="574" t="s">
        <v>335</v>
      </c>
      <c r="E106" s="576">
        <f>Elec_Est!E4568</f>
        <v>143.13999999999999</v>
      </c>
      <c r="F106" s="580">
        <f>E106*C106</f>
        <v>572.55999999999995</v>
      </c>
    </row>
    <row r="107" spans="1:6">
      <c r="A107" s="572"/>
      <c r="B107" s="614"/>
      <c r="C107" s="664"/>
      <c r="D107" s="661"/>
      <c r="E107" s="576"/>
      <c r="F107" s="580"/>
    </row>
    <row r="108" spans="1:6">
      <c r="A108" s="572"/>
      <c r="B108" s="658"/>
      <c r="C108" s="664"/>
      <c r="D108" s="661"/>
      <c r="E108" s="576"/>
      <c r="F108" s="580"/>
    </row>
    <row r="109" spans="1:6">
      <c r="A109" s="632"/>
      <c r="B109" s="658"/>
      <c r="C109" s="636"/>
      <c r="D109" s="635"/>
      <c r="E109" s="583"/>
      <c r="F109" s="580"/>
    </row>
    <row r="110" spans="1:6">
      <c r="A110" s="572"/>
      <c r="B110" s="614"/>
      <c r="C110" s="575"/>
      <c r="D110" s="655"/>
      <c r="E110" s="576"/>
      <c r="F110" s="580"/>
    </row>
    <row r="111" spans="1:6">
      <c r="A111" s="572"/>
      <c r="B111" s="614"/>
      <c r="C111" s="575"/>
      <c r="D111" s="574"/>
      <c r="E111" s="576"/>
      <c r="F111" s="580"/>
    </row>
    <row r="112" spans="1:6" ht="13.8" thickBot="1">
      <c r="A112" s="653"/>
      <c r="B112" s="588"/>
      <c r="C112" s="667"/>
      <c r="D112" s="666"/>
      <c r="E112" s="668"/>
      <c r="F112" s="580"/>
    </row>
    <row r="113" spans="1:7">
      <c r="A113" s="591"/>
      <c r="B113" s="592"/>
      <c r="C113" s="594"/>
      <c r="D113" s="593"/>
      <c r="E113" s="643"/>
      <c r="F113" s="596"/>
    </row>
    <row r="114" spans="1:7">
      <c r="A114" s="597" t="s">
        <v>702</v>
      </c>
      <c r="B114" s="598" t="s">
        <v>282</v>
      </c>
      <c r="C114" s="600"/>
      <c r="D114" s="599"/>
      <c r="E114" s="601"/>
      <c r="F114" s="602">
        <f>SUM(F63:F112)</f>
        <v>8404.27</v>
      </c>
      <c r="G114" s="1203">
        <f>Elec_Est!F4585</f>
        <v>8404.27</v>
      </c>
    </row>
    <row r="115" spans="1:7">
      <c r="A115" s="603"/>
      <c r="B115" s="604"/>
      <c r="C115" s="606"/>
      <c r="D115" s="605"/>
      <c r="E115" s="644"/>
      <c r="F115" s="608"/>
    </row>
    <row r="116" spans="1:7" ht="17.399999999999999">
      <c r="A116" s="609"/>
      <c r="B116" s="610"/>
      <c r="C116" s="551"/>
      <c r="D116" s="550"/>
      <c r="E116" s="645"/>
      <c r="F116" s="611"/>
    </row>
    <row r="117" spans="1:7" ht="12.75" customHeight="1">
      <c r="A117" s="612"/>
      <c r="B117" s="646"/>
      <c r="C117" s="648"/>
      <c r="D117" s="647"/>
      <c r="E117" s="649"/>
      <c r="F117" s="650"/>
    </row>
    <row r="118" spans="1:7" ht="12.75" customHeight="1">
      <c r="A118" s="612"/>
      <c r="B118" s="646"/>
      <c r="C118" s="648"/>
      <c r="D118" s="647"/>
      <c r="E118" s="649"/>
      <c r="F118" s="650"/>
    </row>
    <row r="119" spans="1:7" ht="13.2" customHeight="1">
      <c r="A119" s="603"/>
      <c r="B119" s="604"/>
      <c r="C119" s="606"/>
      <c r="D119" s="605"/>
      <c r="E119" s="644"/>
      <c r="F119" s="651"/>
    </row>
    <row r="120" spans="1:7" ht="13.8" thickBot="1">
      <c r="A120" s="616" t="s">
        <v>267</v>
      </c>
      <c r="B120" s="652" t="s">
        <v>268</v>
      </c>
      <c r="C120" s="569" t="s">
        <v>269</v>
      </c>
      <c r="D120" s="568" t="s">
        <v>259</v>
      </c>
      <c r="E120" s="570" t="s">
        <v>270</v>
      </c>
      <c r="F120" s="571" t="s">
        <v>260</v>
      </c>
    </row>
    <row r="121" spans="1:7">
      <c r="A121" s="653"/>
      <c r="B121" s="642"/>
      <c r="C121" s="656"/>
      <c r="D121" s="655"/>
      <c r="E121" s="657"/>
      <c r="F121" s="577"/>
    </row>
    <row r="122" spans="1:7">
      <c r="A122" s="572" t="s">
        <v>703</v>
      </c>
      <c r="B122" s="743" t="s">
        <v>433</v>
      </c>
      <c r="C122" s="664"/>
      <c r="D122" s="655"/>
      <c r="E122" s="669"/>
      <c r="F122" s="577"/>
    </row>
    <row r="123" spans="1:7">
      <c r="A123" s="572"/>
      <c r="B123" s="614"/>
      <c r="C123" s="664"/>
      <c r="D123" s="661"/>
      <c r="E123" s="576"/>
      <c r="F123" s="580"/>
    </row>
    <row r="124" spans="1:7">
      <c r="A124" s="572">
        <f>A106+1</f>
        <v>26</v>
      </c>
      <c r="B124" s="674" t="s">
        <v>511</v>
      </c>
      <c r="C124" s="664">
        <v>13</v>
      </c>
      <c r="D124" s="574" t="s">
        <v>335</v>
      </c>
      <c r="E124" s="576">
        <f>Elec_Est!E4594</f>
        <v>62.88</v>
      </c>
      <c r="F124" s="580">
        <f>E124*C124</f>
        <v>817.44</v>
      </c>
    </row>
    <row r="125" spans="1:7">
      <c r="A125" s="632"/>
      <c r="B125" s="713"/>
      <c r="C125" s="636"/>
      <c r="D125" s="661"/>
      <c r="E125" s="583"/>
      <c r="F125" s="580"/>
    </row>
    <row r="126" spans="1:7">
      <c r="A126" s="632"/>
      <c r="B126" s="586"/>
      <c r="C126" s="636"/>
      <c r="D126" s="661"/>
      <c r="E126" s="583"/>
      <c r="F126" s="580"/>
    </row>
    <row r="127" spans="1:7" ht="26.4">
      <c r="A127" s="572">
        <f>A124+1</f>
        <v>27</v>
      </c>
      <c r="B127" s="582" t="s">
        <v>512</v>
      </c>
      <c r="C127" s="575">
        <v>4</v>
      </c>
      <c r="D127" s="574" t="s">
        <v>335</v>
      </c>
      <c r="E127" s="576">
        <f>Elec_Est!E4600</f>
        <v>100.53</v>
      </c>
      <c r="F127" s="580">
        <f>E127*C127</f>
        <v>402.12</v>
      </c>
    </row>
    <row r="128" spans="1:7">
      <c r="A128" s="572"/>
      <c r="B128" s="614"/>
      <c r="C128" s="575"/>
      <c r="D128" s="661"/>
      <c r="E128" s="576"/>
      <c r="F128" s="580"/>
    </row>
    <row r="129" spans="1:6">
      <c r="A129" s="632"/>
      <c r="B129" s="614"/>
      <c r="C129" s="636"/>
      <c r="D129" s="661"/>
      <c r="E129" s="583"/>
      <c r="F129" s="580"/>
    </row>
    <row r="130" spans="1:6">
      <c r="A130" s="572">
        <f>A127+1</f>
        <v>28</v>
      </c>
      <c r="B130" s="586" t="s">
        <v>515</v>
      </c>
      <c r="C130" s="575">
        <v>6</v>
      </c>
      <c r="D130" s="574" t="s">
        <v>335</v>
      </c>
      <c r="E130" s="576">
        <f>Elec_Est!E4606</f>
        <v>32.67</v>
      </c>
      <c r="F130" s="580">
        <f>E130*C130</f>
        <v>196.02</v>
      </c>
    </row>
    <row r="131" spans="1:6">
      <c r="A131" s="572"/>
      <c r="B131" s="586"/>
      <c r="C131" s="575"/>
      <c r="D131" s="661"/>
      <c r="E131" s="576"/>
      <c r="F131" s="580"/>
    </row>
    <row r="132" spans="1:6">
      <c r="A132" s="572"/>
      <c r="B132" s="586"/>
      <c r="C132" s="575"/>
      <c r="D132" s="574"/>
      <c r="E132" s="576"/>
      <c r="F132" s="580"/>
    </row>
    <row r="133" spans="1:6">
      <c r="A133" s="572">
        <f>A130+1</f>
        <v>29</v>
      </c>
      <c r="B133" s="586" t="s">
        <v>516</v>
      </c>
      <c r="C133" s="575">
        <v>2</v>
      </c>
      <c r="D133" s="574" t="s">
        <v>335</v>
      </c>
      <c r="E133" s="662">
        <f>Elec_Est!E4612</f>
        <v>90.3</v>
      </c>
      <c r="F133" s="580">
        <f>E133*C133</f>
        <v>180.6</v>
      </c>
    </row>
    <row r="134" spans="1:6">
      <c r="A134" s="653"/>
      <c r="B134" s="586"/>
      <c r="C134" s="575"/>
      <c r="D134" s="661"/>
      <c r="E134" s="662"/>
      <c r="F134" s="580"/>
    </row>
    <row r="135" spans="1:6">
      <c r="A135" s="653"/>
      <c r="B135" s="586"/>
      <c r="C135" s="575"/>
      <c r="D135" s="661"/>
      <c r="E135" s="662"/>
      <c r="F135" s="580"/>
    </row>
    <row r="136" spans="1:6">
      <c r="A136" s="572">
        <f>A133+1</f>
        <v>30</v>
      </c>
      <c r="B136" s="586" t="s">
        <v>517</v>
      </c>
      <c r="C136" s="575">
        <v>1</v>
      </c>
      <c r="D136" s="574" t="s">
        <v>335</v>
      </c>
      <c r="E136" s="662">
        <f>Elec_Est!E4628</f>
        <v>341.22</v>
      </c>
      <c r="F136" s="580">
        <f>E136*C136</f>
        <v>341.22</v>
      </c>
    </row>
    <row r="137" spans="1:6">
      <c r="A137" s="653"/>
      <c r="B137" s="586"/>
      <c r="C137" s="575"/>
      <c r="D137" s="661"/>
      <c r="E137" s="662"/>
      <c r="F137" s="580"/>
    </row>
    <row r="138" spans="1:6">
      <c r="A138" s="653"/>
      <c r="B138" s="586"/>
      <c r="C138" s="575"/>
      <c r="D138" s="661"/>
      <c r="E138" s="662"/>
      <c r="F138" s="580"/>
    </row>
    <row r="139" spans="1:6">
      <c r="A139" s="572">
        <f>A136+1</f>
        <v>31</v>
      </c>
      <c r="B139" s="586" t="s">
        <v>518</v>
      </c>
      <c r="C139" s="575">
        <v>120</v>
      </c>
      <c r="D139" s="574" t="s">
        <v>326</v>
      </c>
      <c r="E139" s="662">
        <f>Elec_Est!E4644</f>
        <v>10.78</v>
      </c>
      <c r="F139" s="580">
        <f>E139*C139</f>
        <v>1293.5999999999999</v>
      </c>
    </row>
    <row r="140" spans="1:6">
      <c r="A140" s="653"/>
      <c r="B140" s="614"/>
      <c r="C140" s="656"/>
      <c r="D140" s="661"/>
      <c r="E140" s="662"/>
      <c r="F140" s="580"/>
    </row>
    <row r="141" spans="1:6">
      <c r="A141" s="572"/>
      <c r="B141" s="642"/>
      <c r="C141" s="575"/>
      <c r="D141" s="574"/>
      <c r="E141" s="576"/>
      <c r="F141" s="580"/>
    </row>
    <row r="142" spans="1:6">
      <c r="A142" s="572">
        <f>A139+1</f>
        <v>32</v>
      </c>
      <c r="B142" s="614" t="s">
        <v>521</v>
      </c>
      <c r="C142" s="575">
        <v>3</v>
      </c>
      <c r="D142" s="574" t="s">
        <v>335</v>
      </c>
      <c r="E142" s="576">
        <f>Elec_Est!E4650</f>
        <v>143.13999999999999</v>
      </c>
      <c r="F142" s="580">
        <f>E142*C142</f>
        <v>429.41999999999996</v>
      </c>
    </row>
    <row r="143" spans="1:6">
      <c r="A143" s="572"/>
      <c r="B143" s="659"/>
      <c r="C143" s="575"/>
      <c r="D143" s="574"/>
      <c r="E143" s="576"/>
      <c r="F143" s="580"/>
    </row>
    <row r="144" spans="1:6">
      <c r="A144" s="572"/>
      <c r="B144" s="659"/>
      <c r="C144" s="575"/>
      <c r="D144" s="574"/>
      <c r="E144" s="576"/>
      <c r="F144" s="580"/>
    </row>
    <row r="145" spans="1:6">
      <c r="A145" s="572" t="s">
        <v>703</v>
      </c>
      <c r="B145" s="722" t="s">
        <v>447</v>
      </c>
      <c r="C145" s="575"/>
      <c r="D145" s="574"/>
      <c r="E145" s="576"/>
      <c r="F145" s="580"/>
    </row>
    <row r="146" spans="1:6">
      <c r="A146" s="572"/>
      <c r="B146" s="614"/>
      <c r="C146" s="575"/>
      <c r="D146" s="661"/>
      <c r="E146" s="576"/>
      <c r="F146" s="580"/>
    </row>
    <row r="147" spans="1:6">
      <c r="A147" s="572">
        <f>A142+1</f>
        <v>33</v>
      </c>
      <c r="B147" s="674" t="s">
        <v>511</v>
      </c>
      <c r="C147" s="575">
        <v>18</v>
      </c>
      <c r="D147" s="574" t="s">
        <v>335</v>
      </c>
      <c r="E147" s="576">
        <f>Elec_Est!E4670</f>
        <v>62.88</v>
      </c>
      <c r="F147" s="580">
        <f>E147*C147</f>
        <v>1131.8400000000001</v>
      </c>
    </row>
    <row r="148" spans="1:6">
      <c r="A148" s="572"/>
      <c r="B148" s="713"/>
      <c r="C148" s="575"/>
      <c r="D148" s="661"/>
      <c r="E148" s="576"/>
      <c r="F148" s="580"/>
    </row>
    <row r="149" spans="1:6">
      <c r="A149" s="572"/>
      <c r="B149" s="586"/>
      <c r="C149" s="575"/>
      <c r="D149" s="661"/>
      <c r="E149" s="576"/>
      <c r="F149" s="580"/>
    </row>
    <row r="150" spans="1:6" ht="26.4">
      <c r="A150" s="572">
        <f>A147+1</f>
        <v>34</v>
      </c>
      <c r="B150" s="582" t="s">
        <v>512</v>
      </c>
      <c r="C150" s="575">
        <v>4</v>
      </c>
      <c r="D150" s="574" t="s">
        <v>335</v>
      </c>
      <c r="E150" s="576">
        <f>Elec_Est!E4676</f>
        <v>100.53</v>
      </c>
      <c r="F150" s="580">
        <f>E150*C150</f>
        <v>402.12</v>
      </c>
    </row>
    <row r="151" spans="1:6">
      <c r="A151" s="572"/>
      <c r="B151" s="614"/>
      <c r="C151" s="575"/>
      <c r="D151" s="661"/>
      <c r="E151" s="576"/>
      <c r="F151" s="580"/>
    </row>
    <row r="152" spans="1:6">
      <c r="A152" s="572"/>
      <c r="B152" s="614"/>
      <c r="C152" s="587"/>
      <c r="D152" s="661"/>
      <c r="E152" s="670"/>
      <c r="F152" s="580"/>
    </row>
    <row r="153" spans="1:6">
      <c r="A153" s="572">
        <f>A150+1</f>
        <v>35</v>
      </c>
      <c r="B153" s="586" t="s">
        <v>515</v>
      </c>
      <c r="C153" s="587">
        <v>10</v>
      </c>
      <c r="D153" s="574" t="s">
        <v>335</v>
      </c>
      <c r="E153" s="670">
        <f>Elec_Est!E4682</f>
        <v>32.67</v>
      </c>
      <c r="F153" s="580">
        <f>E153*C153</f>
        <v>326.70000000000005</v>
      </c>
    </row>
    <row r="154" spans="1:6">
      <c r="A154" s="572"/>
      <c r="B154" s="586"/>
      <c r="C154" s="587"/>
      <c r="D154" s="661"/>
      <c r="E154" s="670"/>
      <c r="F154" s="580"/>
    </row>
    <row r="155" spans="1:6">
      <c r="A155" s="572"/>
      <c r="B155" s="586"/>
      <c r="C155" s="587"/>
      <c r="D155" s="574"/>
      <c r="E155" s="670"/>
      <c r="F155" s="580"/>
    </row>
    <row r="156" spans="1:6">
      <c r="A156" s="572">
        <f>A153+1</f>
        <v>36</v>
      </c>
      <c r="B156" s="586" t="s">
        <v>516</v>
      </c>
      <c r="C156" s="587">
        <v>1</v>
      </c>
      <c r="D156" s="574" t="s">
        <v>335</v>
      </c>
      <c r="E156" s="670">
        <f>Elec_Est!E4688</f>
        <v>90.3</v>
      </c>
      <c r="F156" s="580">
        <f>E156*C156</f>
        <v>90.3</v>
      </c>
    </row>
    <row r="157" spans="1:6">
      <c r="A157" s="572"/>
      <c r="B157" s="573"/>
      <c r="C157" s="587"/>
      <c r="D157" s="574"/>
      <c r="E157" s="670"/>
      <c r="F157" s="580"/>
    </row>
    <row r="158" spans="1:6">
      <c r="A158" s="572"/>
      <c r="B158" s="573"/>
      <c r="C158" s="587"/>
      <c r="D158" s="574"/>
      <c r="E158" s="670"/>
      <c r="F158" s="580"/>
    </row>
    <row r="159" spans="1:6">
      <c r="A159" s="572">
        <f>A156+1</f>
        <v>37</v>
      </c>
      <c r="B159" s="586" t="s">
        <v>517</v>
      </c>
      <c r="C159" s="587">
        <v>1</v>
      </c>
      <c r="D159" s="574" t="s">
        <v>335</v>
      </c>
      <c r="E159" s="671">
        <f>Elec_Est!E4704</f>
        <v>341.22</v>
      </c>
      <c r="F159" s="580">
        <f>E159*C159</f>
        <v>341.22</v>
      </c>
    </row>
    <row r="160" spans="1:6">
      <c r="A160" s="572"/>
      <c r="B160" s="573"/>
      <c r="C160" s="587"/>
      <c r="D160" s="574"/>
      <c r="E160" s="671"/>
      <c r="F160" s="580"/>
    </row>
    <row r="161" spans="1:7">
      <c r="A161" s="572"/>
      <c r="B161" s="573"/>
      <c r="C161" s="587"/>
      <c r="D161" s="574"/>
      <c r="E161" s="671"/>
      <c r="F161" s="580"/>
    </row>
    <row r="162" spans="1:7">
      <c r="A162" s="572"/>
      <c r="B162" s="573"/>
      <c r="C162" s="587"/>
      <c r="D162" s="574"/>
      <c r="E162" s="671"/>
      <c r="F162" s="580"/>
    </row>
    <row r="163" spans="1:7">
      <c r="A163" s="572"/>
      <c r="B163" s="573"/>
      <c r="C163" s="587"/>
      <c r="D163" s="574"/>
      <c r="E163" s="671"/>
      <c r="F163" s="580"/>
    </row>
    <row r="164" spans="1:7">
      <c r="A164" s="572"/>
      <c r="B164" s="573"/>
      <c r="C164" s="587"/>
      <c r="D164" s="574"/>
      <c r="E164" s="671"/>
      <c r="F164" s="580"/>
    </row>
    <row r="165" spans="1:7">
      <c r="A165" s="572"/>
      <c r="B165" s="573"/>
      <c r="C165" s="587"/>
      <c r="D165" s="574"/>
      <c r="E165" s="671"/>
      <c r="F165" s="580"/>
    </row>
    <row r="166" spans="1:7">
      <c r="A166" s="572"/>
      <c r="B166" s="573"/>
      <c r="C166" s="587"/>
      <c r="D166" s="574"/>
      <c r="E166" s="671"/>
      <c r="F166" s="580"/>
    </row>
    <row r="167" spans="1:7">
      <c r="A167" s="572"/>
      <c r="B167" s="573"/>
      <c r="C167" s="587"/>
      <c r="D167" s="574"/>
      <c r="E167" s="671"/>
      <c r="F167" s="580"/>
    </row>
    <row r="168" spans="1:7" ht="16.95" customHeight="1">
      <c r="A168" s="572"/>
      <c r="B168" s="573"/>
      <c r="C168" s="587"/>
      <c r="D168" s="574"/>
      <c r="E168" s="671"/>
      <c r="F168" s="577"/>
    </row>
    <row r="169" spans="1:7">
      <c r="A169" s="572"/>
      <c r="B169" s="573"/>
      <c r="C169" s="587"/>
      <c r="D169" s="574"/>
      <c r="E169" s="671"/>
      <c r="F169" s="577"/>
    </row>
    <row r="170" spans="1:7" ht="13.8" thickBot="1">
      <c r="A170" s="653"/>
      <c r="B170" s="588"/>
      <c r="C170" s="667"/>
      <c r="D170" s="666"/>
      <c r="E170" s="668"/>
      <c r="F170" s="577"/>
    </row>
    <row r="171" spans="1:7">
      <c r="A171" s="591"/>
      <c r="B171" s="592"/>
      <c r="C171" s="594"/>
      <c r="D171" s="593"/>
      <c r="E171" s="643"/>
      <c r="F171" s="596"/>
    </row>
    <row r="172" spans="1:7">
      <c r="A172" s="597" t="s">
        <v>702</v>
      </c>
      <c r="B172" s="598" t="s">
        <v>282</v>
      </c>
      <c r="C172" s="600"/>
      <c r="D172" s="599"/>
      <c r="E172" s="601"/>
      <c r="F172" s="602">
        <f>SUM(F121:F170)</f>
        <v>5952.6</v>
      </c>
      <c r="G172" s="1203">
        <f>Elec_Est!F4721</f>
        <v>5952.6</v>
      </c>
    </row>
    <row r="173" spans="1:7">
      <c r="A173" s="603"/>
      <c r="B173" s="604"/>
      <c r="C173" s="606"/>
      <c r="D173" s="605"/>
      <c r="E173" s="644"/>
      <c r="F173" s="608"/>
    </row>
    <row r="174" spans="1:7" ht="12.75" customHeight="1">
      <c r="A174" s="609"/>
      <c r="B174" s="610"/>
      <c r="C174" s="551"/>
      <c r="D174" s="550"/>
      <c r="E174" s="645"/>
      <c r="F174" s="611"/>
    </row>
    <row r="175" spans="1:7" ht="12.75" customHeight="1">
      <c r="A175" s="612"/>
      <c r="B175" s="646"/>
      <c r="C175" s="648"/>
      <c r="D175" s="647"/>
      <c r="E175" s="649"/>
      <c r="F175" s="650"/>
    </row>
    <row r="176" spans="1:7" ht="12.75" customHeight="1">
      <c r="A176" s="612"/>
      <c r="B176" s="646"/>
      <c r="C176" s="648"/>
      <c r="D176" s="647"/>
      <c r="E176" s="649"/>
      <c r="F176" s="650"/>
    </row>
    <row r="177" spans="1:6" ht="13.2" customHeight="1">
      <c r="A177" s="603"/>
      <c r="B177" s="604"/>
      <c r="C177" s="606"/>
      <c r="D177" s="605"/>
      <c r="E177" s="644"/>
      <c r="F177" s="651"/>
    </row>
    <row r="178" spans="1:6" ht="13.8" thickBot="1">
      <c r="A178" s="616" t="s">
        <v>267</v>
      </c>
      <c r="B178" s="652" t="s">
        <v>268</v>
      </c>
      <c r="C178" s="569" t="s">
        <v>269</v>
      </c>
      <c r="D178" s="568" t="s">
        <v>259</v>
      </c>
      <c r="E178" s="570" t="s">
        <v>270</v>
      </c>
      <c r="F178" s="571" t="s">
        <v>260</v>
      </c>
    </row>
    <row r="179" spans="1:6">
      <c r="A179" s="653"/>
      <c r="B179" s="642"/>
      <c r="C179" s="656"/>
      <c r="D179" s="655"/>
      <c r="E179" s="657"/>
      <c r="F179" s="577"/>
    </row>
    <row r="180" spans="1:6">
      <c r="A180" s="572">
        <f>A159+1</f>
        <v>38</v>
      </c>
      <c r="B180" s="586" t="s">
        <v>518</v>
      </c>
      <c r="C180" s="575">
        <v>120</v>
      </c>
      <c r="D180" s="574" t="s">
        <v>326</v>
      </c>
      <c r="E180" s="576">
        <f>Elec_Est!E4726</f>
        <v>10.78</v>
      </c>
      <c r="F180" s="580">
        <f>E180*C180</f>
        <v>1293.5999999999999</v>
      </c>
    </row>
    <row r="181" spans="1:6">
      <c r="A181" s="572"/>
      <c r="B181" s="614"/>
      <c r="C181" s="575"/>
      <c r="D181" s="661"/>
      <c r="E181" s="576"/>
      <c r="F181" s="580"/>
    </row>
    <row r="182" spans="1:6">
      <c r="A182" s="572"/>
      <c r="B182" s="642"/>
      <c r="C182" s="575"/>
      <c r="D182" s="574"/>
      <c r="E182" s="576"/>
      <c r="F182" s="580"/>
    </row>
    <row r="183" spans="1:6">
      <c r="A183" s="572">
        <f>A180+1</f>
        <v>39</v>
      </c>
      <c r="B183" s="614" t="s">
        <v>521</v>
      </c>
      <c r="C183" s="575">
        <v>3</v>
      </c>
      <c r="D183" s="574" t="s">
        <v>335</v>
      </c>
      <c r="E183" s="583">
        <f>Elec_Est!E4732</f>
        <v>143.13999999999999</v>
      </c>
      <c r="F183" s="580">
        <f>E183*C183</f>
        <v>429.41999999999996</v>
      </c>
    </row>
    <row r="184" spans="1:6">
      <c r="A184" s="572"/>
      <c r="B184" s="588"/>
      <c r="C184" s="575"/>
      <c r="D184" s="574"/>
      <c r="E184" s="583"/>
      <c r="F184" s="580"/>
    </row>
    <row r="185" spans="1:6">
      <c r="A185" s="572"/>
      <c r="B185" s="642"/>
      <c r="C185" s="575"/>
      <c r="D185" s="574"/>
      <c r="E185" s="576"/>
      <c r="F185" s="580"/>
    </row>
    <row r="186" spans="1:6">
      <c r="A186" s="572" t="s">
        <v>703</v>
      </c>
      <c r="B186" s="722" t="s">
        <v>455</v>
      </c>
      <c r="C186" s="575"/>
      <c r="D186" s="574"/>
      <c r="E186" s="576"/>
      <c r="F186" s="580"/>
    </row>
    <row r="187" spans="1:6">
      <c r="A187" s="572"/>
      <c r="B187" s="614"/>
      <c r="C187" s="575"/>
      <c r="D187" s="661"/>
      <c r="E187" s="576"/>
      <c r="F187" s="580"/>
    </row>
    <row r="188" spans="1:6">
      <c r="A188" s="572"/>
      <c r="B188" s="614"/>
      <c r="C188" s="575"/>
      <c r="D188" s="661"/>
      <c r="E188" s="576"/>
      <c r="F188" s="580"/>
    </row>
    <row r="189" spans="1:6">
      <c r="A189" s="572">
        <f>A183+1</f>
        <v>40</v>
      </c>
      <c r="B189" s="674" t="s">
        <v>511</v>
      </c>
      <c r="C189" s="575">
        <v>10</v>
      </c>
      <c r="D189" s="574" t="s">
        <v>335</v>
      </c>
      <c r="E189" s="576">
        <f>Elec_Est!E4752</f>
        <v>62.88</v>
      </c>
      <c r="F189" s="580">
        <f>E189*C189</f>
        <v>628.80000000000007</v>
      </c>
    </row>
    <row r="190" spans="1:6">
      <c r="A190" s="572"/>
      <c r="B190" s="713"/>
      <c r="C190" s="575"/>
      <c r="D190" s="661"/>
      <c r="E190" s="576"/>
      <c r="F190" s="580"/>
    </row>
    <row r="191" spans="1:6">
      <c r="A191" s="572"/>
      <c r="B191" s="586"/>
      <c r="C191" s="575"/>
      <c r="D191" s="661"/>
      <c r="E191" s="576"/>
      <c r="F191" s="580"/>
    </row>
    <row r="192" spans="1:6" ht="26.4">
      <c r="A192" s="572">
        <f>A189+1</f>
        <v>41</v>
      </c>
      <c r="B192" s="582" t="s">
        <v>512</v>
      </c>
      <c r="C192" s="575">
        <v>4</v>
      </c>
      <c r="D192" s="574" t="s">
        <v>335</v>
      </c>
      <c r="E192" s="576">
        <f>Elec_Est!E4758</f>
        <v>100.53</v>
      </c>
      <c r="F192" s="580">
        <f>E192*C192</f>
        <v>402.12</v>
      </c>
    </row>
    <row r="193" spans="1:6">
      <c r="A193" s="572"/>
      <c r="B193" s="614"/>
      <c r="C193" s="575"/>
      <c r="D193" s="661"/>
      <c r="E193" s="576"/>
      <c r="F193" s="580"/>
    </row>
    <row r="194" spans="1:6">
      <c r="A194" s="572"/>
      <c r="B194" s="614"/>
      <c r="C194" s="575"/>
      <c r="D194" s="661"/>
      <c r="E194" s="576"/>
      <c r="F194" s="580"/>
    </row>
    <row r="195" spans="1:6">
      <c r="A195" s="572">
        <f>A192+1</f>
        <v>42</v>
      </c>
      <c r="B195" s="586" t="s">
        <v>515</v>
      </c>
      <c r="C195" s="575">
        <v>3</v>
      </c>
      <c r="D195" s="574" t="s">
        <v>335</v>
      </c>
      <c r="E195" s="576">
        <f>Elec_Est!E4764</f>
        <v>32.67</v>
      </c>
      <c r="F195" s="580">
        <f>E195*C195</f>
        <v>98.01</v>
      </c>
    </row>
    <row r="196" spans="1:6">
      <c r="A196" s="572"/>
      <c r="B196" s="586"/>
      <c r="C196" s="575"/>
      <c r="D196" s="661"/>
      <c r="E196" s="576"/>
      <c r="F196" s="580"/>
    </row>
    <row r="197" spans="1:6">
      <c r="A197" s="572"/>
      <c r="B197" s="586"/>
      <c r="C197" s="575"/>
      <c r="D197" s="574"/>
      <c r="E197" s="576"/>
      <c r="F197" s="580"/>
    </row>
    <row r="198" spans="1:6">
      <c r="A198" s="572">
        <f>A195+1</f>
        <v>43</v>
      </c>
      <c r="B198" s="586" t="s">
        <v>516</v>
      </c>
      <c r="C198" s="575">
        <v>1</v>
      </c>
      <c r="D198" s="574" t="s">
        <v>335</v>
      </c>
      <c r="E198" s="576">
        <f>Elec_Est!E4770</f>
        <v>90.3</v>
      </c>
      <c r="F198" s="580">
        <f>E198*C198</f>
        <v>90.3</v>
      </c>
    </row>
    <row r="199" spans="1:6">
      <c r="A199" s="572"/>
      <c r="B199" s="573"/>
      <c r="C199" s="575"/>
      <c r="D199" s="574"/>
      <c r="E199" s="576"/>
      <c r="F199" s="580"/>
    </row>
    <row r="200" spans="1:6">
      <c r="A200" s="572"/>
      <c r="B200" s="573"/>
      <c r="C200" s="575"/>
      <c r="D200" s="574"/>
      <c r="E200" s="576"/>
      <c r="F200" s="580"/>
    </row>
    <row r="201" spans="1:6">
      <c r="A201" s="572">
        <f>A198+1</f>
        <v>44</v>
      </c>
      <c r="B201" s="586" t="s">
        <v>517</v>
      </c>
      <c r="C201" s="575">
        <v>1</v>
      </c>
      <c r="D201" s="574" t="s">
        <v>335</v>
      </c>
      <c r="E201" s="576">
        <f>Elec_Est!E4786</f>
        <v>341.22</v>
      </c>
      <c r="F201" s="580">
        <f>E201*C201</f>
        <v>341.22</v>
      </c>
    </row>
    <row r="202" spans="1:6">
      <c r="A202" s="572"/>
      <c r="B202" s="673"/>
      <c r="C202" s="575"/>
      <c r="D202" s="574"/>
      <c r="E202" s="576"/>
      <c r="F202" s="580"/>
    </row>
    <row r="203" spans="1:6">
      <c r="A203" s="572"/>
      <c r="B203" s="673"/>
      <c r="C203" s="575"/>
      <c r="D203" s="574"/>
      <c r="E203" s="576"/>
      <c r="F203" s="580"/>
    </row>
    <row r="204" spans="1:6">
      <c r="A204" s="572">
        <f>A201+1</f>
        <v>45</v>
      </c>
      <c r="B204" s="586" t="s">
        <v>518</v>
      </c>
      <c r="C204" s="575">
        <v>120</v>
      </c>
      <c r="D204" s="574" t="s">
        <v>326</v>
      </c>
      <c r="E204" s="576">
        <f>Elec_Est!E4802</f>
        <v>10.78</v>
      </c>
      <c r="F204" s="580">
        <f>E204*C204</f>
        <v>1293.5999999999999</v>
      </c>
    </row>
    <row r="205" spans="1:6">
      <c r="A205" s="572"/>
      <c r="B205" s="614"/>
      <c r="C205" s="575"/>
      <c r="D205" s="661"/>
      <c r="E205" s="576"/>
      <c r="F205" s="580"/>
    </row>
    <row r="206" spans="1:6">
      <c r="A206" s="572"/>
      <c r="B206" s="642"/>
      <c r="C206" s="575"/>
      <c r="D206" s="574"/>
      <c r="E206" s="576"/>
      <c r="F206" s="580"/>
    </row>
    <row r="207" spans="1:6">
      <c r="A207" s="572">
        <f>A204+1</f>
        <v>46</v>
      </c>
      <c r="B207" s="614" t="s">
        <v>521</v>
      </c>
      <c r="C207" s="575">
        <v>3</v>
      </c>
      <c r="D207" s="574" t="s">
        <v>335</v>
      </c>
      <c r="E207" s="576">
        <f>Elec_Est!E4808</f>
        <v>143.13999999999999</v>
      </c>
      <c r="F207" s="580">
        <f>E207*C207</f>
        <v>429.41999999999996</v>
      </c>
    </row>
    <row r="208" spans="1:6">
      <c r="A208" s="572"/>
      <c r="B208" s="582"/>
      <c r="C208" s="575"/>
      <c r="D208" s="574"/>
      <c r="E208" s="576"/>
      <c r="F208" s="580"/>
    </row>
    <row r="209" spans="1:6">
      <c r="A209" s="572"/>
      <c r="B209" s="582"/>
      <c r="C209" s="575"/>
      <c r="D209" s="574"/>
      <c r="E209" s="576"/>
      <c r="F209" s="580"/>
    </row>
    <row r="210" spans="1:6">
      <c r="A210" s="572" t="s">
        <v>703</v>
      </c>
      <c r="B210" s="722" t="s">
        <v>462</v>
      </c>
      <c r="C210" s="575"/>
      <c r="D210" s="574"/>
      <c r="E210" s="576"/>
      <c r="F210" s="580"/>
    </row>
    <row r="211" spans="1:6">
      <c r="A211" s="572"/>
      <c r="B211" s="614"/>
      <c r="C211" s="575"/>
      <c r="D211" s="661"/>
      <c r="E211" s="576"/>
      <c r="F211" s="580"/>
    </row>
    <row r="212" spans="1:6">
      <c r="A212" s="572"/>
      <c r="B212" s="614"/>
      <c r="C212" s="575"/>
      <c r="D212" s="661"/>
      <c r="E212" s="576"/>
      <c r="F212" s="580"/>
    </row>
    <row r="213" spans="1:6">
      <c r="A213" s="572">
        <f>A207+1</f>
        <v>47</v>
      </c>
      <c r="B213" s="674" t="s">
        <v>511</v>
      </c>
      <c r="C213" s="575">
        <v>12</v>
      </c>
      <c r="D213" s="574" t="s">
        <v>335</v>
      </c>
      <c r="E213" s="576">
        <f>Elec_Est!E4828</f>
        <v>62.88</v>
      </c>
      <c r="F213" s="580">
        <f>E213*C213</f>
        <v>754.56000000000006</v>
      </c>
    </row>
    <row r="214" spans="1:6">
      <c r="A214" s="572"/>
      <c r="B214" s="713"/>
      <c r="C214" s="575"/>
      <c r="D214" s="661"/>
      <c r="E214" s="576"/>
      <c r="F214" s="580"/>
    </row>
    <row r="215" spans="1:6">
      <c r="A215" s="572"/>
      <c r="B215" s="586"/>
      <c r="C215" s="575"/>
      <c r="D215" s="661"/>
      <c r="E215" s="576"/>
      <c r="F215" s="580"/>
    </row>
    <row r="216" spans="1:6" ht="26.4">
      <c r="A216" s="572">
        <f>A213+1</f>
        <v>48</v>
      </c>
      <c r="B216" s="582" t="s">
        <v>512</v>
      </c>
      <c r="C216" s="575">
        <v>2</v>
      </c>
      <c r="D216" s="574" t="s">
        <v>335</v>
      </c>
      <c r="E216" s="576">
        <f>Elec_Est!E4834</f>
        <v>100.53</v>
      </c>
      <c r="F216" s="580">
        <f>E216*C216</f>
        <v>201.06</v>
      </c>
    </row>
    <row r="217" spans="1:6">
      <c r="A217" s="572"/>
      <c r="B217" s="673"/>
      <c r="C217" s="575"/>
      <c r="D217" s="574"/>
      <c r="E217" s="576"/>
      <c r="F217" s="580"/>
    </row>
    <row r="218" spans="1:6">
      <c r="A218" s="572"/>
      <c r="B218" s="582"/>
      <c r="C218" s="575"/>
      <c r="D218" s="574"/>
      <c r="E218" s="576"/>
      <c r="F218" s="580"/>
    </row>
    <row r="219" spans="1:6">
      <c r="A219" s="572">
        <f>A216+1</f>
        <v>49</v>
      </c>
      <c r="B219" s="582" t="s">
        <v>513</v>
      </c>
      <c r="C219" s="575">
        <v>1</v>
      </c>
      <c r="D219" s="574" t="s">
        <v>335</v>
      </c>
      <c r="E219" s="583">
        <f>Elec_Est!E4840</f>
        <v>62.82</v>
      </c>
      <c r="F219" s="580">
        <f>E219*C219</f>
        <v>62.82</v>
      </c>
    </row>
    <row r="220" spans="1:6">
      <c r="A220" s="640"/>
      <c r="B220" s="588"/>
      <c r="C220" s="575"/>
      <c r="D220" s="574"/>
      <c r="E220" s="583"/>
      <c r="F220" s="580"/>
    </row>
    <row r="221" spans="1:6">
      <c r="A221" s="640"/>
      <c r="B221" s="588"/>
      <c r="C221" s="575"/>
      <c r="D221" s="574"/>
      <c r="E221" s="583"/>
      <c r="F221" s="580"/>
    </row>
    <row r="222" spans="1:6">
      <c r="A222" s="572">
        <f>A219+1</f>
        <v>50</v>
      </c>
      <c r="B222" s="586" t="s">
        <v>515</v>
      </c>
      <c r="C222" s="575">
        <v>6</v>
      </c>
      <c r="D222" s="574" t="s">
        <v>335</v>
      </c>
      <c r="E222" s="576">
        <f>Elec_Est!E4846</f>
        <v>32.67</v>
      </c>
      <c r="F222" s="580">
        <f>E222*C222</f>
        <v>196.02</v>
      </c>
    </row>
    <row r="223" spans="1:6">
      <c r="A223" s="572"/>
      <c r="B223" s="586"/>
      <c r="C223" s="575"/>
      <c r="D223" s="661"/>
      <c r="E223" s="576"/>
      <c r="F223" s="580"/>
    </row>
    <row r="224" spans="1:6">
      <c r="A224" s="572"/>
      <c r="B224" s="586"/>
      <c r="C224" s="575"/>
      <c r="D224" s="574"/>
      <c r="E224" s="576"/>
      <c r="F224" s="580"/>
    </row>
    <row r="225" spans="1:7">
      <c r="A225" s="572">
        <f>A222+1</f>
        <v>51</v>
      </c>
      <c r="B225" s="586" t="s">
        <v>516</v>
      </c>
      <c r="C225" s="575">
        <v>1</v>
      </c>
      <c r="D225" s="574" t="s">
        <v>335</v>
      </c>
      <c r="E225" s="576">
        <f>Elec_Est!E4852</f>
        <v>90.3</v>
      </c>
      <c r="F225" s="580">
        <f>E225*C225</f>
        <v>90.3</v>
      </c>
    </row>
    <row r="226" spans="1:7">
      <c r="A226" s="572"/>
      <c r="B226" s="673"/>
      <c r="C226" s="575"/>
      <c r="D226" s="574"/>
      <c r="E226" s="576"/>
      <c r="F226" s="580"/>
    </row>
    <row r="227" spans="1:7">
      <c r="A227" s="572"/>
      <c r="B227" s="673"/>
      <c r="C227" s="575"/>
      <c r="D227" s="574"/>
      <c r="E227" s="576"/>
      <c r="F227" s="580"/>
    </row>
    <row r="228" spans="1:7" ht="13.8" thickBot="1">
      <c r="A228" s="572"/>
      <c r="B228" s="673"/>
      <c r="C228" s="575"/>
      <c r="D228" s="574"/>
      <c r="E228" s="576"/>
      <c r="F228" s="580"/>
    </row>
    <row r="229" spans="1:7">
      <c r="A229" s="591"/>
      <c r="B229" s="592"/>
      <c r="C229" s="594"/>
      <c r="D229" s="593"/>
      <c r="E229" s="643"/>
      <c r="F229" s="596"/>
    </row>
    <row r="230" spans="1:7">
      <c r="A230" s="597" t="s">
        <v>702</v>
      </c>
      <c r="B230" s="598" t="s">
        <v>282</v>
      </c>
      <c r="C230" s="600"/>
      <c r="D230" s="599"/>
      <c r="E230" s="601"/>
      <c r="F230" s="602">
        <f>SUM(F179:F228)</f>
        <v>6311.2500000000009</v>
      </c>
      <c r="G230" s="1203">
        <f>Elec_Est!F4869</f>
        <v>6311.25</v>
      </c>
    </row>
    <row r="231" spans="1:7">
      <c r="A231" s="603"/>
      <c r="B231" s="604"/>
      <c r="C231" s="606"/>
      <c r="D231" s="605"/>
      <c r="E231" s="644"/>
      <c r="F231" s="608"/>
    </row>
    <row r="232" spans="1:7" ht="17.399999999999999">
      <c r="A232" s="609"/>
      <c r="B232" s="610"/>
      <c r="C232" s="551"/>
      <c r="D232" s="550"/>
      <c r="E232" s="645"/>
      <c r="F232" s="611"/>
    </row>
    <row r="233" spans="1:7" ht="12.75" customHeight="1">
      <c r="A233" s="612"/>
      <c r="B233" s="646"/>
      <c r="C233" s="648"/>
      <c r="D233" s="647"/>
      <c r="E233" s="649"/>
      <c r="F233" s="650"/>
    </row>
    <row r="234" spans="1:7" ht="12.75" customHeight="1">
      <c r="A234" s="612"/>
      <c r="B234" s="646"/>
      <c r="C234" s="648"/>
      <c r="D234" s="647"/>
      <c r="E234" s="649"/>
      <c r="F234" s="650"/>
    </row>
    <row r="235" spans="1:7" ht="13.2" customHeight="1">
      <c r="A235" s="603"/>
      <c r="B235" s="604"/>
      <c r="C235" s="606"/>
      <c r="D235" s="605"/>
      <c r="E235" s="644"/>
      <c r="F235" s="651"/>
    </row>
    <row r="236" spans="1:7" ht="13.8" thickBot="1">
      <c r="A236" s="616" t="s">
        <v>267</v>
      </c>
      <c r="B236" s="652" t="s">
        <v>268</v>
      </c>
      <c r="C236" s="569" t="s">
        <v>269</v>
      </c>
      <c r="D236" s="568" t="s">
        <v>259</v>
      </c>
      <c r="E236" s="570" t="s">
        <v>270</v>
      </c>
      <c r="F236" s="571" t="s">
        <v>260</v>
      </c>
    </row>
    <row r="237" spans="1:7">
      <c r="A237" s="653"/>
      <c r="B237" s="642"/>
      <c r="C237" s="656"/>
      <c r="D237" s="655"/>
      <c r="E237" s="662"/>
      <c r="F237" s="580"/>
    </row>
    <row r="238" spans="1:7">
      <c r="A238" s="572">
        <f>A225+1</f>
        <v>52</v>
      </c>
      <c r="B238" s="586" t="s">
        <v>517</v>
      </c>
      <c r="C238" s="575">
        <v>2</v>
      </c>
      <c r="D238" s="574" t="s">
        <v>335</v>
      </c>
      <c r="E238" s="576">
        <f>Elec_Est!E4874</f>
        <v>341.22</v>
      </c>
      <c r="F238" s="580">
        <f>E238*C238</f>
        <v>682.44</v>
      </c>
    </row>
    <row r="239" spans="1:7">
      <c r="A239" s="572"/>
      <c r="B239" s="673"/>
      <c r="C239" s="575"/>
      <c r="D239" s="574"/>
      <c r="E239" s="576"/>
      <c r="F239" s="580"/>
    </row>
    <row r="240" spans="1:7">
      <c r="A240" s="572"/>
      <c r="B240" s="673"/>
      <c r="C240" s="575"/>
      <c r="D240" s="574"/>
      <c r="E240" s="576"/>
      <c r="F240" s="580"/>
    </row>
    <row r="241" spans="1:6">
      <c r="A241" s="640">
        <f>A238+1</f>
        <v>53</v>
      </c>
      <c r="B241" s="586" t="s">
        <v>518</v>
      </c>
      <c r="C241" s="575">
        <v>100</v>
      </c>
      <c r="D241" s="574" t="s">
        <v>326</v>
      </c>
      <c r="E241" s="583">
        <f>Elec_Est!E4890</f>
        <v>10.78</v>
      </c>
      <c r="F241" s="580">
        <f>E241*C241</f>
        <v>1078</v>
      </c>
    </row>
    <row r="242" spans="1:6">
      <c r="A242" s="640"/>
      <c r="B242" s="586"/>
      <c r="C242" s="575"/>
      <c r="D242" s="574"/>
      <c r="E242" s="583"/>
      <c r="F242" s="580"/>
    </row>
    <row r="243" spans="1:6">
      <c r="A243" s="640"/>
      <c r="B243" s="586"/>
      <c r="C243" s="575"/>
      <c r="D243" s="574"/>
      <c r="E243" s="583"/>
      <c r="F243" s="580"/>
    </row>
    <row r="244" spans="1:6">
      <c r="A244" s="640">
        <f>A241+1</f>
        <v>54</v>
      </c>
      <c r="B244" s="554" t="s">
        <v>519</v>
      </c>
      <c r="C244" s="575">
        <v>1</v>
      </c>
      <c r="D244" s="574" t="s">
        <v>335</v>
      </c>
      <c r="E244" s="583">
        <f>Elec_Est!E4896</f>
        <v>23.5</v>
      </c>
      <c r="F244" s="580">
        <f>E244*C244</f>
        <v>23.5</v>
      </c>
    </row>
    <row r="245" spans="1:6">
      <c r="A245" s="640"/>
      <c r="B245" s="586"/>
      <c r="C245" s="575"/>
      <c r="D245" s="574"/>
      <c r="E245" s="583"/>
      <c r="F245" s="580"/>
    </row>
    <row r="246" spans="1:6">
      <c r="A246" s="640"/>
      <c r="B246" s="586"/>
      <c r="C246" s="575"/>
      <c r="D246" s="574"/>
      <c r="E246" s="583"/>
      <c r="F246" s="580"/>
    </row>
    <row r="247" spans="1:6">
      <c r="A247" s="572" t="s">
        <v>703</v>
      </c>
      <c r="B247" s="578" t="s">
        <v>522</v>
      </c>
      <c r="C247" s="575"/>
      <c r="D247" s="574"/>
      <c r="E247" s="576"/>
      <c r="F247" s="580"/>
    </row>
    <row r="248" spans="1:6">
      <c r="A248" s="572"/>
      <c r="B248" s="588"/>
      <c r="C248" s="587"/>
      <c r="D248" s="574"/>
      <c r="E248" s="670"/>
      <c r="F248" s="580"/>
    </row>
    <row r="249" spans="1:6" ht="26.4">
      <c r="A249" s="572">
        <v>55</v>
      </c>
      <c r="B249" s="617" t="s">
        <v>523</v>
      </c>
      <c r="C249" s="575">
        <v>2</v>
      </c>
      <c r="D249" s="574" t="s">
        <v>335</v>
      </c>
      <c r="E249" s="576">
        <f>Elec_Est!E4906</f>
        <v>636.77</v>
      </c>
      <c r="F249" s="580">
        <f>E249*C249</f>
        <v>1273.54</v>
      </c>
    </row>
    <row r="250" spans="1:6">
      <c r="A250" s="572"/>
      <c r="B250" s="588"/>
      <c r="C250" s="575"/>
      <c r="D250" s="574"/>
      <c r="E250" s="576"/>
      <c r="F250" s="580"/>
    </row>
    <row r="251" spans="1:6">
      <c r="A251" s="572"/>
      <c r="B251" s="588"/>
      <c r="C251" s="575"/>
      <c r="D251" s="574"/>
      <c r="E251" s="576"/>
      <c r="F251" s="580"/>
    </row>
    <row r="252" spans="1:6">
      <c r="A252" s="572"/>
      <c r="B252" s="639"/>
      <c r="C252" s="575"/>
      <c r="D252" s="574"/>
      <c r="E252" s="576"/>
      <c r="F252" s="580"/>
    </row>
    <row r="253" spans="1:6">
      <c r="A253" s="572"/>
      <c r="B253" s="639"/>
      <c r="C253" s="575"/>
      <c r="D253" s="574"/>
      <c r="E253" s="576"/>
      <c r="F253" s="580"/>
    </row>
    <row r="254" spans="1:6">
      <c r="A254" s="675"/>
      <c r="B254" s="659"/>
      <c r="C254" s="575"/>
      <c r="D254" s="574"/>
      <c r="E254" s="576"/>
      <c r="F254" s="580"/>
    </row>
    <row r="255" spans="1:6">
      <c r="A255" s="675"/>
      <c r="B255" s="659"/>
      <c r="C255" s="575"/>
      <c r="D255" s="574"/>
      <c r="E255" s="576"/>
      <c r="F255" s="580"/>
    </row>
    <row r="256" spans="1:6">
      <c r="A256" s="675"/>
      <c r="B256" s="658"/>
      <c r="C256" s="575"/>
      <c r="D256" s="574"/>
      <c r="E256" s="576"/>
      <c r="F256" s="580"/>
    </row>
    <row r="257" spans="1:6">
      <c r="A257" s="675"/>
      <c r="C257" s="575"/>
      <c r="D257" s="574"/>
      <c r="E257" s="576"/>
      <c r="F257" s="580"/>
    </row>
    <row r="258" spans="1:6">
      <c r="A258" s="572"/>
      <c r="B258" s="639"/>
      <c r="C258" s="575"/>
      <c r="D258" s="574"/>
      <c r="E258" s="576"/>
      <c r="F258" s="580"/>
    </row>
    <row r="259" spans="1:6">
      <c r="A259" s="572"/>
      <c r="B259" s="642"/>
      <c r="C259" s="575"/>
      <c r="D259" s="574"/>
      <c r="E259" s="576"/>
      <c r="F259" s="580"/>
    </row>
    <row r="260" spans="1:6">
      <c r="A260" s="572"/>
      <c r="B260" s="639"/>
      <c r="C260" s="575"/>
      <c r="D260" s="574"/>
      <c r="E260" s="576"/>
      <c r="F260" s="580"/>
    </row>
    <row r="261" spans="1:6">
      <c r="A261" s="572"/>
      <c r="B261" s="673"/>
      <c r="C261" s="575"/>
      <c r="D261" s="574"/>
      <c r="E261" s="576"/>
      <c r="F261" s="580"/>
    </row>
    <row r="262" spans="1:6">
      <c r="A262" s="572"/>
      <c r="B262" s="673"/>
      <c r="C262" s="575"/>
      <c r="D262" s="574"/>
      <c r="E262" s="576"/>
      <c r="F262" s="580"/>
    </row>
    <row r="263" spans="1:6">
      <c r="A263" s="572"/>
      <c r="B263" s="673"/>
      <c r="C263" s="575"/>
      <c r="D263" s="574"/>
      <c r="E263" s="576"/>
      <c r="F263" s="580"/>
    </row>
    <row r="264" spans="1:6">
      <c r="A264" s="572"/>
      <c r="B264" s="673"/>
      <c r="C264" s="575"/>
      <c r="D264" s="574"/>
      <c r="E264" s="576"/>
      <c r="F264" s="580"/>
    </row>
    <row r="265" spans="1:6">
      <c r="A265" s="572"/>
      <c r="B265" s="673"/>
      <c r="C265" s="575"/>
      <c r="D265" s="574"/>
      <c r="E265" s="576"/>
      <c r="F265" s="580"/>
    </row>
    <row r="266" spans="1:6">
      <c r="A266" s="572"/>
      <c r="B266" s="673"/>
      <c r="C266" s="575"/>
      <c r="D266" s="574"/>
      <c r="E266" s="576"/>
      <c r="F266" s="580"/>
    </row>
    <row r="267" spans="1:6">
      <c r="A267" s="572"/>
      <c r="B267" s="673"/>
      <c r="C267" s="575"/>
      <c r="D267" s="574"/>
      <c r="E267" s="576"/>
      <c r="F267" s="580"/>
    </row>
    <row r="268" spans="1:6">
      <c r="A268" s="572"/>
      <c r="B268" s="673"/>
      <c r="C268" s="575"/>
      <c r="D268" s="574"/>
      <c r="E268" s="576"/>
      <c r="F268" s="580"/>
    </row>
    <row r="269" spans="1:6">
      <c r="A269" s="572"/>
      <c r="B269" s="639"/>
      <c r="C269" s="575"/>
      <c r="D269" s="574"/>
      <c r="E269" s="576"/>
      <c r="F269" s="580"/>
    </row>
    <row r="270" spans="1:6">
      <c r="A270" s="572"/>
      <c r="B270" s="639"/>
      <c r="C270" s="575"/>
      <c r="D270" s="574"/>
      <c r="E270" s="576"/>
      <c r="F270" s="580"/>
    </row>
    <row r="271" spans="1:6">
      <c r="A271" s="572"/>
      <c r="B271" s="639"/>
      <c r="C271" s="575"/>
      <c r="D271" s="574"/>
      <c r="E271" s="576"/>
      <c r="F271" s="580"/>
    </row>
    <row r="272" spans="1:6" ht="25.2" customHeight="1">
      <c r="A272" s="572"/>
      <c r="B272" s="582"/>
      <c r="C272" s="575"/>
      <c r="D272" s="574"/>
      <c r="E272" s="576"/>
      <c r="F272" s="580"/>
    </row>
    <row r="273" spans="1:7">
      <c r="A273" s="572"/>
      <c r="B273" s="639"/>
      <c r="C273" s="575"/>
      <c r="D273" s="574"/>
      <c r="E273" s="576"/>
      <c r="F273" s="580"/>
    </row>
    <row r="274" spans="1:7">
      <c r="A274" s="572"/>
      <c r="B274" s="642"/>
      <c r="C274" s="575"/>
      <c r="D274" s="574"/>
      <c r="E274" s="576"/>
      <c r="F274" s="580"/>
    </row>
    <row r="275" spans="1:7">
      <c r="A275" s="572"/>
      <c r="B275" s="588"/>
      <c r="C275" s="575"/>
      <c r="D275" s="574"/>
      <c r="E275" s="576"/>
      <c r="F275" s="580"/>
    </row>
    <row r="276" spans="1:7">
      <c r="A276" s="572"/>
      <c r="B276" s="588"/>
      <c r="C276" s="575"/>
      <c r="D276" s="574"/>
      <c r="E276" s="576"/>
      <c r="F276" s="580"/>
    </row>
    <row r="277" spans="1:7">
      <c r="A277" s="572"/>
      <c r="B277" s="588"/>
      <c r="C277" s="575"/>
      <c r="D277" s="574"/>
      <c r="E277" s="576"/>
      <c r="F277" s="580"/>
    </row>
    <row r="278" spans="1:7">
      <c r="A278" s="572"/>
      <c r="B278" s="588"/>
      <c r="C278" s="575"/>
      <c r="D278" s="574"/>
      <c r="E278" s="576"/>
      <c r="F278" s="580"/>
    </row>
    <row r="279" spans="1:7">
      <c r="A279" s="572"/>
      <c r="B279" s="588"/>
      <c r="C279" s="575"/>
      <c r="D279" s="574"/>
      <c r="E279" s="576"/>
      <c r="F279" s="580"/>
    </row>
    <row r="280" spans="1:7">
      <c r="A280" s="572"/>
      <c r="B280" s="588"/>
      <c r="C280" s="575"/>
      <c r="D280" s="574"/>
      <c r="E280" s="576"/>
      <c r="F280" s="580"/>
    </row>
    <row r="281" spans="1:7">
      <c r="A281" s="572"/>
      <c r="B281" s="588"/>
      <c r="C281" s="575"/>
      <c r="D281" s="574"/>
      <c r="E281" s="576"/>
      <c r="F281" s="580"/>
    </row>
    <row r="282" spans="1:7">
      <c r="A282" s="572"/>
      <c r="B282" s="588"/>
      <c r="C282" s="575"/>
      <c r="D282" s="574"/>
      <c r="E282" s="576"/>
      <c r="F282" s="580"/>
    </row>
    <row r="283" spans="1:7">
      <c r="A283" s="572"/>
      <c r="B283" s="588"/>
      <c r="C283" s="575"/>
      <c r="D283" s="574"/>
      <c r="E283" s="576"/>
      <c r="F283" s="580"/>
    </row>
    <row r="284" spans="1:7">
      <c r="A284" s="572"/>
      <c r="B284" s="588"/>
      <c r="C284" s="575"/>
      <c r="D284" s="574"/>
      <c r="E284" s="576"/>
      <c r="F284" s="580"/>
    </row>
    <row r="285" spans="1:7">
      <c r="A285" s="572"/>
      <c r="B285" s="588"/>
      <c r="C285" s="575"/>
      <c r="D285" s="574"/>
      <c r="E285" s="576"/>
      <c r="F285" s="580"/>
    </row>
    <row r="286" spans="1:7" ht="13.8" thickBot="1">
      <c r="A286" s="572"/>
      <c r="C286" s="575"/>
      <c r="D286" s="574"/>
      <c r="E286" s="669"/>
      <c r="F286" s="577"/>
    </row>
    <row r="287" spans="1:7">
      <c r="A287" s="591"/>
      <c r="B287" s="592"/>
      <c r="C287" s="594"/>
      <c r="D287" s="593"/>
      <c r="E287" s="643"/>
      <c r="F287" s="596"/>
    </row>
    <row r="288" spans="1:7">
      <c r="A288" s="597" t="s">
        <v>702</v>
      </c>
      <c r="B288" s="598" t="s">
        <v>282</v>
      </c>
      <c r="C288" s="600"/>
      <c r="D288" s="599"/>
      <c r="E288" s="601"/>
      <c r="F288" s="602">
        <f>SUM(F237:F286)</f>
        <v>3057.48</v>
      </c>
      <c r="G288" s="1203">
        <f>Elec_Est!F4923</f>
        <v>3057.48</v>
      </c>
    </row>
    <row r="289" spans="1:6">
      <c r="A289" s="603"/>
      <c r="B289" s="604"/>
      <c r="C289" s="606"/>
      <c r="D289" s="605"/>
      <c r="E289" s="644"/>
      <c r="F289" s="60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G58"/>
  <sheetViews>
    <sheetView topLeftCell="A29" workbookViewId="0">
      <selection activeCell="H49" sqref="H49"/>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554"/>
    <col min="8" max="8" width="9.109375" style="554" customWidth="1"/>
    <col min="9" max="16384" width="9.109375" style="554"/>
  </cols>
  <sheetData>
    <row r="1" spans="1:6">
      <c r="A1" s="548" t="s">
        <v>265</v>
      </c>
      <c r="B1" s="549"/>
      <c r="C1" s="549"/>
      <c r="D1" s="549"/>
      <c r="E1" s="622"/>
      <c r="F1" s="623"/>
    </row>
    <row r="2" spans="1:6">
      <c r="A2" s="555" t="s">
        <v>524</v>
      </c>
      <c r="B2" s="556"/>
      <c r="C2" s="556"/>
      <c r="D2" s="556"/>
      <c r="E2" s="624"/>
      <c r="F2" s="625"/>
    </row>
    <row r="3" spans="1:6">
      <c r="A3" s="555"/>
      <c r="B3" s="556"/>
      <c r="C3" s="556"/>
      <c r="D3" s="556"/>
      <c r="E3" s="624"/>
      <c r="F3" s="625"/>
    </row>
    <row r="4" spans="1:6">
      <c r="A4" s="562"/>
      <c r="B4" s="563"/>
      <c r="C4" s="564"/>
      <c r="D4" s="563"/>
      <c r="E4" s="626"/>
      <c r="F4" s="561"/>
    </row>
    <row r="5" spans="1:6" ht="13.8" thickBot="1">
      <c r="A5" s="566" t="s">
        <v>267</v>
      </c>
      <c r="B5" s="567"/>
      <c r="C5" s="569" t="s">
        <v>269</v>
      </c>
      <c r="D5" s="568" t="s">
        <v>259</v>
      </c>
      <c r="E5" s="570" t="s">
        <v>270</v>
      </c>
      <c r="F5" s="571" t="s">
        <v>260</v>
      </c>
    </row>
    <row r="6" spans="1:6">
      <c r="A6" s="627"/>
      <c r="B6" s="628"/>
      <c r="C6" s="630"/>
      <c r="D6" s="629"/>
      <c r="E6" s="631"/>
      <c r="F6" s="596"/>
    </row>
    <row r="7" spans="1:6">
      <c r="A7" s="632" t="s">
        <v>703</v>
      </c>
      <c r="B7" s="742" t="s">
        <v>525</v>
      </c>
      <c r="C7" s="636"/>
      <c r="D7" s="635"/>
      <c r="E7" s="637"/>
      <c r="F7" s="577"/>
    </row>
    <row r="8" spans="1:6">
      <c r="A8" s="632"/>
      <c r="B8" s="742"/>
      <c r="C8" s="636"/>
      <c r="D8" s="574"/>
      <c r="E8" s="583"/>
      <c r="F8" s="580"/>
    </row>
    <row r="9" spans="1:6" ht="26.4">
      <c r="A9" s="640" t="s">
        <v>703</v>
      </c>
      <c r="B9" s="721" t="s">
        <v>509</v>
      </c>
      <c r="C9" s="636"/>
      <c r="D9" s="574"/>
      <c r="E9" s="583"/>
      <c r="F9" s="580"/>
    </row>
    <row r="10" spans="1:6" ht="12.75" customHeight="1">
      <c r="A10" s="640"/>
      <c r="B10" s="582"/>
      <c r="C10" s="636"/>
      <c r="D10" s="574"/>
      <c r="E10" s="583"/>
      <c r="F10" s="580"/>
    </row>
    <row r="11" spans="1:6">
      <c r="A11" s="640" t="s">
        <v>703</v>
      </c>
      <c r="B11" s="722" t="s">
        <v>510</v>
      </c>
      <c r="C11" s="636"/>
      <c r="D11" s="574"/>
      <c r="E11" s="583"/>
      <c r="F11" s="580"/>
    </row>
    <row r="12" spans="1:6">
      <c r="A12" s="640"/>
      <c r="B12" s="586"/>
      <c r="C12" s="575"/>
      <c r="D12" s="574"/>
      <c r="E12" s="583"/>
      <c r="F12" s="580"/>
    </row>
    <row r="13" spans="1:6">
      <c r="A13" s="640">
        <v>1</v>
      </c>
      <c r="B13" s="588" t="s">
        <v>526</v>
      </c>
      <c r="C13" s="575">
        <v>1</v>
      </c>
      <c r="D13" s="574" t="s">
        <v>335</v>
      </c>
      <c r="E13" s="576">
        <f>Elec_Est!E4950</f>
        <v>183.5</v>
      </c>
      <c r="F13" s="580">
        <f>E13*C13</f>
        <v>183.5</v>
      </c>
    </row>
    <row r="14" spans="1:6">
      <c r="A14" s="640"/>
      <c r="B14" s="588"/>
      <c r="C14" s="575"/>
      <c r="D14" s="574"/>
      <c r="E14" s="576"/>
      <c r="F14" s="580"/>
    </row>
    <row r="15" spans="1:6">
      <c r="A15" s="640"/>
      <c r="B15" s="588"/>
      <c r="C15" s="575"/>
      <c r="D15" s="574"/>
      <c r="E15" s="576"/>
      <c r="F15" s="580"/>
    </row>
    <row r="16" spans="1:6">
      <c r="A16" s="640" t="s">
        <v>703</v>
      </c>
      <c r="B16" s="722" t="s">
        <v>527</v>
      </c>
      <c r="C16" s="575"/>
      <c r="D16" s="574"/>
      <c r="E16" s="576"/>
      <c r="F16" s="580"/>
    </row>
    <row r="17" spans="1:6">
      <c r="A17" s="640"/>
      <c r="B17" s="588"/>
      <c r="C17" s="575"/>
      <c r="D17" s="574"/>
      <c r="E17" s="576"/>
      <c r="F17" s="580"/>
    </row>
    <row r="18" spans="1:6">
      <c r="A18" s="640"/>
      <c r="C18" s="575"/>
      <c r="D18" s="574"/>
      <c r="E18" s="576"/>
      <c r="F18" s="580"/>
    </row>
    <row r="19" spans="1:6">
      <c r="A19" s="640">
        <f>A13+1</f>
        <v>2</v>
      </c>
      <c r="B19" s="588" t="s">
        <v>526</v>
      </c>
      <c r="C19" s="575">
        <v>3</v>
      </c>
      <c r="D19" s="574" t="s">
        <v>335</v>
      </c>
      <c r="E19" s="576">
        <f>Elec_Est!E4960</f>
        <v>183.5</v>
      </c>
      <c r="F19" s="580">
        <f>E19*C19</f>
        <v>550.5</v>
      </c>
    </row>
    <row r="20" spans="1:6">
      <c r="A20" s="640"/>
      <c r="B20" s="588"/>
      <c r="C20" s="575"/>
      <c r="D20" s="574"/>
      <c r="E20" s="576"/>
      <c r="F20" s="580"/>
    </row>
    <row r="21" spans="1:6">
      <c r="A21" s="640"/>
      <c r="B21" s="586"/>
      <c r="C21" s="575"/>
      <c r="D21" s="574"/>
      <c r="E21" s="576"/>
      <c r="F21" s="580"/>
    </row>
    <row r="22" spans="1:6">
      <c r="A22" s="640">
        <f>A19+1</f>
        <v>3</v>
      </c>
      <c r="B22" s="588" t="s">
        <v>528</v>
      </c>
      <c r="C22" s="575">
        <v>2</v>
      </c>
      <c r="D22" s="574" t="s">
        <v>335</v>
      </c>
      <c r="E22" s="576">
        <f>Elec_Est!E4966</f>
        <v>202.32</v>
      </c>
      <c r="F22" s="580">
        <f>E22*C22</f>
        <v>404.64</v>
      </c>
    </row>
    <row r="23" spans="1:6">
      <c r="A23" s="640"/>
      <c r="B23" s="588"/>
      <c r="C23" s="575"/>
      <c r="D23" s="574"/>
      <c r="E23" s="576"/>
      <c r="F23" s="580"/>
    </row>
    <row r="24" spans="1:6">
      <c r="A24" s="640"/>
      <c r="B24" s="588"/>
      <c r="C24" s="575"/>
      <c r="D24" s="574"/>
      <c r="E24" s="576"/>
      <c r="F24" s="580"/>
    </row>
    <row r="25" spans="1:6" ht="26.4">
      <c r="A25" s="572">
        <f>A22+1</f>
        <v>4</v>
      </c>
      <c r="B25" s="588" t="s">
        <v>529</v>
      </c>
      <c r="C25" s="575">
        <v>1</v>
      </c>
      <c r="D25" s="574" t="s">
        <v>335</v>
      </c>
      <c r="E25" s="576">
        <f>Elec_Est!E4972</f>
        <v>803.46</v>
      </c>
      <c r="F25" s="580">
        <f>E25*C25</f>
        <v>803.46</v>
      </c>
    </row>
    <row r="26" spans="1:6">
      <c r="A26" s="572"/>
      <c r="B26" s="588"/>
      <c r="C26" s="575"/>
      <c r="D26" s="574"/>
      <c r="E26" s="576"/>
      <c r="F26" s="580"/>
    </row>
    <row r="27" spans="1:6">
      <c r="A27" s="640"/>
      <c r="B27" s="586"/>
      <c r="C27" s="575"/>
      <c r="D27" s="574"/>
      <c r="E27" s="576"/>
      <c r="F27" s="580"/>
    </row>
    <row r="28" spans="1:6">
      <c r="A28" s="640" t="s">
        <v>703</v>
      </c>
      <c r="B28" s="722" t="s">
        <v>530</v>
      </c>
      <c r="C28" s="575"/>
      <c r="D28" s="574"/>
      <c r="E28" s="576"/>
      <c r="F28" s="580"/>
    </row>
    <row r="29" spans="1:6">
      <c r="A29" s="640"/>
      <c r="B29" s="586"/>
      <c r="C29" s="575"/>
      <c r="D29" s="574"/>
      <c r="E29" s="576"/>
      <c r="F29" s="580"/>
    </row>
    <row r="30" spans="1:6">
      <c r="A30" s="640"/>
      <c r="B30" s="586"/>
      <c r="C30" s="575"/>
      <c r="D30" s="574"/>
      <c r="E30" s="576"/>
      <c r="F30" s="580"/>
    </row>
    <row r="31" spans="1:6">
      <c r="A31" s="640">
        <f>A25+1</f>
        <v>5</v>
      </c>
      <c r="B31" s="588" t="s">
        <v>528</v>
      </c>
      <c r="C31" s="575">
        <v>2</v>
      </c>
      <c r="D31" s="574" t="s">
        <v>335</v>
      </c>
      <c r="E31" s="576">
        <f>Elec_Est!E4982</f>
        <v>202.32</v>
      </c>
      <c r="F31" s="580">
        <f>E31*C31</f>
        <v>404.64</v>
      </c>
    </row>
    <row r="32" spans="1:6">
      <c r="A32" s="640"/>
      <c r="B32" s="586"/>
      <c r="C32" s="575"/>
      <c r="D32" s="574"/>
      <c r="E32" s="576"/>
      <c r="F32" s="580"/>
    </row>
    <row r="33" spans="1:6">
      <c r="A33" s="640"/>
      <c r="B33" s="586"/>
      <c r="C33" s="575"/>
      <c r="D33" s="574"/>
      <c r="E33" s="576"/>
      <c r="F33" s="580"/>
    </row>
    <row r="34" spans="1:6">
      <c r="A34" s="640" t="s">
        <v>703</v>
      </c>
      <c r="B34" s="722" t="s">
        <v>531</v>
      </c>
      <c r="C34" s="575"/>
      <c r="D34" s="574"/>
      <c r="E34" s="576"/>
      <c r="F34" s="580"/>
    </row>
    <row r="35" spans="1:6">
      <c r="A35" s="640"/>
      <c r="B35" s="586"/>
      <c r="C35" s="575"/>
      <c r="D35" s="574"/>
      <c r="E35" s="576"/>
      <c r="F35" s="580"/>
    </row>
    <row r="36" spans="1:6">
      <c r="A36" s="640"/>
      <c r="B36" s="586"/>
      <c r="C36" s="575"/>
      <c r="D36" s="574"/>
      <c r="E36" s="576"/>
      <c r="F36" s="580"/>
    </row>
    <row r="37" spans="1:6">
      <c r="A37" s="640">
        <f>A31+1</f>
        <v>6</v>
      </c>
      <c r="B37" s="588" t="s">
        <v>526</v>
      </c>
      <c r="C37" s="575">
        <v>1</v>
      </c>
      <c r="D37" s="574" t="s">
        <v>335</v>
      </c>
      <c r="E37" s="576">
        <f>Elec_Est!E4992</f>
        <v>183.5</v>
      </c>
      <c r="F37" s="580">
        <f>E37*C37</f>
        <v>183.5</v>
      </c>
    </row>
    <row r="38" spans="1:6">
      <c r="A38" s="640"/>
      <c r="B38" s="586"/>
      <c r="C38" s="575"/>
      <c r="D38" s="574"/>
      <c r="E38" s="576"/>
      <c r="F38" s="580"/>
    </row>
    <row r="39" spans="1:6">
      <c r="A39" s="640"/>
      <c r="B39" s="586"/>
      <c r="C39" s="575"/>
      <c r="D39" s="574"/>
      <c r="E39" s="576"/>
      <c r="F39" s="580"/>
    </row>
    <row r="40" spans="1:6">
      <c r="A40" s="640"/>
      <c r="B40" s="586"/>
      <c r="C40" s="575"/>
      <c r="D40" s="574"/>
      <c r="E40" s="576"/>
      <c r="F40" s="580"/>
    </row>
    <row r="41" spans="1:6">
      <c r="A41" s="640"/>
      <c r="C41" s="575"/>
      <c r="D41" s="574"/>
      <c r="E41" s="576"/>
      <c r="F41" s="580"/>
    </row>
    <row r="42" spans="1:6" ht="26.4">
      <c r="A42" s="640" t="s">
        <v>703</v>
      </c>
      <c r="B42" s="744" t="s">
        <v>532</v>
      </c>
      <c r="C42" s="575"/>
      <c r="D42" s="574"/>
      <c r="E42" s="576"/>
      <c r="F42" s="580"/>
    </row>
    <row r="43" spans="1:6">
      <c r="A43" s="640"/>
      <c r="B43" s="586"/>
      <c r="C43" s="575"/>
      <c r="D43" s="574"/>
      <c r="E43" s="576"/>
      <c r="F43" s="580"/>
    </row>
    <row r="44" spans="1:6">
      <c r="A44" s="640"/>
      <c r="B44" s="722"/>
      <c r="C44" s="575"/>
      <c r="D44" s="574"/>
      <c r="E44" s="576"/>
      <c r="F44" s="580"/>
    </row>
    <row r="45" spans="1:6">
      <c r="A45" s="640"/>
      <c r="B45" s="586"/>
      <c r="C45" s="575"/>
      <c r="D45" s="574"/>
      <c r="E45" s="583"/>
      <c r="F45" s="580"/>
    </row>
    <row r="46" spans="1:6">
      <c r="A46" s="572"/>
      <c r="B46" s="582"/>
      <c r="C46" s="575"/>
      <c r="D46" s="574"/>
      <c r="E46" s="583"/>
      <c r="F46" s="580"/>
    </row>
    <row r="47" spans="1:6">
      <c r="A47" s="640"/>
      <c r="B47" s="586"/>
      <c r="C47" s="575"/>
      <c r="D47" s="574"/>
      <c r="E47" s="583"/>
      <c r="F47" s="580"/>
    </row>
    <row r="48" spans="1:6">
      <c r="A48" s="640"/>
      <c r="B48" s="674"/>
      <c r="C48" s="575"/>
      <c r="D48" s="574"/>
      <c r="E48" s="583"/>
      <c r="F48" s="580"/>
    </row>
    <row r="49" spans="1:7">
      <c r="A49" s="640"/>
      <c r="B49" s="586"/>
      <c r="C49" s="575"/>
      <c r="D49" s="574"/>
      <c r="E49" s="583"/>
      <c r="F49" s="580"/>
    </row>
    <row r="50" spans="1:7">
      <c r="A50" s="640"/>
      <c r="B50" s="586"/>
      <c r="C50" s="575"/>
      <c r="D50" s="574"/>
      <c r="E50" s="583"/>
      <c r="F50" s="580"/>
    </row>
    <row r="51" spans="1:7" ht="12.75" customHeight="1">
      <c r="A51" s="572"/>
      <c r="B51" s="586"/>
      <c r="C51" s="575"/>
      <c r="D51" s="574"/>
      <c r="E51" s="583"/>
      <c r="F51" s="580"/>
    </row>
    <row r="52" spans="1:7">
      <c r="A52" s="572"/>
      <c r="B52" s="586"/>
      <c r="C52" s="575"/>
      <c r="D52" s="635"/>
      <c r="E52" s="583"/>
      <c r="F52" s="580"/>
    </row>
    <row r="53" spans="1:7">
      <c r="A53" s="572"/>
      <c r="B53" s="586"/>
      <c r="C53" s="575"/>
      <c r="D53" s="574"/>
      <c r="E53" s="583"/>
      <c r="F53" s="580"/>
    </row>
    <row r="54" spans="1:7">
      <c r="A54" s="640"/>
      <c r="B54" s="586"/>
      <c r="C54" s="575"/>
      <c r="D54" s="635"/>
      <c r="E54" s="583"/>
      <c r="F54" s="580"/>
    </row>
    <row r="55" spans="1:7" ht="13.8" thickBot="1">
      <c r="A55" s="572"/>
      <c r="B55" s="642"/>
      <c r="C55" s="575"/>
      <c r="D55" s="574"/>
      <c r="E55" s="576"/>
      <c r="F55" s="580"/>
    </row>
    <row r="56" spans="1:7">
      <c r="A56" s="591"/>
      <c r="B56" s="592"/>
      <c r="C56" s="594"/>
      <c r="D56" s="593"/>
      <c r="E56" s="643"/>
      <c r="F56" s="596"/>
    </row>
    <row r="57" spans="1:7">
      <c r="A57" s="597" t="s">
        <v>702</v>
      </c>
      <c r="B57" s="598" t="s">
        <v>282</v>
      </c>
      <c r="C57" s="600"/>
      <c r="D57" s="599"/>
      <c r="E57" s="601"/>
      <c r="F57" s="602">
        <f>SUM(F6:F55)</f>
        <v>2530.2399999999998</v>
      </c>
      <c r="G57" s="1203">
        <f>Elec_Est!F5003</f>
        <v>2530.2399999999998</v>
      </c>
    </row>
    <row r="58" spans="1:7">
      <c r="A58" s="603"/>
      <c r="B58" s="604"/>
      <c r="C58" s="606"/>
      <c r="D58" s="605"/>
      <c r="E58" s="644"/>
      <c r="F58" s="608"/>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G118"/>
  <sheetViews>
    <sheetView workbookViewId="0">
      <selection activeCell="E13" sqref="E13:E114"/>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554"/>
    <col min="8" max="8" width="9.109375" style="554" customWidth="1"/>
    <col min="9" max="16384" width="9.109375" style="554"/>
  </cols>
  <sheetData>
    <row r="1" spans="1:6">
      <c r="A1" s="548" t="s">
        <v>265</v>
      </c>
      <c r="B1" s="549"/>
      <c r="C1" s="549"/>
      <c r="D1" s="549"/>
      <c r="E1" s="622"/>
      <c r="F1" s="623"/>
    </row>
    <row r="2" spans="1:6">
      <c r="A2" s="555" t="s">
        <v>533</v>
      </c>
      <c r="B2" s="556"/>
      <c r="C2" s="556"/>
      <c r="D2" s="556"/>
      <c r="E2" s="624"/>
      <c r="F2" s="625"/>
    </row>
    <row r="3" spans="1:6">
      <c r="A3" s="555"/>
      <c r="B3" s="556"/>
      <c r="C3" s="556"/>
      <c r="D3" s="556"/>
      <c r="E3" s="624"/>
      <c r="F3" s="625"/>
    </row>
    <row r="4" spans="1:6">
      <c r="A4" s="562"/>
      <c r="B4" s="563"/>
      <c r="C4" s="564"/>
      <c r="D4" s="563"/>
      <c r="E4" s="626"/>
      <c r="F4" s="561"/>
    </row>
    <row r="5" spans="1:6" ht="13.8" thickBot="1">
      <c r="A5" s="566" t="s">
        <v>267</v>
      </c>
      <c r="B5" s="567"/>
      <c r="C5" s="569" t="s">
        <v>269</v>
      </c>
      <c r="D5" s="568" t="s">
        <v>259</v>
      </c>
      <c r="E5" s="570" t="s">
        <v>270</v>
      </c>
      <c r="F5" s="571" t="s">
        <v>260</v>
      </c>
    </row>
    <row r="6" spans="1:6">
      <c r="A6" s="627"/>
      <c r="B6" s="628"/>
      <c r="C6" s="630"/>
      <c r="D6" s="629"/>
      <c r="E6" s="631"/>
      <c r="F6" s="596"/>
    </row>
    <row r="7" spans="1:6">
      <c r="A7" s="632" t="s">
        <v>703</v>
      </c>
      <c r="B7" s="741" t="s">
        <v>533</v>
      </c>
      <c r="C7" s="636"/>
      <c r="D7" s="635"/>
      <c r="E7" s="637"/>
      <c r="F7" s="577"/>
    </row>
    <row r="8" spans="1:6">
      <c r="A8" s="632"/>
      <c r="B8" s="742"/>
      <c r="C8" s="636"/>
      <c r="D8" s="574"/>
      <c r="E8" s="583"/>
      <c r="F8" s="580"/>
    </row>
    <row r="9" spans="1:6" ht="26.4">
      <c r="A9" s="640" t="s">
        <v>703</v>
      </c>
      <c r="B9" s="721" t="s">
        <v>509</v>
      </c>
      <c r="C9" s="636"/>
      <c r="D9" s="574"/>
      <c r="E9" s="583"/>
      <c r="F9" s="580"/>
    </row>
    <row r="10" spans="1:6" ht="12.75" customHeight="1">
      <c r="A10" s="640"/>
      <c r="B10" s="582"/>
      <c r="C10" s="636"/>
      <c r="D10" s="574"/>
      <c r="E10" s="583"/>
      <c r="F10" s="580"/>
    </row>
    <row r="11" spans="1:6">
      <c r="A11" s="640" t="s">
        <v>703</v>
      </c>
      <c r="B11" s="722" t="s">
        <v>510</v>
      </c>
      <c r="C11" s="636"/>
      <c r="D11" s="574"/>
      <c r="E11" s="583"/>
      <c r="F11" s="580"/>
    </row>
    <row r="12" spans="1:6">
      <c r="A12" s="640"/>
      <c r="B12" s="586"/>
      <c r="C12" s="575"/>
      <c r="D12" s="574"/>
      <c r="E12" s="583"/>
      <c r="F12" s="580"/>
    </row>
    <row r="13" spans="1:6">
      <c r="A13" s="640">
        <v>1</v>
      </c>
      <c r="B13" s="745" t="s">
        <v>534</v>
      </c>
      <c r="C13" s="575">
        <v>2</v>
      </c>
      <c r="D13" s="574" t="s">
        <v>335</v>
      </c>
      <c r="E13" s="583">
        <f>Elec_Est!E5026</f>
        <v>66.709999999999994</v>
      </c>
      <c r="F13" s="580">
        <f>E13*C13</f>
        <v>133.41999999999999</v>
      </c>
    </row>
    <row r="14" spans="1:6">
      <c r="A14" s="640"/>
      <c r="B14" s="745"/>
      <c r="C14" s="575"/>
      <c r="D14" s="574"/>
      <c r="E14" s="583"/>
      <c r="F14" s="580"/>
    </row>
    <row r="15" spans="1:6">
      <c r="A15" s="640"/>
      <c r="B15" s="745"/>
      <c r="C15" s="575"/>
      <c r="D15" s="574"/>
      <c r="E15" s="583"/>
      <c r="F15" s="580"/>
    </row>
    <row r="16" spans="1:6">
      <c r="A16" s="640">
        <f>A13+1</f>
        <v>2</v>
      </c>
      <c r="B16" s="745" t="s">
        <v>535</v>
      </c>
      <c r="C16" s="575">
        <v>1</v>
      </c>
      <c r="D16" s="574" t="s">
        <v>335</v>
      </c>
      <c r="E16" s="583">
        <f>Elec_Est!E5042</f>
        <v>77.709999999999994</v>
      </c>
      <c r="F16" s="580">
        <f>E16*C16</f>
        <v>77.709999999999994</v>
      </c>
    </row>
    <row r="17" spans="1:6">
      <c r="A17" s="640"/>
      <c r="B17" s="588"/>
      <c r="C17" s="575"/>
      <c r="D17" s="574"/>
      <c r="E17" s="583"/>
      <c r="F17" s="580"/>
    </row>
    <row r="18" spans="1:6">
      <c r="A18" s="640"/>
      <c r="B18" s="588"/>
      <c r="C18" s="575"/>
      <c r="D18" s="574"/>
      <c r="E18" s="583"/>
      <c r="F18" s="580"/>
    </row>
    <row r="19" spans="1:6">
      <c r="A19" s="640">
        <f>A16+1</f>
        <v>3</v>
      </c>
      <c r="B19" s="745" t="s">
        <v>536</v>
      </c>
      <c r="C19" s="575">
        <v>60</v>
      </c>
      <c r="D19" s="574" t="s">
        <v>326</v>
      </c>
      <c r="E19" s="583">
        <f>Elec_Est!E5058</f>
        <v>1.1000000000000001</v>
      </c>
      <c r="F19" s="580">
        <f>E19*C19</f>
        <v>66</v>
      </c>
    </row>
    <row r="20" spans="1:6">
      <c r="A20" s="640"/>
      <c r="B20" s="588"/>
      <c r="C20" s="575"/>
      <c r="D20" s="574"/>
      <c r="E20" s="583"/>
      <c r="F20" s="580"/>
    </row>
    <row r="21" spans="1:6">
      <c r="A21" s="640"/>
      <c r="B21" s="586"/>
      <c r="C21" s="575"/>
      <c r="D21" s="574"/>
      <c r="E21" s="583"/>
      <c r="F21" s="580"/>
    </row>
    <row r="22" spans="1:6">
      <c r="A22" s="640" t="s">
        <v>703</v>
      </c>
      <c r="B22" s="722" t="s">
        <v>527</v>
      </c>
      <c r="C22" s="575"/>
      <c r="D22" s="574"/>
      <c r="E22" s="583"/>
      <c r="F22" s="580"/>
    </row>
    <row r="23" spans="1:6">
      <c r="A23" s="640"/>
      <c r="B23" s="588"/>
      <c r="C23" s="575"/>
      <c r="D23" s="574"/>
      <c r="E23" s="583"/>
      <c r="F23" s="580"/>
    </row>
    <row r="24" spans="1:6">
      <c r="A24" s="640"/>
      <c r="B24" s="586"/>
      <c r="C24" s="575"/>
      <c r="D24" s="574"/>
      <c r="E24" s="583"/>
      <c r="F24" s="580"/>
    </row>
    <row r="25" spans="1:6">
      <c r="A25" s="640">
        <f>A19+1</f>
        <v>4</v>
      </c>
      <c r="B25" s="582" t="s">
        <v>537</v>
      </c>
      <c r="C25" s="575">
        <v>1</v>
      </c>
      <c r="D25" s="574" t="s">
        <v>335</v>
      </c>
      <c r="E25" s="583">
        <f>Elec_Est!E5068</f>
        <v>990</v>
      </c>
      <c r="F25" s="580">
        <f>E25*C25</f>
        <v>990</v>
      </c>
    </row>
    <row r="26" spans="1:6">
      <c r="A26" s="640"/>
      <c r="B26" s="588"/>
      <c r="C26" s="575"/>
      <c r="D26" s="574"/>
      <c r="E26" s="583"/>
      <c r="F26" s="580"/>
    </row>
    <row r="27" spans="1:6">
      <c r="A27" s="640"/>
      <c r="B27" s="586"/>
      <c r="C27" s="575"/>
      <c r="D27" s="574"/>
      <c r="E27" s="583"/>
      <c r="F27" s="580"/>
    </row>
    <row r="28" spans="1:6">
      <c r="A28" s="640">
        <f>A25+1</f>
        <v>5</v>
      </c>
      <c r="B28" s="586" t="s">
        <v>538</v>
      </c>
      <c r="C28" s="575">
        <v>4</v>
      </c>
      <c r="D28" s="574" t="s">
        <v>335</v>
      </c>
      <c r="E28" s="583">
        <f>Elec_Est!E5074</f>
        <v>82.5</v>
      </c>
      <c r="F28" s="580">
        <f>E28*C28</f>
        <v>330</v>
      </c>
    </row>
    <row r="29" spans="1:6">
      <c r="A29" s="640"/>
      <c r="B29" s="586"/>
      <c r="C29" s="575"/>
      <c r="D29" s="574"/>
      <c r="E29" s="583"/>
      <c r="F29" s="580"/>
    </row>
    <row r="30" spans="1:6">
      <c r="A30" s="640"/>
      <c r="B30" s="586"/>
      <c r="C30" s="575"/>
      <c r="D30" s="574"/>
      <c r="E30" s="583"/>
      <c r="F30" s="580"/>
    </row>
    <row r="31" spans="1:6">
      <c r="A31" s="640">
        <f>A28+1</f>
        <v>6</v>
      </c>
      <c r="B31" s="586" t="s">
        <v>539</v>
      </c>
      <c r="C31" s="575">
        <v>7</v>
      </c>
      <c r="D31" s="574" t="s">
        <v>335</v>
      </c>
      <c r="E31" s="583">
        <f>Elec_Est!E5080</f>
        <v>16.5</v>
      </c>
      <c r="F31" s="580">
        <f>E31*C31</f>
        <v>115.5</v>
      </c>
    </row>
    <row r="32" spans="1:6">
      <c r="A32" s="640"/>
      <c r="B32" s="586"/>
      <c r="C32" s="575"/>
      <c r="D32" s="574"/>
      <c r="E32" s="583"/>
      <c r="F32" s="580"/>
    </row>
    <row r="33" spans="1:6">
      <c r="A33" s="640"/>
      <c r="B33" s="586"/>
      <c r="C33" s="575"/>
      <c r="D33" s="574"/>
      <c r="E33" s="583"/>
      <c r="F33" s="580"/>
    </row>
    <row r="34" spans="1:6" ht="26.4">
      <c r="A34" s="572">
        <f>A31+1</f>
        <v>7</v>
      </c>
      <c r="B34" s="586" t="s">
        <v>540</v>
      </c>
      <c r="C34" s="575">
        <v>1</v>
      </c>
      <c r="D34" s="574" t="s">
        <v>335</v>
      </c>
      <c r="E34" s="583">
        <f>Elec_Est!E5086</f>
        <v>71.5</v>
      </c>
      <c r="F34" s="580">
        <f>E34*C34</f>
        <v>71.5</v>
      </c>
    </row>
    <row r="35" spans="1:6">
      <c r="A35" s="640"/>
      <c r="B35" s="586"/>
      <c r="C35" s="575"/>
      <c r="D35" s="574"/>
      <c r="E35" s="583"/>
      <c r="F35" s="580"/>
    </row>
    <row r="36" spans="1:6">
      <c r="A36" s="640"/>
      <c r="B36" s="586"/>
      <c r="C36" s="575"/>
      <c r="D36" s="574"/>
      <c r="E36" s="583"/>
      <c r="F36" s="580"/>
    </row>
    <row r="37" spans="1:6">
      <c r="A37" s="640">
        <f>A34+1</f>
        <v>8</v>
      </c>
      <c r="B37" s="745" t="s">
        <v>534</v>
      </c>
      <c r="C37" s="575">
        <v>7</v>
      </c>
      <c r="D37" s="574" t="s">
        <v>335</v>
      </c>
      <c r="E37" s="583">
        <f>Elec_Est!E5092</f>
        <v>66.709999999999994</v>
      </c>
      <c r="F37" s="580">
        <f>E37*C37</f>
        <v>466.96999999999997</v>
      </c>
    </row>
    <row r="38" spans="1:6">
      <c r="A38" s="640"/>
      <c r="B38" s="745"/>
      <c r="C38" s="575"/>
      <c r="D38" s="574"/>
      <c r="E38" s="583"/>
      <c r="F38" s="580"/>
    </row>
    <row r="39" spans="1:6">
      <c r="A39" s="640"/>
      <c r="B39" s="745"/>
      <c r="C39" s="575"/>
      <c r="D39" s="574"/>
      <c r="E39" s="583"/>
      <c r="F39" s="580"/>
    </row>
    <row r="40" spans="1:6">
      <c r="A40" s="746">
        <f>A37+1</f>
        <v>9</v>
      </c>
      <c r="B40" s="745" t="s">
        <v>535</v>
      </c>
      <c r="C40" s="575">
        <v>2</v>
      </c>
      <c r="D40" s="574" t="s">
        <v>335</v>
      </c>
      <c r="E40" s="583">
        <f>Elec_Est!E5108</f>
        <v>77.709999999999994</v>
      </c>
      <c r="F40" s="580">
        <f>E40*C40</f>
        <v>155.41999999999999</v>
      </c>
    </row>
    <row r="41" spans="1:6">
      <c r="A41" s="746"/>
      <c r="B41" s="588"/>
      <c r="C41" s="575"/>
      <c r="D41" s="574"/>
      <c r="E41" s="583"/>
      <c r="F41" s="580"/>
    </row>
    <row r="42" spans="1:6">
      <c r="A42" s="746"/>
      <c r="B42" s="588"/>
      <c r="C42" s="575"/>
      <c r="D42" s="574"/>
      <c r="E42" s="583"/>
      <c r="F42" s="580"/>
    </row>
    <row r="43" spans="1:6">
      <c r="A43" s="747">
        <f>A40+1</f>
        <v>10</v>
      </c>
      <c r="B43" s="745" t="s">
        <v>536</v>
      </c>
      <c r="C43" s="575">
        <v>320</v>
      </c>
      <c r="D43" s="574" t="s">
        <v>326</v>
      </c>
      <c r="E43" s="583">
        <f>Elec_Est!E5124</f>
        <v>1.1000000000000001</v>
      </c>
      <c r="F43" s="580">
        <f>E43*C43</f>
        <v>352</v>
      </c>
    </row>
    <row r="44" spans="1:6">
      <c r="A44" s="748"/>
      <c r="B44" s="582"/>
      <c r="C44" s="575"/>
      <c r="E44" s="583"/>
      <c r="F44" s="580"/>
    </row>
    <row r="45" spans="1:6">
      <c r="A45" s="746"/>
      <c r="B45" s="586"/>
      <c r="C45" s="575"/>
      <c r="D45" s="574"/>
      <c r="E45" s="583"/>
      <c r="F45" s="580"/>
    </row>
    <row r="46" spans="1:6">
      <c r="A46" s="746"/>
      <c r="B46" s="674"/>
      <c r="C46" s="575"/>
      <c r="D46" s="574"/>
      <c r="E46" s="583"/>
      <c r="F46" s="580"/>
    </row>
    <row r="47" spans="1:6">
      <c r="A47" s="746"/>
      <c r="B47" s="586"/>
      <c r="C47" s="575"/>
      <c r="D47" s="574"/>
      <c r="E47" s="583"/>
      <c r="F47" s="580"/>
    </row>
    <row r="48" spans="1:6">
      <c r="A48" s="746"/>
      <c r="B48" s="586"/>
      <c r="C48" s="575"/>
      <c r="D48" s="574"/>
      <c r="E48" s="583"/>
      <c r="F48" s="580"/>
    </row>
    <row r="49" spans="1:7" ht="12.75" customHeight="1">
      <c r="A49" s="747"/>
      <c r="B49" s="586"/>
      <c r="C49" s="575"/>
      <c r="D49" s="574"/>
      <c r="E49" s="583"/>
      <c r="F49" s="580"/>
    </row>
    <row r="50" spans="1:7">
      <c r="A50" s="572"/>
      <c r="B50" s="586"/>
      <c r="C50" s="575"/>
      <c r="D50" s="635"/>
      <c r="E50" s="583"/>
      <c r="F50" s="580"/>
    </row>
    <row r="51" spans="1:7">
      <c r="A51" s="572"/>
      <c r="B51" s="586"/>
      <c r="C51" s="575"/>
      <c r="D51" s="635"/>
      <c r="E51" s="583"/>
      <c r="F51" s="580"/>
    </row>
    <row r="52" spans="1:7">
      <c r="A52" s="572"/>
      <c r="B52" s="586"/>
      <c r="C52" s="575"/>
      <c r="D52" s="635"/>
      <c r="E52" s="583"/>
      <c r="F52" s="580"/>
    </row>
    <row r="53" spans="1:7">
      <c r="A53" s="572"/>
      <c r="B53" s="586"/>
      <c r="C53" s="575"/>
      <c r="D53" s="574"/>
      <c r="E53" s="583"/>
      <c r="F53" s="580"/>
    </row>
    <row r="54" spans="1:7">
      <c r="A54" s="640"/>
      <c r="B54" s="586"/>
      <c r="C54" s="575"/>
      <c r="D54" s="635"/>
      <c r="E54" s="583"/>
      <c r="F54" s="580"/>
    </row>
    <row r="55" spans="1:7" ht="13.8" thickBot="1">
      <c r="A55" s="572"/>
      <c r="B55" s="642"/>
      <c r="C55" s="575"/>
      <c r="D55" s="574"/>
      <c r="E55" s="576"/>
      <c r="F55" s="580"/>
    </row>
    <row r="56" spans="1:7">
      <c r="A56" s="591"/>
      <c r="B56" s="592"/>
      <c r="C56" s="594"/>
      <c r="D56" s="593"/>
      <c r="E56" s="643"/>
      <c r="F56" s="596"/>
    </row>
    <row r="57" spans="1:7">
      <c r="A57" s="597" t="s">
        <v>702</v>
      </c>
      <c r="B57" s="598" t="s">
        <v>282</v>
      </c>
      <c r="C57" s="600"/>
      <c r="D57" s="599"/>
      <c r="E57" s="601"/>
      <c r="F57" s="602">
        <f>SUM(F6:F55)</f>
        <v>2758.52</v>
      </c>
      <c r="G57" s="1203">
        <f>Elec_Est!F5131</f>
        <v>2758.5200000000004</v>
      </c>
    </row>
    <row r="58" spans="1:7">
      <c r="A58" s="603"/>
      <c r="B58" s="604"/>
      <c r="C58" s="606"/>
      <c r="D58" s="605"/>
      <c r="E58" s="644"/>
      <c r="F58" s="608"/>
    </row>
    <row r="59" spans="1:7" ht="17.399999999999999">
      <c r="A59" s="609"/>
      <c r="B59" s="610"/>
      <c r="C59" s="551"/>
      <c r="D59" s="550"/>
      <c r="E59" s="645"/>
      <c r="F59" s="611"/>
    </row>
    <row r="60" spans="1:7" ht="12.75" customHeight="1">
      <c r="A60" s="612"/>
      <c r="B60" s="646"/>
      <c r="C60" s="648"/>
      <c r="D60" s="647"/>
      <c r="E60" s="649"/>
      <c r="F60" s="650"/>
    </row>
    <row r="61" spans="1:7" ht="12.75" customHeight="1">
      <c r="A61" s="612"/>
      <c r="B61" s="646"/>
      <c r="C61" s="648"/>
      <c r="D61" s="647"/>
      <c r="E61" s="649"/>
      <c r="F61" s="650"/>
    </row>
    <row r="62" spans="1:7" ht="13.2" customHeight="1">
      <c r="A62" s="603"/>
      <c r="B62" s="604"/>
      <c r="C62" s="606"/>
      <c r="D62" s="605"/>
      <c r="E62" s="644"/>
      <c r="F62" s="651"/>
    </row>
    <row r="63" spans="1:7" ht="13.8" thickBot="1">
      <c r="A63" s="616" t="s">
        <v>267</v>
      </c>
      <c r="B63" s="652" t="s">
        <v>268</v>
      </c>
      <c r="C63" s="569" t="s">
        <v>269</v>
      </c>
      <c r="D63" s="568" t="s">
        <v>259</v>
      </c>
      <c r="E63" s="570" t="s">
        <v>270</v>
      </c>
      <c r="F63" s="571" t="s">
        <v>260</v>
      </c>
    </row>
    <row r="64" spans="1:7">
      <c r="A64" s="653"/>
      <c r="B64" s="642"/>
      <c r="C64" s="656"/>
      <c r="D64" s="655"/>
      <c r="E64" s="657"/>
      <c r="F64" s="577"/>
    </row>
    <row r="65" spans="1:6">
      <c r="A65" s="572" t="s">
        <v>703</v>
      </c>
      <c r="B65" s="722" t="s">
        <v>530</v>
      </c>
      <c r="C65" s="575"/>
      <c r="D65" s="574"/>
      <c r="E65" s="583"/>
      <c r="F65" s="580"/>
    </row>
    <row r="66" spans="1:6">
      <c r="A66" s="640"/>
      <c r="B66" s="586"/>
      <c r="C66" s="575"/>
      <c r="D66" s="574"/>
      <c r="E66" s="583"/>
      <c r="F66" s="580"/>
    </row>
    <row r="67" spans="1:6">
      <c r="A67" s="640">
        <f>A43+1</f>
        <v>11</v>
      </c>
      <c r="B67" s="745" t="s">
        <v>534</v>
      </c>
      <c r="C67" s="575">
        <v>14</v>
      </c>
      <c r="D67" s="574" t="s">
        <v>335</v>
      </c>
      <c r="E67" s="583">
        <f>Elec_Est!E5140</f>
        <v>66.709999999999994</v>
      </c>
      <c r="F67" s="580">
        <f>E67*C67</f>
        <v>933.93999999999994</v>
      </c>
    </row>
    <row r="68" spans="1:6">
      <c r="A68" s="640"/>
      <c r="B68" s="745"/>
      <c r="C68" s="575"/>
      <c r="D68" s="574"/>
      <c r="E68" s="583"/>
      <c r="F68" s="580"/>
    </row>
    <row r="69" spans="1:6">
      <c r="A69" s="640"/>
      <c r="B69" s="745"/>
      <c r="C69" s="575"/>
      <c r="D69" s="574"/>
      <c r="E69" s="583"/>
      <c r="F69" s="580"/>
    </row>
    <row r="70" spans="1:6">
      <c r="A70" s="572">
        <f>A67+1</f>
        <v>12</v>
      </c>
      <c r="B70" s="745" t="s">
        <v>536</v>
      </c>
      <c r="C70" s="575">
        <v>435</v>
      </c>
      <c r="D70" s="574" t="s">
        <v>326</v>
      </c>
      <c r="E70" s="576">
        <f>Elec_Est!E5156</f>
        <v>1.1000000000000001</v>
      </c>
      <c r="F70" s="580">
        <f>E70*C70</f>
        <v>478.50000000000006</v>
      </c>
    </row>
    <row r="71" spans="1:6">
      <c r="A71" s="640"/>
      <c r="B71" s="588"/>
      <c r="C71" s="575"/>
      <c r="D71" s="574"/>
      <c r="E71" s="576"/>
      <c r="F71" s="580"/>
    </row>
    <row r="72" spans="1:6">
      <c r="A72" s="572"/>
      <c r="B72" s="586"/>
      <c r="C72" s="575"/>
      <c r="D72" s="574"/>
      <c r="E72" s="576"/>
      <c r="F72" s="580"/>
    </row>
    <row r="73" spans="1:6">
      <c r="A73" s="572" t="s">
        <v>703</v>
      </c>
      <c r="B73" s="722" t="s">
        <v>541</v>
      </c>
      <c r="C73" s="575"/>
      <c r="D73" s="574"/>
      <c r="E73" s="576"/>
      <c r="F73" s="580"/>
    </row>
    <row r="74" spans="1:6">
      <c r="A74" s="640"/>
      <c r="B74" s="586"/>
      <c r="C74" s="575"/>
      <c r="D74" s="574"/>
      <c r="E74" s="576"/>
      <c r="F74" s="580"/>
    </row>
    <row r="75" spans="1:6">
      <c r="A75" s="572">
        <f>A70+1</f>
        <v>13</v>
      </c>
      <c r="B75" s="745" t="s">
        <v>534</v>
      </c>
      <c r="C75" s="575">
        <v>11</v>
      </c>
      <c r="D75" s="574" t="s">
        <v>335</v>
      </c>
      <c r="E75" s="576">
        <f>Elec_Est!E5166</f>
        <v>66.709999999999994</v>
      </c>
      <c r="F75" s="580">
        <f>E75*C75</f>
        <v>733.81</v>
      </c>
    </row>
    <row r="76" spans="1:6">
      <c r="A76" s="572"/>
      <c r="B76" s="745"/>
      <c r="C76" s="575"/>
      <c r="D76" s="574"/>
      <c r="E76" s="576"/>
      <c r="F76" s="580"/>
    </row>
    <row r="77" spans="1:6">
      <c r="A77" s="640"/>
      <c r="B77" s="745"/>
      <c r="C77" s="575"/>
      <c r="D77" s="574"/>
      <c r="E77" s="576"/>
      <c r="F77" s="580"/>
    </row>
    <row r="78" spans="1:6">
      <c r="A78" s="572">
        <f>A75+1</f>
        <v>14</v>
      </c>
      <c r="B78" s="745" t="s">
        <v>535</v>
      </c>
      <c r="C78" s="656">
        <v>3</v>
      </c>
      <c r="D78" s="574" t="s">
        <v>335</v>
      </c>
      <c r="E78" s="662">
        <f>Elec_Est!E5182</f>
        <v>77.709999999999994</v>
      </c>
      <c r="F78" s="580">
        <f>E78*C78</f>
        <v>233.13</v>
      </c>
    </row>
    <row r="79" spans="1:6">
      <c r="A79" s="572"/>
      <c r="B79" s="588"/>
      <c r="C79" s="575"/>
      <c r="D79" s="574"/>
      <c r="E79" s="576"/>
      <c r="F79" s="580"/>
    </row>
    <row r="80" spans="1:6">
      <c r="A80" s="572"/>
      <c r="B80" s="588"/>
      <c r="C80" s="575"/>
      <c r="D80" s="574"/>
      <c r="E80" s="576"/>
      <c r="F80" s="580"/>
    </row>
    <row r="81" spans="1:6">
      <c r="A81" s="572">
        <f>A78+1</f>
        <v>15</v>
      </c>
      <c r="B81" s="745" t="s">
        <v>536</v>
      </c>
      <c r="C81" s="575">
        <v>765</v>
      </c>
      <c r="D81" s="574" t="s">
        <v>326</v>
      </c>
      <c r="E81" s="576">
        <f>Elec_Est!E5198</f>
        <v>1.1000000000000001</v>
      </c>
      <c r="F81" s="580">
        <f>E81*C81</f>
        <v>841.50000000000011</v>
      </c>
    </row>
    <row r="82" spans="1:6">
      <c r="A82" s="640"/>
      <c r="B82" s="674"/>
      <c r="C82" s="575"/>
      <c r="D82" s="574"/>
      <c r="E82" s="576"/>
      <c r="F82" s="580"/>
    </row>
    <row r="83" spans="1:6">
      <c r="A83" s="572"/>
      <c r="B83" s="713"/>
      <c r="C83" s="575"/>
      <c r="D83" s="661"/>
      <c r="E83" s="576"/>
      <c r="F83" s="580"/>
    </row>
    <row r="84" spans="1:6">
      <c r="A84" s="572" t="s">
        <v>703</v>
      </c>
      <c r="B84" s="722" t="s">
        <v>542</v>
      </c>
      <c r="C84" s="575"/>
      <c r="D84" s="661"/>
      <c r="E84" s="576"/>
      <c r="F84" s="580"/>
    </row>
    <row r="85" spans="1:6">
      <c r="A85" s="572"/>
      <c r="B85" s="586"/>
      <c r="C85" s="575"/>
      <c r="D85" s="574"/>
      <c r="E85" s="576"/>
      <c r="F85" s="580"/>
    </row>
    <row r="86" spans="1:6">
      <c r="A86" s="572">
        <f>A81+1</f>
        <v>16</v>
      </c>
      <c r="B86" s="745" t="s">
        <v>534</v>
      </c>
      <c r="C86" s="575">
        <v>11</v>
      </c>
      <c r="D86" s="574" t="s">
        <v>335</v>
      </c>
      <c r="E86" s="576">
        <f>Elec_Est!E5208</f>
        <v>66.709999999999994</v>
      </c>
      <c r="F86" s="580">
        <f>E86*C86</f>
        <v>733.81</v>
      </c>
    </row>
    <row r="87" spans="1:6">
      <c r="A87" s="572"/>
      <c r="B87" s="745"/>
      <c r="C87" s="575"/>
      <c r="D87" s="574"/>
      <c r="E87" s="576"/>
      <c r="F87" s="580"/>
    </row>
    <row r="88" spans="1:6">
      <c r="A88" s="572"/>
      <c r="B88" s="745"/>
      <c r="C88" s="575"/>
      <c r="D88" s="574"/>
      <c r="E88" s="576"/>
      <c r="F88" s="580"/>
    </row>
    <row r="89" spans="1:6">
      <c r="A89" s="572">
        <f>A86+1</f>
        <v>17</v>
      </c>
      <c r="B89" s="745" t="s">
        <v>536</v>
      </c>
      <c r="C89" s="575">
        <v>470</v>
      </c>
      <c r="D89" s="574" t="s">
        <v>326</v>
      </c>
      <c r="E89" s="576">
        <f>Elec_Est!E5224</f>
        <v>1.1000000000000001</v>
      </c>
      <c r="F89" s="580">
        <f>E89*C89</f>
        <v>517</v>
      </c>
    </row>
    <row r="90" spans="1:6">
      <c r="A90" s="572"/>
      <c r="C90" s="575"/>
      <c r="D90" s="574"/>
      <c r="E90" s="576"/>
      <c r="F90" s="580"/>
    </row>
    <row r="91" spans="1:6">
      <c r="A91" s="572"/>
      <c r="B91" s="674"/>
      <c r="C91" s="575"/>
      <c r="D91" s="574"/>
      <c r="E91" s="576"/>
      <c r="F91" s="580"/>
    </row>
    <row r="92" spans="1:6">
      <c r="A92" s="572" t="s">
        <v>703</v>
      </c>
      <c r="B92" s="722" t="s">
        <v>543</v>
      </c>
      <c r="C92" s="575"/>
      <c r="D92" s="661"/>
      <c r="E92" s="576"/>
      <c r="F92" s="580"/>
    </row>
    <row r="93" spans="1:6">
      <c r="A93" s="572"/>
      <c r="B93" s="586"/>
      <c r="C93" s="575"/>
      <c r="D93" s="661"/>
      <c r="E93" s="576"/>
      <c r="F93" s="580"/>
    </row>
    <row r="94" spans="1:6">
      <c r="A94" s="572">
        <f>A89+1</f>
        <v>18</v>
      </c>
      <c r="B94" s="745" t="s">
        <v>534</v>
      </c>
      <c r="C94" s="575">
        <v>11</v>
      </c>
      <c r="D94" s="574" t="s">
        <v>335</v>
      </c>
      <c r="E94" s="576">
        <f>Elec_Est!E5234</f>
        <v>66.709999999999994</v>
      </c>
      <c r="F94" s="580">
        <f>E94*C94</f>
        <v>733.81</v>
      </c>
    </row>
    <row r="95" spans="1:6">
      <c r="A95" s="572"/>
      <c r="B95" s="745"/>
      <c r="C95" s="575"/>
      <c r="D95" s="574"/>
      <c r="E95" s="576"/>
      <c r="F95" s="580"/>
    </row>
    <row r="96" spans="1:6">
      <c r="A96" s="572"/>
      <c r="B96" s="745"/>
      <c r="C96" s="575"/>
      <c r="D96" s="574"/>
      <c r="E96" s="576"/>
      <c r="F96" s="580"/>
    </row>
    <row r="97" spans="1:6">
      <c r="A97" s="572">
        <f>A94+1</f>
        <v>19</v>
      </c>
      <c r="B97" s="745" t="s">
        <v>536</v>
      </c>
      <c r="C97" s="664">
        <v>535</v>
      </c>
      <c r="D97" s="574" t="s">
        <v>326</v>
      </c>
      <c r="E97" s="576">
        <f>Elec_Est!E5250</f>
        <v>1.1000000000000001</v>
      </c>
      <c r="F97" s="580">
        <f>E97*C97</f>
        <v>588.5</v>
      </c>
    </row>
    <row r="98" spans="1:6">
      <c r="A98" s="572"/>
      <c r="B98" s="749"/>
      <c r="C98" s="664"/>
      <c r="D98" s="574"/>
      <c r="E98" s="576"/>
      <c r="F98" s="580"/>
    </row>
    <row r="99" spans="1:6">
      <c r="A99" s="572"/>
      <c r="B99" s="614"/>
      <c r="C99" s="664"/>
      <c r="D99" s="661"/>
      <c r="E99" s="576"/>
      <c r="F99" s="580"/>
    </row>
    <row r="100" spans="1:6">
      <c r="A100" s="572" t="s">
        <v>703</v>
      </c>
      <c r="B100" s="722" t="s">
        <v>531</v>
      </c>
      <c r="C100" s="664"/>
      <c r="D100" s="661"/>
      <c r="E100" s="576"/>
      <c r="F100" s="580"/>
    </row>
    <row r="101" spans="1:6">
      <c r="A101" s="572"/>
      <c r="B101" s="586"/>
      <c r="C101" s="664"/>
      <c r="D101" s="661"/>
      <c r="E101" s="576"/>
      <c r="F101" s="580"/>
    </row>
    <row r="102" spans="1:6">
      <c r="A102" s="572">
        <f>A97+1</f>
        <v>20</v>
      </c>
      <c r="B102" s="745" t="s">
        <v>534</v>
      </c>
      <c r="C102" s="664">
        <v>9</v>
      </c>
      <c r="D102" s="574" t="s">
        <v>335</v>
      </c>
      <c r="E102" s="576">
        <f>Elec_Est!E5260</f>
        <v>66.709999999999994</v>
      </c>
      <c r="F102" s="580">
        <f>E102*C102</f>
        <v>600.39</v>
      </c>
    </row>
    <row r="103" spans="1:6">
      <c r="A103" s="572"/>
      <c r="B103" s="745"/>
      <c r="C103" s="664"/>
      <c r="D103" s="574"/>
      <c r="E103" s="576"/>
      <c r="F103" s="580"/>
    </row>
    <row r="104" spans="1:6">
      <c r="A104" s="632"/>
      <c r="B104" s="745"/>
      <c r="C104" s="636"/>
      <c r="D104" s="574"/>
      <c r="E104" s="583"/>
      <c r="F104" s="580"/>
    </row>
    <row r="105" spans="1:6">
      <c r="A105" s="640">
        <f>A102+1</f>
        <v>21</v>
      </c>
      <c r="B105" s="745" t="s">
        <v>536</v>
      </c>
      <c r="C105" s="575">
        <v>440</v>
      </c>
      <c r="D105" s="574" t="s">
        <v>326</v>
      </c>
      <c r="E105" s="583">
        <f>Elec_Est!E5276</f>
        <v>1.1000000000000001</v>
      </c>
      <c r="F105" s="580">
        <f>E105*C105</f>
        <v>484.00000000000006</v>
      </c>
    </row>
    <row r="106" spans="1:6">
      <c r="A106" s="572"/>
      <c r="B106" s="665"/>
      <c r="C106" s="664"/>
      <c r="D106" s="655"/>
      <c r="E106" s="576"/>
      <c r="F106" s="580"/>
    </row>
    <row r="107" spans="1:6">
      <c r="A107" s="572"/>
      <c r="B107" s="665"/>
      <c r="C107" s="664"/>
      <c r="D107" s="655"/>
      <c r="E107" s="576"/>
      <c r="F107" s="580"/>
    </row>
    <row r="108" spans="1:6">
      <c r="A108" s="572"/>
      <c r="B108" s="665"/>
      <c r="C108" s="664"/>
      <c r="D108" s="655"/>
      <c r="E108" s="576"/>
      <c r="F108" s="580"/>
    </row>
    <row r="109" spans="1:6">
      <c r="A109" s="572"/>
      <c r="B109" s="665"/>
      <c r="C109" s="664"/>
      <c r="D109" s="655"/>
      <c r="E109" s="576"/>
      <c r="F109" s="580"/>
    </row>
    <row r="110" spans="1:6">
      <c r="A110" s="572"/>
      <c r="B110" s="665"/>
      <c r="C110" s="664"/>
      <c r="D110" s="655"/>
      <c r="E110" s="576"/>
      <c r="F110" s="580"/>
    </row>
    <row r="111" spans="1:6">
      <c r="A111" s="572"/>
      <c r="B111" s="665"/>
      <c r="C111" s="664"/>
      <c r="D111" s="655"/>
      <c r="E111" s="576"/>
      <c r="F111" s="580"/>
    </row>
    <row r="112" spans="1:6">
      <c r="A112" s="572"/>
      <c r="B112" s="658"/>
      <c r="C112" s="664"/>
      <c r="D112" s="661"/>
      <c r="E112" s="576"/>
      <c r="F112" s="580"/>
    </row>
    <row r="113" spans="1:7">
      <c r="A113" s="632"/>
      <c r="B113" s="658"/>
      <c r="C113" s="636"/>
      <c r="D113" s="635"/>
      <c r="E113" s="583"/>
      <c r="F113" s="584"/>
    </row>
    <row r="114" spans="1:7">
      <c r="A114" s="572"/>
      <c r="B114" s="614"/>
      <c r="C114" s="575"/>
      <c r="D114" s="574"/>
      <c r="E114" s="576"/>
      <c r="F114" s="580"/>
    </row>
    <row r="115" spans="1:7" ht="13.8" thickBot="1">
      <c r="A115" s="653"/>
      <c r="B115" s="588"/>
      <c r="C115" s="667"/>
      <c r="D115" s="666"/>
      <c r="E115" s="668"/>
      <c r="F115" s="577"/>
    </row>
    <row r="116" spans="1:7">
      <c r="A116" s="591"/>
      <c r="B116" s="592"/>
      <c r="C116" s="594"/>
      <c r="D116" s="593"/>
      <c r="E116" s="643"/>
      <c r="F116" s="596"/>
    </row>
    <row r="117" spans="1:7">
      <c r="A117" s="597" t="s">
        <v>702</v>
      </c>
      <c r="B117" s="598" t="s">
        <v>282</v>
      </c>
      <c r="C117" s="600"/>
      <c r="D117" s="599"/>
      <c r="E117" s="601"/>
      <c r="F117" s="602">
        <f>SUM(F64:F115)</f>
        <v>6878.39</v>
      </c>
      <c r="G117" s="1203">
        <f>Elec_Est!F5283</f>
        <v>6878.39</v>
      </c>
    </row>
    <row r="118" spans="1:7">
      <c r="A118" s="603"/>
      <c r="B118" s="604"/>
      <c r="C118" s="606"/>
      <c r="D118" s="605"/>
      <c r="E118" s="644"/>
      <c r="F118" s="60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G56"/>
  <sheetViews>
    <sheetView topLeftCell="A22" workbookViewId="0">
      <selection activeCell="E11" sqref="E11:E28"/>
    </sheetView>
  </sheetViews>
  <sheetFormatPr defaultColWidth="9.109375" defaultRowHeight="13.2"/>
  <cols>
    <col min="1" max="1" width="7.6640625" style="618" customWidth="1"/>
    <col min="2" max="2" width="48" style="554" customWidth="1"/>
    <col min="3" max="3" width="6.33203125" style="619" customWidth="1"/>
    <col min="4" max="4" width="8.33203125" style="554" customWidth="1"/>
    <col min="5" max="5" width="10.33203125" style="621" customWidth="1"/>
    <col min="6" max="6" width="11.6640625" style="621" customWidth="1"/>
    <col min="7" max="7" width="9.109375" style="554"/>
    <col min="8" max="8" width="9.109375" style="554" customWidth="1"/>
    <col min="9" max="16384" width="9.109375" style="554"/>
  </cols>
  <sheetData>
    <row r="1" spans="1:6">
      <c r="A1" s="548" t="s">
        <v>265</v>
      </c>
      <c r="B1" s="549"/>
      <c r="C1" s="549"/>
      <c r="D1" s="549"/>
      <c r="E1" s="622"/>
      <c r="F1" s="623"/>
    </row>
    <row r="2" spans="1:6">
      <c r="A2" s="555" t="s">
        <v>544</v>
      </c>
      <c r="B2" s="556"/>
      <c r="C2" s="556"/>
      <c r="D2" s="556"/>
      <c r="E2" s="624"/>
      <c r="F2" s="625"/>
    </row>
    <row r="3" spans="1:6">
      <c r="A3" s="555"/>
      <c r="B3" s="556"/>
      <c r="C3" s="556"/>
      <c r="D3" s="556"/>
      <c r="E3" s="624"/>
      <c r="F3" s="625"/>
    </row>
    <row r="4" spans="1:6">
      <c r="A4" s="562"/>
      <c r="B4" s="563"/>
      <c r="C4" s="564"/>
      <c r="D4" s="563"/>
      <c r="E4" s="626"/>
      <c r="F4" s="561"/>
    </row>
    <row r="5" spans="1:6" ht="13.8" thickBot="1">
      <c r="A5" s="566" t="s">
        <v>267</v>
      </c>
      <c r="B5" s="567"/>
      <c r="C5" s="569" t="s">
        <v>269</v>
      </c>
      <c r="D5" s="568" t="s">
        <v>259</v>
      </c>
      <c r="E5" s="570" t="s">
        <v>270</v>
      </c>
      <c r="F5" s="571" t="s">
        <v>260</v>
      </c>
    </row>
    <row r="6" spans="1:6">
      <c r="A6" s="627"/>
      <c r="B6" s="628"/>
      <c r="C6" s="630"/>
      <c r="D6" s="629"/>
      <c r="E6" s="631"/>
      <c r="F6" s="596"/>
    </row>
    <row r="7" spans="1:6">
      <c r="A7" s="632" t="s">
        <v>703</v>
      </c>
      <c r="B7" s="742" t="s">
        <v>544</v>
      </c>
      <c r="C7" s="636"/>
      <c r="D7" s="635"/>
      <c r="E7" s="637"/>
      <c r="F7" s="577"/>
    </row>
    <row r="8" spans="1:6">
      <c r="A8" s="632"/>
      <c r="B8" s="742"/>
      <c r="C8" s="636"/>
      <c r="D8" s="574"/>
      <c r="E8" s="583"/>
      <c r="F8" s="580"/>
    </row>
    <row r="9" spans="1:6" ht="26.4">
      <c r="A9" s="640" t="s">
        <v>703</v>
      </c>
      <c r="B9" s="721" t="s">
        <v>509</v>
      </c>
      <c r="C9" s="636"/>
      <c r="D9" s="574"/>
      <c r="E9" s="583"/>
      <c r="F9" s="580"/>
    </row>
    <row r="10" spans="1:6" ht="12.75" customHeight="1">
      <c r="A10" s="640"/>
      <c r="B10" s="582"/>
      <c r="C10" s="636"/>
      <c r="D10" s="574"/>
      <c r="E10" s="583"/>
      <c r="F10" s="580"/>
    </row>
    <row r="11" spans="1:6" ht="39.6">
      <c r="A11" s="572">
        <v>1</v>
      </c>
      <c r="B11" s="750" t="s">
        <v>545</v>
      </c>
      <c r="C11" s="575">
        <v>1</v>
      </c>
      <c r="D11" s="574" t="s">
        <v>272</v>
      </c>
      <c r="E11" s="576">
        <f>Elec_Est!E5306</f>
        <v>3424.43</v>
      </c>
      <c r="F11" s="580">
        <f>E11*C11</f>
        <v>3424.43</v>
      </c>
    </row>
    <row r="12" spans="1:6" ht="12.75" customHeight="1">
      <c r="A12" s="572"/>
      <c r="B12" s="588"/>
      <c r="C12" s="575"/>
      <c r="D12" s="574"/>
      <c r="E12" s="576"/>
      <c r="F12" s="580"/>
    </row>
    <row r="13" spans="1:6" ht="12.75" customHeight="1">
      <c r="A13" s="572"/>
      <c r="B13" s="588"/>
      <c r="C13" s="575"/>
      <c r="D13" s="574"/>
      <c r="E13" s="576"/>
      <c r="F13" s="580"/>
    </row>
    <row r="14" spans="1:6">
      <c r="A14" s="572">
        <v>2</v>
      </c>
      <c r="B14" s="751" t="s">
        <v>546</v>
      </c>
      <c r="C14" s="575">
        <v>7</v>
      </c>
      <c r="D14" s="574" t="s">
        <v>335</v>
      </c>
      <c r="E14" s="576">
        <f>Elec_Est!E5312</f>
        <v>335.79</v>
      </c>
      <c r="F14" s="580">
        <f>E14*C14</f>
        <v>2350.5300000000002</v>
      </c>
    </row>
    <row r="15" spans="1:6">
      <c r="A15" s="572"/>
      <c r="B15" s="586"/>
      <c r="C15" s="575"/>
      <c r="D15" s="574"/>
      <c r="E15" s="576"/>
      <c r="F15" s="580"/>
    </row>
    <row r="16" spans="1:6">
      <c r="A16" s="572"/>
      <c r="B16" s="586"/>
      <c r="C16" s="575"/>
      <c r="D16" s="574"/>
      <c r="E16" s="576"/>
      <c r="F16" s="580"/>
    </row>
    <row r="17" spans="1:6">
      <c r="A17" s="572">
        <v>3</v>
      </c>
      <c r="B17" s="588" t="s">
        <v>547</v>
      </c>
      <c r="C17" s="575">
        <v>7</v>
      </c>
      <c r="D17" s="574" t="s">
        <v>335</v>
      </c>
      <c r="E17" s="576">
        <f>Elec_Est!E5328</f>
        <v>151.88</v>
      </c>
      <c r="F17" s="580">
        <f>E17*C17</f>
        <v>1063.1599999999999</v>
      </c>
    </row>
    <row r="18" spans="1:6">
      <c r="A18" s="572"/>
      <c r="B18" s="588"/>
      <c r="C18" s="575"/>
      <c r="D18" s="574"/>
      <c r="E18" s="576"/>
      <c r="F18" s="580"/>
    </row>
    <row r="19" spans="1:6">
      <c r="A19" s="572"/>
      <c r="B19" s="588"/>
      <c r="C19" s="575"/>
      <c r="D19" s="574"/>
      <c r="E19" s="576"/>
      <c r="F19" s="580"/>
    </row>
    <row r="20" spans="1:6">
      <c r="A20" s="572">
        <v>4</v>
      </c>
      <c r="B20" s="588" t="s">
        <v>548</v>
      </c>
      <c r="C20" s="575">
        <v>7</v>
      </c>
      <c r="D20" s="574" t="s">
        <v>335</v>
      </c>
      <c r="E20" s="576">
        <f>Elec_Est!E5344</f>
        <v>125.6</v>
      </c>
      <c r="F20" s="580">
        <f>E20*C20</f>
        <v>879.19999999999993</v>
      </c>
    </row>
    <row r="21" spans="1:6">
      <c r="A21" s="572"/>
      <c r="B21" s="722"/>
      <c r="C21" s="575"/>
      <c r="D21" s="574"/>
      <c r="E21" s="576"/>
      <c r="F21" s="580"/>
    </row>
    <row r="22" spans="1:6">
      <c r="A22" s="572"/>
      <c r="B22" s="722"/>
      <c r="C22" s="575"/>
      <c r="D22" s="574"/>
      <c r="E22" s="576"/>
      <c r="F22" s="580"/>
    </row>
    <row r="23" spans="1:6">
      <c r="A23" s="572">
        <v>5</v>
      </c>
      <c r="B23" s="588" t="s">
        <v>549</v>
      </c>
      <c r="C23" s="575">
        <v>1</v>
      </c>
      <c r="D23" s="574" t="s">
        <v>272</v>
      </c>
      <c r="E23" s="576">
        <f>Elec_Est!E5360</f>
        <v>2569.1799999999998</v>
      </c>
      <c r="F23" s="580">
        <f>E23*C23</f>
        <v>2569.1799999999998</v>
      </c>
    </row>
    <row r="24" spans="1:6">
      <c r="A24" s="572"/>
      <c r="C24" s="575"/>
      <c r="D24" s="574"/>
      <c r="E24" s="576"/>
      <c r="F24" s="580"/>
    </row>
    <row r="25" spans="1:6">
      <c r="A25" s="572"/>
      <c r="C25" s="575"/>
      <c r="D25" s="574"/>
      <c r="E25" s="576"/>
      <c r="F25" s="580"/>
    </row>
    <row r="26" spans="1:6">
      <c r="A26" s="640">
        <v>6</v>
      </c>
      <c r="B26" s="752" t="s">
        <v>550</v>
      </c>
      <c r="C26" s="575">
        <v>15</v>
      </c>
      <c r="D26" s="574" t="s">
        <v>335</v>
      </c>
      <c r="E26" s="576">
        <f>Elec_Est!E5366</f>
        <v>6.47</v>
      </c>
      <c r="F26" s="580">
        <f>E26*C26</f>
        <v>97.05</v>
      </c>
    </row>
    <row r="27" spans="1:6">
      <c r="A27" s="640"/>
      <c r="B27" s="588"/>
      <c r="C27" s="575"/>
      <c r="D27" s="574"/>
      <c r="E27" s="576"/>
      <c r="F27" s="580"/>
    </row>
    <row r="28" spans="1:6">
      <c r="A28" s="640"/>
      <c r="B28" s="586"/>
      <c r="C28" s="575"/>
      <c r="D28" s="574"/>
      <c r="E28" s="576"/>
      <c r="F28" s="580"/>
    </row>
    <row r="29" spans="1:6">
      <c r="A29" s="640"/>
      <c r="B29" s="588"/>
      <c r="C29" s="575"/>
      <c r="D29" s="574"/>
      <c r="E29" s="576"/>
      <c r="F29" s="580"/>
    </row>
    <row r="30" spans="1:6">
      <c r="A30" s="640"/>
      <c r="B30" s="588"/>
      <c r="C30" s="575"/>
      <c r="D30" s="574"/>
      <c r="E30" s="576"/>
      <c r="F30" s="580"/>
    </row>
    <row r="31" spans="1:6">
      <c r="A31" s="640"/>
      <c r="B31" s="588"/>
      <c r="C31" s="575"/>
      <c r="D31" s="574"/>
      <c r="E31" s="583"/>
      <c r="F31" s="580"/>
    </row>
    <row r="32" spans="1:6">
      <c r="A32" s="640"/>
      <c r="B32" s="588"/>
      <c r="C32" s="575"/>
      <c r="D32" s="574"/>
      <c r="E32" s="583"/>
      <c r="F32" s="580"/>
    </row>
    <row r="33" spans="1:6">
      <c r="A33" s="640"/>
      <c r="B33" s="586"/>
      <c r="C33" s="575"/>
      <c r="D33" s="574"/>
      <c r="E33" s="583"/>
      <c r="F33" s="580"/>
    </row>
    <row r="34" spans="1:6">
      <c r="A34" s="640"/>
      <c r="B34" s="722"/>
      <c r="C34" s="575"/>
      <c r="D34" s="574"/>
      <c r="E34" s="583"/>
      <c r="F34" s="580"/>
    </row>
    <row r="35" spans="1:6">
      <c r="A35" s="640"/>
      <c r="B35" s="586"/>
      <c r="C35" s="575"/>
      <c r="D35" s="574"/>
      <c r="E35" s="583"/>
      <c r="F35" s="580"/>
    </row>
    <row r="36" spans="1:6">
      <c r="A36" s="640"/>
      <c r="B36" s="586"/>
      <c r="C36" s="575"/>
      <c r="D36" s="574"/>
      <c r="E36" s="583"/>
      <c r="F36" s="580"/>
    </row>
    <row r="37" spans="1:6">
      <c r="A37" s="640"/>
      <c r="B37" s="588"/>
      <c r="C37" s="575"/>
      <c r="D37" s="574"/>
      <c r="E37" s="583"/>
      <c r="F37" s="580"/>
    </row>
    <row r="38" spans="1:6">
      <c r="A38" s="640"/>
      <c r="B38" s="586"/>
      <c r="C38" s="575"/>
      <c r="D38" s="574"/>
      <c r="E38" s="583"/>
      <c r="F38" s="580"/>
    </row>
    <row r="39" spans="1:6">
      <c r="A39" s="640"/>
      <c r="B39" s="586"/>
      <c r="C39" s="575"/>
      <c r="D39" s="574"/>
      <c r="E39" s="583"/>
      <c r="F39" s="580"/>
    </row>
    <row r="40" spans="1:6">
      <c r="A40" s="640"/>
      <c r="B40" s="722"/>
      <c r="C40" s="575"/>
      <c r="D40" s="574"/>
      <c r="E40" s="583"/>
      <c r="F40" s="580"/>
    </row>
    <row r="41" spans="1:6">
      <c r="A41" s="640"/>
      <c r="B41" s="586"/>
      <c r="C41" s="575"/>
      <c r="D41" s="574"/>
      <c r="E41" s="583"/>
      <c r="F41" s="580"/>
    </row>
    <row r="42" spans="1:6">
      <c r="A42" s="640"/>
      <c r="B42" s="586"/>
      <c r="C42" s="575"/>
      <c r="D42" s="574"/>
      <c r="E42" s="583"/>
      <c r="F42" s="580"/>
    </row>
    <row r="43" spans="1:6">
      <c r="A43" s="640"/>
      <c r="B43" s="588"/>
      <c r="C43" s="575"/>
      <c r="D43" s="574"/>
      <c r="E43" s="583"/>
      <c r="F43" s="580"/>
    </row>
    <row r="44" spans="1:6">
      <c r="A44" s="640"/>
      <c r="B44" s="586"/>
      <c r="C44" s="575"/>
      <c r="D44" s="574"/>
      <c r="E44" s="583"/>
      <c r="F44" s="580"/>
    </row>
    <row r="45" spans="1:6">
      <c r="A45" s="640"/>
      <c r="B45" s="586"/>
      <c r="C45" s="575"/>
      <c r="D45" s="574"/>
      <c r="E45" s="583"/>
      <c r="F45" s="580"/>
    </row>
    <row r="46" spans="1:6">
      <c r="A46" s="640"/>
      <c r="B46" s="586"/>
      <c r="C46" s="575"/>
      <c r="D46" s="574"/>
      <c r="E46" s="583"/>
      <c r="F46" s="580"/>
    </row>
    <row r="47" spans="1:6">
      <c r="A47" s="640"/>
      <c r="C47" s="575"/>
      <c r="D47" s="574"/>
      <c r="E47" s="583"/>
      <c r="F47" s="580"/>
    </row>
    <row r="48" spans="1:6">
      <c r="A48" s="640"/>
      <c r="B48" s="744"/>
      <c r="C48" s="575"/>
      <c r="D48" s="574"/>
      <c r="E48" s="583"/>
      <c r="F48" s="580"/>
    </row>
    <row r="49" spans="1:7">
      <c r="A49" s="640"/>
      <c r="B49" s="586"/>
      <c r="C49" s="575"/>
      <c r="D49" s="574"/>
      <c r="E49" s="583"/>
      <c r="F49" s="580"/>
    </row>
    <row r="50" spans="1:7">
      <c r="A50" s="640"/>
      <c r="B50" s="722"/>
      <c r="C50" s="575"/>
      <c r="D50" s="574"/>
      <c r="E50" s="583"/>
      <c r="F50" s="580"/>
    </row>
    <row r="51" spans="1:7">
      <c r="A51" s="640"/>
      <c r="B51" s="586"/>
      <c r="C51" s="575"/>
      <c r="D51" s="574"/>
      <c r="E51" s="583"/>
      <c r="F51" s="580"/>
    </row>
    <row r="52" spans="1:7">
      <c r="A52" s="572"/>
      <c r="B52" s="582"/>
      <c r="C52" s="575"/>
      <c r="D52" s="574"/>
      <c r="E52" s="583"/>
      <c r="F52" s="580"/>
    </row>
    <row r="53" spans="1:7" ht="13.8" thickBot="1">
      <c r="A53" s="572"/>
      <c r="B53" s="642"/>
      <c r="C53" s="575"/>
      <c r="D53" s="574"/>
      <c r="E53" s="576"/>
      <c r="F53" s="580"/>
    </row>
    <row r="54" spans="1:7">
      <c r="A54" s="591"/>
      <c r="B54" s="592"/>
      <c r="C54" s="594"/>
      <c r="D54" s="593"/>
      <c r="E54" s="643"/>
      <c r="F54" s="596"/>
    </row>
    <row r="55" spans="1:7">
      <c r="A55" s="597" t="s">
        <v>702</v>
      </c>
      <c r="B55" s="598" t="s">
        <v>282</v>
      </c>
      <c r="C55" s="600"/>
      <c r="D55" s="599"/>
      <c r="E55" s="601"/>
      <c r="F55" s="602">
        <f>SUM(F6:F53)</f>
        <v>10383.549999999999</v>
      </c>
      <c r="G55" s="1203">
        <f>Elec_Est!F5373</f>
        <v>10383.549999999999</v>
      </c>
    </row>
    <row r="56" spans="1:7">
      <c r="A56" s="603"/>
      <c r="B56" s="604"/>
      <c r="C56" s="606"/>
      <c r="D56" s="605"/>
      <c r="E56" s="644"/>
      <c r="F56" s="60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G56"/>
  <sheetViews>
    <sheetView workbookViewId="0">
      <selection activeCell="E11" sqref="E11:E17"/>
    </sheetView>
  </sheetViews>
  <sheetFormatPr defaultColWidth="9.109375" defaultRowHeight="13.2"/>
  <cols>
    <col min="1" max="1" width="7.6640625" style="818" customWidth="1"/>
    <col min="2" max="2" width="48" style="757" customWidth="1"/>
    <col min="3" max="3" width="6.33203125" style="819" customWidth="1"/>
    <col min="4" max="4" width="8.33203125" style="757" customWidth="1"/>
    <col min="5" max="5" width="10.33203125" style="820" customWidth="1"/>
    <col min="6" max="6" width="11.6640625" style="820" customWidth="1"/>
    <col min="7" max="7" width="9.109375" style="757"/>
    <col min="8" max="8" width="9.109375" style="757" customWidth="1"/>
    <col min="9" max="16384" width="9.109375" style="757"/>
  </cols>
  <sheetData>
    <row r="1" spans="1:6">
      <c r="A1" s="753" t="s">
        <v>265</v>
      </c>
      <c r="B1" s="754"/>
      <c r="C1" s="754"/>
      <c r="D1" s="754"/>
      <c r="E1" s="755"/>
      <c r="F1" s="756"/>
    </row>
    <row r="2" spans="1:6">
      <c r="A2" s="758" t="s">
        <v>551</v>
      </c>
      <c r="B2" s="759"/>
      <c r="C2" s="759"/>
      <c r="D2" s="759"/>
      <c r="E2" s="760"/>
      <c r="F2" s="761"/>
    </row>
    <row r="3" spans="1:6">
      <c r="A3" s="758"/>
      <c r="B3" s="759"/>
      <c r="C3" s="759"/>
      <c r="D3" s="759"/>
      <c r="E3" s="760"/>
      <c r="F3" s="761"/>
    </row>
    <row r="4" spans="1:6">
      <c r="A4" s="762"/>
      <c r="B4" s="763"/>
      <c r="C4" s="764"/>
      <c r="D4" s="763"/>
      <c r="E4" s="765"/>
      <c r="F4" s="766"/>
    </row>
    <row r="5" spans="1:6" ht="13.8" thickBot="1">
      <c r="A5" s="767" t="s">
        <v>267</v>
      </c>
      <c r="B5" s="768"/>
      <c r="C5" s="770" t="s">
        <v>269</v>
      </c>
      <c r="D5" s="769" t="s">
        <v>259</v>
      </c>
      <c r="E5" s="771" t="s">
        <v>270</v>
      </c>
      <c r="F5" s="772" t="s">
        <v>260</v>
      </c>
    </row>
    <row r="6" spans="1:6">
      <c r="A6" s="773"/>
      <c r="B6" s="774"/>
      <c r="C6" s="776"/>
      <c r="D6" s="775"/>
      <c r="E6" s="777"/>
      <c r="F6" s="778"/>
    </row>
    <row r="7" spans="1:6">
      <c r="A7" s="779" t="s">
        <v>703</v>
      </c>
      <c r="B7" s="780" t="s">
        <v>551</v>
      </c>
      <c r="C7" s="782"/>
      <c r="D7" s="781"/>
      <c r="E7" s="783"/>
      <c r="F7" s="784"/>
    </row>
    <row r="8" spans="1:6">
      <c r="A8" s="779"/>
      <c r="B8" s="780"/>
      <c r="C8" s="782"/>
      <c r="D8" s="785"/>
      <c r="E8" s="786"/>
      <c r="F8" s="787"/>
    </row>
    <row r="9" spans="1:6" ht="26.4">
      <c r="A9" s="788" t="s">
        <v>703</v>
      </c>
      <c r="B9" s="789" t="s">
        <v>509</v>
      </c>
      <c r="C9" s="782"/>
      <c r="D9" s="785"/>
      <c r="E9" s="786"/>
      <c r="F9" s="787"/>
    </row>
    <row r="10" spans="1:6" ht="12.75" customHeight="1">
      <c r="A10" s="788"/>
      <c r="B10" s="790"/>
      <c r="C10" s="782"/>
      <c r="D10" s="785"/>
      <c r="E10" s="786"/>
      <c r="F10" s="787"/>
    </row>
    <row r="11" spans="1:6" ht="39.6">
      <c r="A11" s="791">
        <v>1</v>
      </c>
      <c r="B11" s="792" t="s">
        <v>552</v>
      </c>
      <c r="C11" s="793">
        <v>16</v>
      </c>
      <c r="D11" s="785" t="s">
        <v>335</v>
      </c>
      <c r="E11" s="800">
        <f>Elec_Est!E5392</f>
        <v>21.43</v>
      </c>
      <c r="F11" s="787">
        <f>E11*C11</f>
        <v>342.88</v>
      </c>
    </row>
    <row r="12" spans="1:6" ht="12.75" customHeight="1">
      <c r="A12" s="791"/>
      <c r="B12" s="794"/>
      <c r="C12" s="793"/>
      <c r="D12" s="785"/>
      <c r="E12" s="800"/>
      <c r="F12" s="787"/>
    </row>
    <row r="13" spans="1:6" ht="12.75" customHeight="1">
      <c r="A13" s="791"/>
      <c r="B13" s="794"/>
      <c r="C13" s="793"/>
      <c r="D13" s="785"/>
      <c r="E13" s="800"/>
      <c r="F13" s="787"/>
    </row>
    <row r="14" spans="1:6" ht="26.4">
      <c r="A14" s="791">
        <v>2</v>
      </c>
      <c r="B14" s="792" t="s">
        <v>553</v>
      </c>
      <c r="C14" s="793">
        <v>16</v>
      </c>
      <c r="D14" s="785" t="s">
        <v>335</v>
      </c>
      <c r="E14" s="800">
        <f>Elec_Est!E5398</f>
        <v>43.23</v>
      </c>
      <c r="F14" s="787">
        <f>E14*C14</f>
        <v>691.68</v>
      </c>
    </row>
    <row r="15" spans="1:6">
      <c r="A15" s="791"/>
      <c r="B15" s="795"/>
      <c r="C15" s="793"/>
      <c r="D15" s="785"/>
      <c r="E15" s="786"/>
      <c r="F15" s="787"/>
    </row>
    <row r="16" spans="1:6">
      <c r="A16" s="791"/>
      <c r="B16" s="795"/>
      <c r="C16" s="793"/>
      <c r="D16" s="785"/>
      <c r="E16" s="786"/>
      <c r="F16" s="787"/>
    </row>
    <row r="17" spans="1:6">
      <c r="A17" s="791"/>
      <c r="B17" s="794"/>
      <c r="C17" s="793"/>
      <c r="D17" s="785"/>
      <c r="E17" s="786"/>
      <c r="F17" s="787"/>
    </row>
    <row r="18" spans="1:6">
      <c r="A18" s="791"/>
      <c r="B18" s="794"/>
      <c r="C18" s="793"/>
      <c r="D18" s="785"/>
      <c r="E18" s="786"/>
      <c r="F18" s="787"/>
    </row>
    <row r="19" spans="1:6">
      <c r="A19" s="791"/>
      <c r="B19" s="794"/>
      <c r="C19" s="793"/>
      <c r="D19" s="785"/>
      <c r="E19" s="786"/>
      <c r="F19" s="787"/>
    </row>
    <row r="20" spans="1:6">
      <c r="A20" s="791"/>
      <c r="B20" s="794"/>
      <c r="C20" s="793"/>
      <c r="D20" s="785"/>
      <c r="E20" s="786"/>
      <c r="F20" s="787"/>
    </row>
    <row r="21" spans="1:6">
      <c r="A21" s="791"/>
      <c r="B21" s="796"/>
      <c r="C21" s="793"/>
      <c r="D21" s="785"/>
      <c r="E21" s="786"/>
      <c r="F21" s="787"/>
    </row>
    <row r="22" spans="1:6">
      <c r="A22" s="791"/>
      <c r="B22" s="796"/>
      <c r="C22" s="793"/>
      <c r="D22" s="785"/>
      <c r="E22" s="786"/>
      <c r="F22" s="787"/>
    </row>
    <row r="23" spans="1:6">
      <c r="A23" s="791"/>
      <c r="B23" s="794"/>
      <c r="C23" s="793"/>
      <c r="D23" s="785"/>
      <c r="E23" s="786"/>
      <c r="F23" s="787"/>
    </row>
    <row r="24" spans="1:6">
      <c r="A24" s="791"/>
      <c r="C24" s="793"/>
      <c r="D24" s="785"/>
      <c r="E24" s="786"/>
      <c r="F24" s="787"/>
    </row>
    <row r="25" spans="1:6">
      <c r="A25" s="791"/>
      <c r="C25" s="793"/>
      <c r="D25" s="785"/>
      <c r="E25" s="786"/>
      <c r="F25" s="787"/>
    </row>
    <row r="26" spans="1:6">
      <c r="A26" s="788"/>
      <c r="B26" s="797"/>
      <c r="C26" s="793"/>
      <c r="D26" s="785"/>
      <c r="E26" s="786"/>
      <c r="F26" s="787"/>
    </row>
    <row r="27" spans="1:6">
      <c r="A27" s="788"/>
      <c r="B27" s="794"/>
      <c r="C27" s="793"/>
      <c r="D27" s="785"/>
      <c r="E27" s="786"/>
      <c r="F27" s="787"/>
    </row>
    <row r="28" spans="1:6">
      <c r="A28" s="788"/>
      <c r="B28" s="795"/>
      <c r="C28" s="793"/>
      <c r="D28" s="785"/>
      <c r="E28" s="786"/>
      <c r="F28" s="787"/>
    </row>
    <row r="29" spans="1:6">
      <c r="A29" s="788"/>
      <c r="B29" s="794"/>
      <c r="C29" s="793"/>
      <c r="D29" s="785"/>
      <c r="E29" s="786"/>
      <c r="F29" s="787"/>
    </row>
    <row r="30" spans="1:6">
      <c r="A30" s="788"/>
      <c r="B30" s="794"/>
      <c r="C30" s="793"/>
      <c r="D30" s="785"/>
      <c r="E30" s="786"/>
      <c r="F30" s="787"/>
    </row>
    <row r="31" spans="1:6">
      <c r="A31" s="788"/>
      <c r="B31" s="794"/>
      <c r="C31" s="793"/>
      <c r="D31" s="785"/>
      <c r="E31" s="786"/>
      <c r="F31" s="787"/>
    </row>
    <row r="32" spans="1:6">
      <c r="A32" s="788"/>
      <c r="B32" s="794"/>
      <c r="C32" s="793"/>
      <c r="D32" s="785"/>
      <c r="E32" s="786"/>
      <c r="F32" s="787"/>
    </row>
    <row r="33" spans="1:6">
      <c r="A33" s="788"/>
      <c r="B33" s="795"/>
      <c r="C33" s="793"/>
      <c r="D33" s="785"/>
      <c r="E33" s="786"/>
      <c r="F33" s="787"/>
    </row>
    <row r="34" spans="1:6">
      <c r="A34" s="788"/>
      <c r="B34" s="796"/>
      <c r="C34" s="793"/>
      <c r="D34" s="785"/>
      <c r="E34" s="786"/>
      <c r="F34" s="787"/>
    </row>
    <row r="35" spans="1:6">
      <c r="A35" s="788"/>
      <c r="B35" s="795"/>
      <c r="C35" s="793"/>
      <c r="D35" s="785"/>
      <c r="E35" s="786"/>
      <c r="F35" s="787"/>
    </row>
    <row r="36" spans="1:6">
      <c r="A36" s="788"/>
      <c r="B36" s="795"/>
      <c r="C36" s="793"/>
      <c r="D36" s="785"/>
      <c r="E36" s="786"/>
      <c r="F36" s="787"/>
    </row>
    <row r="37" spans="1:6">
      <c r="A37" s="788"/>
      <c r="B37" s="794"/>
      <c r="C37" s="793"/>
      <c r="D37" s="785"/>
      <c r="E37" s="786"/>
      <c r="F37" s="787"/>
    </row>
    <row r="38" spans="1:6">
      <c r="A38" s="788"/>
      <c r="B38" s="795"/>
      <c r="C38" s="793"/>
      <c r="D38" s="785"/>
      <c r="E38" s="786"/>
      <c r="F38" s="787"/>
    </row>
    <row r="39" spans="1:6">
      <c r="A39" s="788"/>
      <c r="B39" s="795"/>
      <c r="C39" s="793"/>
      <c r="D39" s="785"/>
      <c r="E39" s="786"/>
      <c r="F39" s="787"/>
    </row>
    <row r="40" spans="1:6">
      <c r="A40" s="788"/>
      <c r="B40" s="796"/>
      <c r="C40" s="793"/>
      <c r="D40" s="785"/>
      <c r="E40" s="786"/>
      <c r="F40" s="787"/>
    </row>
    <row r="41" spans="1:6">
      <c r="A41" s="788"/>
      <c r="B41" s="795"/>
      <c r="C41" s="793"/>
      <c r="D41" s="785"/>
      <c r="E41" s="786"/>
      <c r="F41" s="787"/>
    </row>
    <row r="42" spans="1:6">
      <c r="A42" s="788"/>
      <c r="B42" s="795"/>
      <c r="C42" s="793"/>
      <c r="D42" s="785"/>
      <c r="E42" s="786"/>
      <c r="F42" s="787"/>
    </row>
    <row r="43" spans="1:6">
      <c r="A43" s="788"/>
      <c r="B43" s="794"/>
      <c r="C43" s="793"/>
      <c r="D43" s="785"/>
      <c r="E43" s="786"/>
      <c r="F43" s="787"/>
    </row>
    <row r="44" spans="1:6">
      <c r="A44" s="788"/>
      <c r="B44" s="795"/>
      <c r="C44" s="793"/>
      <c r="D44" s="785"/>
      <c r="E44" s="786"/>
      <c r="F44" s="787"/>
    </row>
    <row r="45" spans="1:6">
      <c r="A45" s="788"/>
      <c r="B45" s="795"/>
      <c r="C45" s="793"/>
      <c r="D45" s="785"/>
      <c r="E45" s="786"/>
      <c r="F45" s="787"/>
    </row>
    <row r="46" spans="1:6">
      <c r="A46" s="788"/>
      <c r="B46" s="795"/>
      <c r="C46" s="793"/>
      <c r="D46" s="785"/>
      <c r="E46" s="786"/>
      <c r="F46" s="787"/>
    </row>
    <row r="47" spans="1:6">
      <c r="A47" s="788"/>
      <c r="C47" s="793"/>
      <c r="D47" s="785"/>
      <c r="E47" s="786"/>
      <c r="F47" s="787"/>
    </row>
    <row r="48" spans="1:6">
      <c r="A48" s="788"/>
      <c r="B48" s="798"/>
      <c r="C48" s="793"/>
      <c r="D48" s="785"/>
      <c r="E48" s="786"/>
      <c r="F48" s="787"/>
    </row>
    <row r="49" spans="1:7">
      <c r="A49" s="788"/>
      <c r="B49" s="795"/>
      <c r="C49" s="793"/>
      <c r="D49" s="785"/>
      <c r="E49" s="786"/>
      <c r="F49" s="787"/>
    </row>
    <row r="50" spans="1:7">
      <c r="A50" s="788"/>
      <c r="B50" s="796"/>
      <c r="C50" s="793"/>
      <c r="D50" s="785"/>
      <c r="E50" s="786"/>
      <c r="F50" s="787"/>
    </row>
    <row r="51" spans="1:7">
      <c r="A51" s="788"/>
      <c r="B51" s="795"/>
      <c r="C51" s="793"/>
      <c r="D51" s="785"/>
      <c r="E51" s="786"/>
      <c r="F51" s="787"/>
    </row>
    <row r="52" spans="1:7">
      <c r="A52" s="791"/>
      <c r="B52" s="790"/>
      <c r="C52" s="793"/>
      <c r="D52" s="785"/>
      <c r="E52" s="786"/>
      <c r="F52" s="787"/>
    </row>
    <row r="53" spans="1:7" ht="13.8" thickBot="1">
      <c r="A53" s="791"/>
      <c r="B53" s="799"/>
      <c r="C53" s="793"/>
      <c r="D53" s="785"/>
      <c r="E53" s="800"/>
      <c r="F53" s="787"/>
    </row>
    <row r="54" spans="1:7">
      <c r="A54" s="801"/>
      <c r="B54" s="802"/>
      <c r="C54" s="804"/>
      <c r="D54" s="803"/>
      <c r="E54" s="805"/>
      <c r="F54" s="778"/>
    </row>
    <row r="55" spans="1:7">
      <c r="A55" s="806" t="s">
        <v>702</v>
      </c>
      <c r="B55" s="807" t="s">
        <v>282</v>
      </c>
      <c r="C55" s="809"/>
      <c r="D55" s="808"/>
      <c r="E55" s="810"/>
      <c r="F55" s="811">
        <f>SUM(F6:F53)</f>
        <v>1034.56</v>
      </c>
      <c r="G55" s="1204">
        <f>Elec_Est!F5406</f>
        <v>1034.56</v>
      </c>
    </row>
    <row r="56" spans="1:7">
      <c r="A56" s="812"/>
      <c r="B56" s="813"/>
      <c r="C56" s="815"/>
      <c r="D56" s="814"/>
      <c r="E56" s="816"/>
      <c r="F56" s="81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BS708"/>
  <sheetViews>
    <sheetView topLeftCell="A11" workbookViewId="0">
      <selection activeCell="E14" sqref="E14"/>
    </sheetView>
  </sheetViews>
  <sheetFormatPr defaultColWidth="8.6640625" defaultRowHeight="13.2"/>
  <cols>
    <col min="1" max="1" width="7.6640625" style="851" customWidth="1"/>
    <col min="2" max="2" width="48.109375" style="831" customWidth="1"/>
    <col min="3" max="3" width="6.33203125" style="853" customWidth="1"/>
    <col min="4" max="4" width="8.33203125" style="831" customWidth="1"/>
    <col min="5" max="5" width="10.33203125" style="854" customWidth="1"/>
    <col min="6" max="6" width="11.6640625" style="854" customWidth="1"/>
    <col min="7" max="7" width="8.6640625" style="763"/>
    <col min="8" max="8" width="8.5546875" style="763" customWidth="1"/>
    <col min="9" max="16" width="8.6640625" style="763"/>
    <col min="17" max="16384" width="8.6640625" style="831"/>
  </cols>
  <sheetData>
    <row r="1" spans="1:71" s="826" customFormat="1" ht="17.399999999999999">
      <c r="A1" s="753" t="s">
        <v>265</v>
      </c>
      <c r="B1" s="821"/>
      <c r="C1" s="821"/>
      <c r="D1" s="821"/>
      <c r="E1" s="822"/>
      <c r="F1" s="823"/>
      <c r="G1" s="824"/>
      <c r="H1" s="824"/>
      <c r="I1" s="824"/>
      <c r="J1" s="824"/>
      <c r="K1" s="824"/>
      <c r="L1" s="824"/>
      <c r="M1" s="824"/>
      <c r="N1" s="824"/>
      <c r="O1" s="824"/>
      <c r="P1" s="824"/>
      <c r="Q1" s="825"/>
      <c r="R1" s="824"/>
      <c r="S1" s="824"/>
      <c r="T1" s="824"/>
      <c r="U1" s="824"/>
      <c r="V1" s="824"/>
      <c r="W1" s="824"/>
      <c r="X1" s="824"/>
      <c r="Y1" s="824"/>
      <c r="Z1" s="824"/>
      <c r="AA1" s="824"/>
      <c r="AB1" s="824"/>
      <c r="AC1" s="824"/>
      <c r="AD1" s="824"/>
      <c r="AE1" s="824"/>
      <c r="AF1" s="824"/>
      <c r="AG1" s="824"/>
      <c r="AH1" s="824"/>
      <c r="AI1" s="824"/>
      <c r="AJ1" s="824"/>
      <c r="AK1" s="824"/>
      <c r="AL1" s="824"/>
      <c r="AM1" s="824"/>
      <c r="AN1" s="824"/>
      <c r="AO1" s="824"/>
      <c r="AP1" s="824"/>
      <c r="AQ1" s="824"/>
      <c r="AR1" s="824"/>
      <c r="AS1" s="824"/>
      <c r="AT1" s="824"/>
      <c r="AU1" s="824"/>
      <c r="AV1" s="824"/>
      <c r="AW1" s="824"/>
      <c r="AX1" s="824"/>
      <c r="AY1" s="824"/>
      <c r="AZ1" s="824"/>
      <c r="BA1" s="824"/>
      <c r="BB1" s="824"/>
      <c r="BC1" s="824"/>
      <c r="BD1" s="824"/>
      <c r="BE1" s="824"/>
      <c r="BF1" s="824"/>
      <c r="BG1" s="824"/>
      <c r="BH1" s="824"/>
      <c r="BI1" s="824"/>
      <c r="BJ1" s="824"/>
      <c r="BK1" s="824"/>
      <c r="BL1" s="824"/>
      <c r="BM1" s="824"/>
      <c r="BN1" s="824"/>
      <c r="BO1" s="824"/>
      <c r="BP1" s="824"/>
      <c r="BQ1" s="824"/>
      <c r="BR1" s="824"/>
      <c r="BS1" s="824"/>
    </row>
    <row r="2" spans="1:71">
      <c r="A2" s="827" t="s">
        <v>554</v>
      </c>
      <c r="B2" s="828"/>
      <c r="C2" s="828"/>
      <c r="D2" s="828"/>
      <c r="E2" s="829"/>
      <c r="F2" s="830"/>
      <c r="R2" s="763"/>
      <c r="S2" s="763"/>
      <c r="T2" s="763"/>
      <c r="U2" s="763"/>
      <c r="V2" s="763"/>
      <c r="W2" s="763"/>
      <c r="X2" s="763"/>
      <c r="Y2" s="763"/>
      <c r="Z2" s="763"/>
      <c r="AA2" s="763"/>
      <c r="AB2" s="763"/>
      <c r="AC2" s="763"/>
      <c r="AD2" s="763"/>
      <c r="AE2" s="763"/>
      <c r="AF2" s="763"/>
      <c r="AG2" s="763"/>
      <c r="AH2" s="763"/>
      <c r="AI2" s="763"/>
      <c r="AJ2" s="763"/>
      <c r="AK2" s="763"/>
      <c r="AL2" s="763"/>
      <c r="AM2" s="763"/>
      <c r="AN2" s="763"/>
      <c r="AO2" s="763"/>
      <c r="AP2" s="763"/>
      <c r="AQ2" s="763"/>
      <c r="AR2" s="763"/>
      <c r="AS2" s="763"/>
      <c r="AT2" s="763"/>
      <c r="AU2" s="763"/>
      <c r="AV2" s="763"/>
      <c r="AW2" s="763"/>
      <c r="AX2" s="763"/>
      <c r="AY2" s="763"/>
      <c r="AZ2" s="763"/>
      <c r="BA2" s="763"/>
      <c r="BB2" s="763"/>
      <c r="BC2" s="763"/>
      <c r="BD2" s="763"/>
      <c r="BE2" s="763"/>
      <c r="BF2" s="763"/>
      <c r="BG2" s="763"/>
      <c r="BH2" s="763"/>
      <c r="BI2" s="763"/>
      <c r="BJ2" s="763"/>
      <c r="BK2" s="763"/>
      <c r="BL2" s="763"/>
      <c r="BM2" s="763"/>
      <c r="BN2" s="763"/>
      <c r="BO2" s="763"/>
      <c r="BP2" s="763"/>
      <c r="BQ2" s="763"/>
      <c r="BR2" s="763"/>
      <c r="BS2" s="763"/>
    </row>
    <row r="3" spans="1:71">
      <c r="A3" s="827"/>
      <c r="B3" s="828"/>
      <c r="C3" s="828"/>
      <c r="D3" s="828"/>
      <c r="E3" s="829"/>
      <c r="F3" s="830"/>
      <c r="R3" s="763"/>
      <c r="S3" s="763"/>
      <c r="T3" s="763"/>
      <c r="U3" s="763"/>
      <c r="V3" s="763"/>
      <c r="W3" s="763"/>
      <c r="X3" s="763"/>
      <c r="Y3" s="763"/>
      <c r="Z3" s="763"/>
      <c r="AA3" s="763"/>
      <c r="AB3" s="763"/>
      <c r="AC3" s="763"/>
      <c r="AD3" s="763"/>
      <c r="AE3" s="763"/>
      <c r="AF3" s="763"/>
      <c r="AG3" s="763"/>
      <c r="AH3" s="763"/>
      <c r="AI3" s="763"/>
      <c r="AJ3" s="763"/>
      <c r="AK3" s="763"/>
      <c r="AL3" s="763"/>
      <c r="AM3" s="763"/>
      <c r="AN3" s="763"/>
      <c r="AO3" s="763"/>
      <c r="AP3" s="763"/>
      <c r="AQ3" s="763"/>
      <c r="AR3" s="763"/>
      <c r="AS3" s="763"/>
      <c r="AT3" s="763"/>
      <c r="AU3" s="763"/>
      <c r="AV3" s="763"/>
      <c r="AW3" s="763"/>
      <c r="AX3" s="763"/>
      <c r="AY3" s="763"/>
      <c r="AZ3" s="763"/>
      <c r="BA3" s="763"/>
      <c r="BB3" s="763"/>
      <c r="BC3" s="763"/>
      <c r="BD3" s="763"/>
      <c r="BE3" s="763"/>
      <c r="BF3" s="763"/>
      <c r="BG3" s="763"/>
      <c r="BH3" s="763"/>
      <c r="BI3" s="763"/>
      <c r="BJ3" s="763"/>
      <c r="BK3" s="763"/>
      <c r="BL3" s="763"/>
      <c r="BM3" s="763"/>
      <c r="BN3" s="763"/>
      <c r="BO3" s="763"/>
      <c r="BP3" s="763"/>
      <c r="BQ3" s="763"/>
      <c r="BR3" s="763"/>
      <c r="BS3" s="763"/>
    </row>
    <row r="4" spans="1:71">
      <c r="A4" s="806"/>
      <c r="B4" s="763"/>
      <c r="C4" s="763"/>
      <c r="D4" s="763"/>
      <c r="E4" s="832"/>
      <c r="F4" s="833"/>
      <c r="R4" s="763"/>
      <c r="S4" s="763"/>
      <c r="T4" s="763"/>
      <c r="U4" s="763"/>
      <c r="V4" s="763"/>
      <c r="W4" s="763"/>
      <c r="X4" s="763"/>
      <c r="Y4" s="763"/>
      <c r="Z4" s="763"/>
      <c r="AA4" s="763"/>
      <c r="AB4" s="763"/>
      <c r="AC4" s="763"/>
      <c r="AD4" s="763"/>
      <c r="AE4" s="763"/>
      <c r="AF4" s="763"/>
      <c r="AG4" s="763"/>
      <c r="AH4" s="763"/>
      <c r="AI4" s="763"/>
      <c r="AJ4" s="763"/>
      <c r="AK4" s="763"/>
      <c r="AL4" s="763"/>
      <c r="AM4" s="763"/>
      <c r="AN4" s="763"/>
      <c r="AO4" s="763"/>
      <c r="AP4" s="763"/>
      <c r="AQ4" s="763"/>
      <c r="AR4" s="763"/>
      <c r="AS4" s="763"/>
      <c r="AT4" s="763"/>
      <c r="AU4" s="763"/>
      <c r="AV4" s="763"/>
      <c r="AW4" s="763"/>
      <c r="AX4" s="763"/>
      <c r="AY4" s="763"/>
      <c r="AZ4" s="763"/>
      <c r="BA4" s="763"/>
      <c r="BB4" s="763"/>
      <c r="BC4" s="763"/>
      <c r="BD4" s="763"/>
      <c r="BE4" s="763"/>
      <c r="BF4" s="763"/>
      <c r="BG4" s="763"/>
      <c r="BH4" s="763"/>
      <c r="BI4" s="763"/>
      <c r="BJ4" s="763"/>
      <c r="BK4" s="763"/>
      <c r="BL4" s="763"/>
      <c r="BM4" s="763"/>
      <c r="BN4" s="763"/>
      <c r="BO4" s="763"/>
      <c r="BP4" s="763"/>
      <c r="BQ4" s="763"/>
      <c r="BR4" s="763"/>
      <c r="BS4" s="763"/>
    </row>
    <row r="5" spans="1:71" s="836" customFormat="1" ht="14.25" customHeight="1" thickBot="1">
      <c r="A5" s="834" t="s">
        <v>267</v>
      </c>
      <c r="B5" s="768"/>
      <c r="C5" s="835" t="s">
        <v>269</v>
      </c>
      <c r="D5" s="769" t="s">
        <v>259</v>
      </c>
      <c r="E5" s="771" t="s">
        <v>270</v>
      </c>
      <c r="F5" s="772" t="s">
        <v>260</v>
      </c>
      <c r="G5" s="763"/>
      <c r="H5" s="763"/>
      <c r="I5" s="763"/>
      <c r="J5" s="763"/>
      <c r="K5" s="763"/>
      <c r="L5" s="763"/>
      <c r="M5" s="763"/>
      <c r="N5" s="763"/>
      <c r="O5" s="763"/>
      <c r="P5" s="763"/>
    </row>
    <row r="6" spans="1:71">
      <c r="A6" s="791"/>
      <c r="C6" s="837"/>
      <c r="D6" s="785"/>
      <c r="E6" s="800"/>
      <c r="F6" s="787"/>
    </row>
    <row r="7" spans="1:71">
      <c r="A7" s="791"/>
      <c r="C7" s="837"/>
      <c r="D7" s="785"/>
      <c r="E7" s="800"/>
      <c r="F7" s="787"/>
    </row>
    <row r="8" spans="1:71" ht="53.25" customHeight="1">
      <c r="A8" s="791">
        <v>1</v>
      </c>
      <c r="B8" s="790" t="s">
        <v>555</v>
      </c>
      <c r="C8" s="793">
        <v>1</v>
      </c>
      <c r="D8" s="838" t="s">
        <v>272</v>
      </c>
      <c r="E8" s="800" t="str">
        <f>Elec_Est!Q5421</f>
        <v>Included</v>
      </c>
      <c r="F8" s="787"/>
    </row>
    <row r="9" spans="1:71">
      <c r="A9" s="791"/>
      <c r="B9" s="790"/>
      <c r="C9" s="793"/>
      <c r="D9" s="838"/>
      <c r="E9" s="800"/>
      <c r="F9" s="787"/>
    </row>
    <row r="10" spans="1:71">
      <c r="A10" s="791"/>
      <c r="B10" s="790"/>
      <c r="C10" s="793"/>
      <c r="D10" s="838"/>
      <c r="E10" s="800"/>
      <c r="F10" s="787"/>
    </row>
    <row r="11" spans="1:71" ht="40.5" customHeight="1">
      <c r="A11" s="791">
        <v>2</v>
      </c>
      <c r="B11" s="790" t="s">
        <v>556</v>
      </c>
      <c r="C11" s="793">
        <v>1</v>
      </c>
      <c r="D11" s="838" t="s">
        <v>272</v>
      </c>
      <c r="E11" s="800" t="str">
        <f>Elec_Est!Q5428</f>
        <v>Included</v>
      </c>
      <c r="F11" s="787"/>
    </row>
    <row r="12" spans="1:71">
      <c r="A12" s="791"/>
      <c r="B12" s="790"/>
      <c r="C12" s="793"/>
      <c r="D12" s="838"/>
      <c r="E12" s="800"/>
      <c r="F12" s="787"/>
    </row>
    <row r="13" spans="1:71">
      <c r="A13" s="791"/>
      <c r="B13" s="790"/>
      <c r="C13" s="793"/>
      <c r="D13" s="838"/>
      <c r="E13" s="800"/>
      <c r="F13" s="787"/>
    </row>
    <row r="14" spans="1:71" ht="185.4">
      <c r="A14" s="791">
        <v>3</v>
      </c>
      <c r="B14" s="790" t="s">
        <v>557</v>
      </c>
      <c r="C14" s="793">
        <v>1</v>
      </c>
      <c r="D14" s="838" t="s">
        <v>272</v>
      </c>
      <c r="E14" s="800" t="str">
        <f>Elec_Est!Q5435</f>
        <v>Included</v>
      </c>
      <c r="F14" s="787"/>
    </row>
    <row r="15" spans="1:71">
      <c r="A15" s="791"/>
      <c r="B15" s="794"/>
      <c r="C15" s="793"/>
      <c r="D15" s="838"/>
      <c r="E15" s="800"/>
      <c r="F15" s="787"/>
    </row>
    <row r="16" spans="1:71">
      <c r="A16" s="791"/>
      <c r="B16" s="794"/>
      <c r="C16" s="793"/>
      <c r="D16" s="838"/>
      <c r="E16" s="800"/>
      <c r="F16" s="787"/>
    </row>
    <row r="17" spans="1:6">
      <c r="A17" s="791"/>
      <c r="B17" s="794"/>
      <c r="C17" s="793"/>
      <c r="D17" s="838"/>
      <c r="E17" s="800"/>
      <c r="F17" s="787"/>
    </row>
    <row r="18" spans="1:6">
      <c r="A18" s="791"/>
      <c r="B18" s="794"/>
      <c r="C18" s="793"/>
      <c r="D18" s="838"/>
      <c r="E18" s="800"/>
      <c r="F18" s="787"/>
    </row>
    <row r="19" spans="1:6">
      <c r="A19" s="791"/>
      <c r="B19" s="839"/>
      <c r="C19" s="837"/>
      <c r="D19" s="785"/>
      <c r="E19" s="800"/>
      <c r="F19" s="787"/>
    </row>
    <row r="20" spans="1:6">
      <c r="A20" s="791"/>
      <c r="B20" s="840"/>
      <c r="C20" s="793"/>
      <c r="D20" s="838"/>
      <c r="E20" s="800"/>
      <c r="F20" s="787"/>
    </row>
    <row r="21" spans="1:6">
      <c r="A21" s="791"/>
      <c r="B21" s="839"/>
      <c r="C21" s="837"/>
      <c r="D21" s="785"/>
      <c r="E21" s="800"/>
      <c r="F21" s="787"/>
    </row>
    <row r="22" spans="1:6">
      <c r="A22" s="791"/>
      <c r="B22" s="839"/>
      <c r="C22" s="837"/>
      <c r="D22" s="785"/>
      <c r="E22" s="800"/>
      <c r="F22" s="787"/>
    </row>
    <row r="23" spans="1:6">
      <c r="A23" s="791"/>
      <c r="B23" s="839"/>
      <c r="C23" s="837"/>
      <c r="D23" s="785"/>
      <c r="E23" s="800"/>
      <c r="F23" s="787"/>
    </row>
    <row r="24" spans="1:6">
      <c r="A24" s="791"/>
      <c r="B24" s="839"/>
      <c r="C24" s="837"/>
      <c r="D24" s="785"/>
      <c r="E24" s="800"/>
      <c r="F24" s="787"/>
    </row>
    <row r="25" spans="1:6">
      <c r="A25" s="791"/>
      <c r="B25" s="839"/>
      <c r="C25" s="837"/>
      <c r="D25" s="785"/>
      <c r="E25" s="800"/>
      <c r="F25" s="787"/>
    </row>
    <row r="26" spans="1:6">
      <c r="A26" s="791"/>
      <c r="B26" s="839"/>
      <c r="C26" s="837"/>
      <c r="D26" s="785"/>
      <c r="E26" s="800"/>
      <c r="F26" s="787"/>
    </row>
    <row r="27" spans="1:6">
      <c r="A27" s="791"/>
      <c r="B27" s="839"/>
      <c r="C27" s="837"/>
      <c r="D27" s="785"/>
      <c r="E27" s="800"/>
      <c r="F27" s="787"/>
    </row>
    <row r="28" spans="1:6">
      <c r="A28" s="791"/>
      <c r="B28" s="839"/>
      <c r="C28" s="837"/>
      <c r="D28" s="785"/>
      <c r="E28" s="800"/>
      <c r="F28" s="787"/>
    </row>
    <row r="29" spans="1:6">
      <c r="A29" s="791"/>
      <c r="B29" s="839"/>
      <c r="C29" s="837"/>
      <c r="D29" s="785"/>
      <c r="E29" s="841"/>
      <c r="F29" s="787"/>
    </row>
    <row r="30" spans="1:6">
      <c r="A30" s="791"/>
      <c r="B30" s="839"/>
      <c r="C30" s="837"/>
      <c r="D30" s="785"/>
      <c r="E30" s="841"/>
      <c r="F30" s="787"/>
    </row>
    <row r="31" spans="1:6">
      <c r="A31" s="791"/>
      <c r="B31" s="839"/>
      <c r="C31" s="837"/>
      <c r="D31" s="785"/>
      <c r="E31" s="841"/>
      <c r="F31" s="787"/>
    </row>
    <row r="32" spans="1:6">
      <c r="A32" s="791"/>
      <c r="B32" s="839"/>
      <c r="C32" s="837"/>
      <c r="D32" s="785"/>
      <c r="E32" s="841"/>
      <c r="F32" s="787"/>
    </row>
    <row r="33" spans="1:7">
      <c r="A33" s="791"/>
      <c r="B33" s="839"/>
      <c r="C33" s="837"/>
      <c r="D33" s="785"/>
      <c r="E33" s="841"/>
      <c r="F33" s="787"/>
    </row>
    <row r="34" spans="1:7">
      <c r="A34" s="791"/>
      <c r="B34" s="839"/>
      <c r="C34" s="837"/>
      <c r="D34" s="785"/>
      <c r="E34" s="841"/>
      <c r="F34" s="787"/>
    </row>
    <row r="35" spans="1:7">
      <c r="A35" s="791"/>
      <c r="B35" s="839"/>
      <c r="C35" s="837"/>
      <c r="D35" s="785"/>
      <c r="E35" s="841"/>
      <c r="F35" s="787"/>
    </row>
    <row r="36" spans="1:7">
      <c r="A36" s="791"/>
      <c r="B36" s="839"/>
      <c r="C36" s="837"/>
      <c r="D36" s="785"/>
      <c r="E36" s="842"/>
      <c r="F36" s="787"/>
    </row>
    <row r="37" spans="1:7" ht="13.8" thickBot="1">
      <c r="A37" s="791"/>
      <c r="B37" s="839"/>
      <c r="C37" s="837"/>
      <c r="D37" s="785"/>
      <c r="E37" s="842"/>
      <c r="F37" s="787"/>
    </row>
    <row r="38" spans="1:7">
      <c r="A38" s="801"/>
      <c r="B38" s="843"/>
      <c r="C38" s="844"/>
      <c r="D38" s="803"/>
      <c r="E38" s="845"/>
      <c r="F38" s="846"/>
    </row>
    <row r="39" spans="1:7">
      <c r="A39" s="806" t="s">
        <v>702</v>
      </c>
      <c r="B39" s="789" t="s">
        <v>282</v>
      </c>
      <c r="C39" s="847"/>
      <c r="D39" s="808"/>
      <c r="E39" s="810"/>
      <c r="F39" s="811">
        <f>SUM(F6:F37)</f>
        <v>0</v>
      </c>
      <c r="G39" s="831">
        <f>Elec_Est!F5443</f>
        <v>0</v>
      </c>
    </row>
    <row r="40" spans="1:7">
      <c r="A40" s="812"/>
      <c r="B40" s="848"/>
      <c r="C40" s="814"/>
      <c r="D40" s="814"/>
      <c r="E40" s="849"/>
      <c r="F40" s="850"/>
    </row>
    <row r="41" spans="1:7">
      <c r="B41" s="852"/>
      <c r="C41" s="763"/>
      <c r="D41" s="763"/>
      <c r="E41" s="832"/>
      <c r="F41" s="832"/>
    </row>
    <row r="42" spans="1:7">
      <c r="B42" s="852"/>
      <c r="C42" s="763"/>
      <c r="D42" s="763"/>
      <c r="E42" s="832"/>
      <c r="F42" s="832"/>
    </row>
    <row r="43" spans="1:7">
      <c r="B43" s="852"/>
      <c r="C43" s="763"/>
      <c r="D43" s="763"/>
      <c r="E43" s="832"/>
      <c r="F43" s="832"/>
    </row>
    <row r="44" spans="1:7">
      <c r="B44" s="852"/>
      <c r="C44" s="763"/>
      <c r="D44" s="763"/>
      <c r="E44" s="832"/>
      <c r="F44" s="832"/>
    </row>
    <row r="45" spans="1:7">
      <c r="B45" s="852"/>
      <c r="C45" s="763"/>
      <c r="D45" s="763"/>
      <c r="E45" s="832"/>
      <c r="F45" s="832"/>
    </row>
    <row r="46" spans="1:7">
      <c r="B46" s="852"/>
      <c r="C46" s="763"/>
      <c r="D46" s="763"/>
      <c r="E46" s="832"/>
      <c r="F46" s="832"/>
    </row>
    <row r="47" spans="1:7">
      <c r="B47" s="852"/>
      <c r="C47" s="763"/>
      <c r="D47" s="763"/>
      <c r="E47" s="832"/>
      <c r="F47" s="832"/>
    </row>
    <row r="48" spans="1:7">
      <c r="B48" s="852"/>
      <c r="C48" s="763"/>
      <c r="D48" s="763"/>
      <c r="E48" s="832"/>
      <c r="F48" s="832"/>
    </row>
    <row r="49" spans="2:6">
      <c r="B49" s="763"/>
      <c r="C49" s="763"/>
      <c r="D49" s="763"/>
      <c r="E49" s="832"/>
      <c r="F49" s="832"/>
    </row>
    <row r="50" spans="2:6">
      <c r="B50" s="763"/>
      <c r="C50" s="763"/>
      <c r="D50" s="763"/>
      <c r="E50" s="832"/>
      <c r="F50" s="832"/>
    </row>
    <row r="51" spans="2:6">
      <c r="B51" s="763"/>
      <c r="C51" s="763"/>
      <c r="D51" s="763"/>
      <c r="E51" s="832"/>
      <c r="F51" s="832"/>
    </row>
    <row r="52" spans="2:6">
      <c r="B52" s="763"/>
      <c r="C52" s="763"/>
      <c r="D52" s="763"/>
      <c r="E52" s="832"/>
      <c r="F52" s="832"/>
    </row>
    <row r="53" spans="2:6">
      <c r="B53" s="763"/>
      <c r="C53" s="763"/>
      <c r="D53" s="763"/>
      <c r="E53" s="832"/>
      <c r="F53" s="832"/>
    </row>
    <row r="54" spans="2:6">
      <c r="B54" s="763"/>
      <c r="C54" s="763"/>
      <c r="D54" s="763"/>
      <c r="E54" s="832"/>
      <c r="F54" s="832"/>
    </row>
    <row r="55" spans="2:6">
      <c r="B55" s="763"/>
      <c r="C55" s="763"/>
      <c r="D55" s="763"/>
      <c r="E55" s="832"/>
      <c r="F55" s="832"/>
    </row>
    <row r="56" spans="2:6">
      <c r="B56" s="763"/>
      <c r="C56" s="763"/>
      <c r="D56" s="763"/>
      <c r="E56" s="832"/>
      <c r="F56" s="832"/>
    </row>
    <row r="57" spans="2:6">
      <c r="B57" s="763"/>
      <c r="C57" s="763"/>
      <c r="D57" s="763"/>
      <c r="E57" s="832"/>
      <c r="F57" s="832"/>
    </row>
    <row r="58" spans="2:6">
      <c r="B58" s="763"/>
      <c r="C58" s="763"/>
      <c r="D58" s="763"/>
      <c r="E58" s="832"/>
      <c r="F58" s="832"/>
    </row>
    <row r="59" spans="2:6">
      <c r="B59" s="763"/>
      <c r="C59" s="763"/>
      <c r="D59" s="763"/>
      <c r="E59" s="832"/>
      <c r="F59" s="832"/>
    </row>
    <row r="60" spans="2:6">
      <c r="B60" s="763"/>
      <c r="C60" s="763"/>
      <c r="D60" s="763"/>
      <c r="E60" s="832"/>
      <c r="F60" s="832"/>
    </row>
    <row r="61" spans="2:6">
      <c r="B61" s="763"/>
      <c r="C61" s="763"/>
      <c r="D61" s="763"/>
      <c r="E61" s="832"/>
      <c r="F61" s="832"/>
    </row>
    <row r="62" spans="2:6">
      <c r="B62" s="763"/>
      <c r="C62" s="763"/>
      <c r="D62" s="763"/>
      <c r="E62" s="832"/>
      <c r="F62" s="832"/>
    </row>
    <row r="63" spans="2:6">
      <c r="B63" s="763"/>
      <c r="C63" s="763"/>
      <c r="D63" s="763"/>
      <c r="E63" s="832"/>
      <c r="F63" s="832"/>
    </row>
    <row r="64" spans="2:6">
      <c r="B64" s="763"/>
      <c r="C64" s="763"/>
      <c r="D64" s="763"/>
      <c r="E64" s="832"/>
      <c r="F64" s="832"/>
    </row>
    <row r="65" spans="2:6">
      <c r="B65" s="763"/>
      <c r="C65" s="763"/>
      <c r="D65" s="763"/>
      <c r="E65" s="832"/>
      <c r="F65" s="832"/>
    </row>
    <row r="66" spans="2:6">
      <c r="B66" s="763"/>
      <c r="C66" s="763"/>
      <c r="D66" s="763"/>
      <c r="E66" s="832"/>
      <c r="F66" s="832"/>
    </row>
    <row r="67" spans="2:6">
      <c r="B67" s="763"/>
      <c r="C67" s="763"/>
      <c r="D67" s="763"/>
      <c r="E67" s="832"/>
      <c r="F67" s="832"/>
    </row>
    <row r="68" spans="2:6">
      <c r="B68" s="763"/>
      <c r="C68" s="763"/>
      <c r="D68" s="763"/>
      <c r="E68" s="832"/>
      <c r="F68" s="832"/>
    </row>
    <row r="69" spans="2:6">
      <c r="B69" s="763"/>
      <c r="C69" s="763"/>
      <c r="D69" s="763"/>
      <c r="E69" s="832"/>
      <c r="F69" s="832"/>
    </row>
    <row r="70" spans="2:6">
      <c r="B70" s="763"/>
      <c r="C70" s="763"/>
      <c r="D70" s="763"/>
      <c r="E70" s="832"/>
      <c r="F70" s="832"/>
    </row>
    <row r="71" spans="2:6">
      <c r="B71" s="763"/>
      <c r="C71" s="763"/>
      <c r="D71" s="763"/>
      <c r="E71" s="832"/>
      <c r="F71" s="832"/>
    </row>
    <row r="72" spans="2:6">
      <c r="B72" s="763"/>
      <c r="C72" s="763"/>
      <c r="D72" s="763"/>
      <c r="E72" s="832"/>
      <c r="F72" s="832"/>
    </row>
    <row r="73" spans="2:6">
      <c r="B73" s="763"/>
      <c r="C73" s="763"/>
      <c r="D73" s="763"/>
      <c r="E73" s="832"/>
      <c r="F73" s="832"/>
    </row>
    <row r="74" spans="2:6">
      <c r="B74" s="763"/>
      <c r="C74" s="763"/>
      <c r="D74" s="763"/>
      <c r="E74" s="832"/>
      <c r="F74" s="832"/>
    </row>
    <row r="75" spans="2:6">
      <c r="B75" s="763"/>
      <c r="C75" s="763"/>
      <c r="D75" s="763"/>
      <c r="E75" s="832"/>
      <c r="F75" s="832"/>
    </row>
    <row r="76" spans="2:6">
      <c r="B76" s="763"/>
      <c r="C76" s="763"/>
      <c r="D76" s="763"/>
      <c r="E76" s="832"/>
      <c r="F76" s="832"/>
    </row>
    <row r="77" spans="2:6">
      <c r="B77" s="763"/>
      <c r="C77" s="763"/>
      <c r="D77" s="763"/>
      <c r="E77" s="832"/>
      <c r="F77" s="832"/>
    </row>
    <row r="78" spans="2:6">
      <c r="B78" s="763"/>
      <c r="C78" s="763"/>
      <c r="D78" s="763"/>
      <c r="E78" s="832"/>
      <c r="F78" s="832"/>
    </row>
    <row r="79" spans="2:6">
      <c r="B79" s="763"/>
      <c r="C79" s="763"/>
      <c r="D79" s="763"/>
      <c r="E79" s="832"/>
      <c r="F79" s="832"/>
    </row>
    <row r="80" spans="2:6">
      <c r="B80" s="763"/>
      <c r="C80" s="763"/>
      <c r="D80" s="763"/>
      <c r="E80" s="832"/>
      <c r="F80" s="832"/>
    </row>
    <row r="81" spans="2:6">
      <c r="B81" s="763"/>
      <c r="C81" s="763"/>
      <c r="D81" s="763"/>
      <c r="E81" s="832"/>
      <c r="F81" s="832"/>
    </row>
    <row r="82" spans="2:6">
      <c r="B82" s="763"/>
      <c r="C82" s="763"/>
      <c r="D82" s="763"/>
      <c r="E82" s="832"/>
      <c r="F82" s="832"/>
    </row>
    <row r="83" spans="2:6">
      <c r="B83" s="763"/>
      <c r="C83" s="763"/>
      <c r="D83" s="763"/>
      <c r="E83" s="832"/>
      <c r="F83" s="832"/>
    </row>
    <row r="84" spans="2:6">
      <c r="B84" s="763"/>
      <c r="C84" s="763"/>
      <c r="D84" s="763"/>
      <c r="E84" s="832"/>
      <c r="F84" s="832"/>
    </row>
    <row r="85" spans="2:6">
      <c r="B85" s="763"/>
      <c r="C85" s="763"/>
      <c r="D85" s="763"/>
      <c r="E85" s="832"/>
      <c r="F85" s="832"/>
    </row>
    <row r="86" spans="2:6">
      <c r="B86" s="763"/>
      <c r="C86" s="763"/>
      <c r="D86" s="763"/>
      <c r="E86" s="832"/>
      <c r="F86" s="832"/>
    </row>
    <row r="87" spans="2:6">
      <c r="B87" s="763"/>
      <c r="C87" s="763"/>
      <c r="D87" s="763"/>
      <c r="E87" s="832"/>
      <c r="F87" s="832"/>
    </row>
    <row r="88" spans="2:6">
      <c r="B88" s="763"/>
      <c r="C88" s="763"/>
      <c r="D88" s="763"/>
      <c r="E88" s="832"/>
      <c r="F88" s="832"/>
    </row>
    <row r="89" spans="2:6">
      <c r="B89" s="763"/>
      <c r="C89" s="763"/>
      <c r="D89" s="763"/>
      <c r="E89" s="832"/>
      <c r="F89" s="832"/>
    </row>
    <row r="90" spans="2:6">
      <c r="B90" s="763"/>
      <c r="C90" s="763"/>
      <c r="D90" s="763"/>
      <c r="E90" s="832"/>
      <c r="F90" s="832"/>
    </row>
    <row r="91" spans="2:6">
      <c r="B91" s="763"/>
      <c r="C91" s="763"/>
      <c r="D91" s="763"/>
      <c r="E91" s="832"/>
      <c r="F91" s="832"/>
    </row>
    <row r="92" spans="2:6">
      <c r="B92" s="763"/>
      <c r="C92" s="763"/>
      <c r="D92" s="763"/>
      <c r="E92" s="832"/>
      <c r="F92" s="832"/>
    </row>
    <row r="93" spans="2:6">
      <c r="B93" s="763"/>
      <c r="C93" s="763"/>
      <c r="D93" s="763"/>
      <c r="E93" s="832"/>
      <c r="F93" s="832"/>
    </row>
    <row r="94" spans="2:6">
      <c r="B94" s="763"/>
      <c r="C94" s="763"/>
      <c r="D94" s="763"/>
      <c r="E94" s="832"/>
      <c r="F94" s="832"/>
    </row>
    <row r="95" spans="2:6">
      <c r="B95" s="763"/>
      <c r="C95" s="763"/>
      <c r="D95" s="763"/>
      <c r="E95" s="832"/>
      <c r="F95" s="832"/>
    </row>
    <row r="96" spans="2:6">
      <c r="B96" s="763"/>
      <c r="C96" s="763"/>
      <c r="D96" s="763"/>
      <c r="E96" s="832"/>
      <c r="F96" s="832"/>
    </row>
    <row r="97" spans="2:6">
      <c r="B97" s="763"/>
      <c r="C97" s="763"/>
      <c r="D97" s="763"/>
      <c r="E97" s="832"/>
      <c r="F97" s="832"/>
    </row>
    <row r="98" spans="2:6">
      <c r="B98" s="763"/>
      <c r="C98" s="763"/>
      <c r="D98" s="763"/>
      <c r="E98" s="832"/>
      <c r="F98" s="832"/>
    </row>
    <row r="99" spans="2:6">
      <c r="B99" s="763"/>
      <c r="C99" s="763"/>
      <c r="D99" s="763"/>
      <c r="E99" s="832"/>
      <c r="F99" s="832"/>
    </row>
    <row r="100" spans="2:6">
      <c r="B100" s="763"/>
      <c r="C100" s="763"/>
      <c r="D100" s="763"/>
      <c r="E100" s="832"/>
      <c r="F100" s="832"/>
    </row>
    <row r="101" spans="2:6">
      <c r="B101" s="763"/>
      <c r="C101" s="763"/>
      <c r="D101" s="763"/>
      <c r="E101" s="832"/>
      <c r="F101" s="832"/>
    </row>
    <row r="102" spans="2:6">
      <c r="B102" s="763"/>
      <c r="C102" s="763"/>
      <c r="D102" s="763"/>
      <c r="E102" s="832"/>
      <c r="F102" s="832"/>
    </row>
    <row r="103" spans="2:6">
      <c r="B103" s="763"/>
      <c r="C103" s="763"/>
      <c r="D103" s="763"/>
      <c r="E103" s="832"/>
      <c r="F103" s="832"/>
    </row>
    <row r="104" spans="2:6">
      <c r="B104" s="763"/>
      <c r="C104" s="763"/>
      <c r="D104" s="763"/>
      <c r="E104" s="832"/>
      <c r="F104" s="832"/>
    </row>
    <row r="105" spans="2:6">
      <c r="B105" s="763"/>
      <c r="C105" s="763"/>
      <c r="D105" s="763"/>
      <c r="E105" s="832"/>
      <c r="F105" s="832"/>
    </row>
    <row r="106" spans="2:6">
      <c r="B106" s="763"/>
      <c r="C106" s="763"/>
      <c r="D106" s="763"/>
      <c r="E106" s="832"/>
      <c r="F106" s="832"/>
    </row>
    <row r="107" spans="2:6">
      <c r="B107" s="763"/>
      <c r="C107" s="763"/>
      <c r="D107" s="763"/>
      <c r="E107" s="832"/>
      <c r="F107" s="832"/>
    </row>
    <row r="108" spans="2:6">
      <c r="B108" s="763"/>
      <c r="C108" s="763"/>
      <c r="D108" s="763"/>
      <c r="E108" s="832"/>
      <c r="F108" s="832"/>
    </row>
    <row r="109" spans="2:6">
      <c r="B109" s="763"/>
      <c r="C109" s="763"/>
      <c r="D109" s="763"/>
      <c r="E109" s="832"/>
      <c r="F109" s="832"/>
    </row>
    <row r="110" spans="2:6">
      <c r="B110" s="763"/>
      <c r="C110" s="763"/>
      <c r="D110" s="763"/>
      <c r="E110" s="832"/>
      <c r="F110" s="832"/>
    </row>
    <row r="111" spans="2:6">
      <c r="B111" s="763"/>
      <c r="C111" s="763"/>
      <c r="D111" s="763"/>
      <c r="E111" s="832"/>
      <c r="F111" s="832"/>
    </row>
    <row r="112" spans="2:6">
      <c r="B112" s="763"/>
      <c r="C112" s="763"/>
      <c r="D112" s="763"/>
      <c r="E112" s="832"/>
      <c r="F112" s="832"/>
    </row>
    <row r="113" spans="2:6">
      <c r="B113" s="763"/>
      <c r="C113" s="763"/>
      <c r="D113" s="763"/>
      <c r="E113" s="832"/>
      <c r="F113" s="832"/>
    </row>
    <row r="114" spans="2:6">
      <c r="B114" s="763"/>
      <c r="C114" s="763"/>
      <c r="D114" s="763"/>
      <c r="E114" s="832"/>
      <c r="F114" s="832"/>
    </row>
    <row r="115" spans="2:6">
      <c r="B115" s="763"/>
      <c r="C115" s="763"/>
      <c r="D115" s="763"/>
      <c r="E115" s="832"/>
      <c r="F115" s="832"/>
    </row>
    <row r="116" spans="2:6">
      <c r="B116" s="763"/>
      <c r="C116" s="763"/>
      <c r="D116" s="763"/>
      <c r="E116" s="832"/>
      <c r="F116" s="832"/>
    </row>
    <row r="117" spans="2:6">
      <c r="B117" s="763"/>
      <c r="C117" s="763"/>
      <c r="D117" s="763"/>
      <c r="E117" s="832"/>
      <c r="F117" s="832"/>
    </row>
    <row r="118" spans="2:6">
      <c r="B118" s="763"/>
      <c r="C118" s="763"/>
      <c r="D118" s="763"/>
      <c r="E118" s="832"/>
      <c r="F118" s="832"/>
    </row>
    <row r="119" spans="2:6">
      <c r="B119" s="763"/>
      <c r="C119" s="763"/>
      <c r="D119" s="763"/>
      <c r="E119" s="832"/>
      <c r="F119" s="832"/>
    </row>
    <row r="120" spans="2:6">
      <c r="B120" s="763"/>
      <c r="C120" s="763"/>
      <c r="D120" s="763"/>
      <c r="E120" s="832"/>
      <c r="F120" s="832"/>
    </row>
    <row r="121" spans="2:6">
      <c r="B121" s="763"/>
      <c r="C121" s="763"/>
      <c r="D121" s="763"/>
      <c r="E121" s="832"/>
      <c r="F121" s="832"/>
    </row>
    <row r="122" spans="2:6">
      <c r="B122" s="763"/>
      <c r="C122" s="763"/>
      <c r="D122" s="763"/>
      <c r="E122" s="832"/>
      <c r="F122" s="832"/>
    </row>
    <row r="123" spans="2:6">
      <c r="B123" s="763"/>
      <c r="C123" s="763"/>
      <c r="D123" s="763"/>
      <c r="E123" s="832"/>
      <c r="F123" s="832"/>
    </row>
    <row r="124" spans="2:6">
      <c r="B124" s="763"/>
      <c r="C124" s="763"/>
      <c r="D124" s="763"/>
      <c r="E124" s="832"/>
      <c r="F124" s="832"/>
    </row>
    <row r="125" spans="2:6">
      <c r="B125" s="763"/>
      <c r="C125" s="763"/>
      <c r="D125" s="763"/>
      <c r="E125" s="832"/>
      <c r="F125" s="832"/>
    </row>
    <row r="126" spans="2:6">
      <c r="B126" s="763"/>
      <c r="C126" s="763"/>
      <c r="D126" s="763"/>
      <c r="E126" s="832"/>
      <c r="F126" s="832"/>
    </row>
    <row r="127" spans="2:6">
      <c r="B127" s="763"/>
      <c r="C127" s="763"/>
      <c r="D127" s="763"/>
      <c r="E127" s="832"/>
      <c r="F127" s="832"/>
    </row>
    <row r="128" spans="2:6">
      <c r="B128" s="763"/>
      <c r="C128" s="763"/>
      <c r="D128" s="763"/>
      <c r="E128" s="832"/>
      <c r="F128" s="832"/>
    </row>
    <row r="129" spans="2:6">
      <c r="B129" s="763"/>
      <c r="C129" s="763"/>
      <c r="D129" s="763"/>
      <c r="E129" s="832"/>
      <c r="F129" s="832"/>
    </row>
    <row r="130" spans="2:6">
      <c r="B130" s="763"/>
      <c r="C130" s="763"/>
      <c r="D130" s="763"/>
      <c r="E130" s="832"/>
      <c r="F130" s="832"/>
    </row>
    <row r="131" spans="2:6">
      <c r="B131" s="763"/>
      <c r="C131" s="763"/>
      <c r="D131" s="763"/>
      <c r="E131" s="832"/>
      <c r="F131" s="832"/>
    </row>
    <row r="132" spans="2:6">
      <c r="B132" s="763"/>
      <c r="C132" s="763"/>
      <c r="D132" s="763"/>
      <c r="E132" s="832"/>
      <c r="F132" s="832"/>
    </row>
    <row r="133" spans="2:6">
      <c r="B133" s="763"/>
      <c r="C133" s="763"/>
      <c r="D133" s="763"/>
      <c r="E133" s="832"/>
      <c r="F133" s="832"/>
    </row>
    <row r="134" spans="2:6">
      <c r="B134" s="763"/>
      <c r="C134" s="763"/>
      <c r="D134" s="763"/>
      <c r="E134" s="832"/>
      <c r="F134" s="832"/>
    </row>
    <row r="135" spans="2:6">
      <c r="B135" s="763"/>
      <c r="C135" s="763"/>
      <c r="D135" s="763"/>
      <c r="E135" s="832"/>
      <c r="F135" s="832"/>
    </row>
    <row r="136" spans="2:6">
      <c r="B136" s="763"/>
      <c r="C136" s="763"/>
      <c r="D136" s="763"/>
      <c r="E136" s="832"/>
      <c r="F136" s="832"/>
    </row>
    <row r="137" spans="2:6">
      <c r="B137" s="763"/>
      <c r="C137" s="763"/>
      <c r="D137" s="763"/>
      <c r="E137" s="832"/>
      <c r="F137" s="832"/>
    </row>
    <row r="138" spans="2:6">
      <c r="B138" s="763"/>
      <c r="C138" s="763"/>
      <c r="D138" s="763"/>
      <c r="E138" s="832"/>
      <c r="F138" s="832"/>
    </row>
    <row r="139" spans="2:6">
      <c r="B139" s="763"/>
      <c r="C139" s="763"/>
      <c r="D139" s="763"/>
      <c r="E139" s="832"/>
      <c r="F139" s="832"/>
    </row>
    <row r="140" spans="2:6">
      <c r="B140" s="763"/>
      <c r="C140" s="763"/>
      <c r="D140" s="763"/>
      <c r="E140" s="832"/>
      <c r="F140" s="832"/>
    </row>
    <row r="141" spans="2:6">
      <c r="B141" s="763"/>
      <c r="C141" s="763"/>
      <c r="D141" s="763"/>
      <c r="E141" s="832"/>
      <c r="F141" s="832"/>
    </row>
    <row r="142" spans="2:6">
      <c r="B142" s="763"/>
      <c r="C142" s="763"/>
      <c r="D142" s="763"/>
      <c r="E142" s="832"/>
      <c r="F142" s="832"/>
    </row>
    <row r="143" spans="2:6">
      <c r="B143" s="763"/>
      <c r="C143" s="763"/>
      <c r="D143" s="763"/>
      <c r="E143" s="832"/>
      <c r="F143" s="832"/>
    </row>
    <row r="144" spans="2:6">
      <c r="B144" s="763"/>
      <c r="C144" s="763"/>
      <c r="D144" s="763"/>
      <c r="E144" s="832"/>
      <c r="F144" s="832"/>
    </row>
    <row r="145" spans="2:6">
      <c r="B145" s="763"/>
      <c r="C145" s="763"/>
      <c r="D145" s="763"/>
      <c r="E145" s="832"/>
      <c r="F145" s="832"/>
    </row>
    <row r="146" spans="2:6">
      <c r="B146" s="763"/>
      <c r="C146" s="763"/>
      <c r="D146" s="763"/>
      <c r="E146" s="832"/>
      <c r="F146" s="832"/>
    </row>
    <row r="147" spans="2:6">
      <c r="B147" s="763"/>
      <c r="C147" s="763"/>
      <c r="D147" s="763"/>
      <c r="E147" s="832"/>
      <c r="F147" s="832"/>
    </row>
    <row r="148" spans="2:6">
      <c r="B148" s="763"/>
      <c r="C148" s="763"/>
      <c r="D148" s="763"/>
      <c r="E148" s="832"/>
      <c r="F148" s="832"/>
    </row>
    <row r="149" spans="2:6">
      <c r="B149" s="763"/>
      <c r="C149" s="763"/>
      <c r="D149" s="763"/>
      <c r="E149" s="832"/>
      <c r="F149" s="832"/>
    </row>
    <row r="150" spans="2:6">
      <c r="B150" s="763"/>
      <c r="C150" s="763"/>
      <c r="D150" s="763"/>
      <c r="E150" s="832"/>
      <c r="F150" s="832"/>
    </row>
    <row r="151" spans="2:6">
      <c r="B151" s="763"/>
      <c r="C151" s="763"/>
      <c r="D151" s="763"/>
      <c r="E151" s="832"/>
      <c r="F151" s="832"/>
    </row>
    <row r="152" spans="2:6">
      <c r="B152" s="763"/>
      <c r="C152" s="763"/>
      <c r="D152" s="763"/>
      <c r="E152" s="832"/>
      <c r="F152" s="832"/>
    </row>
    <row r="153" spans="2:6">
      <c r="B153" s="763"/>
      <c r="C153" s="763"/>
      <c r="D153" s="763"/>
      <c r="E153" s="832"/>
      <c r="F153" s="832"/>
    </row>
    <row r="154" spans="2:6">
      <c r="B154" s="763"/>
      <c r="C154" s="763"/>
      <c r="D154" s="763"/>
      <c r="E154" s="832"/>
      <c r="F154" s="832"/>
    </row>
    <row r="155" spans="2:6">
      <c r="B155" s="763"/>
      <c r="C155" s="763"/>
      <c r="D155" s="763"/>
      <c r="E155" s="832"/>
      <c r="F155" s="832"/>
    </row>
    <row r="156" spans="2:6">
      <c r="B156" s="763"/>
      <c r="C156" s="763"/>
      <c r="D156" s="763"/>
      <c r="E156" s="832"/>
      <c r="F156" s="832"/>
    </row>
    <row r="157" spans="2:6">
      <c r="B157" s="763"/>
      <c r="C157" s="763"/>
      <c r="D157" s="763"/>
      <c r="E157" s="832"/>
      <c r="F157" s="832"/>
    </row>
    <row r="158" spans="2:6">
      <c r="B158" s="763"/>
      <c r="C158" s="763"/>
      <c r="D158" s="763"/>
      <c r="E158" s="832"/>
      <c r="F158" s="832"/>
    </row>
    <row r="159" spans="2:6">
      <c r="B159" s="763"/>
      <c r="C159" s="763"/>
      <c r="D159" s="763"/>
      <c r="E159" s="832"/>
      <c r="F159" s="832"/>
    </row>
    <row r="160" spans="2:6">
      <c r="B160" s="763"/>
      <c r="C160" s="763"/>
      <c r="D160" s="763"/>
      <c r="E160" s="832"/>
      <c r="F160" s="832"/>
    </row>
    <row r="161" spans="2:6">
      <c r="B161" s="763"/>
      <c r="C161" s="763"/>
      <c r="D161" s="763"/>
      <c r="E161" s="832"/>
      <c r="F161" s="832"/>
    </row>
    <row r="162" spans="2:6">
      <c r="B162" s="763"/>
      <c r="C162" s="763"/>
      <c r="D162" s="763"/>
      <c r="E162" s="832"/>
      <c r="F162" s="832"/>
    </row>
    <row r="163" spans="2:6">
      <c r="B163" s="763"/>
      <c r="C163" s="763"/>
      <c r="D163" s="763"/>
      <c r="E163" s="832"/>
      <c r="F163" s="832"/>
    </row>
    <row r="164" spans="2:6">
      <c r="B164" s="763"/>
      <c r="C164" s="763"/>
      <c r="D164" s="763"/>
      <c r="E164" s="832"/>
      <c r="F164" s="832"/>
    </row>
    <row r="165" spans="2:6">
      <c r="B165" s="763"/>
      <c r="C165" s="763"/>
      <c r="D165" s="763"/>
      <c r="E165" s="832"/>
      <c r="F165" s="832"/>
    </row>
    <row r="166" spans="2:6">
      <c r="B166" s="763"/>
      <c r="C166" s="763"/>
      <c r="D166" s="763"/>
      <c r="E166" s="832"/>
      <c r="F166" s="832"/>
    </row>
    <row r="167" spans="2:6">
      <c r="B167" s="763"/>
      <c r="C167" s="763"/>
      <c r="D167" s="763"/>
      <c r="E167" s="832"/>
      <c r="F167" s="832"/>
    </row>
    <row r="168" spans="2:6">
      <c r="B168" s="763"/>
      <c r="C168" s="763"/>
      <c r="D168" s="763"/>
      <c r="E168" s="832"/>
      <c r="F168" s="832"/>
    </row>
    <row r="169" spans="2:6">
      <c r="B169" s="763"/>
      <c r="C169" s="763"/>
      <c r="D169" s="763"/>
      <c r="E169" s="832"/>
      <c r="F169" s="832"/>
    </row>
    <row r="170" spans="2:6">
      <c r="B170" s="763"/>
      <c r="C170" s="763"/>
      <c r="D170" s="763"/>
      <c r="E170" s="832"/>
      <c r="F170" s="832"/>
    </row>
    <row r="171" spans="2:6">
      <c r="B171" s="763"/>
      <c r="C171" s="763"/>
      <c r="D171" s="763"/>
      <c r="E171" s="832"/>
      <c r="F171" s="832"/>
    </row>
    <row r="172" spans="2:6">
      <c r="B172" s="763"/>
      <c r="C172" s="763"/>
      <c r="D172" s="763"/>
      <c r="E172" s="832"/>
      <c r="F172" s="832"/>
    </row>
    <row r="173" spans="2:6">
      <c r="B173" s="763"/>
      <c r="C173" s="763"/>
      <c r="D173" s="763"/>
      <c r="E173" s="832"/>
      <c r="F173" s="832"/>
    </row>
    <row r="174" spans="2:6">
      <c r="B174" s="763"/>
      <c r="C174" s="763"/>
      <c r="D174" s="763"/>
      <c r="E174" s="832"/>
      <c r="F174" s="832"/>
    </row>
    <row r="175" spans="2:6">
      <c r="B175" s="763"/>
      <c r="C175" s="763"/>
      <c r="D175" s="763"/>
      <c r="E175" s="832"/>
      <c r="F175" s="832"/>
    </row>
    <row r="176" spans="2:6">
      <c r="B176" s="763"/>
      <c r="C176" s="763"/>
      <c r="D176" s="763"/>
      <c r="E176" s="832"/>
      <c r="F176" s="832"/>
    </row>
    <row r="177" spans="2:6">
      <c r="B177" s="763"/>
      <c r="C177" s="763"/>
      <c r="D177" s="763"/>
      <c r="E177" s="832"/>
      <c r="F177" s="832"/>
    </row>
    <row r="178" spans="2:6">
      <c r="B178" s="763"/>
      <c r="C178" s="763"/>
      <c r="D178" s="763"/>
      <c r="E178" s="832"/>
      <c r="F178" s="832"/>
    </row>
    <row r="179" spans="2:6">
      <c r="B179" s="763"/>
      <c r="C179" s="763"/>
      <c r="D179" s="763"/>
      <c r="E179" s="832"/>
      <c r="F179" s="832"/>
    </row>
    <row r="180" spans="2:6">
      <c r="B180" s="763"/>
      <c r="C180" s="763"/>
      <c r="D180" s="763"/>
      <c r="E180" s="832"/>
      <c r="F180" s="832"/>
    </row>
    <row r="181" spans="2:6">
      <c r="B181" s="763"/>
      <c r="C181" s="763"/>
      <c r="D181" s="763"/>
      <c r="E181" s="832"/>
      <c r="F181" s="832"/>
    </row>
    <row r="182" spans="2:6">
      <c r="B182" s="763"/>
      <c r="C182" s="763"/>
      <c r="D182" s="763"/>
      <c r="E182" s="832"/>
      <c r="F182" s="832"/>
    </row>
    <row r="183" spans="2:6">
      <c r="B183" s="763"/>
      <c r="C183" s="763"/>
      <c r="D183" s="763"/>
      <c r="E183" s="832"/>
      <c r="F183" s="832"/>
    </row>
    <row r="184" spans="2:6">
      <c r="B184" s="763"/>
      <c r="C184" s="763"/>
      <c r="D184" s="763"/>
      <c r="E184" s="832"/>
      <c r="F184" s="832"/>
    </row>
    <row r="185" spans="2:6">
      <c r="B185" s="763"/>
      <c r="C185" s="763"/>
      <c r="D185" s="763"/>
      <c r="E185" s="832"/>
      <c r="F185" s="832"/>
    </row>
    <row r="186" spans="2:6">
      <c r="B186" s="763"/>
      <c r="C186" s="763"/>
      <c r="D186" s="763"/>
      <c r="E186" s="832"/>
      <c r="F186" s="832"/>
    </row>
    <row r="187" spans="2:6">
      <c r="B187" s="763"/>
      <c r="C187" s="763"/>
      <c r="D187" s="763"/>
      <c r="E187" s="832"/>
      <c r="F187" s="832"/>
    </row>
    <row r="188" spans="2:6">
      <c r="B188" s="763"/>
      <c r="C188" s="763"/>
      <c r="D188" s="763"/>
      <c r="E188" s="832"/>
      <c r="F188" s="832"/>
    </row>
    <row r="189" spans="2:6">
      <c r="B189" s="763"/>
      <c r="C189" s="763"/>
      <c r="D189" s="763"/>
      <c r="E189" s="832"/>
      <c r="F189" s="832"/>
    </row>
    <row r="190" spans="2:6">
      <c r="B190" s="763"/>
      <c r="C190" s="763"/>
      <c r="D190" s="763"/>
      <c r="E190" s="832"/>
      <c r="F190" s="832"/>
    </row>
    <row r="191" spans="2:6">
      <c r="B191" s="763"/>
      <c r="C191" s="763"/>
      <c r="D191" s="763"/>
      <c r="E191" s="832"/>
      <c r="F191" s="832"/>
    </row>
    <row r="192" spans="2:6">
      <c r="B192" s="763"/>
      <c r="C192" s="763"/>
      <c r="D192" s="763"/>
      <c r="E192" s="832"/>
      <c r="F192" s="832"/>
    </row>
    <row r="193" spans="2:6">
      <c r="B193" s="763"/>
      <c r="C193" s="763"/>
      <c r="D193" s="763"/>
      <c r="E193" s="832"/>
      <c r="F193" s="832"/>
    </row>
    <row r="194" spans="2:6">
      <c r="B194" s="763"/>
      <c r="C194" s="763"/>
      <c r="D194" s="763"/>
      <c r="E194" s="832"/>
      <c r="F194" s="832"/>
    </row>
    <row r="195" spans="2:6">
      <c r="B195" s="763"/>
      <c r="C195" s="763"/>
      <c r="D195" s="763"/>
      <c r="E195" s="832"/>
      <c r="F195" s="832"/>
    </row>
    <row r="196" spans="2:6">
      <c r="B196" s="763"/>
      <c r="C196" s="763"/>
      <c r="D196" s="763"/>
      <c r="E196" s="832"/>
      <c r="F196" s="832"/>
    </row>
    <row r="197" spans="2:6">
      <c r="B197" s="763"/>
      <c r="C197" s="763"/>
      <c r="D197" s="763"/>
      <c r="E197" s="832"/>
      <c r="F197" s="832"/>
    </row>
    <row r="198" spans="2:6">
      <c r="B198" s="763"/>
      <c r="C198" s="763"/>
      <c r="D198" s="763"/>
      <c r="E198" s="832"/>
      <c r="F198" s="832"/>
    </row>
    <row r="199" spans="2:6">
      <c r="B199" s="763"/>
      <c r="C199" s="763"/>
      <c r="D199" s="763"/>
      <c r="E199" s="832"/>
      <c r="F199" s="832"/>
    </row>
    <row r="200" spans="2:6">
      <c r="B200" s="763"/>
      <c r="C200" s="763"/>
      <c r="D200" s="763"/>
      <c r="E200" s="832"/>
      <c r="F200" s="832"/>
    </row>
    <row r="201" spans="2:6">
      <c r="B201" s="763"/>
      <c r="C201" s="763"/>
      <c r="D201" s="763"/>
      <c r="E201" s="832"/>
      <c r="F201" s="832"/>
    </row>
    <row r="202" spans="2:6">
      <c r="B202" s="763"/>
      <c r="C202" s="763"/>
      <c r="D202" s="763"/>
      <c r="E202" s="832"/>
      <c r="F202" s="832"/>
    </row>
    <row r="203" spans="2:6">
      <c r="B203" s="763"/>
      <c r="C203" s="763"/>
      <c r="D203" s="763"/>
      <c r="E203" s="832"/>
      <c r="F203" s="832"/>
    </row>
    <row r="204" spans="2:6">
      <c r="B204" s="763"/>
      <c r="C204" s="763"/>
      <c r="D204" s="763"/>
      <c r="E204" s="832"/>
      <c r="F204" s="832"/>
    </row>
    <row r="205" spans="2:6">
      <c r="B205" s="763"/>
      <c r="C205" s="763"/>
      <c r="D205" s="763"/>
      <c r="E205" s="832"/>
      <c r="F205" s="832"/>
    </row>
    <row r="206" spans="2:6">
      <c r="B206" s="763"/>
      <c r="C206" s="763"/>
      <c r="D206" s="763"/>
      <c r="E206" s="832"/>
      <c r="F206" s="832"/>
    </row>
    <row r="207" spans="2:6">
      <c r="B207" s="763"/>
      <c r="C207" s="763"/>
      <c r="D207" s="763"/>
      <c r="E207" s="832"/>
      <c r="F207" s="832"/>
    </row>
    <row r="208" spans="2:6">
      <c r="B208" s="763"/>
      <c r="C208" s="763"/>
      <c r="D208" s="763"/>
      <c r="E208" s="832"/>
      <c r="F208" s="832"/>
    </row>
    <row r="209" spans="2:6">
      <c r="B209" s="763"/>
      <c r="C209" s="763"/>
      <c r="D209" s="763"/>
      <c r="E209" s="832"/>
      <c r="F209" s="832"/>
    </row>
    <row r="210" spans="2:6">
      <c r="B210" s="763"/>
      <c r="C210" s="763"/>
      <c r="D210" s="763"/>
      <c r="E210" s="832"/>
      <c r="F210" s="832"/>
    </row>
    <row r="211" spans="2:6">
      <c r="B211" s="763"/>
      <c r="C211" s="763"/>
      <c r="D211" s="763"/>
      <c r="E211" s="832"/>
      <c r="F211" s="832"/>
    </row>
    <row r="212" spans="2:6">
      <c r="B212" s="763"/>
      <c r="C212" s="763"/>
      <c r="D212" s="763"/>
      <c r="E212" s="832"/>
      <c r="F212" s="832"/>
    </row>
    <row r="213" spans="2:6">
      <c r="B213" s="763"/>
      <c r="C213" s="763"/>
      <c r="D213" s="763"/>
      <c r="E213" s="832"/>
      <c r="F213" s="832"/>
    </row>
    <row r="214" spans="2:6">
      <c r="B214" s="763"/>
      <c r="C214" s="763"/>
      <c r="D214" s="763"/>
      <c r="E214" s="832"/>
      <c r="F214" s="832"/>
    </row>
    <row r="215" spans="2:6">
      <c r="B215" s="763"/>
      <c r="C215" s="763"/>
      <c r="D215" s="763"/>
      <c r="E215" s="832"/>
      <c r="F215" s="832"/>
    </row>
    <row r="216" spans="2:6">
      <c r="B216" s="763"/>
      <c r="C216" s="763"/>
      <c r="D216" s="763"/>
      <c r="E216" s="832"/>
      <c r="F216" s="832"/>
    </row>
    <row r="217" spans="2:6">
      <c r="B217" s="763"/>
      <c r="C217" s="763"/>
      <c r="D217" s="763"/>
      <c r="E217" s="832"/>
      <c r="F217" s="832"/>
    </row>
    <row r="218" spans="2:6">
      <c r="B218" s="763"/>
      <c r="C218" s="763"/>
      <c r="D218" s="763"/>
      <c r="E218" s="832"/>
      <c r="F218" s="832"/>
    </row>
    <row r="219" spans="2:6">
      <c r="B219" s="763"/>
      <c r="C219" s="763"/>
      <c r="D219" s="763"/>
      <c r="E219" s="832"/>
      <c r="F219" s="832"/>
    </row>
    <row r="220" spans="2:6">
      <c r="B220" s="763"/>
      <c r="C220" s="763"/>
      <c r="D220" s="763"/>
      <c r="E220" s="832"/>
      <c r="F220" s="832"/>
    </row>
    <row r="221" spans="2:6">
      <c r="B221" s="763"/>
      <c r="C221" s="763"/>
      <c r="D221" s="763"/>
      <c r="E221" s="832"/>
      <c r="F221" s="832"/>
    </row>
    <row r="222" spans="2:6">
      <c r="B222" s="763"/>
      <c r="C222" s="763"/>
      <c r="D222" s="763"/>
      <c r="E222" s="832"/>
      <c r="F222" s="832"/>
    </row>
    <row r="223" spans="2:6">
      <c r="B223" s="763"/>
      <c r="C223" s="763"/>
      <c r="D223" s="763"/>
      <c r="E223" s="832"/>
      <c r="F223" s="832"/>
    </row>
    <row r="224" spans="2:6">
      <c r="B224" s="763"/>
      <c r="C224" s="763"/>
      <c r="D224" s="763"/>
      <c r="E224" s="832"/>
      <c r="F224" s="832"/>
    </row>
    <row r="225" spans="2:6">
      <c r="B225" s="763"/>
      <c r="C225" s="763"/>
      <c r="D225" s="763"/>
      <c r="E225" s="832"/>
      <c r="F225" s="832"/>
    </row>
    <row r="226" spans="2:6">
      <c r="B226" s="763"/>
      <c r="C226" s="763"/>
      <c r="D226" s="763"/>
      <c r="E226" s="832"/>
      <c r="F226" s="832"/>
    </row>
    <row r="227" spans="2:6">
      <c r="B227" s="763"/>
      <c r="C227" s="763"/>
      <c r="D227" s="763"/>
      <c r="E227" s="832"/>
      <c r="F227" s="832"/>
    </row>
    <row r="228" spans="2:6">
      <c r="B228" s="763"/>
      <c r="C228" s="763"/>
      <c r="D228" s="763"/>
      <c r="E228" s="832"/>
      <c r="F228" s="832"/>
    </row>
    <row r="229" spans="2:6">
      <c r="B229" s="763"/>
      <c r="C229" s="763"/>
      <c r="D229" s="763"/>
      <c r="E229" s="832"/>
      <c r="F229" s="832"/>
    </row>
    <row r="230" spans="2:6">
      <c r="B230" s="763"/>
      <c r="C230" s="763"/>
      <c r="D230" s="763"/>
      <c r="E230" s="832"/>
      <c r="F230" s="832"/>
    </row>
    <row r="231" spans="2:6">
      <c r="B231" s="763"/>
      <c r="C231" s="763"/>
      <c r="D231" s="763"/>
      <c r="E231" s="832"/>
      <c r="F231" s="832"/>
    </row>
    <row r="232" spans="2:6">
      <c r="B232" s="763"/>
      <c r="C232" s="763"/>
      <c r="D232" s="763"/>
      <c r="E232" s="832"/>
      <c r="F232" s="832"/>
    </row>
    <row r="233" spans="2:6">
      <c r="B233" s="763"/>
      <c r="C233" s="763"/>
      <c r="D233" s="763"/>
      <c r="E233" s="832"/>
      <c r="F233" s="832"/>
    </row>
    <row r="234" spans="2:6">
      <c r="B234" s="763"/>
      <c r="C234" s="763"/>
      <c r="D234" s="763"/>
      <c r="E234" s="832"/>
      <c r="F234" s="832"/>
    </row>
    <row r="235" spans="2:6">
      <c r="B235" s="763"/>
      <c r="C235" s="763"/>
      <c r="D235" s="763"/>
      <c r="E235" s="832"/>
      <c r="F235" s="832"/>
    </row>
    <row r="236" spans="2:6">
      <c r="B236" s="763"/>
      <c r="C236" s="763"/>
      <c r="D236" s="763"/>
      <c r="E236" s="832"/>
      <c r="F236" s="832"/>
    </row>
    <row r="237" spans="2:6">
      <c r="B237" s="763"/>
      <c r="C237" s="763"/>
      <c r="D237" s="763"/>
      <c r="E237" s="832"/>
      <c r="F237" s="832"/>
    </row>
    <row r="238" spans="2:6">
      <c r="B238" s="763"/>
      <c r="C238" s="763"/>
      <c r="D238" s="763"/>
      <c r="E238" s="832"/>
      <c r="F238" s="832"/>
    </row>
    <row r="239" spans="2:6">
      <c r="B239" s="763"/>
      <c r="C239" s="763"/>
      <c r="D239" s="763"/>
      <c r="E239" s="832"/>
      <c r="F239" s="832"/>
    </row>
    <row r="240" spans="2:6">
      <c r="B240" s="763"/>
      <c r="C240" s="763"/>
      <c r="D240" s="763"/>
      <c r="E240" s="832"/>
      <c r="F240" s="832"/>
    </row>
    <row r="241" spans="2:6">
      <c r="B241" s="763"/>
      <c r="C241" s="763"/>
      <c r="D241" s="763"/>
      <c r="E241" s="832"/>
      <c r="F241" s="832"/>
    </row>
    <row r="242" spans="2:6">
      <c r="B242" s="763"/>
      <c r="C242" s="763"/>
      <c r="D242" s="763"/>
      <c r="E242" s="832"/>
      <c r="F242" s="832"/>
    </row>
    <row r="243" spans="2:6">
      <c r="B243" s="763"/>
      <c r="C243" s="763"/>
      <c r="D243" s="763"/>
      <c r="E243" s="832"/>
      <c r="F243" s="832"/>
    </row>
    <row r="244" spans="2:6">
      <c r="B244" s="763"/>
      <c r="C244" s="763"/>
      <c r="D244" s="763"/>
      <c r="E244" s="832"/>
      <c r="F244" s="832"/>
    </row>
    <row r="245" spans="2:6">
      <c r="B245" s="763"/>
      <c r="C245" s="763"/>
      <c r="D245" s="763"/>
      <c r="E245" s="832"/>
      <c r="F245" s="832"/>
    </row>
    <row r="246" spans="2:6">
      <c r="B246" s="763"/>
      <c r="C246" s="763"/>
      <c r="D246" s="763"/>
      <c r="E246" s="832"/>
      <c r="F246" s="832"/>
    </row>
    <row r="247" spans="2:6">
      <c r="B247" s="763"/>
      <c r="C247" s="763"/>
      <c r="D247" s="763"/>
      <c r="E247" s="832"/>
      <c r="F247" s="832"/>
    </row>
    <row r="248" spans="2:6">
      <c r="B248" s="763"/>
      <c r="C248" s="763"/>
      <c r="D248" s="763"/>
      <c r="E248" s="832"/>
      <c r="F248" s="832"/>
    </row>
    <row r="249" spans="2:6">
      <c r="B249" s="763"/>
      <c r="C249" s="763"/>
      <c r="D249" s="763"/>
      <c r="E249" s="832"/>
      <c r="F249" s="832"/>
    </row>
    <row r="250" spans="2:6">
      <c r="B250" s="763"/>
      <c r="C250" s="763"/>
      <c r="D250" s="763"/>
      <c r="E250" s="832"/>
      <c r="F250" s="832"/>
    </row>
    <row r="251" spans="2:6">
      <c r="B251" s="763"/>
      <c r="C251" s="763"/>
      <c r="D251" s="763"/>
      <c r="E251" s="832"/>
      <c r="F251" s="832"/>
    </row>
    <row r="252" spans="2:6">
      <c r="B252" s="763"/>
      <c r="C252" s="763"/>
      <c r="D252" s="763"/>
      <c r="E252" s="832"/>
      <c r="F252" s="832"/>
    </row>
    <row r="253" spans="2:6">
      <c r="B253" s="763"/>
      <c r="C253" s="763"/>
      <c r="D253" s="763"/>
      <c r="E253" s="832"/>
      <c r="F253" s="832"/>
    </row>
    <row r="254" spans="2:6">
      <c r="B254" s="763"/>
      <c r="C254" s="763"/>
      <c r="D254" s="763"/>
      <c r="E254" s="832"/>
      <c r="F254" s="832"/>
    </row>
    <row r="255" spans="2:6">
      <c r="B255" s="763"/>
      <c r="C255" s="763"/>
      <c r="D255" s="763"/>
      <c r="E255" s="832"/>
      <c r="F255" s="832"/>
    </row>
    <row r="256" spans="2:6">
      <c r="B256" s="763"/>
      <c r="C256" s="763"/>
      <c r="D256" s="763"/>
      <c r="E256" s="832"/>
      <c r="F256" s="832"/>
    </row>
    <row r="257" spans="2:6">
      <c r="B257" s="763"/>
      <c r="C257" s="763"/>
      <c r="D257" s="763"/>
      <c r="E257" s="832"/>
      <c r="F257" s="832"/>
    </row>
    <row r="258" spans="2:6">
      <c r="B258" s="763"/>
      <c r="C258" s="763"/>
      <c r="D258" s="763"/>
      <c r="E258" s="832"/>
      <c r="F258" s="832"/>
    </row>
    <row r="259" spans="2:6">
      <c r="B259" s="763"/>
      <c r="C259" s="763"/>
      <c r="D259" s="763"/>
      <c r="E259" s="832"/>
      <c r="F259" s="832"/>
    </row>
    <row r="260" spans="2:6">
      <c r="B260" s="763"/>
      <c r="C260" s="763"/>
      <c r="D260" s="763"/>
      <c r="E260" s="832"/>
      <c r="F260" s="832"/>
    </row>
    <row r="261" spans="2:6">
      <c r="B261" s="763"/>
      <c r="C261" s="763"/>
      <c r="D261" s="763"/>
      <c r="E261" s="832"/>
      <c r="F261" s="832"/>
    </row>
    <row r="262" spans="2:6">
      <c r="B262" s="763"/>
      <c r="C262" s="763"/>
      <c r="D262" s="763"/>
      <c r="E262" s="832"/>
      <c r="F262" s="832"/>
    </row>
    <row r="263" spans="2:6">
      <c r="B263" s="763"/>
      <c r="C263" s="763"/>
      <c r="D263" s="763"/>
      <c r="E263" s="832"/>
      <c r="F263" s="832"/>
    </row>
    <row r="264" spans="2:6">
      <c r="B264" s="763"/>
      <c r="C264" s="763"/>
      <c r="D264" s="763"/>
      <c r="E264" s="832"/>
      <c r="F264" s="832"/>
    </row>
    <row r="265" spans="2:6">
      <c r="B265" s="763"/>
      <c r="C265" s="763"/>
      <c r="D265" s="763"/>
      <c r="E265" s="832"/>
      <c r="F265" s="832"/>
    </row>
    <row r="266" spans="2:6">
      <c r="B266" s="763"/>
      <c r="C266" s="763"/>
      <c r="D266" s="763"/>
      <c r="E266" s="832"/>
      <c r="F266" s="832"/>
    </row>
    <row r="267" spans="2:6">
      <c r="B267" s="763"/>
      <c r="C267" s="763"/>
      <c r="D267" s="763"/>
      <c r="E267" s="832"/>
      <c r="F267" s="832"/>
    </row>
    <row r="268" spans="2:6">
      <c r="B268" s="763"/>
      <c r="C268" s="763"/>
      <c r="D268" s="763"/>
      <c r="E268" s="832"/>
      <c r="F268" s="832"/>
    </row>
    <row r="269" spans="2:6">
      <c r="B269" s="763"/>
      <c r="C269" s="763"/>
      <c r="D269" s="763"/>
      <c r="E269" s="832"/>
      <c r="F269" s="832"/>
    </row>
    <row r="270" spans="2:6">
      <c r="B270" s="763"/>
      <c r="C270" s="763"/>
      <c r="D270" s="763"/>
      <c r="E270" s="832"/>
      <c r="F270" s="832"/>
    </row>
    <row r="271" spans="2:6">
      <c r="B271" s="763"/>
      <c r="C271" s="763"/>
      <c r="D271" s="763"/>
      <c r="E271" s="832"/>
      <c r="F271" s="832"/>
    </row>
    <row r="272" spans="2:6">
      <c r="B272" s="763"/>
      <c r="C272" s="763"/>
      <c r="D272" s="763"/>
      <c r="E272" s="832"/>
      <c r="F272" s="832"/>
    </row>
    <row r="273" spans="2:6">
      <c r="B273" s="763"/>
      <c r="C273" s="763"/>
      <c r="D273" s="763"/>
      <c r="E273" s="832"/>
      <c r="F273" s="832"/>
    </row>
    <row r="274" spans="2:6">
      <c r="B274" s="763"/>
      <c r="C274" s="763"/>
      <c r="D274" s="763"/>
      <c r="E274" s="832"/>
      <c r="F274" s="832"/>
    </row>
    <row r="275" spans="2:6">
      <c r="B275" s="763"/>
      <c r="C275" s="763"/>
      <c r="D275" s="763"/>
      <c r="E275" s="832"/>
      <c r="F275" s="832"/>
    </row>
    <row r="276" spans="2:6">
      <c r="B276" s="763"/>
      <c r="C276" s="763"/>
      <c r="D276" s="763"/>
      <c r="E276" s="832"/>
      <c r="F276" s="832"/>
    </row>
    <row r="277" spans="2:6">
      <c r="B277" s="763"/>
      <c r="C277" s="763"/>
      <c r="D277" s="763"/>
      <c r="E277" s="832"/>
      <c r="F277" s="832"/>
    </row>
    <row r="278" spans="2:6">
      <c r="B278" s="763"/>
      <c r="C278" s="763"/>
      <c r="D278" s="763"/>
      <c r="E278" s="832"/>
      <c r="F278" s="832"/>
    </row>
    <row r="279" spans="2:6">
      <c r="B279" s="763"/>
      <c r="C279" s="763"/>
      <c r="D279" s="763"/>
      <c r="E279" s="832"/>
      <c r="F279" s="832"/>
    </row>
    <row r="280" spans="2:6">
      <c r="B280" s="763"/>
      <c r="C280" s="763"/>
      <c r="D280" s="763"/>
      <c r="E280" s="832"/>
      <c r="F280" s="832"/>
    </row>
    <row r="281" spans="2:6">
      <c r="B281" s="763"/>
      <c r="C281" s="763"/>
      <c r="D281" s="763"/>
      <c r="E281" s="832"/>
      <c r="F281" s="832"/>
    </row>
    <row r="282" spans="2:6">
      <c r="B282" s="763"/>
      <c r="C282" s="763"/>
      <c r="D282" s="763"/>
      <c r="E282" s="832"/>
      <c r="F282" s="832"/>
    </row>
    <row r="283" spans="2:6">
      <c r="B283" s="763"/>
      <c r="C283" s="763"/>
      <c r="D283" s="763"/>
      <c r="E283" s="832"/>
      <c r="F283" s="832"/>
    </row>
    <row r="284" spans="2:6">
      <c r="B284" s="763"/>
      <c r="C284" s="763"/>
      <c r="D284" s="763"/>
      <c r="E284" s="832"/>
      <c r="F284" s="832"/>
    </row>
    <row r="285" spans="2:6">
      <c r="B285" s="763"/>
      <c r="C285" s="763"/>
      <c r="D285" s="763"/>
      <c r="E285" s="832"/>
      <c r="F285" s="832"/>
    </row>
    <row r="286" spans="2:6">
      <c r="B286" s="763"/>
      <c r="C286" s="763"/>
      <c r="D286" s="763"/>
      <c r="E286" s="832"/>
      <c r="F286" s="832"/>
    </row>
    <row r="287" spans="2:6">
      <c r="B287" s="763"/>
      <c r="C287" s="763"/>
      <c r="D287" s="763"/>
      <c r="E287" s="832"/>
      <c r="F287" s="832"/>
    </row>
    <row r="288" spans="2:6">
      <c r="B288" s="763"/>
      <c r="C288" s="763"/>
      <c r="D288" s="763"/>
      <c r="E288" s="832"/>
      <c r="F288" s="832"/>
    </row>
    <row r="289" spans="2:6">
      <c r="B289" s="763"/>
      <c r="C289" s="763"/>
      <c r="D289" s="763"/>
      <c r="E289" s="832"/>
      <c r="F289" s="832"/>
    </row>
    <row r="290" spans="2:6">
      <c r="B290" s="763"/>
      <c r="C290" s="763"/>
      <c r="D290" s="763"/>
      <c r="E290" s="832"/>
      <c r="F290" s="832"/>
    </row>
    <row r="291" spans="2:6">
      <c r="B291" s="763"/>
      <c r="C291" s="763"/>
      <c r="D291" s="763"/>
      <c r="E291" s="832"/>
      <c r="F291" s="832"/>
    </row>
    <row r="292" spans="2:6">
      <c r="B292" s="763"/>
      <c r="C292" s="763"/>
      <c r="D292" s="763"/>
      <c r="E292" s="832"/>
      <c r="F292" s="832"/>
    </row>
    <row r="293" spans="2:6">
      <c r="B293" s="763"/>
      <c r="C293" s="763"/>
      <c r="D293" s="763"/>
      <c r="E293" s="832"/>
      <c r="F293" s="832"/>
    </row>
    <row r="294" spans="2:6">
      <c r="B294" s="763"/>
      <c r="C294" s="763"/>
      <c r="D294" s="763"/>
      <c r="E294" s="832"/>
      <c r="F294" s="832"/>
    </row>
    <row r="295" spans="2:6">
      <c r="B295" s="763"/>
      <c r="C295" s="763"/>
      <c r="D295" s="763"/>
      <c r="E295" s="832"/>
      <c r="F295" s="832"/>
    </row>
    <row r="296" spans="2:6">
      <c r="B296" s="763"/>
      <c r="C296" s="763"/>
      <c r="D296" s="763"/>
      <c r="E296" s="832"/>
      <c r="F296" s="832"/>
    </row>
    <row r="297" spans="2:6">
      <c r="B297" s="763"/>
      <c r="C297" s="763"/>
      <c r="D297" s="763"/>
      <c r="E297" s="832"/>
      <c r="F297" s="832"/>
    </row>
    <row r="298" spans="2:6">
      <c r="B298" s="763"/>
      <c r="C298" s="763"/>
      <c r="D298" s="763"/>
      <c r="E298" s="832"/>
      <c r="F298" s="832"/>
    </row>
    <row r="299" spans="2:6">
      <c r="B299" s="763"/>
      <c r="C299" s="763"/>
      <c r="D299" s="763"/>
      <c r="E299" s="832"/>
      <c r="F299" s="832"/>
    </row>
    <row r="300" spans="2:6">
      <c r="B300" s="763"/>
      <c r="C300" s="763"/>
      <c r="D300" s="763"/>
      <c r="E300" s="832"/>
      <c r="F300" s="832"/>
    </row>
    <row r="301" spans="2:6">
      <c r="B301" s="763"/>
      <c r="C301" s="763"/>
      <c r="D301" s="763"/>
      <c r="E301" s="832"/>
      <c r="F301" s="832"/>
    </row>
    <row r="302" spans="2:6">
      <c r="B302" s="763"/>
      <c r="C302" s="763"/>
      <c r="D302" s="763"/>
      <c r="E302" s="832"/>
      <c r="F302" s="832"/>
    </row>
    <row r="303" spans="2:6">
      <c r="B303" s="763"/>
      <c r="C303" s="763"/>
      <c r="D303" s="763"/>
      <c r="E303" s="832"/>
      <c r="F303" s="832"/>
    </row>
    <row r="304" spans="2:6">
      <c r="B304" s="763"/>
      <c r="C304" s="763"/>
      <c r="D304" s="763"/>
      <c r="E304" s="832"/>
      <c r="F304" s="832"/>
    </row>
    <row r="305" spans="2:6">
      <c r="B305" s="763"/>
      <c r="C305" s="763"/>
      <c r="D305" s="763"/>
      <c r="E305" s="832"/>
      <c r="F305" s="832"/>
    </row>
    <row r="306" spans="2:6">
      <c r="B306" s="763"/>
      <c r="C306" s="763"/>
      <c r="D306" s="763"/>
      <c r="E306" s="832"/>
      <c r="F306" s="832"/>
    </row>
    <row r="307" spans="2:6">
      <c r="B307" s="763"/>
      <c r="C307" s="763"/>
      <c r="D307" s="763"/>
      <c r="E307" s="832"/>
      <c r="F307" s="832"/>
    </row>
    <row r="308" spans="2:6">
      <c r="B308" s="763"/>
      <c r="C308" s="763"/>
      <c r="D308" s="763"/>
      <c r="E308" s="832"/>
      <c r="F308" s="832"/>
    </row>
    <row r="309" spans="2:6">
      <c r="B309" s="763"/>
      <c r="C309" s="763"/>
      <c r="D309" s="763"/>
      <c r="E309" s="832"/>
      <c r="F309" s="832"/>
    </row>
    <row r="310" spans="2:6">
      <c r="B310" s="763"/>
      <c r="C310" s="763"/>
      <c r="D310" s="763"/>
      <c r="E310" s="832"/>
      <c r="F310" s="832"/>
    </row>
    <row r="311" spans="2:6">
      <c r="B311" s="763"/>
      <c r="C311" s="763"/>
      <c r="D311" s="763"/>
      <c r="E311" s="832"/>
      <c r="F311" s="832"/>
    </row>
    <row r="312" spans="2:6">
      <c r="B312" s="763"/>
      <c r="C312" s="763"/>
      <c r="D312" s="763"/>
      <c r="E312" s="832"/>
      <c r="F312" s="832"/>
    </row>
    <row r="313" spans="2:6">
      <c r="B313" s="763"/>
      <c r="C313" s="763"/>
      <c r="D313" s="763"/>
      <c r="E313" s="832"/>
      <c r="F313" s="832"/>
    </row>
    <row r="314" spans="2:6">
      <c r="B314" s="763"/>
      <c r="C314" s="763"/>
      <c r="D314" s="763"/>
      <c r="E314" s="832"/>
      <c r="F314" s="832"/>
    </row>
    <row r="315" spans="2:6">
      <c r="B315" s="763"/>
      <c r="C315" s="763"/>
      <c r="D315" s="763"/>
      <c r="E315" s="832"/>
      <c r="F315" s="832"/>
    </row>
    <row r="316" spans="2:6">
      <c r="B316" s="763"/>
      <c r="C316" s="763"/>
      <c r="D316" s="763"/>
      <c r="E316" s="832"/>
      <c r="F316" s="832"/>
    </row>
    <row r="317" spans="2:6">
      <c r="B317" s="763"/>
      <c r="C317" s="763"/>
      <c r="D317" s="763"/>
      <c r="E317" s="832"/>
      <c r="F317" s="832"/>
    </row>
    <row r="318" spans="2:6">
      <c r="B318" s="763"/>
      <c r="C318" s="763"/>
      <c r="D318" s="763"/>
      <c r="E318" s="832"/>
      <c r="F318" s="832"/>
    </row>
    <row r="319" spans="2:6">
      <c r="B319" s="763"/>
      <c r="C319" s="763"/>
      <c r="D319" s="763"/>
      <c r="E319" s="832"/>
      <c r="F319" s="832"/>
    </row>
    <row r="320" spans="2:6">
      <c r="B320" s="763"/>
      <c r="C320" s="763"/>
      <c r="D320" s="763"/>
      <c r="E320" s="832"/>
      <c r="F320" s="832"/>
    </row>
    <row r="321" spans="2:6">
      <c r="B321" s="763"/>
      <c r="C321" s="763"/>
      <c r="D321" s="763"/>
      <c r="E321" s="832"/>
      <c r="F321" s="832"/>
    </row>
    <row r="322" spans="2:6">
      <c r="B322" s="763"/>
      <c r="C322" s="763"/>
      <c r="D322" s="763"/>
      <c r="E322" s="832"/>
      <c r="F322" s="832"/>
    </row>
    <row r="323" spans="2:6">
      <c r="B323" s="763"/>
      <c r="C323" s="763"/>
      <c r="D323" s="763"/>
      <c r="E323" s="832"/>
      <c r="F323" s="832"/>
    </row>
    <row r="324" spans="2:6">
      <c r="B324" s="763"/>
      <c r="C324" s="763"/>
      <c r="D324" s="763"/>
      <c r="E324" s="832"/>
      <c r="F324" s="832"/>
    </row>
    <row r="325" spans="2:6">
      <c r="B325" s="763"/>
      <c r="C325" s="763"/>
      <c r="D325" s="763"/>
      <c r="E325" s="832"/>
      <c r="F325" s="832"/>
    </row>
    <row r="326" spans="2:6">
      <c r="B326" s="763"/>
      <c r="C326" s="763"/>
      <c r="D326" s="763"/>
      <c r="E326" s="832"/>
      <c r="F326" s="832"/>
    </row>
    <row r="327" spans="2:6">
      <c r="B327" s="763"/>
      <c r="C327" s="763"/>
      <c r="D327" s="763"/>
      <c r="E327" s="832"/>
      <c r="F327" s="832"/>
    </row>
    <row r="328" spans="2:6">
      <c r="B328" s="763"/>
      <c r="C328" s="763"/>
      <c r="D328" s="763"/>
      <c r="E328" s="832"/>
      <c r="F328" s="832"/>
    </row>
    <row r="329" spans="2:6">
      <c r="B329" s="763"/>
      <c r="C329" s="763"/>
      <c r="D329" s="763"/>
      <c r="E329" s="832"/>
      <c r="F329" s="832"/>
    </row>
    <row r="330" spans="2:6">
      <c r="B330" s="763"/>
      <c r="C330" s="763"/>
      <c r="D330" s="763"/>
      <c r="E330" s="832"/>
      <c r="F330" s="832"/>
    </row>
    <row r="331" spans="2:6">
      <c r="B331" s="763"/>
      <c r="C331" s="763"/>
      <c r="D331" s="763"/>
      <c r="E331" s="832"/>
      <c r="F331" s="832"/>
    </row>
    <row r="332" spans="2:6">
      <c r="B332" s="763"/>
      <c r="C332" s="763"/>
      <c r="D332" s="763"/>
      <c r="E332" s="832"/>
      <c r="F332" s="832"/>
    </row>
    <row r="333" spans="2:6">
      <c r="B333" s="763"/>
      <c r="C333" s="763"/>
      <c r="D333" s="763"/>
      <c r="E333" s="832"/>
      <c r="F333" s="832"/>
    </row>
    <row r="334" spans="2:6">
      <c r="B334" s="763"/>
      <c r="C334" s="763"/>
      <c r="D334" s="763"/>
      <c r="E334" s="832"/>
      <c r="F334" s="832"/>
    </row>
    <row r="335" spans="2:6">
      <c r="B335" s="763"/>
      <c r="C335" s="763"/>
      <c r="D335" s="763"/>
      <c r="E335" s="832"/>
      <c r="F335" s="832"/>
    </row>
    <row r="336" spans="2:6">
      <c r="B336" s="763"/>
      <c r="C336" s="763"/>
      <c r="D336" s="763"/>
      <c r="E336" s="832"/>
      <c r="F336" s="832"/>
    </row>
    <row r="337" spans="2:6">
      <c r="B337" s="763"/>
      <c r="C337" s="763"/>
      <c r="D337" s="763"/>
      <c r="E337" s="832"/>
      <c r="F337" s="832"/>
    </row>
    <row r="338" spans="2:6">
      <c r="B338" s="763"/>
      <c r="C338" s="763"/>
      <c r="D338" s="763"/>
      <c r="E338" s="832"/>
      <c r="F338" s="832"/>
    </row>
    <row r="339" spans="2:6">
      <c r="B339" s="763"/>
      <c r="C339" s="763"/>
      <c r="D339" s="763"/>
      <c r="E339" s="832"/>
      <c r="F339" s="832"/>
    </row>
    <row r="340" spans="2:6">
      <c r="B340" s="763"/>
      <c r="C340" s="763"/>
      <c r="D340" s="763"/>
      <c r="E340" s="832"/>
      <c r="F340" s="832"/>
    </row>
    <row r="341" spans="2:6">
      <c r="B341" s="763"/>
      <c r="C341" s="763"/>
      <c r="D341" s="763"/>
      <c r="E341" s="832"/>
      <c r="F341" s="832"/>
    </row>
    <row r="342" spans="2:6">
      <c r="B342" s="763"/>
      <c r="C342" s="763"/>
      <c r="D342" s="763"/>
      <c r="E342" s="832"/>
      <c r="F342" s="832"/>
    </row>
    <row r="343" spans="2:6">
      <c r="B343" s="763"/>
      <c r="C343" s="763"/>
      <c r="D343" s="763"/>
      <c r="E343" s="832"/>
      <c r="F343" s="832"/>
    </row>
    <row r="344" spans="2:6">
      <c r="B344" s="763"/>
      <c r="C344" s="763"/>
      <c r="D344" s="763"/>
      <c r="E344" s="832"/>
      <c r="F344" s="832"/>
    </row>
    <row r="345" spans="2:6">
      <c r="B345" s="763"/>
      <c r="C345" s="763"/>
      <c r="D345" s="763"/>
      <c r="E345" s="832"/>
      <c r="F345" s="832"/>
    </row>
    <row r="346" spans="2:6">
      <c r="B346" s="763"/>
      <c r="C346" s="763"/>
      <c r="D346" s="763"/>
      <c r="E346" s="832"/>
      <c r="F346" s="832"/>
    </row>
    <row r="347" spans="2:6">
      <c r="B347" s="763"/>
      <c r="C347" s="763"/>
      <c r="D347" s="763"/>
      <c r="E347" s="832"/>
      <c r="F347" s="832"/>
    </row>
    <row r="348" spans="2:6">
      <c r="B348" s="763"/>
      <c r="C348" s="763"/>
      <c r="D348" s="763"/>
      <c r="E348" s="832"/>
      <c r="F348" s="832"/>
    </row>
    <row r="349" spans="2:6">
      <c r="B349" s="763"/>
      <c r="C349" s="763"/>
      <c r="D349" s="763"/>
      <c r="E349" s="832"/>
      <c r="F349" s="832"/>
    </row>
    <row r="350" spans="2:6">
      <c r="B350" s="763"/>
      <c r="C350" s="763"/>
      <c r="D350" s="763"/>
      <c r="E350" s="832"/>
      <c r="F350" s="832"/>
    </row>
    <row r="351" spans="2:6">
      <c r="B351" s="763"/>
      <c r="C351" s="763"/>
      <c r="D351" s="763"/>
      <c r="E351" s="832"/>
      <c r="F351" s="832"/>
    </row>
    <row r="352" spans="2:6">
      <c r="B352" s="763"/>
      <c r="C352" s="763"/>
      <c r="D352" s="763"/>
      <c r="E352" s="832"/>
      <c r="F352" s="832"/>
    </row>
    <row r="353" spans="2:6">
      <c r="B353" s="763"/>
      <c r="C353" s="763"/>
      <c r="D353" s="763"/>
      <c r="E353" s="832"/>
      <c r="F353" s="832"/>
    </row>
    <row r="354" spans="2:6">
      <c r="B354" s="763"/>
      <c r="C354" s="763"/>
      <c r="D354" s="763"/>
      <c r="E354" s="832"/>
      <c r="F354" s="832"/>
    </row>
    <row r="355" spans="2:6">
      <c r="B355" s="763"/>
      <c r="C355" s="763"/>
      <c r="D355" s="763"/>
      <c r="E355" s="832"/>
      <c r="F355" s="832"/>
    </row>
    <row r="356" spans="2:6">
      <c r="B356" s="763"/>
      <c r="C356" s="763"/>
      <c r="D356" s="763"/>
      <c r="E356" s="832"/>
      <c r="F356" s="832"/>
    </row>
    <row r="357" spans="2:6">
      <c r="B357" s="763"/>
      <c r="C357" s="763"/>
      <c r="D357" s="763"/>
      <c r="E357" s="832"/>
      <c r="F357" s="832"/>
    </row>
    <row r="358" spans="2:6">
      <c r="B358" s="763"/>
      <c r="C358" s="763"/>
      <c r="D358" s="763"/>
      <c r="E358" s="832"/>
      <c r="F358" s="832"/>
    </row>
    <row r="359" spans="2:6">
      <c r="B359" s="763"/>
      <c r="C359" s="763"/>
      <c r="D359" s="763"/>
      <c r="E359" s="832"/>
      <c r="F359" s="832"/>
    </row>
    <row r="360" spans="2:6">
      <c r="B360" s="763"/>
      <c r="C360" s="763"/>
      <c r="D360" s="763"/>
      <c r="E360" s="832"/>
      <c r="F360" s="832"/>
    </row>
    <row r="361" spans="2:6">
      <c r="B361" s="763"/>
      <c r="C361" s="763"/>
      <c r="D361" s="763"/>
      <c r="E361" s="832"/>
      <c r="F361" s="832"/>
    </row>
    <row r="362" spans="2:6">
      <c r="B362" s="763"/>
      <c r="C362" s="763"/>
      <c r="D362" s="763"/>
      <c r="E362" s="832"/>
      <c r="F362" s="832"/>
    </row>
    <row r="363" spans="2:6">
      <c r="B363" s="763"/>
      <c r="C363" s="763"/>
      <c r="D363" s="763"/>
      <c r="E363" s="832"/>
      <c r="F363" s="832"/>
    </row>
    <row r="364" spans="2:6">
      <c r="B364" s="763"/>
      <c r="C364" s="763"/>
      <c r="D364" s="763"/>
      <c r="E364" s="832"/>
      <c r="F364" s="832"/>
    </row>
    <row r="365" spans="2:6">
      <c r="B365" s="763"/>
      <c r="C365" s="763"/>
      <c r="D365" s="763"/>
      <c r="E365" s="832"/>
      <c r="F365" s="832"/>
    </row>
    <row r="366" spans="2:6">
      <c r="B366" s="763"/>
      <c r="C366" s="763"/>
      <c r="D366" s="763"/>
      <c r="E366" s="832"/>
      <c r="F366" s="832"/>
    </row>
    <row r="367" spans="2:6">
      <c r="B367" s="763"/>
      <c r="C367" s="763"/>
      <c r="D367" s="763"/>
      <c r="E367" s="832"/>
      <c r="F367" s="832"/>
    </row>
    <row r="368" spans="2:6">
      <c r="B368" s="763"/>
      <c r="C368" s="763"/>
      <c r="D368" s="763"/>
      <c r="E368" s="832"/>
      <c r="F368" s="832"/>
    </row>
    <row r="369" spans="2:6">
      <c r="B369" s="763"/>
      <c r="C369" s="763"/>
      <c r="D369" s="763"/>
      <c r="E369" s="832"/>
      <c r="F369" s="832"/>
    </row>
    <row r="370" spans="2:6">
      <c r="B370" s="763"/>
      <c r="C370" s="763"/>
      <c r="D370" s="763"/>
      <c r="E370" s="832"/>
      <c r="F370" s="832"/>
    </row>
    <row r="371" spans="2:6">
      <c r="B371" s="763"/>
      <c r="C371" s="763"/>
      <c r="D371" s="763"/>
      <c r="E371" s="832"/>
      <c r="F371" s="832"/>
    </row>
    <row r="372" spans="2:6">
      <c r="B372" s="763"/>
      <c r="C372" s="763"/>
      <c r="D372" s="763"/>
      <c r="E372" s="832"/>
      <c r="F372" s="832"/>
    </row>
    <row r="373" spans="2:6">
      <c r="B373" s="763"/>
      <c r="C373" s="763"/>
      <c r="D373" s="763"/>
      <c r="E373" s="832"/>
      <c r="F373" s="832"/>
    </row>
    <row r="374" spans="2:6">
      <c r="B374" s="763"/>
      <c r="C374" s="763"/>
      <c r="D374" s="763"/>
      <c r="E374" s="832"/>
      <c r="F374" s="832"/>
    </row>
    <row r="375" spans="2:6">
      <c r="B375" s="763"/>
      <c r="C375" s="763"/>
      <c r="D375" s="763"/>
      <c r="E375" s="832"/>
      <c r="F375" s="832"/>
    </row>
    <row r="376" spans="2:6">
      <c r="B376" s="763"/>
      <c r="C376" s="763"/>
      <c r="D376" s="763"/>
      <c r="E376" s="832"/>
      <c r="F376" s="832"/>
    </row>
    <row r="377" spans="2:6">
      <c r="B377" s="763"/>
      <c r="C377" s="763"/>
      <c r="D377" s="763"/>
      <c r="E377" s="832"/>
      <c r="F377" s="832"/>
    </row>
    <row r="378" spans="2:6">
      <c r="B378" s="763"/>
      <c r="C378" s="763"/>
      <c r="D378" s="763"/>
      <c r="E378" s="832"/>
      <c r="F378" s="832"/>
    </row>
    <row r="379" spans="2:6">
      <c r="B379" s="763"/>
      <c r="C379" s="763"/>
      <c r="D379" s="763"/>
      <c r="E379" s="832"/>
      <c r="F379" s="832"/>
    </row>
    <row r="380" spans="2:6">
      <c r="B380" s="763"/>
      <c r="C380" s="763"/>
      <c r="D380" s="763"/>
      <c r="E380" s="832"/>
      <c r="F380" s="832"/>
    </row>
    <row r="381" spans="2:6">
      <c r="B381" s="763"/>
      <c r="C381" s="763"/>
      <c r="D381" s="763"/>
      <c r="E381" s="832"/>
      <c r="F381" s="832"/>
    </row>
    <row r="382" spans="2:6">
      <c r="B382" s="763"/>
      <c r="C382" s="763"/>
      <c r="D382" s="763"/>
      <c r="E382" s="832"/>
      <c r="F382" s="832"/>
    </row>
    <row r="383" spans="2:6">
      <c r="B383" s="763"/>
      <c r="C383" s="763"/>
      <c r="D383" s="763"/>
      <c r="E383" s="832"/>
      <c r="F383" s="832"/>
    </row>
    <row r="384" spans="2:6">
      <c r="B384" s="763"/>
      <c r="C384" s="763"/>
      <c r="D384" s="763"/>
      <c r="E384" s="832"/>
      <c r="F384" s="832"/>
    </row>
    <row r="385" spans="2:6">
      <c r="B385" s="763"/>
      <c r="C385" s="763"/>
      <c r="D385" s="763"/>
      <c r="E385" s="832"/>
      <c r="F385" s="832"/>
    </row>
    <row r="386" spans="2:6">
      <c r="B386" s="763"/>
      <c r="C386" s="763"/>
      <c r="D386" s="763"/>
      <c r="E386" s="832"/>
      <c r="F386" s="832"/>
    </row>
    <row r="387" spans="2:6">
      <c r="B387" s="763"/>
      <c r="C387" s="763"/>
      <c r="D387" s="763"/>
      <c r="E387" s="832"/>
      <c r="F387" s="832"/>
    </row>
    <row r="388" spans="2:6">
      <c r="B388" s="763"/>
      <c r="C388" s="763"/>
      <c r="D388" s="763"/>
      <c r="E388" s="832"/>
      <c r="F388" s="832"/>
    </row>
    <row r="389" spans="2:6">
      <c r="B389" s="763"/>
      <c r="C389" s="763"/>
      <c r="D389" s="763"/>
      <c r="E389" s="832"/>
      <c r="F389" s="832"/>
    </row>
    <row r="390" spans="2:6">
      <c r="B390" s="763"/>
      <c r="C390" s="763"/>
      <c r="D390" s="763"/>
      <c r="E390" s="832"/>
      <c r="F390" s="832"/>
    </row>
    <row r="391" spans="2:6">
      <c r="B391" s="763"/>
      <c r="C391" s="763"/>
      <c r="D391" s="763"/>
      <c r="E391" s="832"/>
      <c r="F391" s="832"/>
    </row>
    <row r="392" spans="2:6">
      <c r="B392" s="763"/>
      <c r="C392" s="763"/>
      <c r="D392" s="763"/>
      <c r="E392" s="832"/>
      <c r="F392" s="832"/>
    </row>
    <row r="393" spans="2:6">
      <c r="B393" s="763"/>
      <c r="C393" s="763"/>
      <c r="D393" s="763"/>
      <c r="E393" s="832"/>
      <c r="F393" s="832"/>
    </row>
    <row r="394" spans="2:6">
      <c r="B394" s="763"/>
      <c r="C394" s="763"/>
      <c r="D394" s="763"/>
      <c r="E394" s="832"/>
      <c r="F394" s="832"/>
    </row>
    <row r="395" spans="2:6">
      <c r="B395" s="763"/>
      <c r="C395" s="763"/>
      <c r="D395" s="763"/>
      <c r="E395" s="832"/>
      <c r="F395" s="832"/>
    </row>
    <row r="396" spans="2:6">
      <c r="B396" s="763"/>
      <c r="C396" s="763"/>
      <c r="D396" s="763"/>
      <c r="E396" s="832"/>
      <c r="F396" s="832"/>
    </row>
    <row r="397" spans="2:6">
      <c r="B397" s="763"/>
      <c r="C397" s="763"/>
      <c r="D397" s="763"/>
      <c r="E397" s="832"/>
      <c r="F397" s="832"/>
    </row>
    <row r="398" spans="2:6">
      <c r="B398" s="763"/>
      <c r="C398" s="763"/>
      <c r="D398" s="763"/>
      <c r="E398" s="832"/>
      <c r="F398" s="832"/>
    </row>
    <row r="399" spans="2:6">
      <c r="B399" s="763"/>
      <c r="C399" s="763"/>
      <c r="D399" s="763"/>
      <c r="E399" s="832"/>
      <c r="F399" s="832"/>
    </row>
    <row r="400" spans="2:6">
      <c r="B400" s="763"/>
      <c r="C400" s="763"/>
      <c r="D400" s="763"/>
      <c r="E400" s="832"/>
      <c r="F400" s="832"/>
    </row>
    <row r="401" spans="2:6">
      <c r="B401" s="763"/>
      <c r="C401" s="763"/>
      <c r="D401" s="763"/>
      <c r="E401" s="832"/>
      <c r="F401" s="832"/>
    </row>
    <row r="402" spans="2:6">
      <c r="B402" s="763"/>
      <c r="C402" s="763"/>
      <c r="D402" s="763"/>
      <c r="E402" s="832"/>
      <c r="F402" s="832"/>
    </row>
    <row r="403" spans="2:6">
      <c r="B403" s="763"/>
      <c r="C403" s="763"/>
      <c r="D403" s="763"/>
      <c r="E403" s="832"/>
      <c r="F403" s="832"/>
    </row>
    <row r="404" spans="2:6">
      <c r="B404" s="763"/>
      <c r="C404" s="763"/>
      <c r="D404" s="763"/>
      <c r="E404" s="832"/>
      <c r="F404" s="832"/>
    </row>
    <row r="405" spans="2:6">
      <c r="B405" s="763"/>
      <c r="C405" s="763"/>
      <c r="D405" s="763"/>
      <c r="E405" s="832"/>
      <c r="F405" s="832"/>
    </row>
    <row r="406" spans="2:6">
      <c r="B406" s="763"/>
      <c r="C406" s="763"/>
      <c r="D406" s="763"/>
      <c r="E406" s="832"/>
      <c r="F406" s="832"/>
    </row>
    <row r="407" spans="2:6">
      <c r="B407" s="763"/>
      <c r="C407" s="763"/>
      <c r="D407" s="763"/>
      <c r="E407" s="832"/>
      <c r="F407" s="832"/>
    </row>
    <row r="408" spans="2:6">
      <c r="B408" s="763"/>
      <c r="C408" s="763"/>
      <c r="D408" s="763"/>
      <c r="E408" s="832"/>
      <c r="F408" s="832"/>
    </row>
    <row r="409" spans="2:6">
      <c r="B409" s="763"/>
      <c r="C409" s="763"/>
      <c r="D409" s="763"/>
      <c r="E409" s="832"/>
      <c r="F409" s="832"/>
    </row>
    <row r="410" spans="2:6">
      <c r="B410" s="763"/>
      <c r="C410" s="763"/>
      <c r="D410" s="763"/>
      <c r="E410" s="832"/>
      <c r="F410" s="832"/>
    </row>
    <row r="411" spans="2:6">
      <c r="B411" s="763"/>
      <c r="C411" s="763"/>
      <c r="D411" s="763"/>
      <c r="E411" s="832"/>
      <c r="F411" s="832"/>
    </row>
    <row r="412" spans="2:6">
      <c r="B412" s="763"/>
      <c r="C412" s="763"/>
      <c r="D412" s="763"/>
      <c r="E412" s="832"/>
      <c r="F412" s="832"/>
    </row>
    <row r="413" spans="2:6">
      <c r="B413" s="763"/>
      <c r="C413" s="763"/>
      <c r="D413" s="763"/>
      <c r="E413" s="832"/>
      <c r="F413" s="832"/>
    </row>
    <row r="414" spans="2:6">
      <c r="B414" s="763"/>
      <c r="C414" s="763"/>
      <c r="D414" s="763"/>
      <c r="E414" s="832"/>
      <c r="F414" s="832"/>
    </row>
    <row r="415" spans="2:6">
      <c r="B415" s="763"/>
      <c r="C415" s="763"/>
      <c r="D415" s="763"/>
      <c r="E415" s="832"/>
      <c r="F415" s="832"/>
    </row>
    <row r="416" spans="2:6">
      <c r="B416" s="763"/>
      <c r="C416" s="763"/>
      <c r="D416" s="763"/>
      <c r="E416" s="832"/>
      <c r="F416" s="832"/>
    </row>
    <row r="417" spans="2:6">
      <c r="B417" s="763"/>
      <c r="C417" s="763"/>
      <c r="D417" s="763"/>
      <c r="E417" s="832"/>
      <c r="F417" s="832"/>
    </row>
    <row r="418" spans="2:6">
      <c r="B418" s="763"/>
      <c r="C418" s="763"/>
      <c r="D418" s="763"/>
      <c r="E418" s="832"/>
      <c r="F418" s="832"/>
    </row>
    <row r="419" spans="2:6">
      <c r="B419" s="763"/>
      <c r="C419" s="763"/>
      <c r="D419" s="763"/>
      <c r="E419" s="832"/>
      <c r="F419" s="832"/>
    </row>
    <row r="420" spans="2:6">
      <c r="B420" s="763"/>
      <c r="C420" s="763"/>
      <c r="D420" s="763"/>
      <c r="E420" s="832"/>
      <c r="F420" s="832"/>
    </row>
    <row r="421" spans="2:6">
      <c r="B421" s="763"/>
      <c r="C421" s="763"/>
      <c r="D421" s="763"/>
      <c r="E421" s="832"/>
      <c r="F421" s="832"/>
    </row>
    <row r="422" spans="2:6">
      <c r="B422" s="763"/>
      <c r="C422" s="763"/>
      <c r="D422" s="763"/>
      <c r="E422" s="832"/>
      <c r="F422" s="832"/>
    </row>
    <row r="423" spans="2:6">
      <c r="B423" s="763"/>
      <c r="C423" s="763"/>
      <c r="D423" s="763"/>
      <c r="E423" s="832"/>
      <c r="F423" s="832"/>
    </row>
    <row r="424" spans="2:6">
      <c r="B424" s="763"/>
      <c r="C424" s="763"/>
      <c r="D424" s="763"/>
      <c r="E424" s="832"/>
      <c r="F424" s="832"/>
    </row>
    <row r="425" spans="2:6">
      <c r="B425" s="763"/>
      <c r="C425" s="763"/>
      <c r="D425" s="763"/>
      <c r="E425" s="832"/>
      <c r="F425" s="832"/>
    </row>
    <row r="426" spans="2:6">
      <c r="B426" s="763"/>
      <c r="C426" s="763"/>
      <c r="D426" s="763"/>
      <c r="E426" s="832"/>
      <c r="F426" s="832"/>
    </row>
    <row r="427" spans="2:6">
      <c r="B427" s="763"/>
      <c r="C427" s="763"/>
      <c r="D427" s="763"/>
      <c r="E427" s="832"/>
      <c r="F427" s="832"/>
    </row>
    <row r="428" spans="2:6">
      <c r="B428" s="763"/>
      <c r="C428" s="763"/>
      <c r="D428" s="763"/>
      <c r="E428" s="832"/>
      <c r="F428" s="832"/>
    </row>
    <row r="429" spans="2:6">
      <c r="B429" s="763"/>
      <c r="C429" s="763"/>
      <c r="D429" s="763"/>
      <c r="E429" s="832"/>
      <c r="F429" s="832"/>
    </row>
    <row r="430" spans="2:6">
      <c r="B430" s="763"/>
      <c r="C430" s="763"/>
      <c r="D430" s="763"/>
      <c r="E430" s="832"/>
      <c r="F430" s="832"/>
    </row>
    <row r="431" spans="2:6">
      <c r="B431" s="763"/>
      <c r="C431" s="763"/>
      <c r="D431" s="763"/>
      <c r="E431" s="832"/>
      <c r="F431" s="832"/>
    </row>
    <row r="432" spans="2:6">
      <c r="B432" s="763"/>
      <c r="C432" s="763"/>
      <c r="D432" s="763"/>
      <c r="E432" s="832"/>
      <c r="F432" s="832"/>
    </row>
    <row r="433" spans="2:6">
      <c r="B433" s="763"/>
      <c r="C433" s="763"/>
      <c r="D433" s="763"/>
      <c r="E433" s="832"/>
      <c r="F433" s="832"/>
    </row>
    <row r="434" spans="2:6">
      <c r="B434" s="763"/>
      <c r="C434" s="763"/>
      <c r="D434" s="763"/>
      <c r="E434" s="832"/>
      <c r="F434" s="832"/>
    </row>
    <row r="435" spans="2:6">
      <c r="B435" s="763"/>
      <c r="C435" s="763"/>
      <c r="D435" s="763"/>
      <c r="E435" s="832"/>
      <c r="F435" s="832"/>
    </row>
    <row r="436" spans="2:6">
      <c r="B436" s="763"/>
      <c r="C436" s="763"/>
      <c r="D436" s="763"/>
      <c r="E436" s="832"/>
      <c r="F436" s="832"/>
    </row>
    <row r="437" spans="2:6">
      <c r="B437" s="763"/>
      <c r="C437" s="763"/>
      <c r="D437" s="763"/>
      <c r="E437" s="832"/>
      <c r="F437" s="832"/>
    </row>
    <row r="438" spans="2:6">
      <c r="B438" s="763"/>
      <c r="C438" s="763"/>
      <c r="D438" s="763"/>
      <c r="E438" s="832"/>
      <c r="F438" s="832"/>
    </row>
    <row r="439" spans="2:6">
      <c r="B439" s="763"/>
      <c r="C439" s="763"/>
      <c r="D439" s="763"/>
      <c r="E439" s="832"/>
      <c r="F439" s="832"/>
    </row>
    <row r="440" spans="2:6">
      <c r="B440" s="763"/>
      <c r="C440" s="763"/>
      <c r="D440" s="763"/>
      <c r="E440" s="832"/>
      <c r="F440" s="832"/>
    </row>
    <row r="441" spans="2:6">
      <c r="B441" s="763"/>
      <c r="C441" s="763"/>
      <c r="D441" s="763"/>
      <c r="E441" s="832"/>
      <c r="F441" s="832"/>
    </row>
    <row r="442" spans="2:6">
      <c r="B442" s="763"/>
      <c r="C442" s="763"/>
      <c r="D442" s="763"/>
      <c r="E442" s="832"/>
      <c r="F442" s="832"/>
    </row>
    <row r="443" spans="2:6">
      <c r="B443" s="763"/>
      <c r="C443" s="763"/>
      <c r="D443" s="763"/>
      <c r="E443" s="832"/>
      <c r="F443" s="832"/>
    </row>
    <row r="444" spans="2:6">
      <c r="B444" s="763"/>
      <c r="C444" s="763"/>
      <c r="D444" s="763"/>
      <c r="E444" s="832"/>
      <c r="F444" s="832"/>
    </row>
    <row r="445" spans="2:6">
      <c r="B445" s="763"/>
      <c r="C445" s="763"/>
      <c r="D445" s="763"/>
      <c r="E445" s="832"/>
      <c r="F445" s="832"/>
    </row>
    <row r="446" spans="2:6">
      <c r="B446" s="763"/>
      <c r="C446" s="763"/>
      <c r="D446" s="763"/>
      <c r="E446" s="832"/>
      <c r="F446" s="832"/>
    </row>
    <row r="447" spans="2:6">
      <c r="B447" s="763"/>
      <c r="C447" s="763"/>
      <c r="D447" s="763"/>
      <c r="E447" s="832"/>
      <c r="F447" s="832"/>
    </row>
    <row r="448" spans="2:6">
      <c r="B448" s="763"/>
      <c r="C448" s="763"/>
      <c r="D448" s="763"/>
      <c r="E448" s="832"/>
      <c r="F448" s="832"/>
    </row>
    <row r="449" spans="2:6">
      <c r="B449" s="763"/>
      <c r="C449" s="763"/>
      <c r="D449" s="763"/>
      <c r="E449" s="832"/>
      <c r="F449" s="832"/>
    </row>
    <row r="450" spans="2:6">
      <c r="B450" s="763"/>
      <c r="C450" s="763"/>
      <c r="D450" s="763"/>
      <c r="E450" s="832"/>
      <c r="F450" s="832"/>
    </row>
    <row r="451" spans="2:6">
      <c r="B451" s="763"/>
      <c r="C451" s="763"/>
      <c r="D451" s="763"/>
      <c r="E451" s="832"/>
      <c r="F451" s="832"/>
    </row>
    <row r="452" spans="2:6">
      <c r="B452" s="763"/>
      <c r="C452" s="763"/>
      <c r="D452" s="763"/>
      <c r="E452" s="832"/>
      <c r="F452" s="832"/>
    </row>
    <row r="453" spans="2:6">
      <c r="B453" s="763"/>
      <c r="C453" s="763"/>
      <c r="D453" s="763"/>
      <c r="E453" s="832"/>
      <c r="F453" s="832"/>
    </row>
    <row r="454" spans="2:6">
      <c r="B454" s="763"/>
      <c r="C454" s="763"/>
      <c r="D454" s="763"/>
      <c r="E454" s="832"/>
      <c r="F454" s="832"/>
    </row>
    <row r="455" spans="2:6">
      <c r="B455" s="763"/>
      <c r="C455" s="763"/>
      <c r="D455" s="763"/>
      <c r="E455" s="832"/>
      <c r="F455" s="832"/>
    </row>
    <row r="456" spans="2:6">
      <c r="B456" s="763"/>
      <c r="C456" s="763"/>
      <c r="D456" s="763"/>
      <c r="E456" s="832"/>
      <c r="F456" s="832"/>
    </row>
    <row r="457" spans="2:6">
      <c r="B457" s="763"/>
      <c r="C457" s="763"/>
      <c r="D457" s="763"/>
      <c r="E457" s="832"/>
      <c r="F457" s="832"/>
    </row>
    <row r="458" spans="2:6">
      <c r="B458" s="763"/>
      <c r="C458" s="763"/>
      <c r="D458" s="763"/>
      <c r="E458" s="832"/>
      <c r="F458" s="832"/>
    </row>
    <row r="459" spans="2:6">
      <c r="B459" s="763"/>
      <c r="C459" s="763"/>
      <c r="D459" s="763"/>
      <c r="E459" s="832"/>
      <c r="F459" s="832"/>
    </row>
    <row r="460" spans="2:6">
      <c r="B460" s="763"/>
      <c r="C460" s="763"/>
      <c r="D460" s="763"/>
      <c r="E460" s="832"/>
      <c r="F460" s="832"/>
    </row>
    <row r="461" spans="2:6">
      <c r="B461" s="763"/>
      <c r="C461" s="763"/>
      <c r="D461" s="763"/>
      <c r="E461" s="832"/>
      <c r="F461" s="832"/>
    </row>
    <row r="462" spans="2:6">
      <c r="B462" s="763"/>
      <c r="C462" s="763"/>
      <c r="D462" s="763"/>
      <c r="E462" s="832"/>
      <c r="F462" s="832"/>
    </row>
    <row r="463" spans="2:6">
      <c r="B463" s="763"/>
      <c r="C463" s="763"/>
      <c r="D463" s="763"/>
      <c r="E463" s="832"/>
      <c r="F463" s="832"/>
    </row>
    <row r="464" spans="2:6">
      <c r="B464" s="763"/>
      <c r="C464" s="763"/>
      <c r="D464" s="763"/>
      <c r="E464" s="832"/>
      <c r="F464" s="832"/>
    </row>
    <row r="465" spans="2:6">
      <c r="B465" s="763"/>
      <c r="C465" s="763"/>
      <c r="D465" s="763"/>
      <c r="E465" s="832"/>
      <c r="F465" s="832"/>
    </row>
    <row r="466" spans="2:6">
      <c r="B466" s="763"/>
      <c r="C466" s="763"/>
      <c r="D466" s="763"/>
      <c r="E466" s="832"/>
      <c r="F466" s="832"/>
    </row>
    <row r="467" spans="2:6">
      <c r="B467" s="763"/>
      <c r="C467" s="763"/>
      <c r="D467" s="763"/>
      <c r="E467" s="832"/>
      <c r="F467" s="832"/>
    </row>
    <row r="468" spans="2:6">
      <c r="B468" s="763"/>
      <c r="C468" s="763"/>
      <c r="D468" s="763"/>
      <c r="E468" s="832"/>
      <c r="F468" s="832"/>
    </row>
    <row r="469" spans="2:6">
      <c r="B469" s="763"/>
      <c r="C469" s="763"/>
      <c r="D469" s="763"/>
      <c r="E469" s="832"/>
      <c r="F469" s="832"/>
    </row>
    <row r="470" spans="2:6">
      <c r="B470" s="763"/>
      <c r="C470" s="763"/>
      <c r="D470" s="763"/>
      <c r="E470" s="832"/>
      <c r="F470" s="832"/>
    </row>
    <row r="471" spans="2:6">
      <c r="B471" s="763"/>
      <c r="C471" s="763"/>
      <c r="D471" s="763"/>
      <c r="E471" s="832"/>
      <c r="F471" s="832"/>
    </row>
    <row r="472" spans="2:6">
      <c r="B472" s="763"/>
      <c r="C472" s="763"/>
      <c r="D472" s="763"/>
      <c r="E472" s="832"/>
      <c r="F472" s="832"/>
    </row>
    <row r="473" spans="2:6">
      <c r="B473" s="763"/>
      <c r="C473" s="763"/>
      <c r="D473" s="763"/>
      <c r="E473" s="832"/>
      <c r="F473" s="832"/>
    </row>
    <row r="474" spans="2:6">
      <c r="B474" s="763"/>
      <c r="C474" s="763"/>
      <c r="D474" s="763"/>
      <c r="E474" s="832"/>
      <c r="F474" s="832"/>
    </row>
    <row r="475" spans="2:6">
      <c r="B475" s="763"/>
      <c r="C475" s="763"/>
      <c r="D475" s="763"/>
      <c r="E475" s="832"/>
      <c r="F475" s="832"/>
    </row>
    <row r="476" spans="2:6">
      <c r="B476" s="763"/>
      <c r="C476" s="763"/>
      <c r="D476" s="763"/>
      <c r="E476" s="832"/>
      <c r="F476" s="832"/>
    </row>
    <row r="477" spans="2:6">
      <c r="B477" s="763"/>
      <c r="C477" s="763"/>
      <c r="D477" s="763"/>
      <c r="E477" s="832"/>
      <c r="F477" s="832"/>
    </row>
    <row r="478" spans="2:6">
      <c r="B478" s="763"/>
      <c r="C478" s="763"/>
      <c r="D478" s="763"/>
      <c r="E478" s="832"/>
      <c r="F478" s="832"/>
    </row>
    <row r="479" spans="2:6">
      <c r="B479" s="763"/>
      <c r="C479" s="763"/>
      <c r="D479" s="763"/>
      <c r="E479" s="832"/>
      <c r="F479" s="832"/>
    </row>
    <row r="480" spans="2:6">
      <c r="B480" s="763"/>
      <c r="C480" s="763"/>
      <c r="D480" s="763"/>
      <c r="E480" s="832"/>
      <c r="F480" s="832"/>
    </row>
    <row r="481" spans="2:6">
      <c r="B481" s="763"/>
      <c r="C481" s="763"/>
      <c r="D481" s="763"/>
      <c r="E481" s="832"/>
      <c r="F481" s="832"/>
    </row>
    <row r="482" spans="2:6">
      <c r="B482" s="763"/>
      <c r="C482" s="763"/>
      <c r="D482" s="763"/>
      <c r="E482" s="832"/>
      <c r="F482" s="832"/>
    </row>
    <row r="483" spans="2:6">
      <c r="B483" s="763"/>
      <c r="C483" s="763"/>
      <c r="D483" s="763"/>
      <c r="E483" s="832"/>
      <c r="F483" s="832"/>
    </row>
    <row r="484" spans="2:6">
      <c r="B484" s="763"/>
      <c r="C484" s="763"/>
      <c r="D484" s="763"/>
      <c r="E484" s="832"/>
      <c r="F484" s="832"/>
    </row>
    <row r="485" spans="2:6">
      <c r="B485" s="763"/>
      <c r="C485" s="763"/>
      <c r="D485" s="763"/>
      <c r="E485" s="832"/>
      <c r="F485" s="832"/>
    </row>
    <row r="486" spans="2:6">
      <c r="B486" s="763"/>
      <c r="C486" s="763"/>
      <c r="D486" s="763"/>
      <c r="E486" s="832"/>
      <c r="F486" s="832"/>
    </row>
    <row r="487" spans="2:6">
      <c r="B487" s="763"/>
      <c r="C487" s="763"/>
      <c r="D487" s="763"/>
      <c r="E487" s="832"/>
      <c r="F487" s="832"/>
    </row>
    <row r="488" spans="2:6">
      <c r="B488" s="763"/>
      <c r="C488" s="763"/>
      <c r="D488" s="763"/>
      <c r="E488" s="832"/>
      <c r="F488" s="832"/>
    </row>
    <row r="489" spans="2:6">
      <c r="B489" s="763"/>
      <c r="C489" s="763"/>
      <c r="D489" s="763"/>
      <c r="E489" s="832"/>
      <c r="F489" s="832"/>
    </row>
    <row r="490" spans="2:6">
      <c r="B490" s="763"/>
      <c r="C490" s="763"/>
      <c r="D490" s="763"/>
      <c r="E490" s="832"/>
      <c r="F490" s="832"/>
    </row>
    <row r="491" spans="2:6">
      <c r="B491" s="763"/>
      <c r="C491" s="763"/>
      <c r="D491" s="763"/>
      <c r="E491" s="832"/>
      <c r="F491" s="832"/>
    </row>
    <row r="492" spans="2:6">
      <c r="B492" s="763"/>
      <c r="C492" s="763"/>
      <c r="D492" s="763"/>
      <c r="E492" s="832"/>
      <c r="F492" s="832"/>
    </row>
    <row r="493" spans="2:6">
      <c r="B493" s="763"/>
      <c r="C493" s="763"/>
      <c r="D493" s="763"/>
      <c r="E493" s="832"/>
      <c r="F493" s="832"/>
    </row>
    <row r="494" spans="2:6">
      <c r="B494" s="763"/>
      <c r="C494" s="763"/>
      <c r="D494" s="763"/>
      <c r="E494" s="832"/>
      <c r="F494" s="832"/>
    </row>
    <row r="495" spans="2:6">
      <c r="B495" s="763"/>
      <c r="C495" s="763"/>
      <c r="D495" s="763"/>
      <c r="E495" s="832"/>
      <c r="F495" s="832"/>
    </row>
    <row r="496" spans="2:6">
      <c r="B496" s="763"/>
      <c r="C496" s="763"/>
      <c r="D496" s="763"/>
      <c r="E496" s="832"/>
      <c r="F496" s="832"/>
    </row>
    <row r="497" spans="2:6">
      <c r="B497" s="763"/>
      <c r="C497" s="763"/>
      <c r="D497" s="763"/>
      <c r="E497" s="832"/>
      <c r="F497" s="832"/>
    </row>
    <row r="498" spans="2:6">
      <c r="B498" s="763"/>
      <c r="C498" s="763"/>
      <c r="D498" s="763"/>
      <c r="E498" s="832"/>
      <c r="F498" s="832"/>
    </row>
    <row r="499" spans="2:6">
      <c r="B499" s="763"/>
      <c r="C499" s="763"/>
      <c r="D499" s="763"/>
      <c r="E499" s="832"/>
      <c r="F499" s="832"/>
    </row>
    <row r="500" spans="2:6">
      <c r="B500" s="763"/>
      <c r="C500" s="763"/>
      <c r="D500" s="763"/>
      <c r="E500" s="832"/>
      <c r="F500" s="832"/>
    </row>
    <row r="501" spans="2:6">
      <c r="B501" s="763"/>
      <c r="C501" s="763"/>
      <c r="D501" s="763"/>
      <c r="E501" s="832"/>
      <c r="F501" s="832"/>
    </row>
    <row r="502" spans="2:6">
      <c r="B502" s="763"/>
      <c r="C502" s="763"/>
      <c r="D502" s="763"/>
      <c r="E502" s="832"/>
      <c r="F502" s="832"/>
    </row>
    <row r="503" spans="2:6">
      <c r="B503" s="763"/>
      <c r="C503" s="763"/>
      <c r="D503" s="763"/>
      <c r="E503" s="832"/>
      <c r="F503" s="832"/>
    </row>
    <row r="504" spans="2:6">
      <c r="B504" s="763"/>
      <c r="C504" s="763"/>
      <c r="D504" s="763"/>
      <c r="E504" s="832"/>
      <c r="F504" s="832"/>
    </row>
    <row r="505" spans="2:6">
      <c r="B505" s="763"/>
      <c r="C505" s="763"/>
      <c r="D505" s="763"/>
      <c r="E505" s="832"/>
      <c r="F505" s="832"/>
    </row>
    <row r="506" spans="2:6">
      <c r="B506" s="763"/>
      <c r="C506" s="763"/>
      <c r="D506" s="763"/>
      <c r="E506" s="832"/>
      <c r="F506" s="832"/>
    </row>
    <row r="507" spans="2:6">
      <c r="B507" s="763"/>
      <c r="C507" s="763"/>
      <c r="D507" s="763"/>
      <c r="E507" s="832"/>
      <c r="F507" s="832"/>
    </row>
    <row r="508" spans="2:6">
      <c r="B508" s="763"/>
      <c r="C508" s="763"/>
      <c r="D508" s="763"/>
      <c r="E508" s="832"/>
      <c r="F508" s="832"/>
    </row>
    <row r="509" spans="2:6">
      <c r="B509" s="763"/>
      <c r="C509" s="763"/>
      <c r="D509" s="763"/>
      <c r="E509" s="832"/>
      <c r="F509" s="832"/>
    </row>
    <row r="510" spans="2:6">
      <c r="B510" s="763"/>
      <c r="C510" s="763"/>
      <c r="D510" s="763"/>
      <c r="E510" s="832"/>
      <c r="F510" s="832"/>
    </row>
    <row r="511" spans="2:6">
      <c r="B511" s="763"/>
      <c r="C511" s="763"/>
      <c r="D511" s="763"/>
      <c r="E511" s="832"/>
      <c r="F511" s="832"/>
    </row>
    <row r="512" spans="2:6">
      <c r="B512" s="763"/>
      <c r="C512" s="763"/>
      <c r="D512" s="763"/>
      <c r="E512" s="832"/>
      <c r="F512" s="832"/>
    </row>
    <row r="513" spans="2:6">
      <c r="B513" s="763"/>
      <c r="C513" s="763"/>
      <c r="D513" s="763"/>
      <c r="E513" s="832"/>
      <c r="F513" s="832"/>
    </row>
    <row r="514" spans="2:6">
      <c r="B514" s="763"/>
      <c r="C514" s="763"/>
      <c r="D514" s="763"/>
      <c r="E514" s="832"/>
      <c r="F514" s="832"/>
    </row>
    <row r="515" spans="2:6">
      <c r="B515" s="763"/>
      <c r="C515" s="763"/>
      <c r="D515" s="763"/>
      <c r="E515" s="832"/>
      <c r="F515" s="832"/>
    </row>
    <row r="516" spans="2:6">
      <c r="B516" s="763"/>
      <c r="C516" s="763"/>
      <c r="D516" s="763"/>
      <c r="E516" s="832"/>
      <c r="F516" s="832"/>
    </row>
    <row r="517" spans="2:6">
      <c r="B517" s="763"/>
      <c r="C517" s="763"/>
      <c r="D517" s="763"/>
      <c r="E517" s="832"/>
      <c r="F517" s="832"/>
    </row>
    <row r="518" spans="2:6">
      <c r="B518" s="763"/>
      <c r="C518" s="763"/>
      <c r="D518" s="763"/>
      <c r="E518" s="832"/>
      <c r="F518" s="832"/>
    </row>
    <row r="519" spans="2:6">
      <c r="B519" s="763"/>
      <c r="C519" s="763"/>
      <c r="D519" s="763"/>
      <c r="E519" s="832"/>
      <c r="F519" s="832"/>
    </row>
    <row r="520" spans="2:6">
      <c r="B520" s="763"/>
      <c r="C520" s="763"/>
      <c r="D520" s="763"/>
      <c r="E520" s="832"/>
      <c r="F520" s="832"/>
    </row>
    <row r="521" spans="2:6">
      <c r="B521" s="763"/>
      <c r="C521" s="763"/>
      <c r="D521" s="763"/>
      <c r="E521" s="832"/>
      <c r="F521" s="832"/>
    </row>
    <row r="522" spans="2:6">
      <c r="B522" s="763"/>
      <c r="C522" s="763"/>
      <c r="D522" s="763"/>
      <c r="E522" s="832"/>
      <c r="F522" s="832"/>
    </row>
    <row r="523" spans="2:6">
      <c r="B523" s="763"/>
      <c r="C523" s="763"/>
      <c r="D523" s="763"/>
      <c r="E523" s="832"/>
      <c r="F523" s="832"/>
    </row>
    <row r="524" spans="2:6">
      <c r="B524" s="763"/>
      <c r="C524" s="763"/>
      <c r="D524" s="763"/>
      <c r="E524" s="832"/>
      <c r="F524" s="832"/>
    </row>
    <row r="525" spans="2:6">
      <c r="B525" s="763"/>
      <c r="C525" s="763"/>
      <c r="D525" s="763"/>
      <c r="E525" s="832"/>
      <c r="F525" s="832"/>
    </row>
    <row r="526" spans="2:6">
      <c r="B526" s="763"/>
      <c r="C526" s="763"/>
      <c r="D526" s="763"/>
      <c r="E526" s="832"/>
      <c r="F526" s="832"/>
    </row>
    <row r="527" spans="2:6">
      <c r="B527" s="763"/>
      <c r="C527" s="763"/>
      <c r="D527" s="763"/>
      <c r="E527" s="832"/>
      <c r="F527" s="832"/>
    </row>
    <row r="528" spans="2:6">
      <c r="B528" s="763"/>
      <c r="C528" s="763"/>
      <c r="D528" s="763"/>
      <c r="E528" s="832"/>
      <c r="F528" s="832"/>
    </row>
    <row r="529" spans="2:6">
      <c r="B529" s="763"/>
      <c r="C529" s="763"/>
      <c r="D529" s="763"/>
      <c r="E529" s="832"/>
      <c r="F529" s="832"/>
    </row>
    <row r="530" spans="2:6">
      <c r="B530" s="763"/>
      <c r="C530" s="763"/>
      <c r="D530" s="763"/>
      <c r="E530" s="832"/>
      <c r="F530" s="832"/>
    </row>
    <row r="531" spans="2:6">
      <c r="B531" s="763"/>
      <c r="C531" s="763"/>
      <c r="D531" s="763"/>
      <c r="E531" s="832"/>
      <c r="F531" s="832"/>
    </row>
    <row r="532" spans="2:6">
      <c r="B532" s="763"/>
      <c r="C532" s="763"/>
      <c r="D532" s="763"/>
      <c r="E532" s="832"/>
      <c r="F532" s="832"/>
    </row>
    <row r="533" spans="2:6">
      <c r="B533" s="763"/>
      <c r="C533" s="763"/>
      <c r="D533" s="763"/>
      <c r="E533" s="832"/>
      <c r="F533" s="832"/>
    </row>
    <row r="534" spans="2:6">
      <c r="B534" s="763"/>
      <c r="C534" s="763"/>
      <c r="D534" s="763"/>
      <c r="E534" s="832"/>
      <c r="F534" s="832"/>
    </row>
    <row r="535" spans="2:6">
      <c r="B535" s="763"/>
      <c r="C535" s="763"/>
      <c r="D535" s="763"/>
      <c r="E535" s="832"/>
      <c r="F535" s="832"/>
    </row>
    <row r="536" spans="2:6">
      <c r="B536" s="763"/>
      <c r="C536" s="763"/>
      <c r="D536" s="763"/>
      <c r="E536" s="832"/>
      <c r="F536" s="832"/>
    </row>
    <row r="537" spans="2:6">
      <c r="B537" s="763"/>
      <c r="C537" s="763"/>
      <c r="D537" s="763"/>
      <c r="E537" s="832"/>
      <c r="F537" s="832"/>
    </row>
    <row r="538" spans="2:6">
      <c r="B538" s="763"/>
      <c r="C538" s="763"/>
      <c r="D538" s="763"/>
      <c r="E538" s="832"/>
      <c r="F538" s="832"/>
    </row>
    <row r="539" spans="2:6">
      <c r="B539" s="763"/>
      <c r="C539" s="763"/>
      <c r="D539" s="763"/>
      <c r="E539" s="832"/>
      <c r="F539" s="832"/>
    </row>
    <row r="540" spans="2:6">
      <c r="B540" s="763"/>
      <c r="C540" s="763"/>
      <c r="D540" s="763"/>
      <c r="E540" s="832"/>
      <c r="F540" s="832"/>
    </row>
    <row r="541" spans="2:6">
      <c r="B541" s="763"/>
      <c r="C541" s="763"/>
      <c r="D541" s="763"/>
      <c r="E541" s="832"/>
      <c r="F541" s="832"/>
    </row>
    <row r="542" spans="2:6">
      <c r="B542" s="763"/>
      <c r="C542" s="763"/>
      <c r="D542" s="763"/>
      <c r="E542" s="832"/>
      <c r="F542" s="832"/>
    </row>
    <row r="543" spans="2:6">
      <c r="B543" s="763"/>
      <c r="C543" s="763"/>
      <c r="D543" s="763"/>
      <c r="E543" s="832"/>
      <c r="F543" s="832"/>
    </row>
    <row r="544" spans="2:6">
      <c r="B544" s="763"/>
      <c r="C544" s="763"/>
      <c r="D544" s="763"/>
      <c r="E544" s="832"/>
      <c r="F544" s="832"/>
    </row>
    <row r="545" spans="2:6">
      <c r="B545" s="763"/>
      <c r="C545" s="763"/>
      <c r="D545" s="763"/>
      <c r="E545" s="832"/>
      <c r="F545" s="832"/>
    </row>
    <row r="546" spans="2:6">
      <c r="B546" s="763"/>
      <c r="C546" s="763"/>
      <c r="D546" s="763"/>
      <c r="E546" s="832"/>
      <c r="F546" s="832"/>
    </row>
    <row r="547" spans="2:6">
      <c r="B547" s="763"/>
      <c r="C547" s="763"/>
      <c r="D547" s="763"/>
      <c r="E547" s="832"/>
      <c r="F547" s="832"/>
    </row>
    <row r="548" spans="2:6">
      <c r="B548" s="763"/>
      <c r="C548" s="763"/>
      <c r="D548" s="763"/>
      <c r="E548" s="832"/>
      <c r="F548" s="832"/>
    </row>
    <row r="549" spans="2:6">
      <c r="B549" s="763"/>
      <c r="C549" s="763"/>
      <c r="D549" s="763"/>
      <c r="E549" s="832"/>
      <c r="F549" s="832"/>
    </row>
    <row r="550" spans="2:6">
      <c r="B550" s="763"/>
      <c r="C550" s="763"/>
      <c r="D550" s="763"/>
      <c r="E550" s="832"/>
      <c r="F550" s="832"/>
    </row>
    <row r="551" spans="2:6">
      <c r="B551" s="763"/>
      <c r="C551" s="763"/>
      <c r="D551" s="763"/>
      <c r="E551" s="832"/>
      <c r="F551" s="832"/>
    </row>
    <row r="552" spans="2:6">
      <c r="B552" s="763"/>
      <c r="C552" s="763"/>
      <c r="D552" s="763"/>
      <c r="E552" s="832"/>
      <c r="F552" s="832"/>
    </row>
    <row r="553" spans="2:6">
      <c r="B553" s="763"/>
      <c r="C553" s="763"/>
      <c r="D553" s="763"/>
      <c r="E553" s="832"/>
      <c r="F553" s="832"/>
    </row>
    <row r="554" spans="2:6">
      <c r="B554" s="763"/>
      <c r="C554" s="763"/>
      <c r="D554" s="763"/>
      <c r="E554" s="832"/>
      <c r="F554" s="832"/>
    </row>
    <row r="555" spans="2:6">
      <c r="B555" s="763"/>
      <c r="C555" s="763"/>
      <c r="D555" s="763"/>
      <c r="E555" s="832"/>
      <c r="F555" s="832"/>
    </row>
    <row r="556" spans="2:6">
      <c r="B556" s="763"/>
      <c r="C556" s="763"/>
      <c r="D556" s="763"/>
      <c r="E556" s="832"/>
      <c r="F556" s="832"/>
    </row>
    <row r="557" spans="2:6">
      <c r="B557" s="763"/>
      <c r="C557" s="763"/>
      <c r="D557" s="763"/>
      <c r="E557" s="832"/>
      <c r="F557" s="832"/>
    </row>
    <row r="558" spans="2:6">
      <c r="B558" s="763"/>
      <c r="C558" s="763"/>
      <c r="D558" s="763"/>
      <c r="E558" s="832"/>
      <c r="F558" s="832"/>
    </row>
    <row r="559" spans="2:6">
      <c r="B559" s="763"/>
      <c r="C559" s="763"/>
      <c r="D559" s="763"/>
      <c r="E559" s="832"/>
      <c r="F559" s="832"/>
    </row>
    <row r="560" spans="2:6">
      <c r="B560" s="763"/>
      <c r="C560" s="763"/>
      <c r="D560" s="763"/>
      <c r="E560" s="832"/>
      <c r="F560" s="832"/>
    </row>
    <row r="561" spans="2:6">
      <c r="B561" s="763"/>
      <c r="C561" s="763"/>
      <c r="D561" s="763"/>
      <c r="E561" s="832"/>
      <c r="F561" s="832"/>
    </row>
    <row r="562" spans="2:6">
      <c r="B562" s="763"/>
      <c r="C562" s="763"/>
      <c r="D562" s="763"/>
      <c r="E562" s="832"/>
      <c r="F562" s="832"/>
    </row>
    <row r="563" spans="2:6">
      <c r="B563" s="763"/>
      <c r="C563" s="763"/>
      <c r="D563" s="763"/>
      <c r="E563" s="832"/>
      <c r="F563" s="832"/>
    </row>
    <row r="564" spans="2:6">
      <c r="B564" s="763"/>
      <c r="C564" s="763"/>
      <c r="D564" s="763"/>
      <c r="E564" s="832"/>
      <c r="F564" s="832"/>
    </row>
    <row r="565" spans="2:6">
      <c r="B565" s="763"/>
      <c r="C565" s="763"/>
      <c r="D565" s="763"/>
      <c r="E565" s="832"/>
      <c r="F565" s="832"/>
    </row>
    <row r="566" spans="2:6">
      <c r="B566" s="763"/>
      <c r="C566" s="763"/>
      <c r="D566" s="763"/>
      <c r="E566" s="832"/>
      <c r="F566" s="832"/>
    </row>
    <row r="567" spans="2:6">
      <c r="B567" s="763"/>
      <c r="C567" s="763"/>
      <c r="D567" s="763"/>
      <c r="E567" s="832"/>
      <c r="F567" s="832"/>
    </row>
    <row r="568" spans="2:6">
      <c r="B568" s="763"/>
      <c r="C568" s="763"/>
      <c r="D568" s="763"/>
      <c r="E568" s="832"/>
      <c r="F568" s="832"/>
    </row>
    <row r="569" spans="2:6">
      <c r="B569" s="763"/>
      <c r="C569" s="763"/>
      <c r="D569" s="763"/>
      <c r="E569" s="832"/>
      <c r="F569" s="832"/>
    </row>
    <row r="570" spans="2:6">
      <c r="B570" s="763"/>
      <c r="C570" s="763"/>
      <c r="D570" s="763"/>
      <c r="E570" s="832"/>
      <c r="F570" s="832"/>
    </row>
    <row r="571" spans="2:6">
      <c r="B571" s="763"/>
      <c r="C571" s="763"/>
      <c r="D571" s="763"/>
      <c r="E571" s="832"/>
      <c r="F571" s="832"/>
    </row>
    <row r="572" spans="2:6">
      <c r="B572" s="763"/>
      <c r="C572" s="763"/>
      <c r="D572" s="763"/>
      <c r="E572" s="832"/>
      <c r="F572" s="832"/>
    </row>
    <row r="573" spans="2:6">
      <c r="B573" s="763"/>
      <c r="C573" s="763"/>
      <c r="D573" s="763"/>
      <c r="E573" s="832"/>
      <c r="F573" s="832"/>
    </row>
    <row r="574" spans="2:6">
      <c r="B574" s="763"/>
      <c r="C574" s="763"/>
      <c r="D574" s="763"/>
      <c r="E574" s="832"/>
      <c r="F574" s="832"/>
    </row>
    <row r="575" spans="2:6">
      <c r="B575" s="763"/>
      <c r="C575" s="763"/>
      <c r="D575" s="763"/>
      <c r="E575" s="832"/>
      <c r="F575" s="832"/>
    </row>
    <row r="576" spans="2:6">
      <c r="B576" s="763"/>
      <c r="C576" s="763"/>
      <c r="D576" s="763"/>
      <c r="E576" s="832"/>
      <c r="F576" s="832"/>
    </row>
    <row r="577" spans="2:6">
      <c r="B577" s="763"/>
      <c r="C577" s="763"/>
      <c r="D577" s="763"/>
      <c r="E577" s="832"/>
      <c r="F577" s="832"/>
    </row>
    <row r="578" spans="2:6">
      <c r="B578" s="763"/>
      <c r="C578" s="763"/>
      <c r="D578" s="763"/>
      <c r="E578" s="832"/>
      <c r="F578" s="832"/>
    </row>
    <row r="579" spans="2:6">
      <c r="B579" s="763"/>
      <c r="C579" s="763"/>
      <c r="D579" s="763"/>
      <c r="E579" s="832"/>
      <c r="F579" s="832"/>
    </row>
    <row r="580" spans="2:6">
      <c r="B580" s="763"/>
      <c r="C580" s="763"/>
      <c r="D580" s="763"/>
      <c r="E580" s="832"/>
      <c r="F580" s="832"/>
    </row>
    <row r="581" spans="2:6">
      <c r="B581" s="763"/>
      <c r="C581" s="763"/>
      <c r="D581" s="763"/>
      <c r="E581" s="832"/>
      <c r="F581" s="832"/>
    </row>
    <row r="582" spans="2:6">
      <c r="B582" s="763"/>
      <c r="C582" s="763"/>
      <c r="D582" s="763"/>
      <c r="E582" s="832"/>
      <c r="F582" s="832"/>
    </row>
    <row r="583" spans="2:6">
      <c r="B583" s="763"/>
      <c r="C583" s="763"/>
      <c r="D583" s="763"/>
      <c r="E583" s="832"/>
      <c r="F583" s="832"/>
    </row>
    <row r="584" spans="2:6">
      <c r="B584" s="763"/>
      <c r="C584" s="763"/>
      <c r="D584" s="763"/>
      <c r="E584" s="832"/>
      <c r="F584" s="832"/>
    </row>
    <row r="585" spans="2:6">
      <c r="B585" s="763"/>
      <c r="C585" s="763"/>
      <c r="D585" s="763"/>
      <c r="E585" s="832"/>
      <c r="F585" s="832"/>
    </row>
    <row r="586" spans="2:6">
      <c r="B586" s="763"/>
      <c r="C586" s="763"/>
      <c r="D586" s="763"/>
      <c r="E586" s="832"/>
      <c r="F586" s="832"/>
    </row>
    <row r="587" spans="2:6">
      <c r="B587" s="763"/>
      <c r="C587" s="763"/>
      <c r="D587" s="763"/>
      <c r="E587" s="832"/>
      <c r="F587" s="832"/>
    </row>
    <row r="588" spans="2:6">
      <c r="B588" s="763"/>
      <c r="C588" s="763"/>
      <c r="D588" s="763"/>
      <c r="E588" s="832"/>
      <c r="F588" s="832"/>
    </row>
    <row r="589" spans="2:6">
      <c r="B589" s="763"/>
      <c r="C589" s="763"/>
      <c r="D589" s="763"/>
      <c r="E589" s="832"/>
      <c r="F589" s="832"/>
    </row>
    <row r="590" spans="2:6">
      <c r="B590" s="763"/>
      <c r="C590" s="763"/>
      <c r="D590" s="763"/>
      <c r="E590" s="832"/>
      <c r="F590" s="832"/>
    </row>
    <row r="591" spans="2:6">
      <c r="B591" s="763"/>
      <c r="C591" s="763"/>
      <c r="D591" s="763"/>
      <c r="E591" s="832"/>
      <c r="F591" s="832"/>
    </row>
    <row r="592" spans="2:6">
      <c r="B592" s="763"/>
      <c r="C592" s="763"/>
      <c r="D592" s="763"/>
      <c r="E592" s="832"/>
      <c r="F592" s="832"/>
    </row>
    <row r="593" spans="2:6">
      <c r="B593" s="763"/>
      <c r="C593" s="763"/>
      <c r="D593" s="763"/>
      <c r="E593" s="832"/>
      <c r="F593" s="832"/>
    </row>
    <row r="594" spans="2:6">
      <c r="B594" s="763"/>
      <c r="C594" s="763"/>
      <c r="D594" s="763"/>
      <c r="E594" s="832"/>
      <c r="F594" s="832"/>
    </row>
    <row r="595" spans="2:6">
      <c r="B595" s="763"/>
      <c r="C595" s="763"/>
      <c r="D595" s="763"/>
      <c r="E595" s="832"/>
      <c r="F595" s="832"/>
    </row>
    <row r="596" spans="2:6">
      <c r="B596" s="763"/>
      <c r="C596" s="763"/>
      <c r="D596" s="763"/>
      <c r="E596" s="832"/>
      <c r="F596" s="832"/>
    </row>
    <row r="597" spans="2:6">
      <c r="B597" s="763"/>
      <c r="C597" s="763"/>
      <c r="D597" s="763"/>
      <c r="E597" s="832"/>
      <c r="F597" s="832"/>
    </row>
    <row r="598" spans="2:6">
      <c r="B598" s="763"/>
      <c r="C598" s="763"/>
      <c r="D598" s="763"/>
      <c r="E598" s="832"/>
      <c r="F598" s="832"/>
    </row>
    <row r="599" spans="2:6">
      <c r="B599" s="763"/>
      <c r="C599" s="763"/>
      <c r="D599" s="763"/>
      <c r="E599" s="832"/>
      <c r="F599" s="832"/>
    </row>
    <row r="600" spans="2:6">
      <c r="B600" s="763"/>
      <c r="C600" s="763"/>
      <c r="D600" s="763"/>
      <c r="E600" s="832"/>
      <c r="F600" s="832"/>
    </row>
    <row r="601" spans="2:6">
      <c r="B601" s="763"/>
      <c r="C601" s="763"/>
      <c r="D601" s="763"/>
      <c r="E601" s="832"/>
      <c r="F601" s="832"/>
    </row>
    <row r="602" spans="2:6">
      <c r="B602" s="763"/>
      <c r="C602" s="763"/>
      <c r="D602" s="763"/>
      <c r="E602" s="832"/>
      <c r="F602" s="832"/>
    </row>
    <row r="603" spans="2:6">
      <c r="B603" s="763"/>
      <c r="C603" s="763"/>
      <c r="D603" s="763"/>
      <c r="E603" s="832"/>
      <c r="F603" s="832"/>
    </row>
    <row r="604" spans="2:6">
      <c r="B604" s="763"/>
      <c r="C604" s="763"/>
      <c r="D604" s="763"/>
      <c r="E604" s="832"/>
      <c r="F604" s="832"/>
    </row>
    <row r="605" spans="2:6">
      <c r="B605" s="763"/>
      <c r="C605" s="763"/>
      <c r="D605" s="763"/>
      <c r="E605" s="832"/>
      <c r="F605" s="832"/>
    </row>
    <row r="606" spans="2:6">
      <c r="B606" s="763"/>
      <c r="C606" s="763"/>
      <c r="D606" s="763"/>
      <c r="E606" s="832"/>
      <c r="F606" s="832"/>
    </row>
    <row r="607" spans="2:6">
      <c r="B607" s="763"/>
      <c r="C607" s="763"/>
      <c r="D607" s="763"/>
      <c r="E607" s="832"/>
      <c r="F607" s="832"/>
    </row>
    <row r="608" spans="2:6">
      <c r="B608" s="763"/>
      <c r="C608" s="763"/>
      <c r="D608" s="763"/>
      <c r="E608" s="832"/>
      <c r="F608" s="832"/>
    </row>
    <row r="609" spans="2:6">
      <c r="B609" s="763"/>
      <c r="C609" s="763"/>
      <c r="D609" s="763"/>
      <c r="E609" s="832"/>
      <c r="F609" s="832"/>
    </row>
    <row r="610" spans="2:6">
      <c r="B610" s="763"/>
      <c r="C610" s="763"/>
      <c r="D610" s="763"/>
      <c r="E610" s="832"/>
      <c r="F610" s="832"/>
    </row>
    <row r="611" spans="2:6">
      <c r="B611" s="763"/>
      <c r="C611" s="763"/>
      <c r="D611" s="763"/>
      <c r="E611" s="832"/>
      <c r="F611" s="832"/>
    </row>
    <row r="612" spans="2:6">
      <c r="B612" s="763"/>
      <c r="C612" s="763"/>
      <c r="D612" s="763"/>
      <c r="E612" s="832"/>
      <c r="F612" s="832"/>
    </row>
    <row r="613" spans="2:6">
      <c r="B613" s="763"/>
      <c r="C613" s="763"/>
      <c r="D613" s="763"/>
      <c r="E613" s="832"/>
      <c r="F613" s="832"/>
    </row>
    <row r="614" spans="2:6">
      <c r="B614" s="763"/>
      <c r="C614" s="763"/>
      <c r="D614" s="763"/>
      <c r="E614" s="832"/>
      <c r="F614" s="832"/>
    </row>
    <row r="615" spans="2:6">
      <c r="B615" s="763"/>
      <c r="C615" s="763"/>
      <c r="D615" s="763"/>
      <c r="E615" s="832"/>
      <c r="F615" s="832"/>
    </row>
    <row r="616" spans="2:6">
      <c r="B616" s="763"/>
      <c r="C616" s="763"/>
      <c r="D616" s="763"/>
      <c r="E616" s="832"/>
      <c r="F616" s="832"/>
    </row>
    <row r="617" spans="2:6">
      <c r="B617" s="763"/>
      <c r="C617" s="763"/>
      <c r="D617" s="763"/>
      <c r="E617" s="832"/>
      <c r="F617" s="832"/>
    </row>
    <row r="618" spans="2:6">
      <c r="B618" s="763"/>
      <c r="C618" s="763"/>
      <c r="D618" s="763"/>
      <c r="E618" s="832"/>
      <c r="F618" s="832"/>
    </row>
    <row r="619" spans="2:6">
      <c r="B619" s="763"/>
      <c r="C619" s="763"/>
      <c r="D619" s="763"/>
      <c r="E619" s="832"/>
      <c r="F619" s="832"/>
    </row>
    <row r="620" spans="2:6">
      <c r="B620" s="763"/>
      <c r="C620" s="763"/>
      <c r="D620" s="763"/>
      <c r="E620" s="832"/>
      <c r="F620" s="832"/>
    </row>
    <row r="621" spans="2:6">
      <c r="B621" s="763"/>
      <c r="C621" s="763"/>
      <c r="D621" s="763"/>
      <c r="E621" s="832"/>
      <c r="F621" s="832"/>
    </row>
    <row r="622" spans="2:6">
      <c r="B622" s="763"/>
      <c r="C622" s="763"/>
      <c r="D622" s="763"/>
      <c r="E622" s="832"/>
      <c r="F622" s="832"/>
    </row>
    <row r="623" spans="2:6">
      <c r="B623" s="763"/>
      <c r="C623" s="763"/>
      <c r="D623" s="763"/>
      <c r="E623" s="832"/>
      <c r="F623" s="832"/>
    </row>
    <row r="624" spans="2:6">
      <c r="B624" s="763"/>
      <c r="C624" s="763"/>
      <c r="D624" s="763"/>
      <c r="E624" s="832"/>
      <c r="F624" s="832"/>
    </row>
    <row r="625" spans="2:6">
      <c r="B625" s="763"/>
      <c r="C625" s="763"/>
      <c r="D625" s="763"/>
      <c r="E625" s="832"/>
      <c r="F625" s="832"/>
    </row>
    <row r="626" spans="2:6">
      <c r="B626" s="763"/>
      <c r="C626" s="763"/>
      <c r="D626" s="763"/>
      <c r="E626" s="832"/>
      <c r="F626" s="832"/>
    </row>
    <row r="627" spans="2:6">
      <c r="B627" s="763"/>
      <c r="C627" s="763"/>
      <c r="D627" s="763"/>
      <c r="E627" s="832"/>
      <c r="F627" s="832"/>
    </row>
    <row r="628" spans="2:6">
      <c r="B628" s="763"/>
      <c r="C628" s="763"/>
      <c r="D628" s="763"/>
      <c r="E628" s="832"/>
      <c r="F628" s="832"/>
    </row>
    <row r="629" spans="2:6">
      <c r="B629" s="763"/>
      <c r="C629" s="763"/>
      <c r="D629" s="763"/>
      <c r="E629" s="832"/>
      <c r="F629" s="832"/>
    </row>
    <row r="630" spans="2:6">
      <c r="B630" s="763"/>
      <c r="C630" s="763"/>
      <c r="D630" s="763"/>
      <c r="E630" s="832"/>
      <c r="F630" s="832"/>
    </row>
    <row r="631" spans="2:6">
      <c r="B631" s="763"/>
      <c r="C631" s="763"/>
      <c r="D631" s="763"/>
      <c r="E631" s="832"/>
      <c r="F631" s="832"/>
    </row>
    <row r="632" spans="2:6">
      <c r="B632" s="763"/>
      <c r="C632" s="763"/>
      <c r="D632" s="763"/>
      <c r="E632" s="832"/>
      <c r="F632" s="832"/>
    </row>
    <row r="633" spans="2:6">
      <c r="B633" s="763"/>
      <c r="C633" s="763"/>
      <c r="D633" s="763"/>
      <c r="E633" s="832"/>
      <c r="F633" s="832"/>
    </row>
    <row r="634" spans="2:6">
      <c r="B634" s="763"/>
      <c r="C634" s="763"/>
      <c r="D634" s="763"/>
      <c r="E634" s="832"/>
      <c r="F634" s="832"/>
    </row>
    <row r="635" spans="2:6">
      <c r="B635" s="763"/>
      <c r="C635" s="763"/>
      <c r="D635" s="763"/>
      <c r="E635" s="832"/>
      <c r="F635" s="832"/>
    </row>
    <row r="636" spans="2:6">
      <c r="B636" s="763"/>
      <c r="C636" s="763"/>
      <c r="D636" s="763"/>
      <c r="E636" s="832"/>
      <c r="F636" s="832"/>
    </row>
    <row r="637" spans="2:6">
      <c r="B637" s="763"/>
      <c r="C637" s="763"/>
      <c r="D637" s="763"/>
      <c r="E637" s="832"/>
      <c r="F637" s="832"/>
    </row>
    <row r="638" spans="2:6">
      <c r="B638" s="763"/>
      <c r="C638" s="763"/>
      <c r="D638" s="763"/>
      <c r="E638" s="832"/>
      <c r="F638" s="832"/>
    </row>
    <row r="639" spans="2:6">
      <c r="B639" s="763"/>
      <c r="C639" s="763"/>
      <c r="D639" s="763"/>
      <c r="E639" s="832"/>
      <c r="F639" s="832"/>
    </row>
    <row r="640" spans="2:6">
      <c r="B640" s="763"/>
      <c r="C640" s="763"/>
      <c r="D640" s="763"/>
      <c r="E640" s="832"/>
      <c r="F640" s="832"/>
    </row>
    <row r="641" spans="2:6">
      <c r="B641" s="763"/>
      <c r="C641" s="763"/>
      <c r="D641" s="763"/>
      <c r="E641" s="832"/>
      <c r="F641" s="832"/>
    </row>
    <row r="642" spans="2:6">
      <c r="B642" s="763"/>
      <c r="C642" s="763"/>
      <c r="D642" s="763"/>
      <c r="E642" s="832"/>
      <c r="F642" s="832"/>
    </row>
    <row r="643" spans="2:6">
      <c r="B643" s="763"/>
      <c r="C643" s="763"/>
      <c r="D643" s="763"/>
      <c r="E643" s="832"/>
      <c r="F643" s="832"/>
    </row>
    <row r="644" spans="2:6">
      <c r="B644" s="763"/>
      <c r="C644" s="763"/>
      <c r="D644" s="763"/>
      <c r="E644" s="832"/>
      <c r="F644" s="832"/>
    </row>
    <row r="645" spans="2:6">
      <c r="B645" s="763"/>
      <c r="C645" s="763"/>
      <c r="D645" s="763"/>
      <c r="E645" s="832"/>
      <c r="F645" s="832"/>
    </row>
    <row r="646" spans="2:6">
      <c r="B646" s="763"/>
      <c r="C646" s="763"/>
      <c r="D646" s="763"/>
      <c r="E646" s="832"/>
      <c r="F646" s="832"/>
    </row>
    <row r="647" spans="2:6">
      <c r="B647" s="763"/>
      <c r="C647" s="763"/>
      <c r="D647" s="763"/>
      <c r="E647" s="832"/>
      <c r="F647" s="832"/>
    </row>
    <row r="648" spans="2:6">
      <c r="B648" s="763"/>
      <c r="C648" s="763"/>
      <c r="D648" s="763"/>
      <c r="E648" s="832"/>
      <c r="F648" s="832"/>
    </row>
    <row r="649" spans="2:6">
      <c r="B649" s="763"/>
      <c r="C649" s="763"/>
      <c r="D649" s="763"/>
      <c r="E649" s="832"/>
      <c r="F649" s="832"/>
    </row>
    <row r="650" spans="2:6">
      <c r="B650" s="763"/>
      <c r="C650" s="763"/>
      <c r="D650" s="763"/>
      <c r="E650" s="832"/>
      <c r="F650" s="832"/>
    </row>
    <row r="651" spans="2:6">
      <c r="B651" s="763"/>
      <c r="C651" s="763"/>
      <c r="D651" s="763"/>
      <c r="E651" s="832"/>
      <c r="F651" s="832"/>
    </row>
    <row r="652" spans="2:6">
      <c r="B652" s="763"/>
      <c r="C652" s="763"/>
      <c r="D652" s="763"/>
      <c r="E652" s="832"/>
      <c r="F652" s="832"/>
    </row>
    <row r="653" spans="2:6">
      <c r="B653" s="763"/>
      <c r="C653" s="763"/>
      <c r="D653" s="763"/>
      <c r="E653" s="832"/>
      <c r="F653" s="832"/>
    </row>
    <row r="654" spans="2:6">
      <c r="B654" s="763"/>
      <c r="C654" s="763"/>
      <c r="D654" s="763"/>
      <c r="E654" s="832"/>
      <c r="F654" s="832"/>
    </row>
    <row r="655" spans="2:6">
      <c r="B655" s="763"/>
      <c r="C655" s="763"/>
      <c r="D655" s="763"/>
      <c r="E655" s="832"/>
      <c r="F655" s="832"/>
    </row>
    <row r="656" spans="2:6">
      <c r="B656" s="763"/>
      <c r="C656" s="763"/>
      <c r="D656" s="763"/>
      <c r="E656" s="832"/>
      <c r="F656" s="832"/>
    </row>
    <row r="657" spans="2:6">
      <c r="B657" s="763"/>
      <c r="C657" s="763"/>
      <c r="D657" s="763"/>
      <c r="E657" s="832"/>
      <c r="F657" s="832"/>
    </row>
    <row r="658" spans="2:6">
      <c r="B658" s="763"/>
      <c r="C658" s="763"/>
      <c r="D658" s="763"/>
      <c r="E658" s="832"/>
      <c r="F658" s="832"/>
    </row>
    <row r="659" spans="2:6">
      <c r="B659" s="763"/>
      <c r="C659" s="763"/>
      <c r="D659" s="763"/>
      <c r="E659" s="832"/>
      <c r="F659" s="832"/>
    </row>
    <row r="660" spans="2:6">
      <c r="B660" s="763"/>
      <c r="C660" s="763"/>
      <c r="D660" s="763"/>
      <c r="E660" s="832"/>
      <c r="F660" s="832"/>
    </row>
    <row r="661" spans="2:6">
      <c r="B661" s="763"/>
      <c r="C661" s="763"/>
      <c r="D661" s="763"/>
      <c r="E661" s="832"/>
      <c r="F661" s="832"/>
    </row>
    <row r="662" spans="2:6">
      <c r="B662" s="763"/>
      <c r="C662" s="763"/>
      <c r="D662" s="763"/>
      <c r="E662" s="832"/>
      <c r="F662" s="832"/>
    </row>
    <row r="663" spans="2:6">
      <c r="B663" s="763"/>
      <c r="C663" s="763"/>
      <c r="D663" s="763"/>
      <c r="E663" s="832"/>
      <c r="F663" s="832"/>
    </row>
    <row r="664" spans="2:6">
      <c r="B664" s="763"/>
      <c r="C664" s="763"/>
      <c r="D664" s="763"/>
      <c r="E664" s="832"/>
      <c r="F664" s="832"/>
    </row>
    <row r="665" spans="2:6">
      <c r="B665" s="763"/>
      <c r="C665" s="763"/>
      <c r="D665" s="763"/>
      <c r="E665" s="832"/>
      <c r="F665" s="832"/>
    </row>
    <row r="666" spans="2:6">
      <c r="B666" s="763"/>
      <c r="C666" s="763"/>
      <c r="D666" s="763"/>
      <c r="E666" s="832"/>
      <c r="F666" s="832"/>
    </row>
    <row r="667" spans="2:6">
      <c r="B667" s="763"/>
      <c r="C667" s="763"/>
      <c r="D667" s="763"/>
      <c r="E667" s="832"/>
      <c r="F667" s="832"/>
    </row>
    <row r="668" spans="2:6">
      <c r="B668" s="763"/>
      <c r="C668" s="763"/>
      <c r="D668" s="763"/>
      <c r="E668" s="832"/>
      <c r="F668" s="832"/>
    </row>
    <row r="669" spans="2:6">
      <c r="B669" s="763"/>
      <c r="C669" s="763"/>
      <c r="D669" s="763"/>
      <c r="E669" s="832"/>
      <c r="F669" s="832"/>
    </row>
    <row r="670" spans="2:6">
      <c r="B670" s="763"/>
      <c r="C670" s="763"/>
      <c r="D670" s="763"/>
      <c r="E670" s="832"/>
      <c r="F670" s="832"/>
    </row>
    <row r="671" spans="2:6">
      <c r="B671" s="763"/>
      <c r="C671" s="763"/>
      <c r="D671" s="763"/>
      <c r="E671" s="832"/>
      <c r="F671" s="832"/>
    </row>
    <row r="672" spans="2:6">
      <c r="B672" s="763"/>
      <c r="C672" s="763"/>
      <c r="D672" s="763"/>
      <c r="E672" s="832"/>
      <c r="F672" s="832"/>
    </row>
    <row r="673" spans="2:6">
      <c r="B673" s="763"/>
      <c r="C673" s="763"/>
      <c r="D673" s="763"/>
      <c r="E673" s="832"/>
      <c r="F673" s="832"/>
    </row>
    <row r="674" spans="2:6">
      <c r="B674" s="763"/>
      <c r="C674" s="763"/>
      <c r="D674" s="763"/>
      <c r="E674" s="832"/>
      <c r="F674" s="832"/>
    </row>
    <row r="675" spans="2:6">
      <c r="B675" s="763"/>
      <c r="C675" s="763"/>
      <c r="D675" s="763"/>
      <c r="E675" s="832"/>
      <c r="F675" s="832"/>
    </row>
    <row r="676" spans="2:6">
      <c r="B676" s="763"/>
      <c r="C676" s="763"/>
      <c r="D676" s="763"/>
      <c r="E676" s="832"/>
      <c r="F676" s="832"/>
    </row>
    <row r="677" spans="2:6">
      <c r="B677" s="763"/>
      <c r="C677" s="763"/>
      <c r="D677" s="763"/>
      <c r="E677" s="832"/>
      <c r="F677" s="832"/>
    </row>
    <row r="678" spans="2:6">
      <c r="B678" s="763"/>
      <c r="C678" s="763"/>
      <c r="D678" s="763"/>
      <c r="E678" s="832"/>
      <c r="F678" s="832"/>
    </row>
    <row r="679" spans="2:6">
      <c r="B679" s="763"/>
      <c r="C679" s="763"/>
      <c r="D679" s="763"/>
      <c r="E679" s="832"/>
      <c r="F679" s="832"/>
    </row>
    <row r="680" spans="2:6">
      <c r="B680" s="763"/>
      <c r="C680" s="763"/>
      <c r="D680" s="763"/>
      <c r="E680" s="832"/>
      <c r="F680" s="832"/>
    </row>
    <row r="681" spans="2:6">
      <c r="B681" s="763"/>
      <c r="C681" s="763"/>
      <c r="D681" s="763"/>
      <c r="E681" s="832"/>
      <c r="F681" s="832"/>
    </row>
    <row r="682" spans="2:6">
      <c r="B682" s="763"/>
      <c r="C682" s="763"/>
      <c r="D682" s="763"/>
      <c r="E682" s="832"/>
      <c r="F682" s="832"/>
    </row>
    <row r="683" spans="2:6">
      <c r="B683" s="763"/>
      <c r="C683" s="763"/>
      <c r="D683" s="763"/>
      <c r="E683" s="832"/>
      <c r="F683" s="832"/>
    </row>
    <row r="684" spans="2:6">
      <c r="B684" s="763"/>
      <c r="C684" s="763"/>
      <c r="D684" s="763"/>
      <c r="E684" s="832"/>
      <c r="F684" s="832"/>
    </row>
    <row r="685" spans="2:6">
      <c r="B685" s="763"/>
      <c r="C685" s="763"/>
      <c r="D685" s="763"/>
      <c r="E685" s="832"/>
      <c r="F685" s="832"/>
    </row>
    <row r="686" spans="2:6">
      <c r="B686" s="763"/>
      <c r="C686" s="763"/>
      <c r="D686" s="763"/>
      <c r="E686" s="832"/>
      <c r="F686" s="832"/>
    </row>
    <row r="687" spans="2:6">
      <c r="B687" s="763"/>
      <c r="C687" s="763"/>
      <c r="D687" s="763"/>
      <c r="E687" s="832"/>
      <c r="F687" s="832"/>
    </row>
    <row r="688" spans="2:6">
      <c r="B688" s="763"/>
      <c r="C688" s="763"/>
      <c r="D688" s="763"/>
      <c r="E688" s="832"/>
      <c r="F688" s="832"/>
    </row>
    <row r="689" spans="2:6">
      <c r="B689" s="763"/>
      <c r="C689" s="763"/>
      <c r="D689" s="763"/>
      <c r="E689" s="832"/>
      <c r="F689" s="832"/>
    </row>
    <row r="690" spans="2:6">
      <c r="B690" s="763"/>
      <c r="C690" s="763"/>
      <c r="D690" s="763"/>
      <c r="E690" s="832"/>
      <c r="F690" s="832"/>
    </row>
    <row r="691" spans="2:6">
      <c r="B691" s="763"/>
      <c r="C691" s="763"/>
      <c r="D691" s="763"/>
      <c r="E691" s="832"/>
      <c r="F691" s="832"/>
    </row>
    <row r="692" spans="2:6">
      <c r="B692" s="763"/>
      <c r="C692" s="763"/>
      <c r="D692" s="763"/>
      <c r="E692" s="832"/>
      <c r="F692" s="832"/>
    </row>
    <row r="693" spans="2:6">
      <c r="B693" s="763"/>
      <c r="C693" s="763"/>
      <c r="D693" s="763"/>
      <c r="E693" s="832"/>
      <c r="F693" s="832"/>
    </row>
    <row r="694" spans="2:6">
      <c r="B694" s="763"/>
      <c r="C694" s="763"/>
      <c r="D694" s="763"/>
      <c r="E694" s="832"/>
      <c r="F694" s="832"/>
    </row>
    <row r="695" spans="2:6">
      <c r="B695" s="763"/>
      <c r="C695" s="763"/>
      <c r="D695" s="763"/>
      <c r="E695" s="832"/>
      <c r="F695" s="832"/>
    </row>
    <row r="696" spans="2:6">
      <c r="B696" s="763"/>
      <c r="C696" s="763"/>
      <c r="D696" s="763"/>
      <c r="E696" s="832"/>
      <c r="F696" s="832"/>
    </row>
    <row r="697" spans="2:6">
      <c r="B697" s="763"/>
      <c r="C697" s="763"/>
      <c r="D697" s="763"/>
      <c r="E697" s="832"/>
      <c r="F697" s="832"/>
    </row>
    <row r="698" spans="2:6">
      <c r="B698" s="763"/>
      <c r="C698" s="763"/>
      <c r="D698" s="763"/>
      <c r="E698" s="832"/>
      <c r="F698" s="832"/>
    </row>
    <row r="699" spans="2:6">
      <c r="B699" s="763"/>
      <c r="C699" s="763"/>
      <c r="D699" s="763"/>
      <c r="E699" s="832"/>
      <c r="F699" s="832"/>
    </row>
    <row r="700" spans="2:6">
      <c r="B700" s="763"/>
      <c r="C700" s="763"/>
      <c r="D700" s="763"/>
      <c r="E700" s="832"/>
      <c r="F700" s="832"/>
    </row>
    <row r="701" spans="2:6">
      <c r="B701" s="763"/>
      <c r="C701" s="763"/>
      <c r="D701" s="763"/>
      <c r="E701" s="832"/>
      <c r="F701" s="832"/>
    </row>
    <row r="702" spans="2:6">
      <c r="B702" s="763"/>
      <c r="C702" s="763"/>
      <c r="D702" s="763"/>
      <c r="E702" s="832"/>
      <c r="F702" s="832"/>
    </row>
    <row r="703" spans="2:6">
      <c r="B703" s="763"/>
      <c r="C703" s="763"/>
      <c r="D703" s="763"/>
      <c r="E703" s="832"/>
      <c r="F703" s="832"/>
    </row>
    <row r="704" spans="2:6">
      <c r="B704" s="763"/>
      <c r="C704" s="763"/>
      <c r="D704" s="763"/>
      <c r="E704" s="832"/>
      <c r="F704" s="832"/>
    </row>
    <row r="705" spans="2:6">
      <c r="B705" s="763"/>
      <c r="C705" s="763"/>
      <c r="D705" s="763"/>
      <c r="E705" s="832"/>
      <c r="F705" s="832"/>
    </row>
    <row r="706" spans="2:6">
      <c r="B706" s="763"/>
      <c r="C706" s="763"/>
      <c r="D706" s="763"/>
      <c r="E706" s="832"/>
      <c r="F706" s="832"/>
    </row>
    <row r="707" spans="2:6">
      <c r="B707" s="763"/>
      <c r="C707" s="763"/>
      <c r="D707" s="763"/>
      <c r="E707" s="832"/>
      <c r="F707" s="832"/>
    </row>
    <row r="708" spans="2:6">
      <c r="B708" s="763"/>
      <c r="C708" s="763"/>
      <c r="D708" s="763"/>
      <c r="E708" s="832"/>
      <c r="F708" s="8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76"/>
  <sheetViews>
    <sheetView showGridLines="0" showZeros="0" topLeftCell="A219" zoomScale="115" zoomScaleNormal="115" workbookViewId="0">
      <selection activeCell="H83" sqref="H83"/>
    </sheetView>
  </sheetViews>
  <sheetFormatPr defaultColWidth="9.109375" defaultRowHeight="13.2"/>
  <cols>
    <col min="1" max="5" width="9.109375" style="1049"/>
    <col min="6" max="6" width="10.44140625" style="1049" customWidth="1"/>
    <col min="7" max="7" width="9.109375" style="1049"/>
    <col min="8" max="8" width="10.6640625" style="1049" customWidth="1"/>
    <col min="9" max="16384" width="9.109375" style="1049"/>
  </cols>
  <sheetData>
    <row r="1" spans="1:10">
      <c r="A1" s="1048" t="s">
        <v>558</v>
      </c>
      <c r="B1" s="1048"/>
      <c r="C1" s="1048"/>
      <c r="D1" s="1048"/>
      <c r="E1" s="1048"/>
      <c r="F1" s="1048"/>
      <c r="G1" s="1048"/>
      <c r="H1" s="1048"/>
      <c r="I1" s="1048"/>
    </row>
    <row r="4" spans="1:10">
      <c r="F4" s="1050" t="s">
        <v>226</v>
      </c>
      <c r="H4" s="1050" t="s">
        <v>226</v>
      </c>
      <c r="J4" s="1049" t="s">
        <v>559</v>
      </c>
    </row>
    <row r="7" spans="1:10">
      <c r="A7" s="1051" t="s">
        <v>266</v>
      </c>
    </row>
    <row r="9" spans="1:10">
      <c r="A9" s="1049" t="s">
        <v>560</v>
      </c>
      <c r="F9" s="1052">
        <f>Preliminaries!F42</f>
        <v>2244.8000000000002</v>
      </c>
    </row>
    <row r="10" spans="1:10">
      <c r="F10" s="1053"/>
      <c r="H10" s="1051"/>
    </row>
    <row r="11" spans="1:10" ht="13.8" thickBot="1">
      <c r="A11" s="1049" t="s">
        <v>561</v>
      </c>
      <c r="F11" s="1052">
        <f>Preliminaries!F97</f>
        <v>5536.7199999999993</v>
      </c>
      <c r="H11" s="1054">
        <f>SUM(F9:F11)</f>
        <v>7781.5199999999995</v>
      </c>
    </row>
    <row r="13" spans="1:10">
      <c r="H13" s="1051"/>
    </row>
    <row r="14" spans="1:10">
      <c r="A14" s="1051" t="s">
        <v>234</v>
      </c>
    </row>
    <row r="15" spans="1:10">
      <c r="A15" s="1051"/>
    </row>
    <row r="16" spans="1:10">
      <c r="A16" s="1049" t="s">
        <v>562</v>
      </c>
      <c r="F16" s="1055">
        <f>Electrical!F51</f>
        <v>39868.47</v>
      </c>
    </row>
    <row r="18" spans="1:6">
      <c r="A18" s="1049" t="s">
        <v>563</v>
      </c>
      <c r="F18" s="1055">
        <f ca="1">Electrical!F109</f>
        <v>18536.720000000005</v>
      </c>
    </row>
    <row r="19" spans="1:6">
      <c r="A19" s="1051"/>
    </row>
    <row r="20" spans="1:6">
      <c r="A20" s="1049" t="s">
        <v>564</v>
      </c>
      <c r="F20" s="1055">
        <f ca="1">Electrical!F168</f>
        <v>9939.07</v>
      </c>
    </row>
    <row r="22" spans="1:6">
      <c r="A22" s="1049" t="s">
        <v>565</v>
      </c>
      <c r="F22" s="1055">
        <f ca="1">Electrical!F223</f>
        <v>2621</v>
      </c>
    </row>
    <row r="23" spans="1:6">
      <c r="A23" s="1051"/>
    </row>
    <row r="24" spans="1:6">
      <c r="A24" s="1049" t="s">
        <v>566</v>
      </c>
      <c r="F24" s="1055">
        <f ca="1">Electrical!F279</f>
        <v>5650.8500000000013</v>
      </c>
    </row>
    <row r="26" spans="1:6">
      <c r="A26" s="1049" t="s">
        <v>567</v>
      </c>
      <c r="F26" s="1055">
        <f ca="1">Electrical!F336</f>
        <v>1750.32</v>
      </c>
    </row>
    <row r="27" spans="1:6">
      <c r="A27" s="1051"/>
    </row>
    <row r="28" spans="1:6">
      <c r="A28" s="1049" t="s">
        <v>568</v>
      </c>
      <c r="F28" s="1055">
        <f ca="1">Electrical!F388</f>
        <v>8675.3799999999992</v>
      </c>
    </row>
    <row r="30" spans="1:6">
      <c r="A30" s="1049" t="s">
        <v>569</v>
      </c>
      <c r="F30" s="1055">
        <f ca="1">Electrical!F442</f>
        <v>5595.8300000000008</v>
      </c>
    </row>
    <row r="31" spans="1:6">
      <c r="A31" s="1051"/>
    </row>
    <row r="32" spans="1:6">
      <c r="A32" s="1049" t="s">
        <v>570</v>
      </c>
      <c r="F32" s="1055">
        <f>Electrical!F501</f>
        <v>1981.47</v>
      </c>
    </row>
    <row r="34" spans="1:6">
      <c r="A34" s="1049" t="s">
        <v>571</v>
      </c>
      <c r="F34" s="1055">
        <f ca="1">Electrical!F555</f>
        <v>7076.9</v>
      </c>
    </row>
    <row r="35" spans="1:6">
      <c r="A35" s="1051"/>
    </row>
    <row r="36" spans="1:6">
      <c r="A36" s="1049" t="s">
        <v>572</v>
      </c>
      <c r="F36" s="1055">
        <f ca="1">Electrical!F610</f>
        <v>2883.6900000000005</v>
      </c>
    </row>
    <row r="38" spans="1:6">
      <c r="A38" s="1049" t="s">
        <v>573</v>
      </c>
      <c r="F38" s="1055">
        <f ca="1">Electrical!F666</f>
        <v>6405.5599999999995</v>
      </c>
    </row>
    <row r="39" spans="1:6">
      <c r="A39" s="1051"/>
    </row>
    <row r="40" spans="1:6">
      <c r="A40" s="1049" t="s">
        <v>574</v>
      </c>
      <c r="F40" s="1055">
        <f ca="1">Electrical!F726</f>
        <v>478.05</v>
      </c>
    </row>
    <row r="42" spans="1:6">
      <c r="A42" s="1049" t="s">
        <v>575</v>
      </c>
      <c r="F42" s="1055">
        <f ca="1">Electrical!F779</f>
        <v>8056.8399999999992</v>
      </c>
    </row>
    <row r="43" spans="1:6">
      <c r="A43" s="1051"/>
    </row>
    <row r="44" spans="1:6">
      <c r="A44" s="1049" t="s">
        <v>576</v>
      </c>
      <c r="F44" s="1055">
        <f ca="1">Electrical!F831</f>
        <v>2796.170000000001</v>
      </c>
    </row>
    <row r="46" spans="1:6">
      <c r="A46" s="1049" t="s">
        <v>577</v>
      </c>
      <c r="F46" s="1055">
        <f ca="1">Electrical!F886</f>
        <v>5165.6099999999997</v>
      </c>
    </row>
    <row r="47" spans="1:6">
      <c r="A47" s="1051"/>
    </row>
    <row r="48" spans="1:6">
      <c r="A48" s="1049" t="s">
        <v>578</v>
      </c>
      <c r="F48" s="1055">
        <f ca="1">Electrical!F944</f>
        <v>2045.1699999999996</v>
      </c>
    </row>
    <row r="50" spans="1:6">
      <c r="A50" s="1049" t="s">
        <v>579</v>
      </c>
      <c r="F50" s="1055">
        <f ca="1">Electrical!F997</f>
        <v>5155.3599999999997</v>
      </c>
    </row>
    <row r="51" spans="1:6">
      <c r="A51" s="1051"/>
    </row>
    <row r="52" spans="1:6">
      <c r="A52" s="1049" t="s">
        <v>580</v>
      </c>
      <c r="F52" s="1055">
        <f ca="1">Electrical!F1053</f>
        <v>3838.1500000000005</v>
      </c>
    </row>
    <row r="54" spans="1:6">
      <c r="A54" s="1049" t="s">
        <v>581</v>
      </c>
      <c r="F54" s="1055">
        <f ca="1">Electrical!F1109</f>
        <v>6066.9399999999987</v>
      </c>
    </row>
    <row r="55" spans="1:6">
      <c r="A55" s="1051"/>
    </row>
    <row r="56" spans="1:6">
      <c r="A56" s="1049" t="s">
        <v>582</v>
      </c>
      <c r="F56" s="1055">
        <f ca="1">Electrical!F1168</f>
        <v>1096.9100000000001</v>
      </c>
    </row>
    <row r="58" spans="1:6">
      <c r="A58" s="1049" t="s">
        <v>583</v>
      </c>
      <c r="F58" s="1055">
        <f ca="1">Electrical!F1222</f>
        <v>6249.3799999999992</v>
      </c>
    </row>
    <row r="59" spans="1:6">
      <c r="A59" s="1051"/>
    </row>
    <row r="60" spans="1:6">
      <c r="A60" s="1049" t="s">
        <v>584</v>
      </c>
      <c r="F60" s="1055">
        <f ca="1">Electrical!F1278</f>
        <v>2657.0900000000006</v>
      </c>
    </row>
    <row r="62" spans="1:6">
      <c r="A62" s="1049" t="s">
        <v>585</v>
      </c>
      <c r="F62" s="1055">
        <f ca="1">Electrical!F1336</f>
        <v>6562.95</v>
      </c>
    </row>
    <row r="63" spans="1:6">
      <c r="A63" s="1051"/>
    </row>
    <row r="64" spans="1:6">
      <c r="A64" s="1049" t="s">
        <v>586</v>
      </c>
      <c r="F64" s="1055">
        <f ca="1">Electrical!F1396</f>
        <v>276.75</v>
      </c>
    </row>
    <row r="66" spans="1:8">
      <c r="A66" s="1049" t="s">
        <v>587</v>
      </c>
      <c r="F66" s="1055">
        <f ca="1">Electrical!F1452</f>
        <v>4075.0399999999991</v>
      </c>
    </row>
    <row r="67" spans="1:8">
      <c r="A67" s="1051"/>
    </row>
    <row r="68" spans="1:8">
      <c r="A68" s="1049" t="s">
        <v>588</v>
      </c>
      <c r="F68" s="1055">
        <f ca="1">Electrical!F1508</f>
        <v>2259.2999999999997</v>
      </c>
    </row>
    <row r="70" spans="1:8">
      <c r="A70" s="1049" t="s">
        <v>589</v>
      </c>
      <c r="F70" s="1055">
        <f ca="1">Electrical!F1565</f>
        <v>5813.4100000000008</v>
      </c>
    </row>
    <row r="71" spans="1:8">
      <c r="A71" s="1051"/>
    </row>
    <row r="72" spans="1:8">
      <c r="A72" s="1049" t="s">
        <v>590</v>
      </c>
      <c r="F72" s="1055">
        <f ca="1">Electrical!F1620</f>
        <v>3613.7000000000003</v>
      </c>
    </row>
    <row r="74" spans="1:8">
      <c r="A74" s="1049" t="s">
        <v>591</v>
      </c>
      <c r="F74" s="1055">
        <f ca="1">Electrical!F1680</f>
        <v>646.72</v>
      </c>
      <c r="H74" s="1051"/>
    </row>
    <row r="75" spans="1:8">
      <c r="A75" s="1051"/>
      <c r="H75" s="1051"/>
    </row>
    <row r="76" spans="1:8">
      <c r="A76" s="1049" t="s">
        <v>592</v>
      </c>
      <c r="F76" s="1055">
        <f ca="1">Electrical!F1735</f>
        <v>3512.0800000000004</v>
      </c>
    </row>
    <row r="78" spans="1:8" ht="13.8" thickBot="1">
      <c r="A78" s="1049" t="s">
        <v>593</v>
      </c>
      <c r="F78" s="1055">
        <f>Electrical!F1787</f>
        <v>9701.630000000001</v>
      </c>
      <c r="H78" s="1054">
        <f ca="1">SUM(F14:F78)</f>
        <v>191052.51000000004</v>
      </c>
    </row>
    <row r="79" spans="1:8">
      <c r="A79" s="1051"/>
    </row>
    <row r="80" spans="1:8">
      <c r="A80" s="1051"/>
    </row>
    <row r="81" spans="1:8">
      <c r="A81" s="1051" t="s">
        <v>501</v>
      </c>
    </row>
    <row r="82" spans="1:8">
      <c r="A82" s="1051"/>
    </row>
    <row r="83" spans="1:8" ht="13.8" thickBot="1">
      <c r="A83" s="1049" t="s">
        <v>594</v>
      </c>
      <c r="F83" s="1055">
        <f ca="1">'Emergency Standby Generator'!F48</f>
        <v>27559.170000000002</v>
      </c>
      <c r="H83" s="1054">
        <f ca="1">SUM(F83:G83)</f>
        <v>27559.170000000002</v>
      </c>
    </row>
    <row r="84" spans="1:8">
      <c r="A84" s="1051"/>
    </row>
    <row r="85" spans="1:8">
      <c r="A85" s="1051"/>
    </row>
    <row r="86" spans="1:8">
      <c r="A86" s="1056" t="s">
        <v>595</v>
      </c>
      <c r="B86" s="1057"/>
      <c r="H86" s="1051"/>
    </row>
    <row r="87" spans="1:8">
      <c r="A87" s="1057"/>
      <c r="B87" s="1057"/>
      <c r="H87" s="1051"/>
    </row>
    <row r="88" spans="1:8">
      <c r="A88" s="1057" t="s">
        <v>596</v>
      </c>
      <c r="B88" s="1057"/>
      <c r="F88" s="1055"/>
      <c r="H88" s="1051"/>
    </row>
    <row r="89" spans="1:8">
      <c r="A89" s="1057"/>
      <c r="B89" s="1057"/>
      <c r="H89" s="1051"/>
    </row>
    <row r="90" spans="1:8">
      <c r="A90" s="1057" t="s">
        <v>597</v>
      </c>
      <c r="B90" s="1057"/>
      <c r="F90" s="1055"/>
      <c r="H90" s="1051"/>
    </row>
    <row r="91" spans="1:8">
      <c r="A91" s="1057"/>
      <c r="B91" s="1057"/>
      <c r="H91" s="1051"/>
    </row>
    <row r="92" spans="1:8">
      <c r="A92" s="1057" t="s">
        <v>598</v>
      </c>
      <c r="B92" s="1057"/>
      <c r="F92" s="1055"/>
      <c r="H92" s="1051"/>
    </row>
    <row r="93" spans="1:8">
      <c r="A93" s="1057"/>
      <c r="B93" s="1057"/>
      <c r="H93" s="1051"/>
    </row>
    <row r="94" spans="1:8">
      <c r="A94" s="1057" t="s">
        <v>599</v>
      </c>
      <c r="B94" s="1057"/>
      <c r="F94" s="1055"/>
      <c r="H94" s="1051"/>
    </row>
    <row r="95" spans="1:8">
      <c r="A95" s="1057"/>
      <c r="B95" s="1057"/>
      <c r="H95" s="1051"/>
    </row>
    <row r="96" spans="1:8">
      <c r="A96" s="1057" t="s">
        <v>600</v>
      </c>
      <c r="B96" s="1057"/>
      <c r="F96" s="1055"/>
      <c r="H96" s="1051"/>
    </row>
    <row r="97" spans="1:8">
      <c r="A97" s="1057"/>
      <c r="B97" s="1057"/>
      <c r="H97" s="1051"/>
    </row>
    <row r="98" spans="1:8">
      <c r="A98" s="1057" t="s">
        <v>601</v>
      </c>
      <c r="B98" s="1057"/>
      <c r="F98" s="1055"/>
      <c r="H98" s="1051"/>
    </row>
    <row r="99" spans="1:8">
      <c r="A99" s="1057"/>
      <c r="B99" s="1057"/>
      <c r="H99" s="1051"/>
    </row>
    <row r="100" spans="1:8">
      <c r="A100" s="1057" t="s">
        <v>602</v>
      </c>
      <c r="B100" s="1057"/>
      <c r="F100" s="1055"/>
      <c r="H100" s="1051"/>
    </row>
    <row r="101" spans="1:8">
      <c r="A101" s="1057"/>
      <c r="B101" s="1057"/>
      <c r="H101" s="1051"/>
    </row>
    <row r="102" spans="1:8">
      <c r="A102" s="1057" t="s">
        <v>603</v>
      </c>
      <c r="B102" s="1057"/>
      <c r="F102" s="1055"/>
      <c r="H102" s="1051"/>
    </row>
    <row r="103" spans="1:8">
      <c r="A103" s="1057"/>
      <c r="B103" s="1057"/>
      <c r="H103" s="1051"/>
    </row>
    <row r="104" spans="1:8">
      <c r="A104" s="1057" t="s">
        <v>604</v>
      </c>
      <c r="B104" s="1057"/>
      <c r="F104" s="1055"/>
      <c r="H104" s="1051"/>
    </row>
    <row r="105" spans="1:8">
      <c r="A105" s="1057"/>
      <c r="B105" s="1057"/>
      <c r="H105" s="1051"/>
    </row>
    <row r="106" spans="1:8">
      <c r="A106" s="1057" t="s">
        <v>605</v>
      </c>
      <c r="B106" s="1057"/>
      <c r="F106" s="1055"/>
      <c r="H106" s="1051"/>
    </row>
    <row r="107" spans="1:8">
      <c r="A107" s="1057"/>
      <c r="B107" s="1057"/>
      <c r="H107" s="1051"/>
    </row>
    <row r="108" spans="1:8">
      <c r="A108" s="1057" t="s">
        <v>606</v>
      </c>
      <c r="B108" s="1057"/>
      <c r="F108" s="1055"/>
      <c r="H108" s="1051"/>
    </row>
    <row r="109" spans="1:8">
      <c r="A109" s="1057"/>
      <c r="B109" s="1057"/>
      <c r="H109" s="1051"/>
    </row>
    <row r="110" spans="1:8">
      <c r="A110" s="1057" t="s">
        <v>607</v>
      </c>
      <c r="B110" s="1057"/>
      <c r="F110" s="1055"/>
      <c r="H110" s="1051"/>
    </row>
    <row r="111" spans="1:8">
      <c r="A111" s="1057"/>
      <c r="B111" s="1057"/>
      <c r="H111" s="1051"/>
    </row>
    <row r="112" spans="1:8">
      <c r="A112" s="1057" t="s">
        <v>608</v>
      </c>
      <c r="B112" s="1057"/>
      <c r="F112" s="1055"/>
      <c r="H112" s="1051"/>
    </row>
    <row r="113" spans="1:8">
      <c r="A113" s="1057"/>
      <c r="B113" s="1057"/>
      <c r="H113" s="1051"/>
    </row>
    <row r="114" spans="1:8">
      <c r="A114" s="1057" t="s">
        <v>609</v>
      </c>
      <c r="B114" s="1057"/>
      <c r="F114" s="1055"/>
      <c r="H114" s="1051"/>
    </row>
    <row r="115" spans="1:8">
      <c r="A115" s="1057"/>
      <c r="B115" s="1057"/>
      <c r="H115" s="1051"/>
    </row>
    <row r="116" spans="1:8">
      <c r="A116" s="1057" t="s">
        <v>610</v>
      </c>
      <c r="B116" s="1057"/>
      <c r="F116" s="1055"/>
      <c r="H116" s="1051"/>
    </row>
    <row r="117" spans="1:8">
      <c r="A117" s="1057"/>
      <c r="B117" s="1057"/>
      <c r="H117" s="1051"/>
    </row>
    <row r="118" spans="1:8">
      <c r="A118" s="1057" t="s">
        <v>611</v>
      </c>
      <c r="B118" s="1057"/>
      <c r="F118" s="1055"/>
      <c r="H118" s="1051"/>
    </row>
    <row r="119" spans="1:8">
      <c r="A119" s="1057"/>
      <c r="B119" s="1057"/>
      <c r="H119" s="1051"/>
    </row>
    <row r="120" spans="1:8">
      <c r="A120" s="1057" t="s">
        <v>612</v>
      </c>
      <c r="B120" s="1057"/>
      <c r="F120" s="1055"/>
    </row>
    <row r="121" spans="1:8">
      <c r="A121" s="1057"/>
      <c r="B121" s="1057"/>
      <c r="H121" s="1051"/>
    </row>
    <row r="122" spans="1:8">
      <c r="A122" s="1057" t="s">
        <v>613</v>
      </c>
      <c r="B122" s="1057"/>
      <c r="F122" s="1055"/>
      <c r="H122" s="1051"/>
    </row>
    <row r="123" spans="1:8">
      <c r="A123" s="1057"/>
      <c r="B123" s="1057"/>
      <c r="H123" s="1051"/>
    </row>
    <row r="124" spans="1:8">
      <c r="A124" s="1057" t="s">
        <v>614</v>
      </c>
      <c r="B124" s="1057"/>
      <c r="F124" s="1055"/>
      <c r="H124" s="1051"/>
    </row>
    <row r="125" spans="1:8">
      <c r="A125" s="1057"/>
      <c r="B125" s="1057"/>
      <c r="H125" s="1051"/>
    </row>
    <row r="126" spans="1:8">
      <c r="A126" s="1057" t="s">
        <v>615</v>
      </c>
      <c r="B126" s="1057"/>
      <c r="F126" s="1055"/>
      <c r="H126" s="1051"/>
    </row>
    <row r="127" spans="1:8">
      <c r="A127" s="1057"/>
      <c r="B127" s="1057"/>
      <c r="H127" s="1051"/>
    </row>
    <row r="128" spans="1:8">
      <c r="A128" s="1057" t="s">
        <v>616</v>
      </c>
      <c r="B128" s="1057"/>
      <c r="F128" s="1055"/>
      <c r="H128" s="1051"/>
    </row>
    <row r="129" spans="1:8">
      <c r="A129" s="1057"/>
      <c r="B129" s="1057"/>
      <c r="H129" s="1051"/>
    </row>
    <row r="130" spans="1:8">
      <c r="A130" s="1057" t="s">
        <v>617</v>
      </c>
      <c r="B130" s="1057"/>
      <c r="F130" s="1055"/>
      <c r="H130" s="1051"/>
    </row>
    <row r="131" spans="1:8">
      <c r="A131" s="1057"/>
      <c r="B131" s="1057"/>
      <c r="H131" s="1051"/>
    </row>
    <row r="132" spans="1:8">
      <c r="A132" s="1057" t="s">
        <v>618</v>
      </c>
      <c r="B132" s="1057"/>
      <c r="F132" s="1055"/>
      <c r="H132" s="1051"/>
    </row>
    <row r="133" spans="1:8">
      <c r="A133" s="1057"/>
      <c r="B133" s="1057"/>
      <c r="H133" s="1051"/>
    </row>
    <row r="134" spans="1:8">
      <c r="A134" s="1057" t="s">
        <v>619</v>
      </c>
      <c r="B134" s="1057"/>
      <c r="F134" s="1055"/>
      <c r="H134" s="1051"/>
    </row>
    <row r="135" spans="1:8">
      <c r="A135" s="1057"/>
      <c r="B135" s="1057"/>
      <c r="H135" s="1051"/>
    </row>
    <row r="136" spans="1:8">
      <c r="A136" s="1057" t="s">
        <v>620</v>
      </c>
      <c r="B136" s="1057"/>
      <c r="F136" s="1055"/>
      <c r="H136" s="1051"/>
    </row>
    <row r="137" spans="1:8">
      <c r="A137" s="1057"/>
      <c r="B137" s="1057"/>
      <c r="H137" s="1051"/>
    </row>
    <row r="138" spans="1:8" ht="13.8" thickBot="1">
      <c r="A138" s="1057" t="s">
        <v>621</v>
      </c>
      <c r="B138" s="1057"/>
      <c r="F138" s="1055"/>
      <c r="H138" s="1054">
        <f>SUM(F88:F138)</f>
        <v>0</v>
      </c>
    </row>
    <row r="139" spans="1:8">
      <c r="A139" s="1057"/>
      <c r="B139" s="1057"/>
      <c r="H139" s="1051"/>
    </row>
    <row r="140" spans="1:8">
      <c r="A140" s="1057"/>
      <c r="B140" s="1057"/>
      <c r="H140" s="1051"/>
    </row>
    <row r="141" spans="1:8">
      <c r="A141" s="1056" t="s">
        <v>622</v>
      </c>
      <c r="B141" s="1057"/>
      <c r="H141" s="1051"/>
    </row>
    <row r="142" spans="1:8">
      <c r="A142" s="1057"/>
      <c r="B142" s="1057"/>
      <c r="H142" s="1051"/>
    </row>
    <row r="143" spans="1:8">
      <c r="A143" s="1057" t="s">
        <v>623</v>
      </c>
      <c r="B143" s="1057"/>
      <c r="F143" s="1055"/>
      <c r="H143" s="1051"/>
    </row>
    <row r="144" spans="1:8">
      <c r="A144" s="1057"/>
      <c r="B144" s="1057"/>
      <c r="H144" s="1051"/>
    </row>
    <row r="145" spans="1:8">
      <c r="A145" s="1057" t="s">
        <v>624</v>
      </c>
      <c r="B145" s="1057"/>
      <c r="F145" s="1055"/>
      <c r="H145" s="1051"/>
    </row>
    <row r="146" spans="1:8">
      <c r="A146" s="1057"/>
      <c r="B146" s="1057"/>
      <c r="H146" s="1051"/>
    </row>
    <row r="147" spans="1:8">
      <c r="A147" s="1057" t="s">
        <v>625</v>
      </c>
      <c r="B147" s="1057"/>
      <c r="F147" s="1055"/>
      <c r="H147" s="1051"/>
    </row>
    <row r="148" spans="1:8">
      <c r="A148" s="1057"/>
      <c r="B148" s="1057"/>
      <c r="H148" s="1051"/>
    </row>
    <row r="149" spans="1:8">
      <c r="A149" s="1057" t="s">
        <v>626</v>
      </c>
      <c r="B149" s="1057"/>
      <c r="F149" s="1055"/>
      <c r="H149" s="1051"/>
    </row>
    <row r="150" spans="1:8">
      <c r="A150" s="1057"/>
      <c r="B150" s="1057"/>
      <c r="H150" s="1051"/>
    </row>
    <row r="151" spans="1:8">
      <c r="A151" s="1057" t="s">
        <v>627</v>
      </c>
      <c r="B151" s="1057"/>
      <c r="F151" s="1055"/>
      <c r="H151" s="1051"/>
    </row>
    <row r="152" spans="1:8">
      <c r="A152" s="1057"/>
      <c r="B152" s="1057"/>
      <c r="H152" s="1051"/>
    </row>
    <row r="153" spans="1:8">
      <c r="A153" s="1057" t="s">
        <v>628</v>
      </c>
      <c r="B153" s="1057"/>
      <c r="F153" s="1055"/>
      <c r="H153" s="1051"/>
    </row>
    <row r="154" spans="1:8">
      <c r="A154" s="1057"/>
      <c r="B154" s="1057"/>
      <c r="H154" s="1051"/>
    </row>
    <row r="155" spans="1:8">
      <c r="A155" s="1057" t="s">
        <v>629</v>
      </c>
      <c r="B155" s="1057"/>
      <c r="F155" s="1055"/>
      <c r="H155" s="1051"/>
    </row>
    <row r="156" spans="1:8">
      <c r="A156" s="1057"/>
      <c r="B156" s="1057"/>
      <c r="H156" s="1051"/>
    </row>
    <row r="157" spans="1:8">
      <c r="A157" s="1057" t="s">
        <v>630</v>
      </c>
      <c r="B157" s="1057"/>
      <c r="F157" s="1055"/>
      <c r="H157" s="1051"/>
    </row>
    <row r="158" spans="1:8">
      <c r="A158" s="1057"/>
      <c r="B158" s="1057"/>
      <c r="H158" s="1051"/>
    </row>
    <row r="159" spans="1:8">
      <c r="A159" s="1057" t="s">
        <v>631</v>
      </c>
      <c r="B159" s="1057"/>
      <c r="F159" s="1055"/>
      <c r="H159" s="1051"/>
    </row>
    <row r="160" spans="1:8">
      <c r="A160" s="1057"/>
      <c r="B160" s="1057"/>
      <c r="H160" s="1051"/>
    </row>
    <row r="161" spans="1:8">
      <c r="A161" s="1057" t="s">
        <v>632</v>
      </c>
      <c r="B161" s="1057"/>
      <c r="F161" s="1055"/>
      <c r="H161" s="1051"/>
    </row>
    <row r="162" spans="1:8">
      <c r="A162" s="1057"/>
      <c r="B162" s="1057"/>
      <c r="H162" s="1051"/>
    </row>
    <row r="163" spans="1:8">
      <c r="A163" s="1057" t="s">
        <v>633</v>
      </c>
      <c r="B163" s="1057"/>
      <c r="F163" s="1055"/>
      <c r="H163" s="1051"/>
    </row>
    <row r="164" spans="1:8">
      <c r="A164" s="1057"/>
      <c r="B164" s="1057"/>
      <c r="H164" s="1051"/>
    </row>
    <row r="165" spans="1:8" ht="13.8" thickBot="1">
      <c r="A165" s="1057" t="s">
        <v>634</v>
      </c>
      <c r="B165" s="1057"/>
      <c r="F165" s="1055"/>
      <c r="H165" s="1054">
        <f>SUM(F142:F165)</f>
        <v>0</v>
      </c>
    </row>
    <row r="166" spans="1:8">
      <c r="A166" s="1057"/>
      <c r="B166" s="1057"/>
      <c r="H166" s="1051"/>
    </row>
    <row r="167" spans="1:8">
      <c r="A167" s="1057"/>
      <c r="B167" s="1057"/>
      <c r="H167" s="1051"/>
    </row>
    <row r="168" spans="1:8">
      <c r="A168" s="1056" t="s">
        <v>635</v>
      </c>
      <c r="B168" s="1057"/>
      <c r="H168" s="1051"/>
    </row>
    <row r="169" spans="1:8">
      <c r="A169" s="1057"/>
      <c r="B169" s="1057"/>
      <c r="H169" s="1051"/>
    </row>
    <row r="170" spans="1:8">
      <c r="A170" s="1057" t="s">
        <v>636</v>
      </c>
      <c r="B170" s="1057"/>
      <c r="F170" s="1055"/>
      <c r="H170" s="1051"/>
    </row>
    <row r="171" spans="1:8">
      <c r="A171" s="1057"/>
      <c r="B171" s="1057"/>
      <c r="H171" s="1051"/>
    </row>
    <row r="172" spans="1:8">
      <c r="A172" s="1057" t="s">
        <v>637</v>
      </c>
      <c r="B172" s="1057"/>
      <c r="F172" s="1055"/>
      <c r="H172" s="1051"/>
    </row>
    <row r="173" spans="1:8">
      <c r="A173" s="1057"/>
      <c r="B173" s="1057"/>
      <c r="H173" s="1051"/>
    </row>
    <row r="174" spans="1:8">
      <c r="A174" s="1057" t="s">
        <v>638</v>
      </c>
      <c r="B174" s="1057"/>
      <c r="F174" s="1055"/>
      <c r="H174" s="1051"/>
    </row>
    <row r="175" spans="1:8">
      <c r="A175" s="1057"/>
      <c r="B175" s="1057"/>
      <c r="H175" s="1051"/>
    </row>
    <row r="176" spans="1:8" ht="13.8" thickBot="1">
      <c r="A176" s="1057" t="s">
        <v>639</v>
      </c>
      <c r="B176" s="1057"/>
      <c r="F176" s="1055"/>
      <c r="H176" s="1054">
        <f>SUM(F170:F176)</f>
        <v>0</v>
      </c>
    </row>
    <row r="177" spans="1:8">
      <c r="A177" s="1057"/>
      <c r="B177" s="1057"/>
      <c r="H177" s="1051"/>
    </row>
    <row r="178" spans="1:8">
      <c r="A178" s="1057"/>
      <c r="B178" s="1057"/>
      <c r="H178" s="1051"/>
    </row>
    <row r="179" spans="1:8">
      <c r="A179" s="1056" t="s">
        <v>640</v>
      </c>
      <c r="B179" s="1057"/>
      <c r="H179" s="1051"/>
    </row>
    <row r="180" spans="1:8">
      <c r="A180" s="1057"/>
      <c r="B180" s="1057"/>
      <c r="H180" s="1051"/>
    </row>
    <row r="181" spans="1:8">
      <c r="A181" s="1057" t="s">
        <v>641</v>
      </c>
      <c r="B181" s="1057"/>
      <c r="F181" s="1055"/>
      <c r="H181" s="1051"/>
    </row>
    <row r="182" spans="1:8">
      <c r="A182" s="1057"/>
      <c r="B182" s="1057"/>
      <c r="H182" s="1051"/>
    </row>
    <row r="183" spans="1:8" ht="13.8" thickBot="1">
      <c r="A183" s="1057" t="s">
        <v>642</v>
      </c>
      <c r="B183" s="1057"/>
      <c r="F183" s="1055"/>
      <c r="H183" s="1054">
        <f>SUM(F181:F183)</f>
        <v>0</v>
      </c>
    </row>
    <row r="184" spans="1:8">
      <c r="H184" s="1051"/>
    </row>
    <row r="185" spans="1:8">
      <c r="H185" s="1051"/>
    </row>
    <row r="186" spans="1:8">
      <c r="A186" s="1051" t="s">
        <v>505</v>
      </c>
      <c r="H186" s="1051"/>
    </row>
    <row r="187" spans="1:8">
      <c r="H187" s="1051"/>
    </row>
    <row r="188" spans="1:8" ht="13.8" thickBot="1">
      <c r="A188" s="1049" t="s">
        <v>643</v>
      </c>
      <c r="F188" s="1055">
        <f>'FIRE STOPPING'!F56</f>
        <v>2293.1799999999998</v>
      </c>
      <c r="H188" s="1054">
        <f>SUM(F188:G188)</f>
        <v>2293.1799999999998</v>
      </c>
    </row>
    <row r="189" spans="1:8">
      <c r="H189" s="1051"/>
    </row>
    <row r="190" spans="1:8">
      <c r="H190" s="1051"/>
    </row>
    <row r="191" spans="1:8">
      <c r="A191" s="1051" t="s">
        <v>508</v>
      </c>
      <c r="H191" s="1051"/>
    </row>
    <row r="192" spans="1:8">
      <c r="H192" s="1051"/>
    </row>
    <row r="193" spans="1:8">
      <c r="A193" s="1049" t="s">
        <v>644</v>
      </c>
      <c r="F193" s="1055">
        <f>'Fire Detection'!F56</f>
        <v>10401.549999999999</v>
      </c>
      <c r="H193" s="1051"/>
    </row>
    <row r="194" spans="1:8">
      <c r="H194" s="1051"/>
    </row>
    <row r="195" spans="1:8">
      <c r="A195" s="1049" t="s">
        <v>645</v>
      </c>
      <c r="F195" s="1055">
        <f>'Fire Detection'!F114</f>
        <v>8404.27</v>
      </c>
      <c r="H195" s="1051"/>
    </row>
    <row r="196" spans="1:8">
      <c r="H196" s="1051"/>
    </row>
    <row r="197" spans="1:8">
      <c r="A197" s="1049" t="s">
        <v>646</v>
      </c>
      <c r="F197" s="1055">
        <f>'Fire Detection'!F172</f>
        <v>5952.6</v>
      </c>
      <c r="H197" s="1051"/>
    </row>
    <row r="198" spans="1:8">
      <c r="H198" s="1051"/>
    </row>
    <row r="199" spans="1:8">
      <c r="A199" s="1049" t="s">
        <v>647</v>
      </c>
      <c r="F199" s="1055">
        <f>'Fire Detection'!F230</f>
        <v>6311.2500000000009</v>
      </c>
      <c r="H199" s="1051"/>
    </row>
    <row r="200" spans="1:8">
      <c r="H200" s="1051"/>
    </row>
    <row r="201" spans="1:8" ht="13.8" thickBot="1">
      <c r="A201" s="1049" t="s">
        <v>648</v>
      </c>
      <c r="F201" s="1055">
        <f>'Fire Detection'!F288</f>
        <v>3057.48</v>
      </c>
      <c r="H201" s="1054">
        <f>SUM(F192:F201)</f>
        <v>34127.15</v>
      </c>
    </row>
    <row r="202" spans="1:8">
      <c r="H202" s="1051"/>
    </row>
    <row r="203" spans="1:8">
      <c r="H203" s="1051"/>
    </row>
    <row r="204" spans="1:8">
      <c r="A204" s="1051" t="s">
        <v>649</v>
      </c>
      <c r="H204" s="1051"/>
    </row>
    <row r="205" spans="1:8">
      <c r="H205" s="1051"/>
    </row>
    <row r="206" spans="1:8" ht="13.8" thickBot="1">
      <c r="A206" s="1049" t="s">
        <v>650</v>
      </c>
      <c r="F206" s="1055">
        <f>CCTV!F57</f>
        <v>2530.2399999999998</v>
      </c>
      <c r="H206" s="1054">
        <f>F206</f>
        <v>2530.2399999999998</v>
      </c>
    </row>
    <row r="207" spans="1:8">
      <c r="H207" s="1051"/>
    </row>
    <row r="208" spans="1:8">
      <c r="H208" s="1051"/>
    </row>
    <row r="209" spans="1:8">
      <c r="A209" s="1051" t="s">
        <v>533</v>
      </c>
      <c r="H209" s="1051"/>
    </row>
    <row r="210" spans="1:8">
      <c r="H210" s="1051"/>
    </row>
    <row r="211" spans="1:8">
      <c r="A211" s="1049" t="s">
        <v>651</v>
      </c>
      <c r="F211" s="1055">
        <f>'Structured Cabling'!F57</f>
        <v>2758.52</v>
      </c>
      <c r="H211" s="1051"/>
    </row>
    <row r="212" spans="1:8">
      <c r="A212" s="1051"/>
      <c r="H212" s="1051"/>
    </row>
    <row r="213" spans="1:8" ht="13.8" thickBot="1">
      <c r="A213" s="1049" t="s">
        <v>652</v>
      </c>
      <c r="F213" s="1055">
        <f>'Structured Cabling'!F117</f>
        <v>6878.39</v>
      </c>
      <c r="H213" s="1054">
        <f>SUM(F211:F213)</f>
        <v>9636.91</v>
      </c>
    </row>
    <row r="214" spans="1:8">
      <c r="H214" s="1051"/>
    </row>
    <row r="215" spans="1:8">
      <c r="H215" s="1051"/>
    </row>
    <row r="216" spans="1:8">
      <c r="A216" s="1051" t="s">
        <v>544</v>
      </c>
      <c r="H216" s="1051"/>
    </row>
    <row r="217" spans="1:8">
      <c r="H217" s="1051"/>
    </row>
    <row r="218" spans="1:8" ht="13.8" thickBot="1">
      <c r="A218" s="1049" t="s">
        <v>653</v>
      </c>
      <c r="F218" s="1055">
        <f>'Access Control'!F55</f>
        <v>10383.549999999999</v>
      </c>
      <c r="H218" s="1054">
        <f>SUM(F218:G218)</f>
        <v>10383.549999999999</v>
      </c>
    </row>
    <row r="219" spans="1:8">
      <c r="H219" s="1051"/>
    </row>
    <row r="220" spans="1:8">
      <c r="H220" s="1051"/>
    </row>
    <row r="221" spans="1:8">
      <c r="A221" s="1051" t="s">
        <v>551</v>
      </c>
      <c r="H221" s="1051"/>
    </row>
    <row r="222" spans="1:8">
      <c r="H222" s="1051"/>
    </row>
    <row r="223" spans="1:8" ht="13.8" thickBot="1">
      <c r="A223" s="1049" t="s">
        <v>654</v>
      </c>
      <c r="F223" s="1055">
        <f>'AC cut-out switches'!F55</f>
        <v>1034.56</v>
      </c>
      <c r="H223" s="1054">
        <f>SUM(F223:G223)</f>
        <v>1034.56</v>
      </c>
    </row>
    <row r="224" spans="1:8">
      <c r="H224" s="1051"/>
    </row>
    <row r="225" spans="1:8">
      <c r="H225" s="1051"/>
    </row>
    <row r="226" spans="1:8">
      <c r="A226" s="1051" t="s">
        <v>655</v>
      </c>
      <c r="H226" s="1051"/>
    </row>
    <row r="227" spans="1:8">
      <c r="H227" s="1051"/>
    </row>
    <row r="228" spans="1:8" ht="13.8" thickBot="1">
      <c r="A228" s="1049" t="s">
        <v>656</v>
      </c>
      <c r="F228" s="1055">
        <f>COMMISSIONING!F39</f>
        <v>0</v>
      </c>
      <c r="H228" s="1054">
        <f>SUM(F228:G228)</f>
        <v>0</v>
      </c>
    </row>
    <row r="229" spans="1:8">
      <c r="H229" s="1051"/>
    </row>
    <row r="230" spans="1:8">
      <c r="H230" s="1051"/>
    </row>
    <row r="231" spans="1:8">
      <c r="H231" s="1051"/>
    </row>
    <row r="232" spans="1:8">
      <c r="H232" s="1051"/>
    </row>
    <row r="233" spans="1:8">
      <c r="A233" s="1051" t="s">
        <v>657</v>
      </c>
      <c r="B233" s="1051"/>
      <c r="H233" s="1058">
        <f ca="1">SUM(H7:H232)</f>
        <v>286398.78999999998</v>
      </c>
    </row>
    <row r="234" spans="1:8">
      <c r="A234" s="1051"/>
      <c r="B234" s="1051"/>
      <c r="H234" s="1051"/>
    </row>
    <row r="235" spans="1:8" ht="13.8" thickBot="1">
      <c r="A235" s="1051" t="s">
        <v>658</v>
      </c>
      <c r="B235" s="1051"/>
      <c r="H235" s="1054"/>
    </row>
    <row r="236" spans="1:8">
      <c r="A236" s="1051"/>
      <c r="B236" s="1051"/>
      <c r="H236" s="1051"/>
    </row>
    <row r="237" spans="1:8">
      <c r="A237" s="1051" t="s">
        <v>659</v>
      </c>
      <c r="B237" s="1059"/>
      <c r="H237" s="1058">
        <f ca="1">(H233+H235)*0.01</f>
        <v>2863.9878999999996</v>
      </c>
    </row>
    <row r="238" spans="1:8">
      <c r="A238" s="1060"/>
      <c r="B238" s="1060"/>
      <c r="C238" s="1061"/>
      <c r="D238" s="1061"/>
      <c r="E238" s="1061"/>
      <c r="F238" s="1061"/>
      <c r="H238" s="1051"/>
    </row>
    <row r="239" spans="1:8" ht="13.8" thickBot="1">
      <c r="A239" s="1051" t="s">
        <v>660</v>
      </c>
      <c r="B239" s="1051"/>
      <c r="H239" s="1054">
        <f ca="1">H237+H235+H233</f>
        <v>289262.77789999999</v>
      </c>
    </row>
    <row r="240" spans="1:8">
      <c r="A240" s="1051"/>
      <c r="B240" s="1051"/>
      <c r="H240" s="1051"/>
    </row>
    <row r="241" spans="1:9" ht="13.8" thickBot="1">
      <c r="A241" s="1051" t="s">
        <v>661</v>
      </c>
      <c r="B241" s="1051"/>
      <c r="H241" s="1054">
        <f ca="1">H239*0.18</f>
        <v>52067.300021999996</v>
      </c>
    </row>
    <row r="242" spans="1:9">
      <c r="A242" s="1051"/>
      <c r="B242" s="1051"/>
      <c r="H242" s="1051"/>
    </row>
    <row r="243" spans="1:9" ht="13.8" thickBot="1">
      <c r="A243" s="1051" t="s">
        <v>662</v>
      </c>
      <c r="B243" s="1051"/>
      <c r="G243" s="1050" t="s">
        <v>226</v>
      </c>
      <c r="H243" s="1062">
        <f ca="1">H239+H241</f>
        <v>341330.07792199997</v>
      </c>
    </row>
    <row r="244" spans="1:9" ht="13.8" thickTop="1"/>
    <row r="252" spans="1:9">
      <c r="A252" s="1049" t="s">
        <v>663</v>
      </c>
      <c r="C252" s="1407"/>
      <c r="D252" s="1407"/>
      <c r="E252" s="1407"/>
      <c r="F252" s="1407"/>
      <c r="G252" s="1407"/>
      <c r="H252" s="1407"/>
      <c r="I252" s="1407"/>
    </row>
    <row r="253" spans="1:9">
      <c r="C253" s="1063"/>
      <c r="D253" s="1063"/>
      <c r="E253" s="1063"/>
      <c r="F253" s="1063"/>
      <c r="G253" s="1063"/>
      <c r="H253" s="1063"/>
      <c r="I253" s="1063"/>
    </row>
    <row r="254" spans="1:9">
      <c r="A254" s="1049" t="s">
        <v>664</v>
      </c>
      <c r="C254" s="1407"/>
      <c r="D254" s="1407"/>
      <c r="E254" s="1407"/>
      <c r="F254" s="1407"/>
      <c r="G254" s="1407"/>
      <c r="H254" s="1407"/>
      <c r="I254" s="1407"/>
    </row>
    <row r="255" spans="1:9">
      <c r="C255" s="1063"/>
      <c r="D255" s="1063"/>
      <c r="E255" s="1063"/>
      <c r="F255" s="1063"/>
      <c r="G255" s="1063"/>
      <c r="H255" s="1063"/>
      <c r="I255" s="1063"/>
    </row>
    <row r="256" spans="1:9">
      <c r="A256" s="1049" t="s">
        <v>665</v>
      </c>
      <c r="C256" s="1407"/>
      <c r="D256" s="1407"/>
      <c r="E256" s="1407"/>
      <c r="F256" s="1407"/>
      <c r="G256" s="1407"/>
      <c r="H256" s="1407"/>
      <c r="I256" s="1407"/>
    </row>
    <row r="257" spans="1:9">
      <c r="C257" s="1063"/>
      <c r="D257" s="1063"/>
      <c r="E257" s="1063"/>
      <c r="F257" s="1063"/>
      <c r="G257" s="1063"/>
      <c r="H257" s="1063"/>
      <c r="I257" s="1063"/>
    </row>
    <row r="258" spans="1:9">
      <c r="A258" s="1049" t="s">
        <v>666</v>
      </c>
      <c r="C258" s="1407"/>
      <c r="D258" s="1407"/>
      <c r="E258" s="1407"/>
      <c r="F258" s="1407"/>
      <c r="G258" s="1407"/>
      <c r="H258" s="1407"/>
      <c r="I258" s="1407"/>
    </row>
    <row r="259" spans="1:9">
      <c r="C259" s="1063"/>
      <c r="D259" s="1063"/>
      <c r="E259" s="1063"/>
      <c r="F259" s="1063"/>
      <c r="G259" s="1063"/>
      <c r="H259" s="1063"/>
      <c r="I259" s="1063"/>
    </row>
    <row r="260" spans="1:9">
      <c r="A260" s="1049" t="s">
        <v>667</v>
      </c>
      <c r="C260" s="1407"/>
      <c r="D260" s="1407"/>
      <c r="E260" s="1407"/>
      <c r="F260" s="1407"/>
      <c r="G260" s="1407"/>
      <c r="H260" s="1407"/>
      <c r="I260" s="1407"/>
    </row>
    <row r="261" spans="1:9">
      <c r="C261" s="1063"/>
      <c r="D261" s="1063"/>
      <c r="E261" s="1063"/>
      <c r="F261" s="1063"/>
      <c r="G261" s="1063"/>
      <c r="H261" s="1063"/>
      <c r="I261" s="1063"/>
    </row>
    <row r="262" spans="1:9">
      <c r="A262" s="1049" t="s">
        <v>668</v>
      </c>
      <c r="C262" s="1407"/>
      <c r="D262" s="1407"/>
      <c r="E262" s="1407"/>
      <c r="F262" s="1407"/>
      <c r="G262" s="1407"/>
      <c r="H262" s="1407"/>
      <c r="I262" s="1407"/>
    </row>
    <row r="263" spans="1:9">
      <c r="C263" s="1063"/>
      <c r="D263" s="1063"/>
      <c r="E263" s="1063"/>
      <c r="F263" s="1063"/>
      <c r="G263" s="1063"/>
      <c r="H263" s="1063"/>
      <c r="I263" s="1063"/>
    </row>
    <row r="264" spans="1:9">
      <c r="A264" s="1049" t="s">
        <v>669</v>
      </c>
      <c r="C264" s="1407"/>
      <c r="D264" s="1407"/>
      <c r="E264" s="1407"/>
      <c r="F264" s="1407"/>
      <c r="G264" s="1407"/>
      <c r="H264" s="1407"/>
      <c r="I264" s="1407"/>
    </row>
    <row r="265" spans="1:9">
      <c r="C265" s="1063"/>
      <c r="D265" s="1063"/>
      <c r="E265" s="1063"/>
      <c r="F265" s="1063"/>
      <c r="G265" s="1063"/>
      <c r="H265" s="1063"/>
      <c r="I265" s="1063"/>
    </row>
    <row r="266" spans="1:9">
      <c r="A266" s="1049" t="s">
        <v>670</v>
      </c>
      <c r="C266" s="1407"/>
      <c r="D266" s="1407"/>
      <c r="E266" s="1407"/>
      <c r="F266" s="1407"/>
      <c r="G266" s="1407"/>
      <c r="H266" s="1407"/>
      <c r="I266" s="1407"/>
    </row>
    <row r="267" spans="1:9">
      <c r="C267" s="1063"/>
      <c r="D267" s="1063"/>
      <c r="E267" s="1063"/>
      <c r="F267" s="1063"/>
      <c r="G267" s="1063"/>
      <c r="H267" s="1063"/>
      <c r="I267" s="1063"/>
    </row>
    <row r="268" spans="1:9">
      <c r="C268" s="1407"/>
      <c r="D268" s="1407"/>
      <c r="E268" s="1407"/>
      <c r="F268" s="1407"/>
      <c r="G268" s="1407"/>
      <c r="H268" s="1407"/>
      <c r="I268" s="1407"/>
    </row>
    <row r="269" spans="1:9">
      <c r="C269" s="1063"/>
      <c r="D269" s="1063"/>
      <c r="E269" s="1063"/>
      <c r="F269" s="1063"/>
      <c r="G269" s="1063"/>
      <c r="H269" s="1063"/>
      <c r="I269" s="1063"/>
    </row>
    <row r="270" spans="1:9">
      <c r="A270" s="1049" t="s">
        <v>671</v>
      </c>
      <c r="C270" s="1407"/>
      <c r="D270" s="1407"/>
      <c r="E270" s="1407"/>
      <c r="F270" s="1407"/>
      <c r="G270" s="1407"/>
      <c r="H270" s="1407"/>
      <c r="I270" s="1407"/>
    </row>
    <row r="271" spans="1:9">
      <c r="C271" s="1063"/>
      <c r="D271" s="1063"/>
      <c r="E271" s="1063"/>
      <c r="F271" s="1063"/>
      <c r="G271" s="1063"/>
      <c r="H271" s="1063"/>
      <c r="I271" s="1063"/>
    </row>
    <row r="272" spans="1:9">
      <c r="A272" s="1049" t="s">
        <v>672</v>
      </c>
      <c r="C272" s="1407"/>
      <c r="D272" s="1407"/>
      <c r="E272" s="1407"/>
      <c r="F272" s="1407"/>
      <c r="G272" s="1407"/>
      <c r="H272" s="1407"/>
      <c r="I272" s="1407"/>
    </row>
    <row r="273" spans="1:9">
      <c r="C273" s="1063"/>
      <c r="D273" s="1063"/>
      <c r="E273" s="1063"/>
      <c r="F273" s="1063"/>
      <c r="G273" s="1063"/>
      <c r="H273" s="1063"/>
      <c r="I273" s="1063"/>
    </row>
    <row r="274" spans="1:9">
      <c r="A274" s="1049" t="s">
        <v>673</v>
      </c>
      <c r="C274" s="1407"/>
      <c r="D274" s="1407"/>
      <c r="E274" s="1407"/>
      <c r="F274" s="1407"/>
      <c r="G274" s="1407"/>
      <c r="H274" s="1407"/>
      <c r="I274" s="1407"/>
    </row>
    <row r="276" spans="1:9">
      <c r="A276" s="1049" t="s">
        <v>674</v>
      </c>
      <c r="C276" s="1407"/>
      <c r="D276" s="1407"/>
      <c r="E276" s="1407"/>
      <c r="F276" s="1407"/>
      <c r="G276" s="1407"/>
      <c r="H276" s="1407"/>
      <c r="I276" s="1407"/>
    </row>
  </sheetData>
  <mergeCells count="13">
    <mergeCell ref="C262:I262"/>
    <mergeCell ref="C252:I252"/>
    <mergeCell ref="C254:I254"/>
    <mergeCell ref="C256:I256"/>
    <mergeCell ref="C258:I258"/>
    <mergeCell ref="C260:I260"/>
    <mergeCell ref="C276:I276"/>
    <mergeCell ref="C264:I264"/>
    <mergeCell ref="C266:I266"/>
    <mergeCell ref="C268:I268"/>
    <mergeCell ref="C270:I270"/>
    <mergeCell ref="C272:I272"/>
    <mergeCell ref="C274:I274"/>
  </mergeCells>
  <printOptions horizontalCentered="1"/>
  <pageMargins left="0.47244094488188981" right="0.47244094488188981" top="0.59055118110236227" bottom="0.59055118110236227" header="0.19685039370078741" footer="0.19685039370078741"/>
  <pageSetup paperSize="9" firstPageNumber="93" orientation="portrait" useFirstPageNumber="1" r:id="rId1"/>
  <headerFooter alignWithMargins="0">
    <oddHeader>&amp;L&amp;"Arial,Regular"&amp;9Britannia Hotel – M&amp;&amp;E Systems&amp;R&amp;"Arial,Regular"&amp;9 125/23</oddHeader>
    <oddFooter>&amp;L&amp;"Arial,Regular"&amp;8MTS Consulting Ltd
F15/Rev.13&amp;R&amp;P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Notes</vt:lpstr>
      <vt:lpstr>LSZH_Conduit</vt:lpstr>
      <vt:lpstr>Material_List</vt:lpstr>
      <vt:lpstr>HDG_Tray_Brackets</vt:lpstr>
      <vt:lpstr>Elec_Rates</vt:lpstr>
      <vt:lpstr>Elec_Est</vt:lpstr>
      <vt:lpstr>ML_Sum</vt:lpstr>
      <vt:lpstr>Quote</vt:lpstr>
      <vt:lpstr>Preliminaries</vt:lpstr>
      <vt:lpstr>Electrical</vt:lpstr>
      <vt:lpstr>Emergency Standby Generator</vt:lpstr>
      <vt:lpstr>FIRE STOPPING</vt:lpstr>
      <vt:lpstr>Fire Detection</vt:lpstr>
      <vt:lpstr>CCTV</vt:lpstr>
      <vt:lpstr>Structured Cabling</vt:lpstr>
      <vt:lpstr>Access Control</vt:lpstr>
      <vt:lpstr>AC cut-out switches</vt:lpstr>
      <vt:lpstr>COMMISSIONING</vt:lpstr>
      <vt:lpstr>SUMMARY PG</vt:lpstr>
      <vt:lpstr>AREAS</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2026-02-19T13:38:27Z</cp:lastPrinted>
  <dcterms:created xsi:type="dcterms:W3CDTF">2004-05-27T15:45:27Z</dcterms:created>
  <dcterms:modified xsi:type="dcterms:W3CDTF">2026-04-02T07:47:24Z</dcterms:modified>
  <cp:contentStatus/>
</cp:coreProperties>
</file>